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8.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showInkAnnotation="0" defaultThemeVersion="124226"/>
  <mc:AlternateContent xmlns:mc="http://schemas.openxmlformats.org/markup-compatibility/2006">
    <mc:Choice Requires="x15">
      <x15ac:absPath xmlns:x15ac="http://schemas.microsoft.com/office/spreadsheetml/2010/11/ac" url="https://gkcp.sharepoint.com/sites/MDA/Shared Documents/2025 1Q/"/>
    </mc:Choice>
  </mc:AlternateContent>
  <xr:revisionPtr revIDLastSave="8" documentId="11_13EB0A1D719201A0984105E72701011D7ED9A188" xr6:coauthVersionLast="47" xr6:coauthVersionMax="47" xr10:uidLastSave="{B96D20C9-F0F3-49F8-A983-265B1A945A8D}"/>
  <bookViews>
    <workbookView xWindow="-110" yWindow="-110" windowWidth="19420" windowHeight="11620" xr2:uid="{00000000-000D-0000-FFFF-FFFF00000000}"/>
  </bookViews>
  <sheets>
    <sheet name="P&amp;L" sheetId="16" r:id="rId1"/>
    <sheet name="Balance sheet" sheetId="3" r:id="rId2"/>
    <sheet name="Cash Flow" sheetId="4" r:id="rId3"/>
    <sheet name="Segments" sheetId="2" r:id="rId4"/>
    <sheet name="Ratios" sheetId="7" r:id="rId5"/>
    <sheet name="new KPI_segment B2C&amp;B2B" sheetId="9" r:id="rId6"/>
    <sheet name="KPI TV &amp; online" sheetId="13" r:id="rId7"/>
    <sheet name="KPI_segment Green Energy" sheetId="15" r:id="rId8"/>
    <sheet name="STARE KPI--&gt;" sheetId="8" r:id="rId9"/>
    <sheet name="KPI_segment B2C&amp;B2B" sheetId="5" r:id="rId10"/>
  </sheets>
  <definedNames>
    <definedName name="_xlnm.Print_Area" localSheetId="1">'Balance sheet'!$A$1:$R$86</definedName>
    <definedName name="_xlnm.Print_Area" localSheetId="2">'Cash Flow'!$A$2:$R$85</definedName>
    <definedName name="_xlnm.Print_Area" localSheetId="9">'KPI_segment B2C&amp;B2B'!$A$1:$T$38</definedName>
    <definedName name="_xlnm.Print_Area" localSheetId="5">'new KPI_segment B2C&amp;B2B'!$A$1:$B$31</definedName>
    <definedName name="_xlnm.Print_Area" localSheetId="0">'P&amp;L'!$A$4:$T$54</definedName>
    <definedName name="OLE_LINK3" localSheetId="2">'Cash Flow'!$A$22</definedName>
    <definedName name="Z_0581D693_F741_454A_848A_FCD54BC91A66_.wvu.Cols" localSheetId="1" hidden="1">'Balance sheet'!$C:$AD</definedName>
    <definedName name="Z_0581D693_F741_454A_848A_FCD54BC91A66_.wvu.Cols" localSheetId="2" hidden="1">'Cash Flow'!$C:$AH</definedName>
    <definedName name="Z_0581D693_F741_454A_848A_FCD54BC91A66_.wvu.Cols" localSheetId="6" hidden="1">'KPI TV &amp; online'!$D:$AF</definedName>
    <definedName name="Z_0581D693_F741_454A_848A_FCD54BC91A66_.wvu.Cols" localSheetId="9" hidden="1">'KPI_segment B2C&amp;B2B'!$C:$AF</definedName>
    <definedName name="Z_0581D693_F741_454A_848A_FCD54BC91A66_.wvu.Cols" localSheetId="7" hidden="1">'KPI_segment Green Energy'!#REF!,'KPI_segment Green Energy'!#REF!</definedName>
    <definedName name="Z_0581D693_F741_454A_848A_FCD54BC91A66_.wvu.Cols" localSheetId="5" hidden="1">'new KPI_segment B2C&amp;B2B'!#REF!</definedName>
    <definedName name="Z_0581D693_F741_454A_848A_FCD54BC91A66_.wvu.Cols" localSheetId="0" hidden="1">'P&amp;L'!$C:$AF</definedName>
    <definedName name="Z_0581D693_F741_454A_848A_FCD54BC91A66_.wvu.Cols" localSheetId="3" hidden="1">Segments!$C:$AL,Segments!$AR:$AV</definedName>
    <definedName name="Z_0581D693_F741_454A_848A_FCD54BC91A66_.wvu.PrintArea" localSheetId="1" hidden="1">'Balance sheet'!$A$1:$R$86</definedName>
    <definedName name="Z_0581D693_F741_454A_848A_FCD54BC91A66_.wvu.PrintArea" localSheetId="2" hidden="1">'Cash Flow'!$A$2:$R$85</definedName>
    <definedName name="Z_0581D693_F741_454A_848A_FCD54BC91A66_.wvu.PrintArea" localSheetId="9" hidden="1">'KPI_segment B2C&amp;B2B'!$A$1:$T$38</definedName>
    <definedName name="Z_0581D693_F741_454A_848A_FCD54BC91A66_.wvu.PrintArea" localSheetId="5" hidden="1">'new KPI_segment B2C&amp;B2B'!$A$1:$B$31</definedName>
    <definedName name="Z_0581D693_F741_454A_848A_FCD54BC91A66_.wvu.PrintArea" localSheetId="0" hidden="1">'P&amp;L'!$A$4:$T$54</definedName>
    <definedName name="Z_0581D693_F741_454A_848A_FCD54BC91A66_.wvu.Rows" localSheetId="9" hidden="1">'KPI_segment B2C&amp;B2B'!$14:$14</definedName>
    <definedName name="Z_0581D693_F741_454A_848A_FCD54BC91A66_.wvu.Rows" localSheetId="5" hidden="1">'new KPI_segment B2C&amp;B2B'!#REF!</definedName>
    <definedName name="Z_634BFE77_A2AA_4FA6_8ED5_F02244B9F10C_.wvu.Cols" localSheetId="1" hidden="1">'Balance sheet'!$C:$AD</definedName>
    <definedName name="Z_634BFE77_A2AA_4FA6_8ED5_F02244B9F10C_.wvu.Cols" localSheetId="2" hidden="1">'Cash Flow'!$C:$AH</definedName>
    <definedName name="Z_634BFE77_A2AA_4FA6_8ED5_F02244B9F10C_.wvu.Cols" localSheetId="6" hidden="1">'KPI TV &amp; online'!$D:$AF</definedName>
    <definedName name="Z_634BFE77_A2AA_4FA6_8ED5_F02244B9F10C_.wvu.Cols" localSheetId="9" hidden="1">'KPI_segment B2C&amp;B2B'!$C:$AF</definedName>
    <definedName name="Z_634BFE77_A2AA_4FA6_8ED5_F02244B9F10C_.wvu.Cols" localSheetId="7" hidden="1">'KPI_segment Green Energy'!#REF!,'KPI_segment Green Energy'!#REF!</definedName>
    <definedName name="Z_634BFE77_A2AA_4FA6_8ED5_F02244B9F10C_.wvu.Cols" localSheetId="5" hidden="1">'new KPI_segment B2C&amp;B2B'!#REF!</definedName>
    <definedName name="Z_634BFE77_A2AA_4FA6_8ED5_F02244B9F10C_.wvu.Cols" localSheetId="0" hidden="1">'P&amp;L'!$C:$AF</definedName>
    <definedName name="Z_634BFE77_A2AA_4FA6_8ED5_F02244B9F10C_.wvu.Cols" localSheetId="3" hidden="1">Segments!$C:$AL,Segments!$AR:$AV</definedName>
    <definedName name="Z_634BFE77_A2AA_4FA6_8ED5_F02244B9F10C_.wvu.PrintArea" localSheetId="1" hidden="1">'Balance sheet'!$A$1:$R$86</definedName>
    <definedName name="Z_634BFE77_A2AA_4FA6_8ED5_F02244B9F10C_.wvu.PrintArea" localSheetId="2" hidden="1">'Cash Flow'!$A$2:$R$85</definedName>
    <definedName name="Z_634BFE77_A2AA_4FA6_8ED5_F02244B9F10C_.wvu.PrintArea" localSheetId="9" hidden="1">'KPI_segment B2C&amp;B2B'!$A$1:$T$38</definedName>
    <definedName name="Z_634BFE77_A2AA_4FA6_8ED5_F02244B9F10C_.wvu.PrintArea" localSheetId="5" hidden="1">'new KPI_segment B2C&amp;B2B'!$A$1:$B$31</definedName>
    <definedName name="Z_634BFE77_A2AA_4FA6_8ED5_F02244B9F10C_.wvu.PrintArea" localSheetId="0" hidden="1">'P&amp;L'!$A$4:$T$54</definedName>
    <definedName name="Z_634BFE77_A2AA_4FA6_8ED5_F02244B9F10C_.wvu.Rows" localSheetId="9" hidden="1">'KPI_segment B2C&amp;B2B'!$14:$14</definedName>
    <definedName name="Z_634BFE77_A2AA_4FA6_8ED5_F02244B9F10C_.wvu.Rows" localSheetId="5" hidden="1">'new KPI_segment B2C&amp;B2B'!#REF!</definedName>
    <definedName name="Z_B87BD74C_18F3_4393_BF03_31B25889E08F_.wvu.Cols" localSheetId="2" hidden="1">'Cash Flow'!$C:$AH</definedName>
    <definedName name="Z_B87BD74C_18F3_4393_BF03_31B25889E08F_.wvu.Cols" localSheetId="6" hidden="1">'KPI TV &amp; online'!$D:$AF</definedName>
    <definedName name="Z_B87BD74C_18F3_4393_BF03_31B25889E08F_.wvu.Cols" localSheetId="9" hidden="1">'KPI_segment B2C&amp;B2B'!$C:$AF</definedName>
    <definedName name="Z_B87BD74C_18F3_4393_BF03_31B25889E08F_.wvu.Cols" localSheetId="7" hidden="1">'KPI_segment Green Energy'!#REF!,'KPI_segment Green Energy'!#REF!</definedName>
    <definedName name="Z_B87BD74C_18F3_4393_BF03_31B25889E08F_.wvu.Cols" localSheetId="5" hidden="1">'new KPI_segment B2C&amp;B2B'!#REF!</definedName>
    <definedName name="Z_B87BD74C_18F3_4393_BF03_31B25889E08F_.wvu.Cols" localSheetId="0" hidden="1">'P&amp;L'!$C:$AF</definedName>
    <definedName name="Z_B87BD74C_18F3_4393_BF03_31B25889E08F_.wvu.Cols" localSheetId="3" hidden="1">Segments!$C:$AL,Segments!$AR:$AV</definedName>
    <definedName name="Z_B87BD74C_18F3_4393_BF03_31B25889E08F_.wvu.PrintArea" localSheetId="1" hidden="1">'Balance sheet'!$A$1:$R$86</definedName>
    <definedName name="Z_B87BD74C_18F3_4393_BF03_31B25889E08F_.wvu.PrintArea" localSheetId="2" hidden="1">'Cash Flow'!$A$2:$R$85</definedName>
    <definedName name="Z_B87BD74C_18F3_4393_BF03_31B25889E08F_.wvu.PrintArea" localSheetId="9" hidden="1">'KPI_segment B2C&amp;B2B'!$A$1:$T$38</definedName>
    <definedName name="Z_B87BD74C_18F3_4393_BF03_31B25889E08F_.wvu.PrintArea" localSheetId="5" hidden="1">'new KPI_segment B2C&amp;B2B'!$A$1:$B$31</definedName>
    <definedName name="Z_B87BD74C_18F3_4393_BF03_31B25889E08F_.wvu.PrintArea" localSheetId="0" hidden="1">'P&amp;L'!$A$4:$T$54</definedName>
    <definedName name="Z_B87BD74C_18F3_4393_BF03_31B25889E08F_.wvu.Rows" localSheetId="9" hidden="1">'KPI_segment B2C&amp;B2B'!$14:$14</definedName>
    <definedName name="Z_B87BD74C_18F3_4393_BF03_31B25889E08F_.wvu.Rows" localSheetId="5" hidden="1">'new KPI_segment B2C&amp;B2B'!#REF!</definedName>
    <definedName name="Z_ED9E521F_BC9B_4E88_8A9F_5288A046401B_.wvu.Cols" localSheetId="6" hidden="1">'KPI TV &amp; online'!$D:$AF</definedName>
    <definedName name="Z_ED9E521F_BC9B_4E88_8A9F_5288A046401B_.wvu.Cols" localSheetId="7" hidden="1">'KPI_segment Green Energy'!#REF!,'KPI_segment Green Energy'!#REF!</definedName>
    <definedName name="Z_ED9E521F_BC9B_4E88_8A9F_5288A046401B_.wvu.Cols" localSheetId="3" hidden="1">Segments!$C:$AL,Segments!$AR:$AV</definedName>
    <definedName name="Z_ED9E521F_BC9B_4E88_8A9F_5288A046401B_.wvu.PrintArea" localSheetId="1" hidden="1">'Balance sheet'!$A$1:$R$86</definedName>
    <definedName name="Z_ED9E521F_BC9B_4E88_8A9F_5288A046401B_.wvu.PrintArea" localSheetId="2" hidden="1">'Cash Flow'!$A$2:$R$85</definedName>
    <definedName name="Z_ED9E521F_BC9B_4E88_8A9F_5288A046401B_.wvu.PrintArea" localSheetId="9" hidden="1">'KPI_segment B2C&amp;B2B'!$A$1:$T$38</definedName>
    <definedName name="Z_ED9E521F_BC9B_4E88_8A9F_5288A046401B_.wvu.PrintArea" localSheetId="5" hidden="1">'new KPI_segment B2C&amp;B2B'!$A$1:$B$31</definedName>
    <definedName name="Z_ED9E521F_BC9B_4E88_8A9F_5288A046401B_.wvu.PrintArea" localSheetId="0" hidden="1">'P&amp;L'!$A$4:$T$54</definedName>
    <definedName name="Z_ED9E521F_BC9B_4E88_8A9F_5288A046401B_.wvu.Rows" localSheetId="9" hidden="1">'KPI_segment B2C&amp;B2B'!$14:$14</definedName>
    <definedName name="Z_ED9E521F_BC9B_4E88_8A9F_5288A046401B_.wvu.Rows" localSheetId="5" hidden="1">'new KPI_segment B2C&amp;B2B'!#REF!</definedName>
  </definedNames>
  <calcPr calcId="191029" concurrentManualCount="3"/>
  <customWorkbookViews>
    <customWorkbookView name="egieniusz - Widok osobisty" guid="{B87BD74C-18F3-4393-BF03-31B25889E08F}" mergeInterval="0" personalView="1" maximized="1" xWindow="-8" yWindow="-8" windowWidth="1936" windowHeight="1056" activeSheetId="6"/>
    <customWorkbookView name="Anna Kuchnio - Widok osobisty" guid="{0581D693-F741-454A-848A-FCD54BC91A66}" mergeInterval="0" personalView="1" xWindow="-2295" yWindow="-56" windowWidth="1251" windowHeight="1134" activeSheetId="4"/>
    <customWorkbookView name="Grzegorz Para - Widok osobisty" guid="{634BFE77-A2AA-4FA6-8ED5-F02244B9F10C}" mergeInterval="0" personalView="1" maximized="1" xWindow="-8" yWindow="-8" windowWidth="1936" windowHeight="1056" activeSheetId="1"/>
    <customWorkbookView name="Agata Wiktorow-Sobczuk - Widok osobisty" guid="{ED9E521F-BC9B-4E88-8A9F-5288A046401B}" mergeInterval="0" personalView="1" maximized="1" xWindow="1912" yWindow="2" windowWidth="1936" windowHeight="1056" tabRatio="597"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44" i="16" l="1"/>
  <c r="CE43" i="16"/>
  <c r="CE42" i="16"/>
  <c r="CE41" i="16"/>
  <c r="CE40" i="16"/>
  <c r="BZ44" i="16"/>
  <c r="BZ43" i="16"/>
  <c r="BZ42" i="16"/>
  <c r="BZ41" i="16"/>
  <c r="BZ40" i="16"/>
  <c r="BU41" i="16"/>
  <c r="BU42" i="16"/>
  <c r="BU43" i="16"/>
  <c r="BU44" i="16"/>
  <c r="BU40" i="16"/>
  <c r="BP41" i="16"/>
  <c r="BP40" i="16"/>
  <c r="BK40" i="16"/>
  <c r="BF40" i="16"/>
  <c r="CE37" i="16"/>
  <c r="BZ37" i="16"/>
  <c r="BU37" i="16"/>
  <c r="CE36" i="16"/>
  <c r="BZ36" i="16"/>
  <c r="BU36" i="16"/>
  <c r="BO36" i="16"/>
  <c r="BP36" i="16" s="1"/>
  <c r="BK36" i="16"/>
  <c r="BF36" i="16"/>
  <c r="BA36" i="16"/>
  <c r="AQ36" i="16"/>
  <c r="AK36" i="16"/>
  <c r="AF36" i="16"/>
  <c r="AA36" i="16"/>
  <c r="CE35" i="16"/>
  <c r="BZ35" i="16"/>
  <c r="BU35" i="16"/>
  <c r="BO35" i="16"/>
  <c r="BP35" i="16" s="1"/>
  <c r="BK35" i="16"/>
  <c r="BF35" i="16"/>
  <c r="BA35" i="16"/>
  <c r="AQ35" i="16"/>
  <c r="AK35" i="16"/>
  <c r="AF35" i="16"/>
  <c r="AA35" i="16"/>
  <c r="CE33" i="16"/>
  <c r="BZ33" i="16"/>
  <c r="BU33" i="16"/>
  <c r="BO33" i="16"/>
  <c r="BP33" i="16" s="1"/>
  <c r="BK33" i="16"/>
  <c r="BF33" i="16"/>
  <c r="BA33" i="16"/>
  <c r="AV33" i="16"/>
  <c r="AQ33" i="16"/>
  <c r="AK33" i="16"/>
  <c r="AF33" i="16"/>
  <c r="AA33" i="16"/>
  <c r="Q33" i="16"/>
  <c r="L33" i="16"/>
  <c r="G33" i="16"/>
  <c r="CE31" i="16"/>
  <c r="BZ31" i="16"/>
  <c r="BU31" i="16"/>
  <c r="BO31" i="16"/>
  <c r="BP31" i="16" s="1"/>
  <c r="BK31" i="16"/>
  <c r="BF31" i="16"/>
  <c r="BA31" i="16"/>
  <c r="AV31" i="16"/>
  <c r="AQ31" i="16"/>
  <c r="AK31" i="16"/>
  <c r="AF31" i="16"/>
  <c r="CE30" i="16"/>
  <c r="BZ30" i="16"/>
  <c r="BU30" i="16"/>
  <c r="BP30" i="16"/>
  <c r="BK30" i="16"/>
  <c r="BF30" i="16"/>
  <c r="BA30" i="16"/>
  <c r="AV30" i="16"/>
  <c r="AQ30" i="16"/>
  <c r="AK30" i="16"/>
  <c r="AF30" i="16"/>
  <c r="AA30" i="16"/>
  <c r="Q30" i="16"/>
  <c r="L30" i="16"/>
  <c r="G30" i="16"/>
  <c r="BU27" i="16"/>
  <c r="BO27" i="16"/>
  <c r="BP27" i="16" s="1"/>
  <c r="BK27" i="16"/>
  <c r="BF27" i="16"/>
  <c r="BA27" i="16"/>
  <c r="AV27" i="16"/>
  <c r="AQ27" i="16"/>
  <c r="AK27" i="16"/>
  <c r="AF27" i="16"/>
  <c r="AA27" i="16"/>
  <c r="Q27" i="16"/>
  <c r="L27" i="16"/>
  <c r="G27" i="16"/>
  <c r="BU26" i="16"/>
  <c r="BO26" i="16"/>
  <c r="BP26" i="16" s="1"/>
  <c r="BK26" i="16"/>
  <c r="BF26" i="16"/>
  <c r="BA26" i="16"/>
  <c r="AV26" i="16"/>
  <c r="AQ26" i="16"/>
  <c r="AK26" i="16"/>
  <c r="AF26" i="16"/>
  <c r="AA26" i="16"/>
  <c r="Q26" i="16"/>
  <c r="L26" i="16"/>
  <c r="G26" i="16"/>
  <c r="CE24" i="16"/>
  <c r="BZ24" i="16"/>
  <c r="BU24" i="16"/>
  <c r="BO24" i="16"/>
  <c r="BP24" i="16" s="1"/>
  <c r="BK24" i="16"/>
  <c r="BF24" i="16"/>
  <c r="BA24" i="16"/>
  <c r="AV24" i="16"/>
  <c r="AQ24" i="16"/>
  <c r="AK24" i="16"/>
  <c r="AF24" i="16"/>
  <c r="AA24" i="16"/>
  <c r="Q24" i="16"/>
  <c r="L24" i="16"/>
  <c r="G24" i="16"/>
  <c r="CE23" i="16"/>
  <c r="BZ23" i="16"/>
  <c r="BU23" i="16"/>
  <c r="BO23" i="16"/>
  <c r="BP23" i="16" s="1"/>
  <c r="BK23" i="16"/>
  <c r="CE22" i="16"/>
  <c r="BZ22" i="16"/>
  <c r="BU22" i="16"/>
  <c r="CE21" i="16"/>
  <c r="BZ21" i="16"/>
  <c r="BU21" i="16"/>
  <c r="BO21" i="16"/>
  <c r="BP21" i="16" s="1"/>
  <c r="BK21" i="16"/>
  <c r="BF21" i="16"/>
  <c r="BA21" i="16"/>
  <c r="AV21" i="16"/>
  <c r="AQ21" i="16"/>
  <c r="AK21" i="16"/>
  <c r="AF21" i="16"/>
  <c r="AA21" i="16"/>
  <c r="Q21" i="16"/>
  <c r="L21" i="16"/>
  <c r="G21" i="16"/>
  <c r="CE20" i="16"/>
  <c r="BZ20" i="16"/>
  <c r="BU20" i="16"/>
  <c r="BO20" i="16"/>
  <c r="BP20" i="16" s="1"/>
  <c r="BK20" i="16"/>
  <c r="BF20" i="16"/>
  <c r="BA20" i="16"/>
  <c r="AV20" i="16"/>
  <c r="AQ20" i="16"/>
  <c r="AK20" i="16"/>
  <c r="AF20" i="16"/>
  <c r="AA20" i="16"/>
  <c r="Q20" i="16"/>
  <c r="L20" i="16"/>
  <c r="G20" i="16"/>
  <c r="CE19" i="16"/>
  <c r="BZ19" i="16"/>
  <c r="BU19" i="16"/>
  <c r="BO19" i="16"/>
  <c r="BP19" i="16" s="1"/>
  <c r="BK19" i="16"/>
  <c r="BF19" i="16"/>
  <c r="BA19" i="16"/>
  <c r="AV19" i="16"/>
  <c r="AQ19" i="16"/>
  <c r="AK19" i="16"/>
  <c r="AF19" i="16"/>
  <c r="AA19" i="16"/>
  <c r="Q19" i="16"/>
  <c r="L19" i="16"/>
  <c r="G19" i="16"/>
  <c r="CE18" i="16"/>
  <c r="BZ18" i="16"/>
  <c r="BU18" i="16"/>
  <c r="CE17" i="16"/>
  <c r="BZ17" i="16"/>
  <c r="BU17" i="16"/>
  <c r="CE16" i="16"/>
  <c r="BZ16" i="16"/>
  <c r="BU16" i="16"/>
  <c r="BO16" i="16"/>
  <c r="BP16" i="16" s="1"/>
  <c r="BK16" i="16"/>
  <c r="BF16" i="16"/>
  <c r="BA16" i="16"/>
  <c r="AV16" i="16"/>
  <c r="AQ16" i="16"/>
  <c r="AK16" i="16"/>
  <c r="AF16" i="16"/>
  <c r="AA16" i="16"/>
  <c r="Q16" i="16"/>
  <c r="L16" i="16"/>
  <c r="G16" i="16"/>
  <c r="CE15" i="16"/>
  <c r="BZ15" i="16"/>
  <c r="BU15" i="16"/>
  <c r="BO15" i="16"/>
  <c r="BP15" i="16" s="1"/>
  <c r="BK15" i="16"/>
  <c r="BF15" i="16"/>
  <c r="BA15" i="16"/>
  <c r="AV15" i="16"/>
  <c r="AQ15" i="16"/>
  <c r="AK15" i="16"/>
  <c r="AF15" i="16"/>
  <c r="AA15" i="16"/>
  <c r="Q15" i="16"/>
  <c r="L15" i="16"/>
  <c r="G15" i="16"/>
  <c r="CE14" i="16"/>
  <c r="BZ14" i="16"/>
  <c r="BU14" i="16"/>
  <c r="BO14" i="16"/>
  <c r="BP14" i="16" s="1"/>
  <c r="BK14" i="16"/>
  <c r="BF14" i="16"/>
  <c r="BA14" i="16"/>
  <c r="AV14" i="16"/>
  <c r="AQ14" i="16"/>
  <c r="AK14" i="16"/>
  <c r="AF14" i="16"/>
  <c r="AA14" i="16"/>
  <c r="Q14" i="16"/>
  <c r="L14" i="16"/>
  <c r="G14" i="16"/>
  <c r="CE13" i="16"/>
  <c r="BZ13" i="16"/>
  <c r="BU13" i="16"/>
  <c r="BO13" i="16"/>
  <c r="BP13" i="16" s="1"/>
  <c r="BK13" i="16"/>
  <c r="BF13" i="16"/>
  <c r="BA13" i="16"/>
  <c r="AV13" i="16"/>
  <c r="AQ13" i="16"/>
  <c r="AK13" i="16"/>
  <c r="AF13" i="16"/>
  <c r="AA13" i="16"/>
  <c r="Q13" i="16"/>
  <c r="L13" i="16"/>
  <c r="G13" i="16"/>
  <c r="CE12" i="16"/>
  <c r="BZ12" i="16"/>
  <c r="BU12" i="16"/>
  <c r="BM12" i="16"/>
  <c r="BK12" i="16"/>
  <c r="BF12" i="16"/>
  <c r="BA12" i="16"/>
  <c r="AV12" i="16"/>
  <c r="AQ12" i="16"/>
  <c r="AK12" i="16"/>
  <c r="AK11" i="16" s="1"/>
  <c r="AF12" i="16"/>
  <c r="AA12" i="16"/>
  <c r="Q12" i="16"/>
  <c r="L12" i="16"/>
  <c r="G12" i="16"/>
  <c r="CA11" i="16"/>
  <c r="BY11" i="16"/>
  <c r="BX11" i="16"/>
  <c r="BW11" i="16"/>
  <c r="BV11" i="16"/>
  <c r="BT11" i="16"/>
  <c r="BS11" i="16"/>
  <c r="BR11" i="16"/>
  <c r="BQ11" i="16"/>
  <c r="BN11" i="16"/>
  <c r="BL11" i="16"/>
  <c r="BJ11" i="16"/>
  <c r="BI11" i="16"/>
  <c r="BH11" i="16"/>
  <c r="BG11" i="16"/>
  <c r="BE11" i="16"/>
  <c r="BD11" i="16"/>
  <c r="BC11" i="16"/>
  <c r="BB11" i="16"/>
  <c r="AZ11" i="16"/>
  <c r="AY11" i="16"/>
  <c r="AX11" i="16"/>
  <c r="AW11" i="16"/>
  <c r="AU11" i="16"/>
  <c r="AT11" i="16"/>
  <c r="AS11" i="16"/>
  <c r="AR11" i="16"/>
  <c r="AP11" i="16"/>
  <c r="AO11" i="16"/>
  <c r="AN11" i="16"/>
  <c r="AM11" i="16"/>
  <c r="AJ11" i="16"/>
  <c r="AI11" i="16"/>
  <c r="AH11" i="16"/>
  <c r="AG11" i="16"/>
  <c r="AE11" i="16"/>
  <c r="AD11" i="16"/>
  <c r="AC11" i="16"/>
  <c r="AB11" i="16"/>
  <c r="Z11" i="16"/>
  <c r="Y11" i="16"/>
  <c r="X11" i="16"/>
  <c r="W11" i="16"/>
  <c r="V11" i="16"/>
  <c r="U11" i="16"/>
  <c r="T11" i="16"/>
  <c r="S11" i="16"/>
  <c r="R11" i="16"/>
  <c r="P11" i="16"/>
  <c r="O11" i="16"/>
  <c r="N11" i="16"/>
  <c r="M11" i="16"/>
  <c r="K11" i="16"/>
  <c r="J11" i="16"/>
  <c r="I11" i="16"/>
  <c r="H11" i="16"/>
  <c r="F11" i="16"/>
  <c r="E11" i="16"/>
  <c r="D11" i="16"/>
  <c r="C11" i="16"/>
  <c r="CE10" i="16"/>
  <c r="BZ10" i="16"/>
  <c r="BU10" i="16"/>
  <c r="BO10" i="16"/>
  <c r="BP10" i="16" s="1"/>
  <c r="BK10" i="16"/>
  <c r="BF10" i="16"/>
  <c r="BA10" i="16"/>
  <c r="AV10" i="16"/>
  <c r="AQ10" i="16"/>
  <c r="AH10" i="16"/>
  <c r="AK10" i="16" s="1"/>
  <c r="AF10" i="16"/>
  <c r="AA10" i="16"/>
  <c r="Q10" i="16"/>
  <c r="L10" i="16"/>
  <c r="G10" i="16"/>
  <c r="CE9" i="16"/>
  <c r="BZ9" i="16"/>
  <c r="BU9" i="16"/>
  <c r="CE8" i="16"/>
  <c r="BZ8" i="16"/>
  <c r="BU8" i="16"/>
  <c r="BO8" i="16"/>
  <c r="BK8" i="16"/>
  <c r="BF8" i="16"/>
  <c r="BA8" i="16"/>
  <c r="AV8" i="16"/>
  <c r="AQ8" i="16"/>
  <c r="AK8" i="16"/>
  <c r="AF8" i="16"/>
  <c r="AA8" i="16"/>
  <c r="Q8" i="16"/>
  <c r="L8" i="16"/>
  <c r="G8" i="16"/>
  <c r="CE7" i="16"/>
  <c r="BZ7" i="16"/>
  <c r="BU7" i="16"/>
  <c r="BO7" i="16"/>
  <c r="BP7" i="16" s="1"/>
  <c r="BK7" i="16"/>
  <c r="BF7" i="16"/>
  <c r="BA7" i="16"/>
  <c r="AV7" i="16"/>
  <c r="AQ7" i="16"/>
  <c r="AK7" i="16"/>
  <c r="AF7" i="16"/>
  <c r="AA7" i="16"/>
  <c r="Q7" i="16"/>
  <c r="L7" i="16"/>
  <c r="G7" i="16"/>
  <c r="CE6" i="16"/>
  <c r="BZ6" i="16"/>
  <c r="BU6" i="16"/>
  <c r="BO6" i="16"/>
  <c r="BP6" i="16" s="1"/>
  <c r="BK6" i="16"/>
  <c r="BF6" i="16"/>
  <c r="BA6" i="16"/>
  <c r="AV6" i="16"/>
  <c r="AQ6" i="16"/>
  <c r="AK6" i="16"/>
  <c r="AF6" i="16"/>
  <c r="AA6" i="16"/>
  <c r="Q6" i="16"/>
  <c r="L6" i="16"/>
  <c r="G6" i="16"/>
  <c r="CA5" i="16"/>
  <c r="BY5" i="16"/>
  <c r="BX5" i="16"/>
  <c r="BW5" i="16"/>
  <c r="BV5" i="16"/>
  <c r="BV25" i="16" s="1"/>
  <c r="BV38" i="16" s="1"/>
  <c r="BV45" i="16" s="1"/>
  <c r="BT5" i="16"/>
  <c r="BS5" i="16"/>
  <c r="BR5" i="16"/>
  <c r="BR25" i="16" s="1"/>
  <c r="BR32" i="16" s="1"/>
  <c r="BR34" i="16" s="1"/>
  <c r="BQ5" i="16"/>
  <c r="BN5" i="16"/>
  <c r="BM5" i="16"/>
  <c r="BL5" i="16"/>
  <c r="BJ5" i="16"/>
  <c r="BI5" i="16"/>
  <c r="BI25" i="16" s="1"/>
  <c r="BH5" i="16"/>
  <c r="BG5" i="16"/>
  <c r="BE5" i="16"/>
  <c r="BD5" i="16"/>
  <c r="BC5" i="16"/>
  <c r="BB5" i="16"/>
  <c r="BB25" i="16" s="1"/>
  <c r="BB32" i="16" s="1"/>
  <c r="BB34" i="16" s="1"/>
  <c r="AZ5" i="16"/>
  <c r="AY5" i="16"/>
  <c r="AY25" i="16" s="1"/>
  <c r="AY38" i="16" s="1"/>
  <c r="AY39" i="16" s="1"/>
  <c r="AX5" i="16"/>
  <c r="AW5" i="16"/>
  <c r="AU5" i="16"/>
  <c r="AT5" i="16"/>
  <c r="AS5" i="16"/>
  <c r="AR5" i="16"/>
  <c r="AP5" i="16"/>
  <c r="AO5" i="16"/>
  <c r="AN5" i="16"/>
  <c r="AM5" i="16"/>
  <c r="AJ5" i="16"/>
  <c r="AI5" i="16"/>
  <c r="AG5" i="16"/>
  <c r="AG25" i="16" s="1"/>
  <c r="AE5" i="16"/>
  <c r="AD5" i="16"/>
  <c r="AD25" i="16" s="1"/>
  <c r="AD32" i="16" s="1"/>
  <c r="AD34" i="16" s="1"/>
  <c r="AD37" i="16" s="1"/>
  <c r="AC5" i="16"/>
  <c r="AB5" i="16"/>
  <c r="Z5" i="16"/>
  <c r="Z25" i="16" s="1"/>
  <c r="Y5" i="16"/>
  <c r="X5" i="16"/>
  <c r="W5" i="16"/>
  <c r="V5" i="16"/>
  <c r="U5" i="16"/>
  <c r="T5" i="16"/>
  <c r="T25" i="16" s="1"/>
  <c r="S5" i="16"/>
  <c r="R5" i="16"/>
  <c r="R25" i="16" s="1"/>
  <c r="R38" i="16" s="1"/>
  <c r="R39" i="16" s="1"/>
  <c r="P5" i="16"/>
  <c r="O5" i="16"/>
  <c r="O25" i="16" s="1"/>
  <c r="N5" i="16"/>
  <c r="M5" i="16"/>
  <c r="K5" i="16"/>
  <c r="J5" i="16"/>
  <c r="J25" i="16" s="1"/>
  <c r="I5" i="16"/>
  <c r="H5" i="16"/>
  <c r="H25" i="16" s="1"/>
  <c r="F5" i="16"/>
  <c r="E5" i="16"/>
  <c r="D5" i="16"/>
  <c r="C5" i="16"/>
  <c r="BB37" i="16" l="1"/>
  <c r="AM5" i="4"/>
  <c r="BU5" i="7"/>
  <c r="U25" i="16"/>
  <c r="U32" i="16" s="1"/>
  <c r="U34" i="16" s="1"/>
  <c r="U37" i="16" s="1"/>
  <c r="AM25" i="16"/>
  <c r="E25" i="16"/>
  <c r="E32" i="16" s="1"/>
  <c r="E34" i="16" s="1"/>
  <c r="AO25" i="16"/>
  <c r="AO38" i="16" s="1"/>
  <c r="AO39" i="16" s="1"/>
  <c r="BG25" i="16"/>
  <c r="BG38" i="16" s="1"/>
  <c r="K25" i="16"/>
  <c r="AW25" i="16"/>
  <c r="AW38" i="16" s="1"/>
  <c r="AW39" i="16" s="1"/>
  <c r="BN25" i="16"/>
  <c r="BN38" i="16" s="1"/>
  <c r="M25" i="16"/>
  <c r="M32" i="16" s="1"/>
  <c r="M34" i="16" s="1"/>
  <c r="BU5" i="16"/>
  <c r="BO5" i="16"/>
  <c r="BJ25" i="16"/>
  <c r="BJ38" i="16" s="1"/>
  <c r="AI25" i="16"/>
  <c r="AT25" i="16"/>
  <c r="AT32" i="16" s="1"/>
  <c r="AT34" i="16" s="1"/>
  <c r="BD25" i="16"/>
  <c r="BD38" i="16" s="1"/>
  <c r="BD39" i="16" s="1"/>
  <c r="N25" i="16"/>
  <c r="N38" i="16" s="1"/>
  <c r="N39" i="16" s="1"/>
  <c r="BZ11" i="16"/>
  <c r="F25" i="16"/>
  <c r="P25" i="16"/>
  <c r="P32" i="16" s="1"/>
  <c r="P34" i="16" s="1"/>
  <c r="Y25" i="16"/>
  <c r="Y38" i="16" s="1"/>
  <c r="Y39" i="16" s="1"/>
  <c r="AJ25" i="16"/>
  <c r="AJ38" i="16" s="1"/>
  <c r="AJ39" i="16" s="1"/>
  <c r="AU25" i="16"/>
  <c r="AU38" i="16" s="1"/>
  <c r="AU39" i="16" s="1"/>
  <c r="BE25" i="16"/>
  <c r="BE38" i="16" s="1"/>
  <c r="BQ25" i="16"/>
  <c r="BQ38" i="16" s="1"/>
  <c r="BQ45" i="16" s="1"/>
  <c r="AQ11" i="16"/>
  <c r="I25" i="16"/>
  <c r="I38" i="16" s="1"/>
  <c r="I39" i="16" s="1"/>
  <c r="S25" i="16"/>
  <c r="AB25" i="16"/>
  <c r="AN25" i="16"/>
  <c r="AN32" i="16" s="1"/>
  <c r="AN34" i="16" s="1"/>
  <c r="AN37" i="16" s="1"/>
  <c r="AX25" i="16"/>
  <c r="AX32" i="16" s="1"/>
  <c r="AX34" i="16" s="1"/>
  <c r="BH25" i="16"/>
  <c r="BH38" i="16" s="1"/>
  <c r="BS25" i="16"/>
  <c r="BS38" i="16" s="1"/>
  <c r="BS45" i="16" s="1"/>
  <c r="AC25" i="16"/>
  <c r="AC32" i="16" s="1"/>
  <c r="AC34" i="16" s="1"/>
  <c r="AC37" i="16" s="1"/>
  <c r="BG32" i="16"/>
  <c r="BG34" i="16" s="1"/>
  <c r="CE11" i="16"/>
  <c r="C25" i="16"/>
  <c r="C38" i="16" s="1"/>
  <c r="C39" i="16" s="1"/>
  <c r="V25" i="16"/>
  <c r="V38" i="16" s="1"/>
  <c r="V39" i="16" s="1"/>
  <c r="AE25" i="16"/>
  <c r="AE38" i="16" s="1"/>
  <c r="AE39" i="16" s="1"/>
  <c r="AP25" i="16"/>
  <c r="AP38" i="16" s="1"/>
  <c r="AP39" i="16" s="1"/>
  <c r="BK11" i="16"/>
  <c r="BT25" i="16"/>
  <c r="BT38" i="16" s="1"/>
  <c r="BT45" i="16" s="1"/>
  <c r="W25" i="16"/>
  <c r="W38" i="16" s="1"/>
  <c r="W39" i="16" s="1"/>
  <c r="AR25" i="16"/>
  <c r="AR38" i="16" s="1"/>
  <c r="AR39" i="16" s="1"/>
  <c r="BL25" i="16"/>
  <c r="BL38" i="16" s="1"/>
  <c r="L5" i="16"/>
  <c r="BF5" i="16"/>
  <c r="X25" i="16"/>
  <c r="X32" i="16" s="1"/>
  <c r="X34" i="16" s="1"/>
  <c r="X37" i="16" s="1"/>
  <c r="AH5" i="16"/>
  <c r="AH25" i="16" s="1"/>
  <c r="AH38" i="16" s="1"/>
  <c r="AH39" i="16" s="1"/>
  <c r="AS25" i="16"/>
  <c r="BC25" i="16"/>
  <c r="BC32" i="16" s="1"/>
  <c r="BC34" i="16" s="1"/>
  <c r="BC37" i="16" s="1"/>
  <c r="BW25" i="16"/>
  <c r="BW38" i="16" s="1"/>
  <c r="BW45" i="16" s="1"/>
  <c r="AA5" i="16"/>
  <c r="CE5" i="16"/>
  <c r="BX25" i="16"/>
  <c r="G11" i="16"/>
  <c r="BY25" i="16"/>
  <c r="BY32" i="16" s="1"/>
  <c r="BY34" i="16" s="1"/>
  <c r="BZ5" i="16"/>
  <c r="BF11" i="16"/>
  <c r="G5" i="16"/>
  <c r="G25" i="16" s="1"/>
  <c r="G38" i="16" s="1"/>
  <c r="G39" i="16" s="1"/>
  <c r="BA5" i="16"/>
  <c r="L11" i="16"/>
  <c r="Q5" i="16"/>
  <c r="BK5" i="16"/>
  <c r="Q11" i="16"/>
  <c r="AF5" i="16"/>
  <c r="AQ5" i="16"/>
  <c r="AQ25" i="16" s="1"/>
  <c r="AQ38" i="16" s="1"/>
  <c r="AQ39" i="16" s="1"/>
  <c r="AV11" i="16"/>
  <c r="BY38" i="16"/>
  <c r="BY45" i="16" s="1"/>
  <c r="BY46" i="16" s="1"/>
  <c r="C32" i="16"/>
  <c r="C34" i="16" s="1"/>
  <c r="H38" i="16"/>
  <c r="H39" i="16" s="1"/>
  <c r="H32" i="16"/>
  <c r="H34" i="16" s="1"/>
  <c r="F38" i="16"/>
  <c r="F39" i="16" s="1"/>
  <c r="F32" i="16"/>
  <c r="F34" i="16" s="1"/>
  <c r="AG38" i="16"/>
  <c r="AG39" i="16" s="1"/>
  <c r="AG32" i="16"/>
  <c r="AG34" i="16" s="1"/>
  <c r="AG37" i="16" s="1"/>
  <c r="AX38" i="16"/>
  <c r="AX39" i="16" s="1"/>
  <c r="T38" i="16"/>
  <c r="T39" i="16" s="1"/>
  <c r="T32" i="16"/>
  <c r="T34" i="16" s="1"/>
  <c r="AB38" i="16"/>
  <c r="AB39" i="16" s="1"/>
  <c r="AB32" i="16"/>
  <c r="AB34" i="16" s="1"/>
  <c r="AB37" i="16" s="1"/>
  <c r="BV39" i="16"/>
  <c r="BY4" i="7" s="1"/>
  <c r="AA11" i="16"/>
  <c r="BO12" i="16"/>
  <c r="BO11" i="16" s="1"/>
  <c r="BO25" i="16" s="1"/>
  <c r="BM11" i="16"/>
  <c r="BM25" i="16" s="1"/>
  <c r="U35" i="16"/>
  <c r="BG39" i="16"/>
  <c r="BJ4" i="7" s="1"/>
  <c r="BU11" i="16"/>
  <c r="BU25" i="16" s="1"/>
  <c r="AF11" i="16"/>
  <c r="BV32" i="16"/>
  <c r="BV34" i="16" s="1"/>
  <c r="BT32" i="16"/>
  <c r="BT34" i="16" s="1"/>
  <c r="BC38" i="16"/>
  <c r="AM32" i="16"/>
  <c r="AM34" i="16" s="1"/>
  <c r="AM37" i="16" s="1"/>
  <c r="AM38" i="16"/>
  <c r="AM39" i="16" s="1"/>
  <c r="BX38" i="16"/>
  <c r="BX45" i="16" s="1"/>
  <c r="BX32" i="16"/>
  <c r="BX34" i="16" s="1"/>
  <c r="O38" i="16"/>
  <c r="O39" i="16" s="1"/>
  <c r="O32" i="16"/>
  <c r="O34" i="16" s="1"/>
  <c r="AO32" i="16"/>
  <c r="AO34" i="16" s="1"/>
  <c r="Z38" i="16"/>
  <c r="Z39" i="16" s="1"/>
  <c r="Z32" i="16"/>
  <c r="Z34" i="16" s="1"/>
  <c r="Z37" i="16" s="1"/>
  <c r="BZ25" i="16"/>
  <c r="I32" i="16"/>
  <c r="I34" i="16" s="1"/>
  <c r="AU32" i="16"/>
  <c r="AU34" i="16" s="1"/>
  <c r="U38" i="16"/>
  <c r="U39" i="16" s="1"/>
  <c r="AI38" i="16"/>
  <c r="AI39" i="16" s="1"/>
  <c r="AI32" i="16"/>
  <c r="AI34" i="16" s="1"/>
  <c r="AI37" i="16" s="1"/>
  <c r="K38" i="16"/>
  <c r="K39" i="16" s="1"/>
  <c r="K32" i="16"/>
  <c r="K34" i="16" s="1"/>
  <c r="D25" i="16"/>
  <c r="W32" i="16"/>
  <c r="W34" i="16" s="1"/>
  <c r="AZ25" i="16"/>
  <c r="CA25" i="16"/>
  <c r="AV5" i="16"/>
  <c r="AD38" i="16"/>
  <c r="AD39" i="16" s="1"/>
  <c r="AS38" i="16"/>
  <c r="AS39" i="16" s="1"/>
  <c r="AS32" i="16"/>
  <c r="AS34" i="16" s="1"/>
  <c r="S38" i="16"/>
  <c r="S39" i="16" s="1"/>
  <c r="S32" i="16"/>
  <c r="S34" i="16" s="1"/>
  <c r="J38" i="16"/>
  <c r="J39" i="16" s="1"/>
  <c r="J32" i="16"/>
  <c r="J34" i="16" s="1"/>
  <c r="P38" i="16"/>
  <c r="P39" i="16" s="1"/>
  <c r="BI38" i="16"/>
  <c r="BI32" i="16"/>
  <c r="BI34" i="16" s="1"/>
  <c r="BA11" i="16"/>
  <c r="E37" i="16"/>
  <c r="E35" i="16"/>
  <c r="R32" i="16"/>
  <c r="R34" i="16" s="1"/>
  <c r="Q5" i="4" s="1"/>
  <c r="BD32" i="16"/>
  <c r="BD34" i="16" s="1"/>
  <c r="BD37" i="16" s="1"/>
  <c r="M37" i="16"/>
  <c r="AN38" i="16"/>
  <c r="AN39" i="16" s="1"/>
  <c r="AC38" i="16"/>
  <c r="AC39" i="16" s="1"/>
  <c r="AY32" i="16"/>
  <c r="AY34" i="16" s="1"/>
  <c r="AK5" i="16"/>
  <c r="AK25" i="16" s="1"/>
  <c r="BP8" i="16"/>
  <c r="BP5" i="16" s="1"/>
  <c r="E38" i="16"/>
  <c r="E39" i="16" s="1"/>
  <c r="BR38" i="16"/>
  <c r="BR45" i="16" s="1"/>
  <c r="BB38" i="16"/>
  <c r="BB39" i="16" s="1"/>
  <c r="BP13" i="13"/>
  <c r="BY5" i="7" l="1"/>
  <c r="BP12" i="16"/>
  <c r="BP11" i="16" s="1"/>
  <c r="BG37" i="16"/>
  <c r="BJ5" i="7"/>
  <c r="AQ5" i="4"/>
  <c r="BI37" i="16"/>
  <c r="BL5" i="7"/>
  <c r="BU45" i="16"/>
  <c r="M35" i="16"/>
  <c r="W37" i="16"/>
  <c r="S5" i="4"/>
  <c r="T5" i="4"/>
  <c r="CA5" i="7"/>
  <c r="BW5" i="7"/>
  <c r="CB5" i="7"/>
  <c r="BZ45" i="16"/>
  <c r="BN32" i="16"/>
  <c r="BN34" i="16" s="1"/>
  <c r="BJ32" i="16"/>
  <c r="BJ34" i="16" s="1"/>
  <c r="AW32" i="16"/>
  <c r="AW34" i="16" s="1"/>
  <c r="AW37" i="16" s="1"/>
  <c r="BF25" i="16"/>
  <c r="AJ32" i="16"/>
  <c r="AJ34" i="16" s="1"/>
  <c r="AJ37" i="16" s="1"/>
  <c r="AF25" i="16"/>
  <c r="Y32" i="16"/>
  <c r="Y34" i="16" s="1"/>
  <c r="Y37" i="16" s="1"/>
  <c r="X38" i="16"/>
  <c r="X39" i="16" s="1"/>
  <c r="M38" i="16"/>
  <c r="M39" i="16" s="1"/>
  <c r="BS32" i="16"/>
  <c r="BS34" i="16" s="1"/>
  <c r="BW39" i="16"/>
  <c r="BZ4" i="7" s="1"/>
  <c r="AH32" i="16"/>
  <c r="AH34" i="16" s="1"/>
  <c r="AH37" i="16" s="1"/>
  <c r="CE25" i="16"/>
  <c r="CE38" i="16" s="1"/>
  <c r="CE39" i="16" s="1"/>
  <c r="BE32" i="16"/>
  <c r="BE34" i="16" s="1"/>
  <c r="BE37" i="16" s="1"/>
  <c r="BW32" i="16"/>
  <c r="BW34" i="16" s="1"/>
  <c r="N32" i="16"/>
  <c r="N34" i="16" s="1"/>
  <c r="L5" i="4" s="1"/>
  <c r="BH32" i="16"/>
  <c r="BH34" i="16" s="1"/>
  <c r="BQ32" i="16"/>
  <c r="BQ34" i="16" s="1"/>
  <c r="BL32" i="16"/>
  <c r="BL34" i="16" s="1"/>
  <c r="AT38" i="16"/>
  <c r="AT39" i="16" s="1"/>
  <c r="V32" i="16"/>
  <c r="V34" i="16" s="1"/>
  <c r="BA25" i="16"/>
  <c r="BA32" i="16" s="1"/>
  <c r="BA34" i="16" s="1"/>
  <c r="BA37" i="16" s="1"/>
  <c r="G32" i="16"/>
  <c r="G34" i="16" s="1"/>
  <c r="G35" i="16" s="1"/>
  <c r="AA25" i="16"/>
  <c r="L25" i="16"/>
  <c r="L32" i="16" s="1"/>
  <c r="L34" i="16" s="1"/>
  <c r="AR32" i="16"/>
  <c r="AR34" i="16" s="1"/>
  <c r="AP32" i="16"/>
  <c r="AP34" i="16" s="1"/>
  <c r="BK25" i="16"/>
  <c r="BK38" i="16" s="1"/>
  <c r="BK39" i="16" s="1"/>
  <c r="BN4" i="7" s="1"/>
  <c r="BP25" i="16"/>
  <c r="BP32" i="16" s="1"/>
  <c r="BP34" i="16" s="1"/>
  <c r="AE32" i="16"/>
  <c r="AE34" i="16" s="1"/>
  <c r="AE37" i="16" s="1"/>
  <c r="BF38" i="16"/>
  <c r="BF32" i="16"/>
  <c r="BF34" i="16" s="1"/>
  <c r="BF37" i="16" s="1"/>
  <c r="Q25" i="16"/>
  <c r="AQ32" i="16"/>
  <c r="AQ34" i="16" s="1"/>
  <c r="AQ37" i="16" s="1"/>
  <c r="AV25" i="16"/>
  <c r="AV32" i="16" s="1"/>
  <c r="AV34" i="16" s="1"/>
  <c r="BA38" i="16"/>
  <c r="BA39" i="16" s="1"/>
  <c r="AF38" i="16"/>
  <c r="AF39" i="16" s="1"/>
  <c r="AF32" i="16"/>
  <c r="AF34" i="16" s="1"/>
  <c r="AF37" i="16" s="1"/>
  <c r="AA38" i="16"/>
  <c r="AA39" i="16" s="1"/>
  <c r="AA32" i="16"/>
  <c r="AA34" i="16" s="1"/>
  <c r="BT39" i="16"/>
  <c r="BW4" i="7" s="1"/>
  <c r="BN39" i="16"/>
  <c r="BQ4" i="7" s="1"/>
  <c r="BU38" i="16"/>
  <c r="BU39" i="16" s="1"/>
  <c r="BX4" i="7" s="1"/>
  <c r="BU32" i="16"/>
  <c r="BU34" i="16" s="1"/>
  <c r="BM38" i="16"/>
  <c r="BM32" i="16"/>
  <c r="BM34" i="16" s="1"/>
  <c r="J37" i="16"/>
  <c r="J35" i="16"/>
  <c r="CA38" i="16"/>
  <c r="CA45" i="16" s="1"/>
  <c r="CA46" i="16" s="1"/>
  <c r="CA32" i="16"/>
  <c r="D38" i="16"/>
  <c r="D39" i="16" s="1"/>
  <c r="D32" i="16"/>
  <c r="D34" i="16" s="1"/>
  <c r="I37" i="16"/>
  <c r="I35" i="16"/>
  <c r="BX39" i="16"/>
  <c r="CA4" i="7" s="1"/>
  <c r="BE39" i="16"/>
  <c r="BY39" i="16"/>
  <c r="CB4" i="7" s="1"/>
  <c r="BR39" i="16"/>
  <c r="BU4" i="7" s="1"/>
  <c r="BI39" i="16"/>
  <c r="BL4" i="7" s="1"/>
  <c r="BO38" i="16"/>
  <c r="BO32" i="16"/>
  <c r="BO34" i="16" s="1"/>
  <c r="S35" i="16"/>
  <c r="S37" i="16"/>
  <c r="BH39" i="16"/>
  <c r="BK4" i="7" s="1"/>
  <c r="K37" i="16"/>
  <c r="K35" i="16"/>
  <c r="BL39" i="16"/>
  <c r="BO4" i="7" s="1"/>
  <c r="BJ39" i="16"/>
  <c r="BM4" i="7" s="1"/>
  <c r="F35" i="16"/>
  <c r="F37" i="16"/>
  <c r="C37" i="16"/>
  <c r="C35" i="16"/>
  <c r="BZ32" i="16"/>
  <c r="BZ34" i="16" s="1"/>
  <c r="BZ38" i="16"/>
  <c r="BZ39" i="16" s="1"/>
  <c r="CC4" i="7" s="1"/>
  <c r="BW46" i="16"/>
  <c r="BP38" i="16"/>
  <c r="BP39" i="16" s="1"/>
  <c r="BS4" i="7" s="1"/>
  <c r="AK32" i="16"/>
  <c r="AK34" i="16" s="1"/>
  <c r="AK37" i="16" s="1"/>
  <c r="AK38" i="16"/>
  <c r="AK39" i="16" s="1"/>
  <c r="P35" i="16"/>
  <c r="P37" i="16"/>
  <c r="BS39" i="16"/>
  <c r="BV4" i="7" s="1"/>
  <c r="BC39" i="16"/>
  <c r="T37" i="16"/>
  <c r="T35" i="16"/>
  <c r="H35" i="16"/>
  <c r="H37" i="16"/>
  <c r="BF39" i="16"/>
  <c r="N37" i="16"/>
  <c r="N35" i="16"/>
  <c r="AZ38" i="16"/>
  <c r="AZ39" i="16" s="1"/>
  <c r="AZ32" i="16"/>
  <c r="AZ34" i="16" s="1"/>
  <c r="R37" i="16"/>
  <c r="R35" i="16"/>
  <c r="BQ39" i="16"/>
  <c r="BT4" i="7" s="1"/>
  <c r="O35" i="16"/>
  <c r="O37" i="16"/>
  <c r="BM37" i="16" l="1"/>
  <c r="BP5" i="7"/>
  <c r="AA37" i="16"/>
  <c r="V5" i="4"/>
  <c r="BL37" i="16"/>
  <c r="BO5" i="7"/>
  <c r="AU5" i="4"/>
  <c r="AW5" i="4"/>
  <c r="AV5" i="4"/>
  <c r="BV5" i="7"/>
  <c r="BN37" i="16"/>
  <c r="BO37" i="16" s="1"/>
  <c r="BQ5" i="7"/>
  <c r="AR5" i="4"/>
  <c r="AS5" i="4" s="1"/>
  <c r="CC5" i="7"/>
  <c r="BR5" i="7"/>
  <c r="V35" i="16"/>
  <c r="R5" i="4"/>
  <c r="BT5" i="7"/>
  <c r="AY5" i="4"/>
  <c r="BZ5" i="7"/>
  <c r="BX5" i="7"/>
  <c r="AX5" i="4"/>
  <c r="BS5" i="7"/>
  <c r="BH37" i="16"/>
  <c r="BK5" i="7"/>
  <c r="BJ37" i="16"/>
  <c r="BM5" i="7"/>
  <c r="U5" i="4"/>
  <c r="G37" i="16"/>
  <c r="CE32" i="16"/>
  <c r="CE34" i="16" s="1"/>
  <c r="V37" i="16"/>
  <c r="AV38" i="16"/>
  <c r="AV39" i="16" s="1"/>
  <c r="L35" i="16"/>
  <c r="L37" i="16"/>
  <c r="L38" i="16"/>
  <c r="L39" i="16" s="1"/>
  <c r="BK32" i="16"/>
  <c r="BK34" i="16" s="1"/>
  <c r="Q38" i="16"/>
  <c r="Q39" i="16" s="1"/>
  <c r="Q32" i="16"/>
  <c r="Q34" i="16" s="1"/>
  <c r="BO39" i="16"/>
  <c r="BR4" i="7" s="1"/>
  <c r="CA34" i="16"/>
  <c r="CA39" i="16"/>
  <c r="CD4" i="7" s="1"/>
  <c r="BX46" i="16"/>
  <c r="BV46" i="16"/>
  <c r="D35" i="16"/>
  <c r="D37" i="16"/>
  <c r="BM39" i="16"/>
  <c r="BP4" i="7" s="1"/>
  <c r="BK37" i="16" l="1"/>
  <c r="AT5" i="4"/>
  <c r="BN5" i="7"/>
  <c r="CD5" i="7"/>
  <c r="Q37" i="16"/>
  <c r="Q35" i="16"/>
  <c r="BZ46" i="16"/>
  <c r="CE45" i="16" l="1"/>
  <c r="CE46" i="16" s="1"/>
  <c r="CE36" i="2" l="1"/>
  <c r="CE35" i="2"/>
  <c r="CE34" i="2"/>
  <c r="CE33" i="2"/>
  <c r="CE31" i="2"/>
  <c r="CE30" i="2"/>
  <c r="CE29" i="2"/>
  <c r="CE28" i="2"/>
  <c r="CE27" i="2"/>
  <c r="CE25" i="2"/>
  <c r="CE24" i="2"/>
  <c r="CE23" i="2"/>
  <c r="CE22" i="2"/>
  <c r="CE21" i="2"/>
  <c r="CE19" i="2"/>
  <c r="CE18" i="2"/>
  <c r="CE17" i="2"/>
  <c r="CE16" i="2"/>
  <c r="CE15" i="2"/>
  <c r="CE14" i="2"/>
  <c r="CE13" i="2"/>
  <c r="CE12" i="2"/>
  <c r="CE11" i="2" s="1"/>
  <c r="CE10" i="2"/>
  <c r="CE9" i="2"/>
  <c r="CE8" i="2"/>
  <c r="CE7" i="2"/>
  <c r="CE6" i="2"/>
  <c r="CE5" i="2"/>
  <c r="CA32" i="2"/>
  <c r="CA26" i="2"/>
  <c r="CA20" i="2"/>
  <c r="CA11" i="2"/>
  <c r="CA5" i="2"/>
  <c r="CE26" i="2" l="1"/>
  <c r="CE32" i="2"/>
  <c r="CE37" i="2" s="1"/>
  <c r="CE20" i="2"/>
  <c r="CA37" i="2"/>
  <c r="R4" i="15" l="1"/>
  <c r="BG75" i="4" l="1"/>
  <c r="BG60" i="4"/>
  <c r="BG6" i="4"/>
  <c r="BG38" i="4" s="1"/>
  <c r="BG41" i="4" s="1"/>
  <c r="BG76" i="4" l="1"/>
  <c r="BC77" i="3"/>
  <c r="BC64" i="3"/>
  <c r="BC53" i="3"/>
  <c r="BC55" i="3" s="1"/>
  <c r="CD7" i="7" s="1"/>
  <c r="BC38" i="3"/>
  <c r="CD8" i="7" s="1"/>
  <c r="BC24" i="3"/>
  <c r="BC80" i="3" l="1"/>
  <c r="BC41" i="3"/>
  <c r="CD6" i="7" s="1"/>
  <c r="BP28" i="13"/>
  <c r="BP19" i="13"/>
  <c r="BC81" i="3" l="1"/>
  <c r="CD9" i="7"/>
  <c r="V7" i="15"/>
  <c r="V6" i="15"/>
  <c r="V5" i="15"/>
  <c r="V4" i="15" l="1"/>
  <c r="AE16" i="9"/>
  <c r="AE6" i="9"/>
  <c r="BJ12" i="13" l="1"/>
  <c r="BE12" i="13"/>
  <c r="AZ12" i="13"/>
  <c r="BJ11" i="13"/>
  <c r="BE11" i="13"/>
  <c r="AZ11" i="13"/>
  <c r="BB38" i="3" l="1"/>
  <c r="BF6" i="4" l="1"/>
  <c r="BE6" i="4" l="1"/>
  <c r="BF75" i="4"/>
  <c r="BF60" i="4"/>
  <c r="BF38" i="4" l="1"/>
  <c r="P4" i="15"/>
  <c r="BF41" i="4" l="1"/>
  <c r="AD16" i="9"/>
  <c r="AD6" i="9"/>
  <c r="BF76" i="4" l="1"/>
  <c r="BB77" i="3"/>
  <c r="BB64" i="3"/>
  <c r="BB80" i="3" l="1"/>
  <c r="BB53" i="3"/>
  <c r="BB55" i="3" l="1"/>
  <c r="CB8" i="7"/>
  <c r="CC8" i="7"/>
  <c r="BB24" i="3"/>
  <c r="BB41" i="3" s="1"/>
  <c r="CB6" i="7" l="1"/>
  <c r="CC6" i="7"/>
  <c r="CB7" i="7"/>
  <c r="CC7" i="7"/>
  <c r="BB81" i="3"/>
  <c r="CB9" i="7"/>
  <c r="CC9" i="7"/>
  <c r="BZ10" i="2" l="1"/>
  <c r="BX6" i="2"/>
  <c r="BE75" i="4" l="1"/>
  <c r="BE60" i="4"/>
  <c r="BE38" i="4"/>
  <c r="BE41" i="4" s="1"/>
  <c r="BE76" i="4" l="1"/>
  <c r="BX9" i="2"/>
  <c r="BX8" i="2"/>
  <c r="BX7" i="2"/>
  <c r="BA38" i="3" l="1"/>
  <c r="BA24" i="3"/>
  <c r="BA41" i="3" l="1"/>
  <c r="CA6" i="7" s="1"/>
  <c r="BA77" i="3"/>
  <c r="BA64" i="3"/>
  <c r="BA53" i="3"/>
  <c r="CA8" i="7" l="1"/>
  <c r="BA55" i="3"/>
  <c r="CA7" i="7" s="1"/>
  <c r="BA80" i="3"/>
  <c r="CA9" i="7" s="1"/>
  <c r="O4" i="15"/>
  <c r="N4" i="15"/>
  <c r="BA81" i="3" l="1"/>
  <c r="AC16" i="9" l="1"/>
  <c r="BD6" i="4" l="1"/>
  <c r="AZ77" i="3" l="1"/>
  <c r="AZ64" i="3"/>
  <c r="AZ53" i="3"/>
  <c r="AZ55" i="3" s="1"/>
  <c r="BZ7" i="7" s="1"/>
  <c r="AZ38" i="3"/>
  <c r="BZ8" i="7" s="1"/>
  <c r="AZ24" i="3"/>
  <c r="AZ80" i="3" l="1"/>
  <c r="AZ81" i="3" s="1"/>
  <c r="AZ41" i="3"/>
  <c r="BZ6" i="7" s="1"/>
  <c r="BZ9" i="7" l="1"/>
  <c r="BD75" i="4"/>
  <c r="BD60" i="4"/>
  <c r="BD38" i="4" l="1"/>
  <c r="BD41" i="4" l="1"/>
  <c r="BD76" i="4" l="1"/>
  <c r="AB16" i="9" l="1"/>
  <c r="AB6" i="9"/>
  <c r="BC75" i="4" l="1"/>
  <c r="BC60" i="4"/>
  <c r="BC6" i="4"/>
  <c r="BC38" i="4" l="1"/>
  <c r="BC41" i="4" l="1"/>
  <c r="BC76" i="4" l="1"/>
  <c r="BZ36" i="2" l="1"/>
  <c r="BZ35" i="2"/>
  <c r="BZ34" i="2"/>
  <c r="BW32" i="2"/>
  <c r="BY32" i="2"/>
  <c r="BV32" i="2"/>
  <c r="BZ31" i="2"/>
  <c r="BZ30" i="2"/>
  <c r="BZ29" i="2"/>
  <c r="BZ28" i="2"/>
  <c r="BZ27" i="2"/>
  <c r="BY26" i="2"/>
  <c r="BX26" i="2"/>
  <c r="BW26" i="2"/>
  <c r="BV26" i="2"/>
  <c r="BZ25" i="2"/>
  <c r="BZ24" i="2"/>
  <c r="BZ23" i="2"/>
  <c r="BZ22" i="2"/>
  <c r="BZ21" i="2"/>
  <c r="BY20" i="2"/>
  <c r="BX20" i="2"/>
  <c r="BW20" i="2"/>
  <c r="BV20" i="2"/>
  <c r="BZ19" i="2"/>
  <c r="BZ18" i="2"/>
  <c r="BZ17" i="2"/>
  <c r="BZ16" i="2"/>
  <c r="BZ15" i="2"/>
  <c r="BZ14" i="2"/>
  <c r="BZ13" i="2"/>
  <c r="BZ12" i="2"/>
  <c r="BY11" i="2"/>
  <c r="BX11" i="2"/>
  <c r="BV11" i="2"/>
  <c r="BZ9" i="2"/>
  <c r="BZ8" i="2"/>
  <c r="BZ7" i="2"/>
  <c r="BW5" i="2"/>
  <c r="BY5" i="2"/>
  <c r="BX5" i="2"/>
  <c r="BV5" i="2"/>
  <c r="BV37" i="2" l="1"/>
  <c r="BY37" i="2"/>
  <c r="BZ11" i="2"/>
  <c r="BZ26" i="2"/>
  <c r="BW37" i="2"/>
  <c r="BZ20" i="2"/>
  <c r="BZ6" i="2"/>
  <c r="BZ5" i="2" s="1"/>
  <c r="BW11" i="2"/>
  <c r="AY77" i="3" l="1"/>
  <c r="AY64" i="3"/>
  <c r="AY53" i="3"/>
  <c r="AY38" i="3"/>
  <c r="AY24" i="3"/>
  <c r="BY8" i="7" l="1"/>
  <c r="AY55" i="3"/>
  <c r="BY7" i="7" s="1"/>
  <c r="AY80" i="3"/>
  <c r="AY41" i="3"/>
  <c r="BY6" i="7" s="1"/>
  <c r="AY81" i="3" l="1"/>
  <c r="BY9" i="7"/>
  <c r="BO34" i="13"/>
  <c r="BO33" i="13"/>
  <c r="BO32" i="13"/>
  <c r="BO31" i="13"/>
  <c r="BO30" i="13"/>
  <c r="BK28" i="13"/>
  <c r="BO25" i="13"/>
  <c r="BO24" i="13"/>
  <c r="BO23" i="13"/>
  <c r="BO22" i="13"/>
  <c r="BO21" i="13"/>
  <c r="BK19" i="13"/>
  <c r="BN13" i="13"/>
  <c r="BM13" i="13"/>
  <c r="BL13" i="13"/>
  <c r="BK13" i="13"/>
  <c r="BO12" i="13"/>
  <c r="BO11" i="13"/>
  <c r="BO13" i="13" l="1"/>
  <c r="M4" i="15"/>
  <c r="Q7" i="15" l="1"/>
  <c r="Q6" i="15"/>
  <c r="Q5" i="15"/>
  <c r="AA16" i="9"/>
  <c r="AA6" i="9"/>
  <c r="Q4" i="15" l="1"/>
  <c r="BT32" i="2" l="1"/>
  <c r="BB60" i="4" l="1"/>
  <c r="BB6" i="4" l="1"/>
  <c r="AX38" i="3" l="1"/>
  <c r="AX24" i="3" l="1"/>
  <c r="BQ13" i="2" l="1"/>
  <c r="BR13" i="2"/>
  <c r="BQ14" i="2"/>
  <c r="BR14" i="2"/>
  <c r="BQ15" i="2"/>
  <c r="BR15" i="2"/>
  <c r="BQ16" i="2"/>
  <c r="BR16" i="2"/>
  <c r="BR12" i="2"/>
  <c r="BQ12" i="2"/>
  <c r="BU15" i="2" l="1"/>
  <c r="AQ24" i="3"/>
  <c r="AR24" i="3"/>
  <c r="AS24" i="3"/>
  <c r="AT24" i="3"/>
  <c r="AW24" i="3"/>
  <c r="AW38" i="3"/>
  <c r="AR38" i="3"/>
  <c r="AT38" i="3"/>
  <c r="AS38" i="3"/>
  <c r="AS41" i="3" l="1"/>
  <c r="BQ6" i="7" s="1"/>
  <c r="AT41" i="3"/>
  <c r="BS6" i="7" l="1"/>
  <c r="BR6" i="7"/>
  <c r="G7" i="15"/>
  <c r="L7" i="15"/>
  <c r="L6" i="15"/>
  <c r="G6" i="15"/>
  <c r="L5" i="15"/>
  <c r="K4" i="15"/>
  <c r="J4" i="15"/>
  <c r="H4" i="15"/>
  <c r="C4" i="15"/>
  <c r="I4" i="15" l="1"/>
  <c r="D4" i="15"/>
  <c r="L4" i="15"/>
  <c r="E4" i="15" l="1"/>
  <c r="F4" i="15" l="1"/>
  <c r="G5" i="15"/>
  <c r="G4" i="15" s="1"/>
  <c r="BA6" i="4" l="1"/>
  <c r="BA38" i="4" s="1"/>
  <c r="BQ32" i="2" l="1"/>
  <c r="BU36" i="2"/>
  <c r="BU30" i="2"/>
  <c r="BU24" i="2"/>
  <c r="BU9" i="2"/>
  <c r="AW77" i="3" l="1"/>
  <c r="BV8" i="7" s="1"/>
  <c r="AW64" i="3" l="1"/>
  <c r="AW80" i="3" l="1"/>
  <c r="AW53" i="3"/>
  <c r="AW55" i="3" l="1"/>
  <c r="BV7" i="7" s="1"/>
  <c r="BR6" i="2" l="1"/>
  <c r="BR35" i="2" l="1"/>
  <c r="BR34" i="2"/>
  <c r="BR33" i="2"/>
  <c r="BS33" i="2" l="1"/>
  <c r="BR32" i="2"/>
  <c r="AV6" i="4"/>
  <c r="BS32" i="2" l="1"/>
  <c r="BR10" i="2"/>
  <c r="BR8" i="2"/>
  <c r="BR7" i="2"/>
  <c r="AZ60" i="4"/>
  <c r="BJ34" i="13" l="1"/>
  <c r="BE34" i="13"/>
  <c r="AZ34" i="13"/>
  <c r="AU34" i="13"/>
  <c r="BJ33" i="13"/>
  <c r="BE33" i="13"/>
  <c r="AZ33" i="13"/>
  <c r="AU33" i="13"/>
  <c r="BJ32" i="13"/>
  <c r="BE32" i="13"/>
  <c r="AZ32" i="13"/>
  <c r="AU32" i="13"/>
  <c r="BJ31" i="13"/>
  <c r="BE31" i="13"/>
  <c r="AZ31" i="13"/>
  <c r="AU31" i="13"/>
  <c r="BJ30" i="13"/>
  <c r="BE30" i="13"/>
  <c r="AZ30" i="13"/>
  <c r="AU30" i="13"/>
  <c r="BF28" i="13"/>
  <c r="BA28" i="13"/>
  <c r="AV28" i="13"/>
  <c r="BJ25" i="13"/>
  <c r="BE25" i="13"/>
  <c r="AZ25" i="13"/>
  <c r="AU25" i="13"/>
  <c r="BJ24" i="13"/>
  <c r="BE24" i="13"/>
  <c r="AZ24" i="13"/>
  <c r="AU24" i="13"/>
  <c r="BJ23" i="13"/>
  <c r="BE23" i="13"/>
  <c r="AZ23" i="13"/>
  <c r="AU23" i="13"/>
  <c r="BJ22" i="13"/>
  <c r="BE22" i="13"/>
  <c r="AZ22" i="13"/>
  <c r="AU22" i="13"/>
  <c r="BJ21" i="13"/>
  <c r="BE21" i="13"/>
  <c r="AZ21" i="13"/>
  <c r="AU21" i="13"/>
  <c r="BF19" i="13"/>
  <c r="BA19" i="13"/>
  <c r="AV19" i="13"/>
  <c r="BI13" i="13"/>
  <c r="BH13" i="13"/>
  <c r="BG13" i="13"/>
  <c r="BF13" i="13"/>
  <c r="BD13" i="13"/>
  <c r="BC13" i="13"/>
  <c r="BB13" i="13"/>
  <c r="BA13" i="13"/>
  <c r="AY13" i="13"/>
  <c r="AX13" i="13"/>
  <c r="AW13" i="13"/>
  <c r="AV13" i="13"/>
  <c r="AT13" i="13"/>
  <c r="AS13" i="13"/>
  <c r="AR13" i="13"/>
  <c r="AQ13" i="13"/>
  <c r="AP13" i="13"/>
  <c r="AO13" i="13"/>
  <c r="AN13" i="13"/>
  <c r="AM13" i="13"/>
  <c r="AL13" i="13"/>
  <c r="AK13" i="13"/>
  <c r="AJ13" i="13"/>
  <c r="AI13" i="13"/>
  <c r="AH13" i="13"/>
  <c r="AG13" i="13"/>
  <c r="AU11" i="13"/>
  <c r="AU13" i="13" s="1"/>
  <c r="AZ13" i="13" l="1"/>
  <c r="BE13" i="13"/>
  <c r="BJ13" i="13"/>
  <c r="BR20" i="2" l="1"/>
  <c r="BS20" i="2"/>
  <c r="BT20" i="2"/>
  <c r="BQ20" i="2"/>
  <c r="BR26" i="2"/>
  <c r="BS26" i="2"/>
  <c r="BT26" i="2"/>
  <c r="BQ26" i="2"/>
  <c r="AY60" i="4" l="1"/>
  <c r="AY6" i="4" l="1"/>
  <c r="BB38" i="4" l="1"/>
  <c r="AZ6" i="4"/>
  <c r="AZ38" i="4" s="1"/>
  <c r="AY3" i="4"/>
  <c r="BC3" i="4" s="1"/>
  <c r="BG3" i="4" s="1"/>
  <c r="BB75" i="4"/>
  <c r="BA75" i="4"/>
  <c r="AZ75" i="4"/>
  <c r="AY75" i="4"/>
  <c r="BA60" i="4"/>
  <c r="BB41" i="4" l="1"/>
  <c r="BA41" i="4"/>
  <c r="AZ41" i="4"/>
  <c r="BB76" i="4"/>
  <c r="BB80" i="4" l="1"/>
  <c r="BC77" i="4" s="1"/>
  <c r="BC80" i="4" s="1"/>
  <c r="BA76" i="4"/>
  <c r="AZ76" i="4"/>
  <c r="AU64" i="3"/>
  <c r="BD77" i="4" l="1"/>
  <c r="BE77" i="4"/>
  <c r="BE80" i="4" s="1"/>
  <c r="BF77" i="4"/>
  <c r="BD80" i="4"/>
  <c r="AX77" i="3"/>
  <c r="AV77" i="3"/>
  <c r="AX64" i="3"/>
  <c r="AV64" i="3"/>
  <c r="AX53" i="3"/>
  <c r="AV53" i="3"/>
  <c r="AV38" i="3"/>
  <c r="BU8" i="7" s="1"/>
  <c r="AV24" i="3"/>
  <c r="BU31" i="2"/>
  <c r="BU23" i="2"/>
  <c r="BU22" i="2"/>
  <c r="BU19" i="2"/>
  <c r="BU18" i="2"/>
  <c r="BU17" i="2"/>
  <c r="BU16" i="2"/>
  <c r="BU14" i="2"/>
  <c r="BQ11" i="2"/>
  <c r="BU10" i="2"/>
  <c r="BU7" i="2"/>
  <c r="BQ5" i="2"/>
  <c r="BF80" i="4" l="1"/>
  <c r="BG77" i="4" s="1"/>
  <c r="BG80" i="4" s="1"/>
  <c r="BX8" i="7"/>
  <c r="BW8" i="7"/>
  <c r="AX80" i="3"/>
  <c r="AX55" i="3"/>
  <c r="AW41" i="3"/>
  <c r="BV6" i="7" s="1"/>
  <c r="AV55" i="3"/>
  <c r="BU7" i="7" s="1"/>
  <c r="BQ37" i="2"/>
  <c r="AV80" i="3"/>
  <c r="AX41" i="3"/>
  <c r="AV41" i="3"/>
  <c r="BU6" i="7" s="1"/>
  <c r="BS5" i="2"/>
  <c r="BS37" i="2" s="1"/>
  <c r="BT5" i="2"/>
  <c r="BU12" i="2"/>
  <c r="BU13" i="2"/>
  <c r="BS11" i="2"/>
  <c r="BU34" i="2"/>
  <c r="BU35" i="2"/>
  <c r="BU27" i="2"/>
  <c r="BR11" i="2"/>
  <c r="BU8" i="2"/>
  <c r="BU6" i="2"/>
  <c r="BR5" i="2"/>
  <c r="BR37" i="2" s="1"/>
  <c r="BU25" i="2"/>
  <c r="BU29" i="2"/>
  <c r="BW7" i="7" l="1"/>
  <c r="BX7" i="7"/>
  <c r="BW6" i="7"/>
  <c r="BX6" i="7"/>
  <c r="BU11" i="2"/>
  <c r="BX9" i="7"/>
  <c r="BW9" i="7"/>
  <c r="BU9" i="7"/>
  <c r="AX81" i="3"/>
  <c r="BV9" i="7"/>
  <c r="AW81" i="3"/>
  <c r="AV81" i="3"/>
  <c r="BU5" i="2"/>
  <c r="BT37" i="2"/>
  <c r="BU33" i="2"/>
  <c r="BU32" i="2" s="1"/>
  <c r="BT11" i="2"/>
  <c r="BU28" i="2"/>
  <c r="BU26" i="2" s="1"/>
  <c r="AY38" i="4" l="1"/>
  <c r="BU37" i="2"/>
  <c r="BU21" i="2"/>
  <c r="BU20" i="2" s="1"/>
  <c r="AY41" i="4" l="1"/>
  <c r="AU38" i="3"/>
  <c r="AU53" i="3"/>
  <c r="AU24" i="3"/>
  <c r="AU77" i="3"/>
  <c r="BT8" i="7" l="1"/>
  <c r="AY76" i="4"/>
  <c r="AU55" i="3"/>
  <c r="BT7" i="7" s="1"/>
  <c r="AU41" i="3"/>
  <c r="BT6" i="7" s="1"/>
  <c r="AU80" i="3"/>
  <c r="BT9" i="7" s="1"/>
  <c r="AU81" i="3" l="1"/>
  <c r="Z16" i="9"/>
  <c r="Y16" i="9"/>
  <c r="X16" i="9"/>
  <c r="Z6" i="9"/>
  <c r="Y6" i="9"/>
  <c r="X6" i="9"/>
  <c r="W16" i="9" l="1"/>
  <c r="W6" i="9"/>
  <c r="K28" i="3" l="1"/>
  <c r="J28" i="3"/>
  <c r="I28" i="3"/>
  <c r="H28" i="3"/>
  <c r="G28" i="3"/>
  <c r="F28" i="3"/>
  <c r="E28" i="3"/>
  <c r="D28" i="3"/>
  <c r="C28" i="3"/>
  <c r="AP77" i="3" l="1"/>
  <c r="V6" i="9" l="1"/>
  <c r="BN29" i="2" l="1"/>
  <c r="BO29" i="2" s="1"/>
  <c r="BN35" i="2" l="1"/>
  <c r="BO35" i="2" s="1"/>
  <c r="BN31" i="2"/>
  <c r="BO31" i="2" s="1"/>
  <c r="BN25" i="2"/>
  <c r="BO25" i="2" s="1"/>
  <c r="BN23" i="2"/>
  <c r="BO23" i="2" s="1"/>
  <c r="BM21" i="2"/>
  <c r="BN21" i="2" s="1"/>
  <c r="BL20" i="2"/>
  <c r="BN16" i="2"/>
  <c r="BO16" i="2" s="1"/>
  <c r="BN14" i="2"/>
  <c r="BO14" i="2" s="1"/>
  <c r="BN8" i="2"/>
  <c r="BO8" i="2" s="1"/>
  <c r="BO21" i="2" l="1"/>
  <c r="AS53" i="3" l="1"/>
  <c r="BM27" i="2" l="1"/>
  <c r="BN27" i="2" s="1"/>
  <c r="BM12" i="2"/>
  <c r="BN12" i="2" s="1"/>
  <c r="BO12" i="2" s="1"/>
  <c r="BO27" i="2" l="1"/>
  <c r="BP35" i="2"/>
  <c r="BM33" i="2"/>
  <c r="BN33" i="2" s="1"/>
  <c r="BO33" i="2" s="1"/>
  <c r="BM6" i="2" l="1"/>
  <c r="BN6" i="2" s="1"/>
  <c r="BO6" i="2" s="1"/>
  <c r="BM7" i="2"/>
  <c r="BN7" i="2" s="1"/>
  <c r="BO7" i="2" s="1"/>
  <c r="BM34" i="2" l="1"/>
  <c r="BN34" i="2" s="1"/>
  <c r="BO34" i="2" s="1"/>
  <c r="BL11" i="2"/>
  <c r="BP16" i="2"/>
  <c r="BP25" i="2"/>
  <c r="BP23" i="2"/>
  <c r="BP29" i="2"/>
  <c r="BP31" i="2"/>
  <c r="BM28" i="2"/>
  <c r="BM22" i="2"/>
  <c r="BM13" i="2"/>
  <c r="BP14" i="2"/>
  <c r="BP8" i="2"/>
  <c r="BM10" i="2"/>
  <c r="BO32" i="2"/>
  <c r="BN32" i="2"/>
  <c r="BL32" i="2"/>
  <c r="BL26" i="2"/>
  <c r="BL5" i="2"/>
  <c r="BM5" i="2" l="1"/>
  <c r="BN10" i="2"/>
  <c r="BO10" i="2" s="1"/>
  <c r="BM11" i="2"/>
  <c r="BN13" i="2"/>
  <c r="BM20" i="2"/>
  <c r="BN22" i="2"/>
  <c r="BM26" i="2"/>
  <c r="BN28" i="2"/>
  <c r="BN26" i="2" s="1"/>
  <c r="BM32" i="2"/>
  <c r="BM37" i="2" s="1"/>
  <c r="BO22" i="2" l="1"/>
  <c r="BO20" i="2" s="1"/>
  <c r="BN20" i="2"/>
  <c r="BN11" i="2"/>
  <c r="BO13" i="2"/>
  <c r="BO11" i="2" s="1"/>
  <c r="BO28" i="2"/>
  <c r="BO26" i="2" s="1"/>
  <c r="AR77" i="3" l="1"/>
  <c r="AR53" i="3" l="1"/>
  <c r="BP19" i="2" l="1"/>
  <c r="AQ53" i="3" l="1"/>
  <c r="AX75" i="4" l="1"/>
  <c r="AW75" i="4"/>
  <c r="AV75" i="4"/>
  <c r="AU75" i="4"/>
  <c r="AX60" i="4"/>
  <c r="AW60" i="4"/>
  <c r="AV60" i="4"/>
  <c r="AU60" i="4"/>
  <c r="AX6" i="4"/>
  <c r="AW6" i="4"/>
  <c r="AU6" i="4"/>
  <c r="BP34" i="2"/>
  <c r="BP28" i="2"/>
  <c r="BP27" i="2"/>
  <c r="BP22" i="2"/>
  <c r="BP21" i="2"/>
  <c r="BP18" i="2"/>
  <c r="BP17" i="2"/>
  <c r="BP13" i="2"/>
  <c r="BP12" i="2"/>
  <c r="BP10" i="2"/>
  <c r="BP7" i="2"/>
  <c r="BP6" i="2"/>
  <c r="BO5" i="2"/>
  <c r="BO37" i="2" s="1"/>
  <c r="BN5" i="2"/>
  <c r="BN37" i="2" s="1"/>
  <c r="AT77" i="3"/>
  <c r="AS77" i="3"/>
  <c r="AQ77" i="3"/>
  <c r="AT64" i="3"/>
  <c r="AS64" i="3"/>
  <c r="AR64" i="3"/>
  <c r="AQ64" i="3"/>
  <c r="AT53" i="3"/>
  <c r="AS55" i="3"/>
  <c r="BQ7" i="7" s="1"/>
  <c r="AR55" i="3"/>
  <c r="BP7" i="7" s="1"/>
  <c r="AQ55" i="3"/>
  <c r="BO7" i="7" s="1"/>
  <c r="AQ38" i="3"/>
  <c r="BP11" i="2" l="1"/>
  <c r="BS8" i="7"/>
  <c r="BQ8" i="7"/>
  <c r="BR8" i="7"/>
  <c r="AT55" i="3"/>
  <c r="BP20" i="2"/>
  <c r="BO8" i="7"/>
  <c r="BP8" i="7"/>
  <c r="BP26" i="2"/>
  <c r="BP5" i="2"/>
  <c r="AR80" i="3"/>
  <c r="AR41" i="3"/>
  <c r="BP6" i="7" s="1"/>
  <c r="BL37" i="2"/>
  <c r="AQ41" i="3"/>
  <c r="BO6" i="7" s="1"/>
  <c r="BP33" i="2"/>
  <c r="BP32" i="2" s="1"/>
  <c r="AQ80" i="3"/>
  <c r="AS80" i="3"/>
  <c r="AT80" i="3"/>
  <c r="BR7" i="7" l="1"/>
  <c r="BS7" i="7"/>
  <c r="AT81" i="3"/>
  <c r="BS9" i="7"/>
  <c r="BR9" i="7"/>
  <c r="BP37" i="2"/>
  <c r="AS81" i="3"/>
  <c r="BQ9" i="7"/>
  <c r="BO9" i="7"/>
  <c r="AR81" i="3"/>
  <c r="BP9" i="7"/>
  <c r="AQ81" i="3"/>
  <c r="V16" i="9"/>
  <c r="T16" i="9"/>
  <c r="T6" i="9"/>
  <c r="S16" i="9" l="1"/>
  <c r="S6" i="9"/>
  <c r="AV38" i="4" l="1"/>
  <c r="AT6" i="4"/>
  <c r="BJ33" i="2" l="1"/>
  <c r="BJ34" i="2" l="1"/>
  <c r="BJ32" i="2" s="1"/>
  <c r="BJ28" i="2"/>
  <c r="BJ27" i="2"/>
  <c r="BJ22" i="2"/>
  <c r="BJ21" i="2"/>
  <c r="BJ18" i="2"/>
  <c r="BJ13" i="2"/>
  <c r="BJ12" i="2"/>
  <c r="BJ7" i="2"/>
  <c r="BJ6" i="2"/>
  <c r="BJ10" i="2"/>
  <c r="BI11" i="2"/>
  <c r="BJ11" i="2" l="1"/>
  <c r="BJ5" i="2"/>
  <c r="AP24" i="3" l="1"/>
  <c r="AP53" i="3" l="1"/>
  <c r="R16" i="9"/>
  <c r="Q16" i="9"/>
  <c r="P16" i="9"/>
  <c r="O16" i="9"/>
  <c r="N16" i="9"/>
  <c r="M16" i="9"/>
  <c r="L16" i="9"/>
  <c r="K16" i="9"/>
  <c r="J16" i="9"/>
  <c r="I16" i="9"/>
  <c r="H16" i="9"/>
  <c r="G16" i="9"/>
  <c r="F16" i="9"/>
  <c r="E16" i="9"/>
  <c r="D16" i="9"/>
  <c r="C16" i="9"/>
  <c r="R6" i="9"/>
  <c r="Q6" i="9"/>
  <c r="P6" i="9"/>
  <c r="O6" i="9"/>
  <c r="N6" i="9"/>
  <c r="M6" i="9"/>
  <c r="L6" i="9"/>
  <c r="K6" i="9"/>
  <c r="J6" i="9"/>
  <c r="I6" i="9"/>
  <c r="H6" i="9"/>
  <c r="G6" i="9"/>
  <c r="F6" i="9"/>
  <c r="E6" i="9"/>
  <c r="D6" i="9"/>
  <c r="C6" i="9"/>
  <c r="J4" i="9"/>
  <c r="N4" i="9" s="1"/>
  <c r="R4" i="9" s="1"/>
  <c r="V4" i="9" s="1"/>
  <c r="Z4" i="9" s="1"/>
  <c r="AD4" i="9" s="1"/>
  <c r="AH4" i="9" s="1"/>
  <c r="I4" i="9"/>
  <c r="M4" i="9" s="1"/>
  <c r="Q4" i="9" s="1"/>
  <c r="U4" i="9" s="1"/>
  <c r="Y4" i="9" s="1"/>
  <c r="AC4" i="9" s="1"/>
  <c r="AG4" i="9" s="1"/>
  <c r="H4" i="9"/>
  <c r="L4" i="9" s="1"/>
  <c r="P4" i="9" s="1"/>
  <c r="T4" i="9" s="1"/>
  <c r="X4" i="9" s="1"/>
  <c r="AB4" i="9" s="1"/>
  <c r="AF4" i="9" s="1"/>
  <c r="G4" i="9"/>
  <c r="K4" i="9" s="1"/>
  <c r="O4" i="9" s="1"/>
  <c r="S4" i="9" s="1"/>
  <c r="W4" i="9" s="1"/>
  <c r="AA4" i="9" s="1"/>
  <c r="AE4" i="9" s="1"/>
  <c r="AP55" i="3" l="1"/>
  <c r="BG11" i="2"/>
  <c r="BM7" i="7" l="1"/>
  <c r="BN7" i="7"/>
  <c r="BH11" i="2"/>
  <c r="BK17" i="2" l="1"/>
  <c r="BF17" i="2"/>
  <c r="AZ25" i="5" l="1"/>
  <c r="AZ17" i="5"/>
  <c r="AZ16" i="5"/>
  <c r="AZ15" i="5"/>
  <c r="AZ12" i="5"/>
  <c r="AZ27" i="5"/>
  <c r="AZ26" i="5"/>
  <c r="AZ8" i="5"/>
  <c r="AZ11" i="5"/>
  <c r="AZ10" i="5"/>
  <c r="AZ9" i="5"/>
  <c r="AZ7" i="5" l="1"/>
  <c r="AZ24" i="5"/>
  <c r="AZ29" i="5"/>
  <c r="AN38" i="3" l="1"/>
  <c r="AM38" i="3" l="1"/>
  <c r="BG20" i="2" l="1"/>
  <c r="BH5" i="2"/>
  <c r="BI5" i="2"/>
  <c r="BG5" i="2"/>
  <c r="AM53" i="3" l="1"/>
  <c r="AV7" i="5" l="1"/>
  <c r="AY29" i="5" l="1"/>
  <c r="AX29" i="5"/>
  <c r="AW29" i="5"/>
  <c r="AV29" i="5"/>
  <c r="AY24" i="5"/>
  <c r="AX24" i="5"/>
  <c r="AV24" i="5"/>
  <c r="AY17" i="5"/>
  <c r="AX17" i="5"/>
  <c r="AW17" i="5"/>
  <c r="AV17" i="5"/>
  <c r="AY7" i="5"/>
  <c r="AX7" i="5"/>
  <c r="AW7" i="5"/>
  <c r="AS75" i="4"/>
  <c r="AS60" i="4"/>
  <c r="AT75" i="4"/>
  <c r="AR75" i="4"/>
  <c r="AQ75" i="4"/>
  <c r="AT60" i="4"/>
  <c r="AR60" i="4"/>
  <c r="AQ60" i="4"/>
  <c r="AS6" i="4"/>
  <c r="AR6" i="4"/>
  <c r="AQ6" i="4"/>
  <c r="AO77" i="3"/>
  <c r="AN77" i="3"/>
  <c r="AM77" i="3"/>
  <c r="AP64" i="3"/>
  <c r="AO64" i="3"/>
  <c r="AN64" i="3"/>
  <c r="AM64" i="3"/>
  <c r="AO53" i="3"/>
  <c r="AO55" i="3" s="1"/>
  <c r="BL7" i="7" s="1"/>
  <c r="AN53" i="3"/>
  <c r="AN55" i="3" s="1"/>
  <c r="BK7" i="7" s="1"/>
  <c r="AM55" i="3"/>
  <c r="BJ7" i="7" s="1"/>
  <c r="AP38" i="3"/>
  <c r="AO38" i="3"/>
  <c r="AO24" i="3"/>
  <c r="AN24" i="3"/>
  <c r="AM24" i="3"/>
  <c r="BK34" i="2"/>
  <c r="BK33" i="2"/>
  <c r="BJ37" i="2"/>
  <c r="BI32" i="2"/>
  <c r="BI37" i="2" s="1"/>
  <c r="BH32" i="2"/>
  <c r="BH37" i="2" s="1"/>
  <c r="BG32" i="2"/>
  <c r="BG37" i="2" s="1"/>
  <c r="BK28" i="2"/>
  <c r="BK27" i="2"/>
  <c r="BJ26" i="2"/>
  <c r="BI26" i="2"/>
  <c r="BH26" i="2"/>
  <c r="BG26" i="2"/>
  <c r="BK22" i="2"/>
  <c r="BK21" i="2"/>
  <c r="BJ20" i="2"/>
  <c r="BI20" i="2"/>
  <c r="BH20" i="2"/>
  <c r="BK18" i="2"/>
  <c r="BK13" i="2"/>
  <c r="BK12" i="2"/>
  <c r="BK10" i="2"/>
  <c r="BK7" i="2"/>
  <c r="BK6" i="2"/>
  <c r="BJ8" i="7" l="1"/>
  <c r="AM41" i="3"/>
  <c r="BJ6" i="7" s="1"/>
  <c r="BK8" i="7"/>
  <c r="AN41" i="3"/>
  <c r="BK6" i="7" s="1"/>
  <c r="BN8" i="7"/>
  <c r="BM8" i="7"/>
  <c r="BK11" i="2"/>
  <c r="BL8" i="7"/>
  <c r="AN80" i="3"/>
  <c r="AM80" i="3"/>
  <c r="AO80" i="3"/>
  <c r="AO81" i="3" s="1"/>
  <c r="AP80" i="3"/>
  <c r="AO41" i="3"/>
  <c r="BL6" i="7" s="1"/>
  <c r="AP41" i="3"/>
  <c r="AX5" i="5"/>
  <c r="BK20" i="2"/>
  <c r="BK32" i="2"/>
  <c r="AY5" i="5"/>
  <c r="AV5" i="5"/>
  <c r="BK26" i="2"/>
  <c r="BK5" i="2"/>
  <c r="AM32" i="2"/>
  <c r="BM6" i="7" l="1"/>
  <c r="BN6" i="7"/>
  <c r="AP81" i="3"/>
  <c r="BN9" i="7"/>
  <c r="BM9" i="7"/>
  <c r="AN81" i="3"/>
  <c r="BK9" i="7"/>
  <c r="AM81" i="3"/>
  <c r="BJ9" i="7"/>
  <c r="BL9" i="7"/>
  <c r="BK37" i="2"/>
  <c r="AV37" i="2" l="1"/>
  <c r="AU37" i="2"/>
  <c r="AT37" i="2"/>
  <c r="AS37" i="2"/>
  <c r="AR37" i="2"/>
  <c r="BF34" i="2"/>
  <c r="BA34" i="2"/>
  <c r="AQ34" i="2"/>
  <c r="BF33" i="2"/>
  <c r="BA33" i="2"/>
  <c r="AQ33" i="2"/>
  <c r="BE32" i="2"/>
  <c r="BD32" i="2"/>
  <c r="BC32" i="2"/>
  <c r="BB32" i="2"/>
  <c r="AZ32" i="2"/>
  <c r="AY32" i="2"/>
  <c r="AX32" i="2"/>
  <c r="AW32" i="2"/>
  <c r="AP32" i="2"/>
  <c r="AO32" i="2"/>
  <c r="AN32" i="2"/>
  <c r="BF28" i="2"/>
  <c r="BA28" i="2"/>
  <c r="AQ28" i="2"/>
  <c r="BF27" i="2"/>
  <c r="BA27" i="2"/>
  <c r="AQ27" i="2"/>
  <c r="BE26" i="2"/>
  <c r="BD26" i="2"/>
  <c r="BC26" i="2"/>
  <c r="BB26" i="2"/>
  <c r="AZ26" i="2"/>
  <c r="AY26" i="2"/>
  <c r="AX26" i="2"/>
  <c r="AW26" i="2"/>
  <c r="AV26" i="2"/>
  <c r="AU26" i="2"/>
  <c r="AT26" i="2"/>
  <c r="AS26" i="2"/>
  <c r="AR26" i="2"/>
  <c r="AP26" i="2"/>
  <c r="AO26" i="2"/>
  <c r="AN26" i="2"/>
  <c r="AM26" i="2"/>
  <c r="BF22" i="2"/>
  <c r="BA22" i="2"/>
  <c r="AQ22" i="2"/>
  <c r="BF21" i="2"/>
  <c r="BA21" i="2"/>
  <c r="AQ21" i="2"/>
  <c r="BE20" i="2"/>
  <c r="BD20" i="2"/>
  <c r="BC20" i="2"/>
  <c r="BB20" i="2"/>
  <c r="BB11" i="2" s="1"/>
  <c r="AZ20" i="2"/>
  <c r="AY20" i="2"/>
  <c r="AX20" i="2"/>
  <c r="AW20" i="2"/>
  <c r="AP20" i="2"/>
  <c r="AO20" i="2"/>
  <c r="AN20" i="2"/>
  <c r="AM20" i="2"/>
  <c r="BF13" i="2"/>
  <c r="BF12" i="2"/>
  <c r="BE11" i="2"/>
  <c r="BD11" i="2"/>
  <c r="BC11" i="2"/>
  <c r="BF10" i="2"/>
  <c r="BA10" i="2"/>
  <c r="AQ10" i="2"/>
  <c r="BF7" i="2"/>
  <c r="BA7" i="2"/>
  <c r="AQ7" i="2"/>
  <c r="BF6" i="2"/>
  <c r="BA6" i="2"/>
  <c r="AQ6" i="2"/>
  <c r="BD5" i="2"/>
  <c r="BC5" i="2"/>
  <c r="BB5" i="2"/>
  <c r="AZ5" i="2"/>
  <c r="AY5" i="2"/>
  <c r="AX5" i="2"/>
  <c r="AW5" i="2"/>
  <c r="AP5" i="2"/>
  <c r="AO5" i="2"/>
  <c r="AN5" i="2"/>
  <c r="AM5" i="2"/>
  <c r="AQ38" i="4" l="1"/>
  <c r="AQ41" i="4" s="1"/>
  <c r="AQ26" i="2"/>
  <c r="BA5" i="2"/>
  <c r="BA26" i="2"/>
  <c r="AP37" i="2"/>
  <c r="BA20" i="2"/>
  <c r="BF20" i="2"/>
  <c r="BF32" i="2"/>
  <c r="BD37" i="2"/>
  <c r="AX37" i="2"/>
  <c r="AQ5" i="2"/>
  <c r="BB37" i="2"/>
  <c r="BF11" i="2"/>
  <c r="AY37" i="2"/>
  <c r="BF26" i="2"/>
  <c r="AZ37" i="2"/>
  <c r="AW37" i="2"/>
  <c r="BF5" i="2"/>
  <c r="AQ32" i="2"/>
  <c r="AN37" i="2"/>
  <c r="BC37" i="2"/>
  <c r="AQ20" i="2"/>
  <c r="AO37" i="2"/>
  <c r="BE5" i="2"/>
  <c r="BE37" i="2" s="1"/>
  <c r="AM37" i="2"/>
  <c r="BA32" i="2"/>
  <c r="AT38" i="4" l="1"/>
  <c r="AS38" i="4"/>
  <c r="AS41" i="4" s="1"/>
  <c r="AQ76" i="4"/>
  <c r="AR38" i="4"/>
  <c r="BA37" i="2"/>
  <c r="AQ37" i="2"/>
  <c r="BF37" i="2"/>
  <c r="AR41" i="4" l="1"/>
  <c r="AT41" i="4"/>
  <c r="AS76" i="4"/>
  <c r="AL77" i="3"/>
  <c r="AR76" i="4" l="1"/>
  <c r="AT76" i="4"/>
  <c r="AL38" i="3"/>
  <c r="AU27" i="5" l="1"/>
  <c r="AU26" i="5"/>
  <c r="AU25" i="5"/>
  <c r="AU16" i="5"/>
  <c r="AU15" i="5"/>
  <c r="AU12" i="5"/>
  <c r="AU11" i="5"/>
  <c r="AU10" i="5"/>
  <c r="AU9" i="5"/>
  <c r="AU8" i="5"/>
  <c r="L32" i="5"/>
  <c r="L31" i="5"/>
  <c r="L30"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K29" i="5"/>
  <c r="J29" i="5"/>
  <c r="I29" i="5"/>
  <c r="H29" i="5"/>
  <c r="AF27" i="5"/>
  <c r="AA27" i="5"/>
  <c r="V27" i="5"/>
  <c r="L27" i="5"/>
  <c r="AF26" i="5"/>
  <c r="AA26" i="5"/>
  <c r="V26" i="5"/>
  <c r="L26" i="5"/>
  <c r="AF25" i="5"/>
  <c r="AA25" i="5"/>
  <c r="V25" i="5"/>
  <c r="L25" i="5"/>
  <c r="AT24" i="5"/>
  <c r="AS24" i="5"/>
  <c r="AR24" i="5"/>
  <c r="AQ24" i="5"/>
  <c r="AP24" i="5"/>
  <c r="AO24" i="5"/>
  <c r="AN24" i="5"/>
  <c r="AM24" i="5"/>
  <c r="AL24" i="5"/>
  <c r="AK24" i="5"/>
  <c r="AJ24" i="5"/>
  <c r="AI24" i="5"/>
  <c r="AI5" i="5" s="1"/>
  <c r="AH24" i="5"/>
  <c r="AH5" i="5" s="1"/>
  <c r="AG24" i="5"/>
  <c r="AE24" i="5"/>
  <c r="AD24" i="5"/>
  <c r="AC24" i="5"/>
  <c r="AB24" i="5"/>
  <c r="Z24" i="5"/>
  <c r="Y24" i="5"/>
  <c r="X24" i="5"/>
  <c r="W24" i="5"/>
  <c r="U24" i="5"/>
  <c r="T24" i="5"/>
  <c r="S24" i="5"/>
  <c r="R24" i="5"/>
  <c r="Q24" i="5"/>
  <c r="P24" i="5"/>
  <c r="O24" i="5"/>
  <c r="N24" i="5"/>
  <c r="M24" i="5"/>
  <c r="K24" i="5"/>
  <c r="J24" i="5"/>
  <c r="I24" i="5"/>
  <c r="H24" i="5"/>
  <c r="L22" i="5"/>
  <c r="G22" i="5"/>
  <c r="L21" i="5"/>
  <c r="G21" i="5"/>
  <c r="L20" i="5"/>
  <c r="G20" i="5"/>
  <c r="L19" i="5"/>
  <c r="G19" i="5"/>
  <c r="L18" i="5"/>
  <c r="G18"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K17" i="5"/>
  <c r="J17" i="5"/>
  <c r="I17" i="5"/>
  <c r="H17" i="5"/>
  <c r="F17" i="5"/>
  <c r="E17" i="5"/>
  <c r="D17" i="5"/>
  <c r="C17" i="5"/>
  <c r="AP16" i="5"/>
  <c r="AA16" i="5"/>
  <c r="AP15" i="5"/>
  <c r="O15" i="5"/>
  <c r="L15" i="5"/>
  <c r="G15" i="5"/>
  <c r="AP12" i="5"/>
  <c r="AF12" i="5"/>
  <c r="AA12" i="5"/>
  <c r="V12" i="5"/>
  <c r="L12" i="5"/>
  <c r="G12" i="5"/>
  <c r="AP11" i="5"/>
  <c r="AF11" i="5"/>
  <c r="AA11" i="5"/>
  <c r="V11" i="5"/>
  <c r="L11" i="5"/>
  <c r="G11" i="5"/>
  <c r="AP10" i="5"/>
  <c r="AF10" i="5"/>
  <c r="AA10" i="5"/>
  <c r="V10" i="5"/>
  <c r="L10" i="5"/>
  <c r="G10" i="5"/>
  <c r="AP9" i="5"/>
  <c r="AF9" i="5"/>
  <c r="AA9" i="5"/>
  <c r="V9" i="5"/>
  <c r="L9" i="5"/>
  <c r="G9" i="5"/>
  <c r="AP8" i="5"/>
  <c r="AF8" i="5"/>
  <c r="AA8" i="5"/>
  <c r="V8" i="5"/>
  <c r="L8" i="5"/>
  <c r="G8" i="5"/>
  <c r="AT7" i="5"/>
  <c r="AS7" i="5"/>
  <c r="AR7" i="5"/>
  <c r="AQ7" i="5"/>
  <c r="AO7" i="5"/>
  <c r="AN7" i="5"/>
  <c r="AM7" i="5"/>
  <c r="AL7" i="5"/>
  <c r="AK7" i="5"/>
  <c r="AJ7" i="5"/>
  <c r="AG7" i="5"/>
  <c r="AE7" i="5"/>
  <c r="AD7" i="5"/>
  <c r="AC7" i="5"/>
  <c r="AB7" i="5"/>
  <c r="Z7" i="5"/>
  <c r="Y7" i="5"/>
  <c r="X7" i="5"/>
  <c r="W7" i="5"/>
  <c r="U7" i="5"/>
  <c r="T7" i="5"/>
  <c r="S7" i="5"/>
  <c r="R7" i="5"/>
  <c r="R16" i="5" s="1"/>
  <c r="Q7" i="5"/>
  <c r="P7" i="5"/>
  <c r="O7" i="5"/>
  <c r="N7" i="5"/>
  <c r="N16" i="5" s="1"/>
  <c r="M7" i="5"/>
  <c r="K7" i="5"/>
  <c r="K16" i="5" s="1"/>
  <c r="J7" i="5"/>
  <c r="J16" i="5" s="1"/>
  <c r="I7" i="5"/>
  <c r="I16" i="5" s="1"/>
  <c r="H7" i="5"/>
  <c r="H16" i="5" s="1"/>
  <c r="F7" i="5"/>
  <c r="F16" i="5" s="1"/>
  <c r="E7" i="5"/>
  <c r="E16" i="5" s="1"/>
  <c r="D7" i="5"/>
  <c r="D16" i="5" s="1"/>
  <c r="C7" i="5"/>
  <c r="C16" i="5" s="1"/>
  <c r="AB5" i="5" l="1"/>
  <c r="AK5" i="5"/>
  <c r="Q5" i="5"/>
  <c r="AM5" i="5"/>
  <c r="K5" i="5"/>
  <c r="Y5" i="5"/>
  <c r="AU24" i="5"/>
  <c r="AL5" i="5"/>
  <c r="S5" i="5"/>
  <c r="AC5" i="5"/>
  <c r="AR5" i="5"/>
  <c r="AJ5" i="5"/>
  <c r="AS5" i="5"/>
  <c r="AA24" i="5"/>
  <c r="L29" i="5"/>
  <c r="AN5" i="5"/>
  <c r="L17" i="5"/>
  <c r="AP7" i="5"/>
  <c r="AP5" i="5" s="1"/>
  <c r="G17" i="5"/>
  <c r="AO5" i="5"/>
  <c r="M5" i="5"/>
  <c r="U5" i="5"/>
  <c r="AE5" i="5"/>
  <c r="AQ5" i="5"/>
  <c r="T5" i="5"/>
  <c r="P5" i="5"/>
  <c r="AD5" i="5"/>
  <c r="V7" i="5"/>
  <c r="G7" i="5"/>
  <c r="G16" i="5" s="1"/>
  <c r="AG5" i="5"/>
  <c r="L24" i="5"/>
  <c r="V24" i="5"/>
  <c r="AU7" i="5"/>
  <c r="AF24" i="5"/>
  <c r="O5" i="5"/>
  <c r="W5" i="5"/>
  <c r="M16" i="5"/>
  <c r="X5" i="5"/>
  <c r="Z5" i="5"/>
  <c r="I5" i="5"/>
  <c r="AF7" i="5"/>
  <c r="R5" i="5"/>
  <c r="AA7" i="5"/>
  <c r="J5" i="5"/>
  <c r="AT5" i="5"/>
  <c r="L7" i="5"/>
  <c r="L16" i="5" s="1"/>
  <c r="N5" i="5"/>
  <c r="H5" i="5"/>
  <c r="AU5" i="5" l="1"/>
  <c r="V5" i="5"/>
  <c r="AA5" i="5"/>
  <c r="AF5" i="5"/>
  <c r="L5" i="5"/>
  <c r="AN66" i="4"/>
  <c r="AN6" i="4" l="1"/>
  <c r="AN38" i="4" s="1"/>
  <c r="AN41" i="4" s="1"/>
  <c r="AO6" i="4"/>
  <c r="AO38" i="4" s="1"/>
  <c r="AP6" i="4"/>
  <c r="AP38" i="4" s="1"/>
  <c r="AP41" i="4" s="1"/>
  <c r="AN60" i="4"/>
  <c r="AP60" i="4"/>
  <c r="AN75" i="4"/>
  <c r="AP75" i="4"/>
  <c r="AM75" i="4"/>
  <c r="AM60" i="4"/>
  <c r="AM6" i="4"/>
  <c r="AK77" i="3"/>
  <c r="AJ77" i="3"/>
  <c r="AI77" i="3"/>
  <c r="AL64" i="3"/>
  <c r="AK64" i="3"/>
  <c r="AJ64" i="3"/>
  <c r="AI64" i="3"/>
  <c r="AL53" i="3"/>
  <c r="AK53" i="3"/>
  <c r="AK55" i="3" s="1"/>
  <c r="AJ53" i="3"/>
  <c r="AJ55" i="3" s="1"/>
  <c r="AI53" i="3"/>
  <c r="AI55" i="3" s="1"/>
  <c r="AK38" i="3"/>
  <c r="AJ38" i="3"/>
  <c r="AI38" i="3"/>
  <c r="AL24" i="3"/>
  <c r="AK24" i="3"/>
  <c r="AJ24" i="3"/>
  <c r="AI24" i="3"/>
  <c r="AL55" i="3" l="1"/>
  <c r="AL41" i="3"/>
  <c r="AK41" i="3"/>
  <c r="AK80" i="3"/>
  <c r="AK81" i="3" s="1"/>
  <c r="AJ80" i="3"/>
  <c r="AJ81" i="3" s="1"/>
  <c r="AP76" i="4"/>
  <c r="AO80" i="4"/>
  <c r="AN76" i="4"/>
  <c r="AN80" i="4" s="1"/>
  <c r="AI41" i="3"/>
  <c r="AJ41" i="3"/>
  <c r="AL80" i="3"/>
  <c r="AI80" i="3"/>
  <c r="AI81" i="3" s="1"/>
  <c r="AL75" i="4"/>
  <c r="AL81" i="3" l="1"/>
  <c r="AP80" i="4"/>
  <c r="AM38" i="4"/>
  <c r="AM41" i="4" s="1"/>
  <c r="AQ77" i="4" l="1"/>
  <c r="AQ80" i="4" s="1"/>
  <c r="AT77" i="4"/>
  <c r="AT80" i="4" s="1"/>
  <c r="AS77" i="4"/>
  <c r="AS80" i="4" s="1"/>
  <c r="AR77" i="4"/>
  <c r="AR80" i="4" s="1"/>
  <c r="AM76" i="4"/>
  <c r="AV77" i="4" l="1"/>
  <c r="AW77" i="4"/>
  <c r="AX77" i="4"/>
  <c r="AU77" i="4"/>
  <c r="AG52" i="4"/>
  <c r="AJ75" i="4" l="1"/>
  <c r="AJ60" i="4"/>
  <c r="AJ6" i="4"/>
  <c r="AJ38" i="4" s="1"/>
  <c r="AJ41" i="4" s="1"/>
  <c r="AF75" i="4"/>
  <c r="AF60" i="4"/>
  <c r="AF6" i="4"/>
  <c r="AF38" i="4" s="1"/>
  <c r="AF41" i="4" s="1"/>
  <c r="AJ76" i="4" l="1"/>
  <c r="AF76" i="4"/>
  <c r="AK75" i="4" l="1"/>
  <c r="AI75" i="4"/>
  <c r="AL60" i="4"/>
  <c r="AK60" i="4"/>
  <c r="AI60" i="4"/>
  <c r="AL6" i="4"/>
  <c r="AL38" i="4" s="1"/>
  <c r="AL41" i="4" s="1"/>
  <c r="AK6" i="4"/>
  <c r="AK38" i="4" s="1"/>
  <c r="AK41" i="4" s="1"/>
  <c r="AI6" i="4"/>
  <c r="AI38" i="4" s="1"/>
  <c r="AI41" i="4" s="1"/>
  <c r="AL76" i="4" l="1"/>
  <c r="AK76" i="4"/>
  <c r="AI76" i="4"/>
  <c r="AI80" i="4" s="1"/>
  <c r="AE24" i="3" l="1"/>
  <c r="AC24" i="3"/>
  <c r="Z24" i="3"/>
  <c r="AA24" i="3"/>
  <c r="AE64" i="3" l="1"/>
  <c r="AE53" i="3"/>
  <c r="AD53" i="3"/>
  <c r="AE38" i="3"/>
  <c r="AC38" i="3"/>
  <c r="AD38" i="3"/>
  <c r="AD24" i="3"/>
  <c r="AE60" i="4" l="1"/>
  <c r="AG75" i="4"/>
  <c r="AE6" i="4"/>
  <c r="AG60" i="4"/>
  <c r="AH60" i="4"/>
  <c r="AE75" i="4"/>
  <c r="AH75" i="4"/>
  <c r="AG6" i="4"/>
  <c r="AG38" i="4" s="1"/>
  <c r="AG41" i="4" s="1"/>
  <c r="AH6" i="4"/>
  <c r="AH38" i="4" s="1"/>
  <c r="AH41" i="4" s="1"/>
  <c r="AD6" i="4"/>
  <c r="AH76" i="4" l="1"/>
  <c r="AG76" i="4"/>
  <c r="AE38" i="4"/>
  <c r="AE41" i="4" l="1"/>
  <c r="AE76" i="4" l="1"/>
  <c r="AE80" i="4" l="1"/>
  <c r="AH77" i="3" l="1"/>
  <c r="AG77" i="3"/>
  <c r="AF77" i="3"/>
  <c r="AE77" i="3"/>
  <c r="AH64" i="3"/>
  <c r="AG64" i="3"/>
  <c r="AF64" i="3"/>
  <c r="AH53" i="3"/>
  <c r="AH55" i="3" s="1"/>
  <c r="AG53" i="3"/>
  <c r="AG55" i="3" s="1"/>
  <c r="AF53" i="3"/>
  <c r="AF55" i="3" s="1"/>
  <c r="AE55" i="3"/>
  <c r="AH38" i="3"/>
  <c r="AG38" i="3"/>
  <c r="AF38" i="3"/>
  <c r="AH24" i="3"/>
  <c r="AG24" i="3"/>
  <c r="AF24" i="3"/>
  <c r="AE80" i="3" l="1"/>
  <c r="AE81" i="3" s="1"/>
  <c r="AF80" i="3"/>
  <c r="AF81" i="3" s="1"/>
  <c r="AG80" i="3"/>
  <c r="AG81" i="3" s="1"/>
  <c r="AH80" i="3"/>
  <c r="AH81" i="3" s="1"/>
  <c r="AE41" i="3"/>
  <c r="AF41" i="3"/>
  <c r="AG41" i="3"/>
  <c r="AH41" i="3"/>
  <c r="AD77" i="3" l="1"/>
  <c r="AD52" i="4" l="1"/>
  <c r="AC52" i="4" l="1"/>
  <c r="AC41" i="4" l="1"/>
  <c r="AC60" i="4"/>
  <c r="AC75" i="4"/>
  <c r="AC77" i="3"/>
  <c r="AC76" i="4" l="1"/>
  <c r="AB52" i="4" l="1"/>
  <c r="AB77" i="3"/>
  <c r="AB38" i="3"/>
  <c r="AB24" i="3"/>
  <c r="AA38" i="3" l="1"/>
  <c r="AD75" i="4" l="1"/>
  <c r="AB75" i="4"/>
  <c r="AA75" i="4"/>
  <c r="AD60" i="4"/>
  <c r="AB60" i="4"/>
  <c r="AA60" i="4"/>
  <c r="AB6" i="4"/>
  <c r="AA6" i="4"/>
  <c r="AA38" i="4" s="1"/>
  <c r="AA41" i="4" s="1"/>
  <c r="AA77" i="3"/>
  <c r="AD64" i="3"/>
  <c r="AC64" i="3"/>
  <c r="AB64" i="3"/>
  <c r="AA64" i="3"/>
  <c r="AD55" i="3"/>
  <c r="AC53" i="3"/>
  <c r="AB53" i="3"/>
  <c r="AB55" i="3" s="1"/>
  <c r="AA53" i="3"/>
  <c r="AA55" i="3" s="1"/>
  <c r="AB41" i="3"/>
  <c r="AC55" i="3" l="1"/>
  <c r="AC41" i="3"/>
  <c r="AA76" i="4"/>
  <c r="AA41" i="3"/>
  <c r="AD80" i="3"/>
  <c r="AD81" i="3" s="1"/>
  <c r="AD41" i="3"/>
  <c r="AA80" i="3"/>
  <c r="AA81" i="3" s="1"/>
  <c r="AB80" i="3"/>
  <c r="AB81" i="3" s="1"/>
  <c r="AC80" i="3"/>
  <c r="AC81" i="3" l="1"/>
  <c r="AB38" i="4" l="1"/>
  <c r="AB41" i="4" s="1"/>
  <c r="AB76" i="4" l="1"/>
  <c r="Z6" i="4" l="1"/>
  <c r="Z38" i="4" s="1"/>
  <c r="Z41" i="4" s="1"/>
  <c r="Z75" i="4"/>
  <c r="Z60" i="4"/>
  <c r="Z38" i="3"/>
  <c r="Z77" i="3"/>
  <c r="Z64" i="3"/>
  <c r="Z53" i="3"/>
  <c r="Z55" i="3" s="1"/>
  <c r="Z76" i="4" l="1"/>
  <c r="Z80" i="3"/>
  <c r="Z81" i="3" s="1"/>
  <c r="Z41" i="3"/>
  <c r="Y75" i="4"/>
  <c r="Y60" i="4"/>
  <c r="Y6" i="4"/>
  <c r="Y38" i="4" s="1"/>
  <c r="Y41" i="4" s="1"/>
  <c r="Y77" i="3"/>
  <c r="Y64" i="3"/>
  <c r="Y53" i="3"/>
  <c r="Y55" i="3" s="1"/>
  <c r="Y38" i="3"/>
  <c r="Y24" i="3"/>
  <c r="Y41" i="3" l="1"/>
  <c r="Y76" i="4"/>
  <c r="Y80" i="3"/>
  <c r="Y81" i="3" s="1"/>
  <c r="X75" i="4" l="1"/>
  <c r="X60" i="4"/>
  <c r="X6" i="4"/>
  <c r="X77" i="3"/>
  <c r="X64" i="3"/>
  <c r="X53" i="3"/>
  <c r="X55" i="3" s="1"/>
  <c r="X38" i="3"/>
  <c r="X24" i="3"/>
  <c r="X41" i="3" l="1"/>
  <c r="X80" i="3"/>
  <c r="X81" i="3" s="1"/>
  <c r="W72" i="4" l="1"/>
  <c r="W75" i="4" l="1"/>
  <c r="W60" i="4"/>
  <c r="W6" i="4"/>
  <c r="W77" i="3"/>
  <c r="W64" i="3"/>
  <c r="W53" i="3"/>
  <c r="W55" i="3" s="1"/>
  <c r="W38" i="3"/>
  <c r="W24" i="3"/>
  <c r="W80" i="3" l="1"/>
  <c r="W81" i="3" s="1"/>
  <c r="W41" i="3"/>
  <c r="X38" i="4" l="1"/>
  <c r="X41" i="4" s="1"/>
  <c r="X76" i="4" s="1"/>
  <c r="W38" i="4"/>
  <c r="W41" i="4" s="1"/>
  <c r="W76" i="4" s="1"/>
  <c r="V75" i="4" l="1"/>
  <c r="V60" i="4"/>
  <c r="V6" i="4"/>
  <c r="V77" i="3"/>
  <c r="V64" i="3"/>
  <c r="V53" i="3"/>
  <c r="V55" i="3" s="1"/>
  <c r="V38" i="3"/>
  <c r="V24" i="3"/>
  <c r="V38" i="4" l="1"/>
  <c r="V41" i="4" s="1"/>
  <c r="V76" i="4" s="1"/>
  <c r="V80" i="3"/>
  <c r="V81" i="3" s="1"/>
  <c r="V41" i="3"/>
  <c r="U75" i="4" l="1"/>
  <c r="U60" i="4"/>
  <c r="U6" i="4"/>
  <c r="U77" i="3"/>
  <c r="U64" i="3"/>
  <c r="U53" i="3"/>
  <c r="U55" i="3" s="1"/>
  <c r="U38" i="3"/>
  <c r="U24" i="3"/>
  <c r="U80" i="3" l="1"/>
  <c r="U81" i="3" s="1"/>
  <c r="U41" i="3"/>
  <c r="U38" i="4"/>
  <c r="U41" i="4" s="1"/>
  <c r="U76" i="4" s="1"/>
  <c r="T75" i="4" l="1"/>
  <c r="T60" i="4"/>
  <c r="T6" i="4"/>
  <c r="T77" i="3"/>
  <c r="T64" i="3"/>
  <c r="T53" i="3"/>
  <c r="T55" i="3" s="1"/>
  <c r="T38" i="3"/>
  <c r="T24" i="3"/>
  <c r="T80" i="3" l="1"/>
  <c r="T81" i="3" s="1"/>
  <c r="T41" i="3"/>
  <c r="C6" i="3"/>
  <c r="S75" i="4" l="1"/>
  <c r="S60" i="4"/>
  <c r="S6" i="4"/>
  <c r="S77" i="3"/>
  <c r="S64" i="3"/>
  <c r="S53" i="3"/>
  <c r="S55" i="3" s="1"/>
  <c r="S38" i="3"/>
  <c r="S24" i="3"/>
  <c r="S80" i="3" l="1"/>
  <c r="S81" i="3" s="1"/>
  <c r="S41" i="3"/>
  <c r="R75" i="4" l="1"/>
  <c r="R60" i="4"/>
  <c r="R6" i="4"/>
  <c r="R77" i="3"/>
  <c r="R64" i="3"/>
  <c r="R53" i="3"/>
  <c r="R55" i="3" s="1"/>
  <c r="R38" i="3"/>
  <c r="R24" i="3"/>
  <c r="T38" i="4" l="1"/>
  <c r="T41" i="4" s="1"/>
  <c r="T76" i="4" s="1"/>
  <c r="S38" i="4"/>
  <c r="S41" i="4" s="1"/>
  <c r="S76" i="4" s="1"/>
  <c r="R80" i="3"/>
  <c r="R81" i="3" s="1"/>
  <c r="R41" i="3"/>
  <c r="R38" i="4" l="1"/>
  <c r="R41" i="4" s="1"/>
  <c r="R76" i="4" s="1"/>
  <c r="R80" i="4" s="1"/>
  <c r="V77" i="4" l="1"/>
  <c r="V80" i="4" s="1"/>
  <c r="Y77" i="4" s="1"/>
  <c r="Z77" i="4" s="1"/>
  <c r="U77" i="4"/>
  <c r="U80" i="4" s="1"/>
  <c r="T77" i="4"/>
  <c r="T80" i="4" s="1"/>
  <c r="S77" i="4"/>
  <c r="S80" i="4" s="1"/>
  <c r="H37" i="4"/>
  <c r="I37" i="4"/>
  <c r="Z80" i="4" l="1"/>
  <c r="Y80" i="4"/>
  <c r="W77" i="4"/>
  <c r="W80" i="4" s="1"/>
  <c r="X77" i="4"/>
  <c r="X80" i="4" s="1"/>
  <c r="AA77" i="4" l="1"/>
  <c r="AA80" i="4" s="1"/>
  <c r="AC77" i="4"/>
  <c r="AD77" i="4" s="1"/>
  <c r="AB77" i="4"/>
  <c r="AC80" i="4" l="1"/>
  <c r="AB80" i="4"/>
  <c r="C75" i="4"/>
  <c r="J75" i="4"/>
  <c r="K75" i="4"/>
  <c r="L75" i="4"/>
  <c r="M75" i="4"/>
  <c r="N75" i="4"/>
  <c r="O75" i="4"/>
  <c r="P75" i="4"/>
  <c r="Q75" i="4"/>
  <c r="K76" i="3"/>
  <c r="J76" i="3"/>
  <c r="I76" i="3"/>
  <c r="H76" i="3"/>
  <c r="G76" i="3"/>
  <c r="F76" i="3"/>
  <c r="E76" i="3"/>
  <c r="D76" i="3"/>
  <c r="K75" i="3"/>
  <c r="J75" i="3"/>
  <c r="I75" i="3"/>
  <c r="H75" i="3"/>
  <c r="G75" i="3"/>
  <c r="F75" i="3"/>
  <c r="E75" i="3"/>
  <c r="D75" i="3"/>
  <c r="K74" i="3"/>
  <c r="J74" i="3"/>
  <c r="I74" i="3"/>
  <c r="H74" i="3"/>
  <c r="G74" i="3"/>
  <c r="F74" i="3"/>
  <c r="E74" i="3"/>
  <c r="D74" i="3"/>
  <c r="K70" i="3"/>
  <c r="J70" i="3"/>
  <c r="I70" i="3"/>
  <c r="H70" i="3"/>
  <c r="G70" i="3"/>
  <c r="F70" i="3"/>
  <c r="E70" i="3"/>
  <c r="D70" i="3"/>
  <c r="K67" i="3"/>
  <c r="J67" i="3"/>
  <c r="I67" i="3"/>
  <c r="H67" i="3"/>
  <c r="G67" i="3"/>
  <c r="F67" i="3"/>
  <c r="E67" i="3"/>
  <c r="D67" i="3"/>
  <c r="K66" i="3"/>
  <c r="J66" i="3"/>
  <c r="I66" i="3"/>
  <c r="H66" i="3"/>
  <c r="G66" i="3"/>
  <c r="F66" i="3"/>
  <c r="E66" i="3"/>
  <c r="D66" i="3"/>
  <c r="K65" i="3"/>
  <c r="J65" i="3"/>
  <c r="I65" i="3"/>
  <c r="H65" i="3"/>
  <c r="G65" i="3"/>
  <c r="F65" i="3"/>
  <c r="E65" i="3"/>
  <c r="D65" i="3"/>
  <c r="K62" i="3"/>
  <c r="J62" i="3"/>
  <c r="I62" i="3"/>
  <c r="H62" i="3"/>
  <c r="G62" i="3"/>
  <c r="F62" i="3"/>
  <c r="E62" i="3"/>
  <c r="D62" i="3"/>
  <c r="K61" i="3"/>
  <c r="J61" i="3"/>
  <c r="I61" i="3"/>
  <c r="H61" i="3"/>
  <c r="G61" i="3"/>
  <c r="F61" i="3"/>
  <c r="E61" i="3"/>
  <c r="D61" i="3"/>
  <c r="K60" i="3"/>
  <c r="J60" i="3"/>
  <c r="I60" i="3"/>
  <c r="H60" i="3"/>
  <c r="G60" i="3"/>
  <c r="F60" i="3"/>
  <c r="E60" i="3"/>
  <c r="D60" i="3"/>
  <c r="K58" i="3"/>
  <c r="J58" i="3"/>
  <c r="I58" i="3"/>
  <c r="H58" i="3"/>
  <c r="G58" i="3"/>
  <c r="F58" i="3"/>
  <c r="E58" i="3"/>
  <c r="D58" i="3"/>
  <c r="K57" i="3"/>
  <c r="J57" i="3"/>
  <c r="I57" i="3"/>
  <c r="H57" i="3"/>
  <c r="G57" i="3"/>
  <c r="F57" i="3"/>
  <c r="E57" i="3"/>
  <c r="D57" i="3"/>
  <c r="K56" i="3"/>
  <c r="J56" i="3"/>
  <c r="I56" i="3"/>
  <c r="H56" i="3"/>
  <c r="G56" i="3"/>
  <c r="F56" i="3"/>
  <c r="E56" i="3"/>
  <c r="D56" i="3"/>
  <c r="K51" i="3"/>
  <c r="J51" i="3"/>
  <c r="I51" i="3"/>
  <c r="H51" i="3"/>
  <c r="G51" i="3"/>
  <c r="F51" i="3"/>
  <c r="E51" i="3"/>
  <c r="D51" i="3"/>
  <c r="J50" i="3"/>
  <c r="I50" i="3"/>
  <c r="H50" i="3"/>
  <c r="G50" i="3"/>
  <c r="F50" i="3"/>
  <c r="E50" i="3"/>
  <c r="D50" i="3"/>
  <c r="K46" i="3"/>
  <c r="J46" i="3"/>
  <c r="I46" i="3"/>
  <c r="H46" i="3"/>
  <c r="G46" i="3"/>
  <c r="F46" i="3"/>
  <c r="E46" i="3"/>
  <c r="D46" i="3"/>
  <c r="K43" i="3"/>
  <c r="J43" i="3"/>
  <c r="I43" i="3"/>
  <c r="H43" i="3"/>
  <c r="G43" i="3"/>
  <c r="F43" i="3"/>
  <c r="E43" i="3"/>
  <c r="D43" i="3"/>
  <c r="K36" i="3"/>
  <c r="J36" i="3"/>
  <c r="I36" i="3"/>
  <c r="H36" i="3"/>
  <c r="G36" i="3"/>
  <c r="F36" i="3"/>
  <c r="E36" i="3"/>
  <c r="D36" i="3"/>
  <c r="K32" i="3"/>
  <c r="J32" i="3"/>
  <c r="I32" i="3"/>
  <c r="H32" i="3"/>
  <c r="G32" i="3"/>
  <c r="F32" i="3"/>
  <c r="E32" i="3"/>
  <c r="D32" i="3"/>
  <c r="K31" i="3"/>
  <c r="J31" i="3"/>
  <c r="I31" i="3"/>
  <c r="H31" i="3"/>
  <c r="G31" i="3"/>
  <c r="F31" i="3"/>
  <c r="E31" i="3"/>
  <c r="D31" i="3"/>
  <c r="K30" i="3"/>
  <c r="J30" i="3"/>
  <c r="I30" i="3"/>
  <c r="H30" i="3"/>
  <c r="G30" i="3"/>
  <c r="F30" i="3"/>
  <c r="E30" i="3"/>
  <c r="D30" i="3"/>
  <c r="K27" i="3"/>
  <c r="J27" i="3"/>
  <c r="I27" i="3"/>
  <c r="H27" i="3"/>
  <c r="G27" i="3"/>
  <c r="F27" i="3"/>
  <c r="E27" i="3"/>
  <c r="D27" i="3"/>
  <c r="K25" i="3"/>
  <c r="J25" i="3"/>
  <c r="I25" i="3"/>
  <c r="H25" i="3"/>
  <c r="G25" i="3"/>
  <c r="F25" i="3"/>
  <c r="E25" i="3"/>
  <c r="D25" i="3"/>
  <c r="K23" i="3"/>
  <c r="J23" i="3"/>
  <c r="I23" i="3"/>
  <c r="H23" i="3"/>
  <c r="G23" i="3"/>
  <c r="F23" i="3"/>
  <c r="E23" i="3"/>
  <c r="D23" i="3"/>
  <c r="K19" i="3"/>
  <c r="J19" i="3"/>
  <c r="I19" i="3"/>
  <c r="H19" i="3"/>
  <c r="G19" i="3"/>
  <c r="F19" i="3"/>
  <c r="E19" i="3"/>
  <c r="D19" i="3"/>
  <c r="K15" i="3"/>
  <c r="J15" i="3"/>
  <c r="I15" i="3"/>
  <c r="H15" i="3"/>
  <c r="G15" i="3"/>
  <c r="F15" i="3"/>
  <c r="E15" i="3"/>
  <c r="D15" i="3"/>
  <c r="K14" i="3"/>
  <c r="J14" i="3"/>
  <c r="I14" i="3"/>
  <c r="H14" i="3"/>
  <c r="G14" i="3"/>
  <c r="F14" i="3"/>
  <c r="E14" i="3"/>
  <c r="D14" i="3"/>
  <c r="K13" i="3"/>
  <c r="J13" i="3"/>
  <c r="I13" i="3"/>
  <c r="H13" i="3"/>
  <c r="G13" i="3"/>
  <c r="F13" i="3"/>
  <c r="E13" i="3"/>
  <c r="D13" i="3"/>
  <c r="K11" i="3"/>
  <c r="J11" i="3"/>
  <c r="I11" i="3"/>
  <c r="H11" i="3"/>
  <c r="G11" i="3"/>
  <c r="F11" i="3"/>
  <c r="E11" i="3"/>
  <c r="D11" i="3"/>
  <c r="K10" i="3"/>
  <c r="J10" i="3"/>
  <c r="I10" i="3"/>
  <c r="H10" i="3"/>
  <c r="G10" i="3"/>
  <c r="F10" i="3"/>
  <c r="E10" i="3"/>
  <c r="D10" i="3"/>
  <c r="K8" i="3"/>
  <c r="J8" i="3"/>
  <c r="I8" i="3"/>
  <c r="H8" i="3"/>
  <c r="G8" i="3"/>
  <c r="F8" i="3"/>
  <c r="E8" i="3"/>
  <c r="K7" i="3"/>
  <c r="J7" i="3"/>
  <c r="I7" i="3"/>
  <c r="H7" i="3"/>
  <c r="G7" i="3"/>
  <c r="F7" i="3"/>
  <c r="E7" i="3"/>
  <c r="K6" i="3"/>
  <c r="J6" i="3"/>
  <c r="I6" i="3"/>
  <c r="H6" i="3"/>
  <c r="G6" i="3"/>
  <c r="F6" i="3"/>
  <c r="E6" i="3"/>
  <c r="D8" i="3"/>
  <c r="D7" i="3"/>
  <c r="D6" i="3"/>
  <c r="E9" i="3"/>
  <c r="G9" i="3"/>
  <c r="H9" i="3"/>
  <c r="I9" i="3"/>
  <c r="J9" i="3"/>
  <c r="I37" i="3"/>
  <c r="I35" i="3"/>
  <c r="I34" i="3"/>
  <c r="I29" i="3"/>
  <c r="H63" i="3"/>
  <c r="H59" i="3"/>
  <c r="H29" i="3"/>
  <c r="G37" i="3"/>
  <c r="G35" i="3"/>
  <c r="G34" i="3"/>
  <c r="G29" i="3"/>
  <c r="F34" i="3"/>
  <c r="F29" i="3"/>
  <c r="E63" i="3"/>
  <c r="E59" i="3"/>
  <c r="E37" i="3"/>
  <c r="E29" i="3"/>
  <c r="D63" i="3"/>
  <c r="D59" i="3"/>
  <c r="D37" i="3"/>
  <c r="D35" i="3"/>
  <c r="D34" i="3"/>
  <c r="D29" i="3"/>
  <c r="C76" i="3"/>
  <c r="C75" i="3"/>
  <c r="C74" i="3"/>
  <c r="C70" i="3"/>
  <c r="C67" i="3"/>
  <c r="C66" i="3"/>
  <c r="C65" i="3"/>
  <c r="M63" i="3"/>
  <c r="L63" i="3"/>
  <c r="C63" i="3"/>
  <c r="C62" i="3"/>
  <c r="C60" i="3"/>
  <c r="C59" i="3"/>
  <c r="C58" i="3"/>
  <c r="C57" i="3"/>
  <c r="C56" i="3"/>
  <c r="C51" i="3"/>
  <c r="C48" i="3"/>
  <c r="C47" i="3"/>
  <c r="C45" i="3"/>
  <c r="C44" i="3"/>
  <c r="C43" i="3"/>
  <c r="C36" i="3"/>
  <c r="C32" i="3"/>
  <c r="C30" i="3"/>
  <c r="C29" i="3"/>
  <c r="C27" i="3"/>
  <c r="C25" i="3"/>
  <c r="C23" i="3"/>
  <c r="C19" i="3"/>
  <c r="C14" i="3"/>
  <c r="C13" i="3"/>
  <c r="C11" i="3"/>
  <c r="C10" i="3"/>
  <c r="C9" i="3"/>
  <c r="C8" i="3"/>
  <c r="C7" i="3"/>
  <c r="P38" i="3"/>
  <c r="Q38" i="3"/>
  <c r="M34" i="3"/>
  <c r="M38" i="3" s="1"/>
  <c r="L34" i="3"/>
  <c r="L38" i="3" s="1"/>
  <c r="H38" i="3" l="1"/>
  <c r="C38" i="3"/>
  <c r="C64" i="3"/>
  <c r="K38" i="3"/>
  <c r="J38" i="3"/>
  <c r="I38" i="3"/>
  <c r="G38" i="3"/>
  <c r="F38" i="3"/>
  <c r="E38" i="3"/>
  <c r="D38" i="3"/>
  <c r="Q60" i="4" l="1"/>
  <c r="Q6" i="4"/>
  <c r="Q77" i="3"/>
  <c r="Q64" i="3"/>
  <c r="Q53" i="3"/>
  <c r="Q55" i="3" s="1"/>
  <c r="Q24" i="3"/>
  <c r="Q80" i="3" l="1"/>
  <c r="Q81" i="3" s="1"/>
  <c r="Q41" i="3"/>
  <c r="P60" i="4" l="1"/>
  <c r="P6" i="4"/>
  <c r="P38" i="4" s="1"/>
  <c r="P41" i="4" s="1"/>
  <c r="P64" i="3"/>
  <c r="P77" i="3"/>
  <c r="P53" i="3"/>
  <c r="P55" i="3" s="1"/>
  <c r="P24" i="3"/>
  <c r="O77" i="3"/>
  <c r="N77" i="3"/>
  <c r="O64" i="3"/>
  <c r="N64" i="3"/>
  <c r="O24" i="3"/>
  <c r="N24" i="3"/>
  <c r="O60" i="4"/>
  <c r="O6" i="4"/>
  <c r="O38" i="4" s="1"/>
  <c r="O41" i="4" s="1"/>
  <c r="O53" i="3"/>
  <c r="O55" i="3" s="1"/>
  <c r="P80" i="3" l="1"/>
  <c r="P76" i="4"/>
  <c r="P80" i="4" s="1"/>
  <c r="P41" i="3"/>
  <c r="O76" i="4"/>
  <c r="O80" i="4" s="1"/>
  <c r="O80" i="3"/>
  <c r="N60" i="4"/>
  <c r="N6" i="4"/>
  <c r="N53" i="3"/>
  <c r="N55" i="3" s="1"/>
  <c r="P81" i="3" l="1"/>
  <c r="Q38" i="4"/>
  <c r="Q41" i="4" s="1"/>
  <c r="Q76" i="4" s="1"/>
  <c r="Q80" i="4" s="1"/>
  <c r="O81" i="3"/>
  <c r="N80" i="3"/>
  <c r="M60" i="4"/>
  <c r="M6" i="4"/>
  <c r="M77" i="3"/>
  <c r="M64" i="3"/>
  <c r="M53" i="3"/>
  <c r="M55" i="3" s="1"/>
  <c r="M24" i="3"/>
  <c r="N81" i="3" l="1"/>
  <c r="M38" i="4"/>
  <c r="M41" i="4" s="1"/>
  <c r="M76" i="4" s="1"/>
  <c r="M80" i="4" s="1"/>
  <c r="M80" i="3"/>
  <c r="M41" i="3"/>
  <c r="M81" i="3" l="1"/>
  <c r="N38" i="4" l="1"/>
  <c r="E6" i="4"/>
  <c r="D6" i="4"/>
  <c r="C6" i="4"/>
  <c r="I66" i="4"/>
  <c r="I75" i="4" s="1"/>
  <c r="H66" i="4"/>
  <c r="H75" i="4" s="1"/>
  <c r="G66" i="4"/>
  <c r="G75" i="4" s="1"/>
  <c r="F66" i="4"/>
  <c r="F75" i="4" s="1"/>
  <c r="E66" i="4"/>
  <c r="E75" i="4" s="1"/>
  <c r="D66" i="4"/>
  <c r="D75" i="4" s="1"/>
  <c r="N41" i="4" l="1"/>
  <c r="J54" i="3"/>
  <c r="K54" i="3"/>
  <c r="I54" i="3"/>
  <c r="C60" i="4"/>
  <c r="D60" i="4"/>
  <c r="E60" i="4"/>
  <c r="F60" i="4"/>
  <c r="G60" i="4"/>
  <c r="H60" i="4"/>
  <c r="I60" i="4"/>
  <c r="J60" i="4"/>
  <c r="K60" i="4"/>
  <c r="L60" i="4"/>
  <c r="O29" i="3" l="1"/>
  <c r="O38" i="3" s="1"/>
  <c r="N29" i="3"/>
  <c r="N35" i="3"/>
  <c r="N76" i="4"/>
  <c r="L6" i="4"/>
  <c r="L77" i="3"/>
  <c r="L64" i="3"/>
  <c r="L53" i="3"/>
  <c r="L55" i="3" s="1"/>
  <c r="L24" i="3"/>
  <c r="N38" i="3" l="1"/>
  <c r="I53" i="3"/>
  <c r="I55" i="3" s="1"/>
  <c r="E77" i="3"/>
  <c r="D64" i="3"/>
  <c r="J77" i="3"/>
  <c r="H53" i="3"/>
  <c r="H55" i="3" s="1"/>
  <c r="I64" i="3"/>
  <c r="J53" i="3"/>
  <c r="J55" i="3" s="1"/>
  <c r="D77" i="3"/>
  <c r="F77" i="3"/>
  <c r="J64" i="3"/>
  <c r="G53" i="3"/>
  <c r="G55" i="3" s="1"/>
  <c r="E53" i="3"/>
  <c r="E55" i="3" s="1"/>
  <c r="K77" i="3"/>
  <c r="F64" i="3"/>
  <c r="C53" i="3"/>
  <c r="C55" i="3" s="1"/>
  <c r="E64" i="3"/>
  <c r="H77" i="3"/>
  <c r="G77" i="3"/>
  <c r="K64" i="3"/>
  <c r="H64" i="3"/>
  <c r="C77" i="3"/>
  <c r="F53" i="3"/>
  <c r="F55" i="3" s="1"/>
  <c r="K24" i="3"/>
  <c r="I77" i="3"/>
  <c r="G64" i="3"/>
  <c r="D53" i="3"/>
  <c r="D55" i="3" s="1"/>
  <c r="K53" i="3"/>
  <c r="K55" i="3" s="1"/>
  <c r="N80" i="4"/>
  <c r="G24" i="3"/>
  <c r="F24" i="3"/>
  <c r="H24" i="3"/>
  <c r="C24" i="3"/>
  <c r="I24" i="3"/>
  <c r="J24" i="3"/>
  <c r="E24" i="3"/>
  <c r="D24" i="3"/>
  <c r="L41" i="3"/>
  <c r="L80" i="3"/>
  <c r="E80" i="3" l="1"/>
  <c r="E81" i="3" s="1"/>
  <c r="I80" i="3"/>
  <c r="I81" i="3" s="1"/>
  <c r="C80" i="3"/>
  <c r="C81" i="3" s="1"/>
  <c r="K80" i="3"/>
  <c r="K81" i="3" s="1"/>
  <c r="J80" i="3"/>
  <c r="J81" i="3" s="1"/>
  <c r="G41" i="3"/>
  <c r="F80" i="3"/>
  <c r="F81" i="3" s="1"/>
  <c r="D80" i="3"/>
  <c r="D81" i="3" s="1"/>
  <c r="H80" i="3"/>
  <c r="H81" i="3" s="1"/>
  <c r="J41" i="3"/>
  <c r="O41" i="3"/>
  <c r="G80" i="3"/>
  <c r="G81" i="3" s="1"/>
  <c r="H41" i="3"/>
  <c r="N41" i="3"/>
  <c r="E41" i="3"/>
  <c r="D41" i="3"/>
  <c r="L81" i="3"/>
  <c r="C41" i="3"/>
  <c r="F41" i="3"/>
  <c r="K41" i="3"/>
  <c r="I41" i="3"/>
  <c r="L38" i="4" l="1"/>
  <c r="L41" i="4" s="1"/>
  <c r="L76" i="4" s="1"/>
  <c r="L80" i="4" s="1"/>
  <c r="D38" i="4" l="1"/>
  <c r="D41" i="4" s="1"/>
  <c r="D76" i="4" l="1"/>
  <c r="D80" i="4" s="1"/>
  <c r="F6" i="4" l="1"/>
  <c r="F38" i="4" s="1"/>
  <c r="F41" i="4" s="1"/>
  <c r="F76" i="4" s="1"/>
  <c r="F80" i="4" s="1"/>
  <c r="K6" i="4"/>
  <c r="K38" i="4" s="1"/>
  <c r="K41" i="4" s="1"/>
  <c r="K76" i="4" s="1"/>
  <c r="K80" i="4" s="1"/>
  <c r="C38" i="4"/>
  <c r="C41" i="4" s="1"/>
  <c r="C76" i="4" s="1"/>
  <c r="C80" i="4" s="1"/>
  <c r="G6" i="4"/>
  <c r="G38" i="4" s="1"/>
  <c r="G41" i="4" s="1"/>
  <c r="G76" i="4" s="1"/>
  <c r="G80" i="4" s="1"/>
  <c r="H6" i="4"/>
  <c r="H38" i="4" s="1"/>
  <c r="H41" i="4" s="1"/>
  <c r="H76" i="4" s="1"/>
  <c r="H80" i="4" s="1"/>
  <c r="E38" i="4"/>
  <c r="E41" i="4" s="1"/>
  <c r="E76" i="4" s="1"/>
  <c r="E80" i="4" s="1"/>
  <c r="J6" i="4"/>
  <c r="J38" i="4" s="1"/>
  <c r="J41" i="4" s="1"/>
  <c r="J76" i="4" s="1"/>
  <c r="J80" i="4" s="1"/>
  <c r="I6" i="4"/>
  <c r="I38" i="4" s="1"/>
  <c r="I41" i="4" s="1"/>
  <c r="I76" i="4" s="1"/>
  <c r="I80" i="4" s="1"/>
  <c r="AD38" i="4" l="1"/>
  <c r="AD41" i="4" l="1"/>
  <c r="AD76" i="4" l="1"/>
  <c r="AD80" i="4" l="1"/>
  <c r="AL77" i="4" l="1"/>
  <c r="AH77" i="4"/>
  <c r="AK77" i="4"/>
  <c r="AK80" i="4" s="1"/>
  <c r="AJ77" i="4"/>
  <c r="AJ80" i="4" s="1"/>
  <c r="AG77" i="4"/>
  <c r="AG80" i="4" s="1"/>
  <c r="AF77" i="4"/>
  <c r="AF80" i="4" s="1"/>
  <c r="AH80" i="4" l="1"/>
  <c r="AL80" i="4"/>
  <c r="AM77" i="4" s="1"/>
  <c r="AM80" i="4" s="1"/>
  <c r="AW24" i="5" l="1"/>
  <c r="AW5" i="5" s="1"/>
  <c r="AZ5" i="5" l="1"/>
  <c r="AU38" i="4"/>
  <c r="AU41" i="4" s="1"/>
  <c r="AU76" i="4" l="1"/>
  <c r="AU80" i="4" s="1"/>
  <c r="U16" i="9"/>
  <c r="U6" i="9" l="1"/>
  <c r="AW38" i="4" l="1"/>
  <c r="AV41" i="4"/>
  <c r="AW41" i="4" l="1"/>
  <c r="AV76" i="4"/>
  <c r="AW76" i="4" l="1"/>
  <c r="AW80" i="4" s="1"/>
  <c r="AV80" i="4"/>
  <c r="AX38" i="4" l="1"/>
  <c r="AX41" i="4" l="1"/>
  <c r="AX76" i="4" l="1"/>
  <c r="AX80" i="4" l="1"/>
  <c r="BA77" i="4" s="1"/>
  <c r="BA80" i="4" s="1"/>
  <c r="AY77" i="4" l="1"/>
  <c r="AY80" i="4" s="1"/>
  <c r="AZ77" i="4"/>
  <c r="AZ80" i="4" s="1"/>
  <c r="AC6" i="9" l="1"/>
  <c r="BZ33" i="2"/>
  <c r="BZ32" i="2" s="1"/>
  <c r="BX32" i="2"/>
  <c r="BX37" i="2" s="1"/>
  <c r="BZ37" i="2" l="1"/>
</calcChain>
</file>

<file path=xl/sharedStrings.xml><?xml version="1.0" encoding="utf-8"?>
<sst xmlns="http://schemas.openxmlformats.org/spreadsheetml/2006/main" count="1753" uniqueCount="814">
  <si>
    <t>SKONSOLIDOWANY RACHUNEK ZYSKÓW I STRAT</t>
  </si>
  <si>
    <t>CONSOLIDATED INCOME STATEMENT</t>
  </si>
  <si>
    <r>
      <t xml:space="preserve">2018 </t>
    </r>
    <r>
      <rPr>
        <b/>
        <vertAlign val="superscript"/>
        <sz val="11"/>
        <color theme="0"/>
        <rFont val="Calibri"/>
        <family val="2"/>
        <charset val="238"/>
      </rPr>
      <t>2)</t>
    </r>
    <r>
      <rPr>
        <b/>
        <sz val="11"/>
        <color theme="0"/>
        <rFont val="Calibri"/>
        <family val="2"/>
        <charset val="238"/>
      </rPr>
      <t xml:space="preserve">
(dane wg MSR 18, bez konsolidacji Grupy Netia)  </t>
    </r>
  </si>
  <si>
    <r>
      <t xml:space="preserve">2018 </t>
    </r>
    <r>
      <rPr>
        <b/>
        <vertAlign val="superscript"/>
        <sz val="11"/>
        <color theme="0"/>
        <rFont val="Calibri"/>
        <family val="2"/>
        <charset val="238"/>
      </rPr>
      <t>3)</t>
    </r>
    <r>
      <rPr>
        <b/>
        <sz val="11"/>
        <color theme="0"/>
        <rFont val="Calibri"/>
        <family val="2"/>
        <charset val="238"/>
      </rPr>
      <t xml:space="preserve"> (dane wg MSSF 15 i MSR 17,
Grupa Netia konsolidowana od 22 maja 2018 r.)</t>
    </r>
  </si>
  <si>
    <r>
      <t xml:space="preserve">2019 </t>
    </r>
    <r>
      <rPr>
        <b/>
        <vertAlign val="superscript"/>
        <sz val="11"/>
        <color theme="0"/>
        <rFont val="Calibri"/>
        <family val="2"/>
        <charset val="238"/>
      </rPr>
      <t>4)</t>
    </r>
    <r>
      <rPr>
        <b/>
        <sz val="11"/>
        <color theme="0"/>
        <rFont val="Calibri"/>
        <family val="2"/>
        <charset val="238"/>
      </rPr>
      <t xml:space="preserve"> (dane według MSSF 15 i MSR 17)</t>
    </r>
  </si>
  <si>
    <t>2019 (dane wg MSSF 15 i MSSF 16)</t>
  </si>
  <si>
    <t>2020 (dane wg MSSF 16)</t>
  </si>
  <si>
    <t>2021 (dane wg MSSF 16)</t>
  </si>
  <si>
    <t>2022 (dane wg MSSF 16)</t>
  </si>
  <si>
    <t>2023 (dane wg MSSF 16)</t>
  </si>
  <si>
    <t>2024 (dane wg MSSF 16)</t>
  </si>
  <si>
    <r>
      <t xml:space="preserve">2018 </t>
    </r>
    <r>
      <rPr>
        <b/>
        <vertAlign val="superscript"/>
        <sz val="11"/>
        <color theme="0"/>
        <rFont val="Calibri"/>
        <family val="2"/>
        <charset val="238"/>
      </rPr>
      <t>2)</t>
    </r>
    <r>
      <rPr>
        <b/>
        <sz val="11"/>
        <color theme="0"/>
        <rFont val="Calibri"/>
        <family val="2"/>
        <charset val="238"/>
      </rPr>
      <t xml:space="preserve">
(IAS 18 basis, excl. consolidation of Netia Group)</t>
    </r>
  </si>
  <si>
    <r>
      <t xml:space="preserve">2018 </t>
    </r>
    <r>
      <rPr>
        <b/>
        <vertAlign val="superscript"/>
        <sz val="11"/>
        <color theme="0"/>
        <rFont val="Calibri"/>
        <family val="2"/>
        <charset val="238"/>
      </rPr>
      <t>3)</t>
    </r>
    <r>
      <rPr>
        <b/>
        <sz val="11"/>
        <color theme="0"/>
        <rFont val="Calibri"/>
        <family val="2"/>
        <charset val="238"/>
      </rPr>
      <t xml:space="preserve"> (IFRS 15 and IAS 17 basis,
Netia Group consolidated as of May 22, 2018)</t>
    </r>
  </si>
  <si>
    <r>
      <t>2019</t>
    </r>
    <r>
      <rPr>
        <b/>
        <vertAlign val="superscript"/>
        <sz val="11"/>
        <color theme="0"/>
        <rFont val="Calibri"/>
        <family val="2"/>
        <charset val="238"/>
      </rPr>
      <t>4)</t>
    </r>
    <r>
      <rPr>
        <b/>
        <sz val="11"/>
        <color theme="0"/>
        <rFont val="Calibri"/>
        <family val="2"/>
        <charset val="238"/>
      </rPr>
      <t xml:space="preserve"> (IFRS 15 and IAS 17 basis)</t>
    </r>
  </si>
  <si>
    <t>2019 (IFRS 15 and IFRS 16 basis)</t>
  </si>
  <si>
    <t>2020 (IFRS 16 basis)</t>
  </si>
  <si>
    <t>2021 (IFRS 16 basis)</t>
  </si>
  <si>
    <t>2022 (IFRS 16 basis)</t>
  </si>
  <si>
    <t>2023 (IFRS 16 basis)</t>
  </si>
  <si>
    <t>2024 (IFRS 16 basis)</t>
  </si>
  <si>
    <t>mPLN</t>
  </si>
  <si>
    <t>Q1</t>
  </si>
  <si>
    <t>Q2</t>
  </si>
  <si>
    <t>Q3</t>
  </si>
  <si>
    <t>Q4</t>
  </si>
  <si>
    <r>
      <t xml:space="preserve">Q1 </t>
    </r>
    <r>
      <rPr>
        <b/>
        <vertAlign val="superscript"/>
        <sz val="10"/>
        <color theme="0"/>
        <rFont val="Calibri"/>
        <family val="2"/>
        <charset val="238"/>
      </rPr>
      <t>1)</t>
    </r>
  </si>
  <si>
    <r>
      <t xml:space="preserve">2016 </t>
    </r>
    <r>
      <rPr>
        <b/>
        <vertAlign val="superscript"/>
        <sz val="10"/>
        <color theme="0"/>
        <rFont val="Calibri"/>
        <family val="2"/>
        <charset val="238"/>
      </rPr>
      <t>1)</t>
    </r>
  </si>
  <si>
    <t>FY2019</t>
  </si>
  <si>
    <t>FY2020</t>
  </si>
  <si>
    <t>YTD2021</t>
  </si>
  <si>
    <t>YTD2022</t>
  </si>
  <si>
    <t>Przychody ze sprzedaży usług, produktów, towarów i materiałów</t>
  </si>
  <si>
    <t>Revenue</t>
  </si>
  <si>
    <t>Przychody detaliczne od klientów indywidualnych i biznesowych</t>
  </si>
  <si>
    <t>Retail revenue</t>
  </si>
  <si>
    <t>Przychody hurtowe</t>
  </si>
  <si>
    <t>Wholesale revenue</t>
  </si>
  <si>
    <t>Przychody ze sprzedaży sprzętu</t>
  </si>
  <si>
    <t xml:space="preserve">Sale of equipment </t>
  </si>
  <si>
    <t>Przychody ze sprzedaży energii</t>
  </si>
  <si>
    <t>Energy revenue</t>
  </si>
  <si>
    <t>Koszty operacyjne</t>
  </si>
  <si>
    <t>Operating costs</t>
  </si>
  <si>
    <t>Koszty techniczne i rozliczeń międzyoperatorskich</t>
  </si>
  <si>
    <t>Technical costs and cost of settlements with telecommunication operators</t>
  </si>
  <si>
    <t>Amortyzacja, utrata wartości i likwidacja</t>
  </si>
  <si>
    <t>Depreciation, amortization, impairment and liquidation</t>
  </si>
  <si>
    <t>Koszt własny sprzedanego sprzętu</t>
  </si>
  <si>
    <t>Cost of equipment sold</t>
  </si>
  <si>
    <t>Koszty kontentu</t>
  </si>
  <si>
    <t>Content costs</t>
  </si>
  <si>
    <t>Koszty dystrybucji, marketingu, obsługi i utrzymania klienta</t>
  </si>
  <si>
    <t>Distribution, marketing, customer relation management and retention costs</t>
  </si>
  <si>
    <t>Koszt własny sprzedanej energii</t>
  </si>
  <si>
    <t>Cost of energy sold</t>
  </si>
  <si>
    <t>w tym amortyzacja</t>
  </si>
  <si>
    <t>of which amortisation</t>
  </si>
  <si>
    <t>Wynagrodzenia i świadczenia na rzecz pracowników</t>
  </si>
  <si>
    <t>Salaries and employee-related costs</t>
  </si>
  <si>
    <t>Koszty windykacji, odpisów aktualizujących wartość należności i koszt spisanych należności</t>
  </si>
  <si>
    <t>Cost of debt collection services, bad debt allowance and receivables written off</t>
  </si>
  <si>
    <t>Inne koszty</t>
  </si>
  <si>
    <t>Other costs</t>
  </si>
  <si>
    <t>Zysk ze sprzedaży jednostki zależnej i stowarzyszonej</t>
  </si>
  <si>
    <t>Gain on disposal of a subsidiary and an associate</t>
  </si>
  <si>
    <t>Pozostałe przychody / (koszty) operacyjne, netto</t>
  </si>
  <si>
    <t>Other operating income / (cost), net</t>
  </si>
  <si>
    <t>Zysk z działalności operacyjnej</t>
  </si>
  <si>
    <t>Profit from operating activities</t>
  </si>
  <si>
    <r>
      <t>Zyski/(straty) z działalności inwestycyjnej, netto</t>
    </r>
    <r>
      <rPr>
        <vertAlign val="superscript"/>
        <sz val="10"/>
        <color indexed="8"/>
        <rFont val="Calibri"/>
        <family val="2"/>
        <charset val="238"/>
      </rPr>
      <t xml:space="preserve"> </t>
    </r>
  </si>
  <si>
    <t>Gain/(loss) on investment activities, net</t>
  </si>
  <si>
    <t xml:space="preserve">Koszty finansowe, netto </t>
  </si>
  <si>
    <t>Finance costs, net</t>
  </si>
  <si>
    <t>Udział w zysku jednostki współkontrolowanej wycenianej metodą praw własności</t>
  </si>
  <si>
    <t>Share of the profit/(loss) of jointly controlled entity accounted for using the equity method</t>
  </si>
  <si>
    <t>Udział w zysku/(stracie) jednostek stowarzyszonych wycenianych metodą praw własności</t>
  </si>
  <si>
    <t>Share of the profit/(loss) of associates accounted for using the equity method</t>
  </si>
  <si>
    <t>Zysk brutto za okres</t>
  </si>
  <si>
    <t>Gross profit for the period</t>
  </si>
  <si>
    <t>Podatek dochodowy</t>
  </si>
  <si>
    <t>Income tax</t>
  </si>
  <si>
    <t>Zysk netto za okres</t>
  </si>
  <si>
    <t>Net profit for the period</t>
  </si>
  <si>
    <t>Zysk netto przypadający na akcjonariuszy Jednostki Dominującej</t>
  </si>
  <si>
    <t>Net profit attributable to equity holders of the Parent</t>
  </si>
  <si>
    <t>Zysk netto przypadający na akcjonariuszy niekontrolujących</t>
  </si>
  <si>
    <t>Net profit/(loss) attributable to non-controlling interest</t>
  </si>
  <si>
    <t>Podstawowy i rozwodniony zysk na jedną akcję w złotych</t>
  </si>
  <si>
    <t>Basic and diluted earnings per share (in PLN)</t>
  </si>
  <si>
    <t>EBITDA</t>
  </si>
  <si>
    <t>marża EBITDA</t>
  </si>
  <si>
    <t>EBITDA margin</t>
  </si>
  <si>
    <t>Koszty związane z COVID (w tym darowizny)</t>
  </si>
  <si>
    <t>Costs related to COVID (including donations)</t>
  </si>
  <si>
    <t>Koszty wsparcia Ukrainy</t>
  </si>
  <si>
    <t>Costs of support for Ukraine</t>
  </si>
  <si>
    <t>EBITDA skorygowana</t>
  </si>
  <si>
    <t>marża EBITDA skorygowana</t>
  </si>
  <si>
    <t>1) Wyniki Grupy Aero2 konsolidowane od 29 lutego 2016.</t>
  </si>
  <si>
    <t>1) Results of Aero2 Group consolidated from February 29, 2016</t>
  </si>
  <si>
    <r>
      <t xml:space="preserve">2) Dane zgodne ze standardem MSR 18 - nie uwzględniają wpływu standardów MSSF 9 </t>
    </r>
    <r>
      <rPr>
        <i/>
        <sz val="10"/>
        <color indexed="8"/>
        <rFont val="Calibri"/>
        <family val="2"/>
        <charset val="238"/>
      </rPr>
      <t>Instrumenty Finansowe</t>
    </r>
    <r>
      <rPr>
        <sz val="10"/>
        <color indexed="8"/>
        <rFont val="Calibri"/>
        <family val="2"/>
        <charset val="238"/>
      </rPr>
      <t xml:space="preserve"> oraz MSSF 15 </t>
    </r>
    <r>
      <rPr>
        <i/>
        <sz val="10"/>
        <color indexed="8"/>
        <rFont val="Calibri"/>
        <family val="2"/>
        <charset val="238"/>
      </rPr>
      <t>Przychody z umów z klientami</t>
    </r>
    <r>
      <rPr>
        <sz val="10"/>
        <color indexed="8"/>
        <rFont val="Calibri"/>
        <family val="2"/>
        <charset val="238"/>
      </rPr>
      <t xml:space="preserve">, obowiązujących od 1 stycznia 2018 roku. </t>
    </r>
  </si>
  <si>
    <r>
      <t xml:space="preserve">2) Data presented in accordance with IAS 18 standard - they do not include the impact of the standards IFRS 9 </t>
    </r>
    <r>
      <rPr>
        <i/>
        <sz val="10"/>
        <color indexed="8"/>
        <rFont val="Calibri"/>
        <family val="2"/>
        <charset val="238"/>
      </rPr>
      <t>Financial Instruments</t>
    </r>
    <r>
      <rPr>
        <sz val="10"/>
        <color indexed="8"/>
        <rFont val="Calibri"/>
        <family val="2"/>
        <charset val="238"/>
      </rPr>
      <t xml:space="preserve"> and IFRS 15 </t>
    </r>
    <r>
      <rPr>
        <i/>
        <sz val="10"/>
        <color indexed="8"/>
        <rFont val="Calibri"/>
        <family val="2"/>
        <charset val="238"/>
      </rPr>
      <t>Revenue from Contracts with Customers</t>
    </r>
    <r>
      <rPr>
        <sz val="10"/>
        <color indexed="8"/>
        <rFont val="Calibri"/>
        <family val="2"/>
        <charset val="238"/>
      </rPr>
      <t xml:space="preserve">, applicable from January 1, 2018.  </t>
    </r>
  </si>
  <si>
    <r>
      <t xml:space="preserve">3) Dane zgodne ze standardami MSSF 9 </t>
    </r>
    <r>
      <rPr>
        <i/>
        <sz val="10"/>
        <color indexed="8"/>
        <rFont val="Calibri"/>
        <family val="2"/>
        <charset val="238"/>
      </rPr>
      <t>Instrumenty Finansowe</t>
    </r>
    <r>
      <rPr>
        <sz val="10"/>
        <color indexed="8"/>
        <rFont val="Calibri"/>
        <family val="2"/>
        <charset val="238"/>
      </rPr>
      <t xml:space="preserve"> oraz MSSF 15 </t>
    </r>
    <r>
      <rPr>
        <i/>
        <sz val="10"/>
        <color indexed="8"/>
        <rFont val="Calibri"/>
        <family val="2"/>
        <charset val="238"/>
      </rPr>
      <t xml:space="preserve">Przychody z umów z klientami. </t>
    </r>
    <r>
      <rPr>
        <sz val="10"/>
        <color indexed="8"/>
        <rFont val="Calibri"/>
        <family val="2"/>
        <charset val="238"/>
      </rPr>
      <t xml:space="preserve">Dane nie sa porównywalne z danymi za okresy wcześniejsze. </t>
    </r>
  </si>
  <si>
    <t xml:space="preserve">3) Data presented in accordance with standards IFRS 9 Financial Instruments and IFRS 15 Revenue from Contracts with Customers. Data is not comparable to data for previous periods. </t>
  </si>
  <si>
    <t>4) Dane bez ujęcia efektu MSSF 16</t>
  </si>
  <si>
    <t>4) Data excluding the impact of IFRS 16</t>
  </si>
  <si>
    <t>SKONSOLIDOWANY BILANS</t>
  </si>
  <si>
    <t>CONSOLIDATED BALANCE SHEET</t>
  </si>
  <si>
    <r>
      <t>2017</t>
    </r>
    <r>
      <rPr>
        <i/>
        <sz val="10"/>
        <color theme="0"/>
        <rFont val="Calibri"/>
        <family val="2"/>
        <charset val="238"/>
        <scheme val="minor"/>
      </rPr>
      <t xml:space="preserve"> (MSR 18/IAS 18 basis)</t>
    </r>
  </si>
  <si>
    <r>
      <t>2018</t>
    </r>
    <r>
      <rPr>
        <sz val="10"/>
        <color theme="0"/>
        <rFont val="Calibri"/>
        <family val="2"/>
        <charset val="238"/>
        <scheme val="minor"/>
      </rPr>
      <t xml:space="preserve"> </t>
    </r>
    <r>
      <rPr>
        <i/>
        <sz val="10"/>
        <color theme="0"/>
        <rFont val="Calibri"/>
        <family val="2"/>
        <charset val="238"/>
        <scheme val="minor"/>
      </rPr>
      <t>(MSSF 15 / IFRS 15 basis</t>
    </r>
    <r>
      <rPr>
        <b/>
        <i/>
        <sz val="10"/>
        <color theme="0"/>
        <rFont val="Calibri"/>
        <family val="2"/>
        <charset val="238"/>
        <scheme val="minor"/>
      </rPr>
      <t xml:space="preserve">
</t>
    </r>
    <r>
      <rPr>
        <i/>
        <sz val="10"/>
        <color theme="0"/>
        <rFont val="Calibri"/>
        <family val="2"/>
        <charset val="238"/>
        <scheme val="minor"/>
      </rPr>
      <t>Grupa Netia konsolidowana od 22 maja 2018 r. 
/ Netia Group consolidated since May 22, 2018)</t>
    </r>
  </si>
  <si>
    <r>
      <t xml:space="preserve">2019 </t>
    </r>
    <r>
      <rPr>
        <i/>
        <sz val="10"/>
        <color theme="0"/>
        <rFont val="Calibri"/>
        <family val="2"/>
        <charset val="238"/>
        <scheme val="minor"/>
      </rPr>
      <t>(MSSF 15 i MSSF 16 / IFRS 15 and IFRS 16 basis)</t>
    </r>
  </si>
  <si>
    <t xml:space="preserve">31 marca </t>
  </si>
  <si>
    <t xml:space="preserve">30 czerwca </t>
  </si>
  <si>
    <t xml:space="preserve">30 września </t>
  </si>
  <si>
    <t xml:space="preserve">31 grudnia </t>
  </si>
  <si>
    <r>
      <t xml:space="preserve">31 grudnia </t>
    </r>
    <r>
      <rPr>
        <b/>
        <vertAlign val="superscript"/>
        <sz val="10"/>
        <color theme="0"/>
        <rFont val="Calibri"/>
        <family val="2"/>
        <charset val="238"/>
      </rPr>
      <t>1)</t>
    </r>
  </si>
  <si>
    <t>31 March</t>
  </si>
  <si>
    <t>30 June</t>
  </si>
  <si>
    <t>30 September</t>
  </si>
  <si>
    <t>31 December</t>
  </si>
  <si>
    <r>
      <t xml:space="preserve">31 December </t>
    </r>
    <r>
      <rPr>
        <b/>
        <vertAlign val="superscript"/>
        <sz val="10"/>
        <color theme="0"/>
        <rFont val="Calibri"/>
        <family val="2"/>
        <charset val="238"/>
        <scheme val="minor"/>
      </rPr>
      <t>1)</t>
    </r>
  </si>
  <si>
    <t>AKTYWA</t>
  </si>
  <si>
    <t>ASSETS</t>
  </si>
  <si>
    <r>
      <t>Zestawy odbiorcze</t>
    </r>
    <r>
      <rPr>
        <vertAlign val="superscript"/>
        <sz val="10"/>
        <color indexed="8"/>
        <rFont val="Calibri"/>
        <family val="2"/>
        <charset val="238"/>
      </rPr>
      <t>7)</t>
    </r>
  </si>
  <si>
    <r>
      <t>Reception equipment</t>
    </r>
    <r>
      <rPr>
        <vertAlign val="superscript"/>
        <sz val="10"/>
        <color theme="1"/>
        <rFont val="Calibri"/>
        <family val="2"/>
        <charset val="238"/>
        <scheme val="minor"/>
      </rPr>
      <t>7)</t>
    </r>
  </si>
  <si>
    <t>7)</t>
  </si>
  <si>
    <t>Rzeczowe aktywa trwałe</t>
  </si>
  <si>
    <t>Other property, plant and equipment</t>
  </si>
  <si>
    <t>Wartość firmy</t>
  </si>
  <si>
    <t xml:space="preserve">Goodwill </t>
  </si>
  <si>
    <t>Relacje z klientami</t>
  </si>
  <si>
    <t>Customer relationships</t>
  </si>
  <si>
    <t>Marki</t>
  </si>
  <si>
    <t>Brands</t>
  </si>
  <si>
    <t xml:space="preserve">Inne wartości niematerialne </t>
  </si>
  <si>
    <t xml:space="preserve">Other intangible assets </t>
  </si>
  <si>
    <t>Prawa do użytkowania</t>
  </si>
  <si>
    <t>Right-of-use assets</t>
  </si>
  <si>
    <t>Długoterminowe aktywa programowe</t>
  </si>
  <si>
    <t>Non-current programming assets</t>
  </si>
  <si>
    <t>Nieruchomości inwestycyjne</t>
  </si>
  <si>
    <t>Investment property</t>
  </si>
  <si>
    <t>Długoterminowe prowizje dla dystrybutorów rozliczane w czasie</t>
  </si>
  <si>
    <t>Non-current deferred distribution fees</t>
  </si>
  <si>
    <t>Opcja wcześniejszej spłaty obligacji</t>
  </si>
  <si>
    <t>Early redemption option</t>
  </si>
  <si>
    <r>
      <t xml:space="preserve">Długoterminowe należności z tytułu dostaw i usług </t>
    </r>
    <r>
      <rPr>
        <vertAlign val="superscript"/>
        <sz val="10"/>
        <color indexed="8"/>
        <rFont val="Calibri"/>
        <family val="2"/>
        <charset val="238"/>
      </rPr>
      <t xml:space="preserve">3) </t>
    </r>
  </si>
  <si>
    <r>
      <t xml:space="preserve">Non-current trade receivables </t>
    </r>
    <r>
      <rPr>
        <vertAlign val="superscript"/>
        <sz val="10"/>
        <color theme="1"/>
        <rFont val="Calibri"/>
        <family val="2"/>
        <charset val="238"/>
        <scheme val="minor"/>
      </rPr>
      <t>3)</t>
    </r>
  </si>
  <si>
    <r>
      <t xml:space="preserve">Udzielone pożyczki długoterminowe </t>
    </r>
    <r>
      <rPr>
        <vertAlign val="superscript"/>
        <sz val="10"/>
        <color indexed="8"/>
        <rFont val="Calibri"/>
        <family val="2"/>
        <charset val="238"/>
      </rPr>
      <t>5)</t>
    </r>
  </si>
  <si>
    <r>
      <t xml:space="preserve">Non-current loans granted </t>
    </r>
    <r>
      <rPr>
        <vertAlign val="superscript"/>
        <sz val="10"/>
        <color theme="1"/>
        <rFont val="Calibri"/>
        <family val="2"/>
        <charset val="238"/>
        <scheme val="minor"/>
      </rPr>
      <t>5)</t>
    </r>
  </si>
  <si>
    <r>
      <t xml:space="preserve">Inne aktywa długoterminowe, w tym: </t>
    </r>
    <r>
      <rPr>
        <vertAlign val="superscript"/>
        <sz val="10"/>
        <color indexed="8"/>
        <rFont val="Calibri"/>
        <family val="2"/>
        <charset val="238"/>
      </rPr>
      <t>3) 5)</t>
    </r>
  </si>
  <si>
    <r>
      <t xml:space="preserve">Other non-current assets </t>
    </r>
    <r>
      <rPr>
        <vertAlign val="superscript"/>
        <sz val="10"/>
        <color theme="1"/>
        <rFont val="Calibri"/>
        <family val="2"/>
        <charset val="238"/>
        <scheme val="minor"/>
      </rPr>
      <t>3) 5)</t>
    </r>
    <r>
      <rPr>
        <sz val="10"/>
        <color theme="1"/>
        <rFont val="Calibri"/>
        <family val="2"/>
        <charset val="238"/>
        <scheme val="minor"/>
      </rPr>
      <t>, includes:</t>
    </r>
  </si>
  <si>
    <t>udziały w jednostkach stowarzyszonych i wspólnych przedsięwzięciach wycenianych metodą praw własności</t>
  </si>
  <si>
    <t>shares in associates accounted for using the equity method</t>
  </si>
  <si>
    <t>aktywa z tytułu instrumentów pochodnych</t>
  </si>
  <si>
    <t xml:space="preserve">derivative instruments </t>
  </si>
  <si>
    <t>Aktywa z tytułu odroczonego podatku dochodowego</t>
  </si>
  <si>
    <t>Deferred tax assets</t>
  </si>
  <si>
    <t>Aktywa trwałe razem</t>
  </si>
  <si>
    <t>Total non-current assets</t>
  </si>
  <si>
    <t>Krótkoterminowe aktywa programowe</t>
  </si>
  <si>
    <t>Current programming assets</t>
  </si>
  <si>
    <t>Aktywa z tytułu kontraktów</t>
  </si>
  <si>
    <t>Contract assets</t>
  </si>
  <si>
    <t>Zapasy</t>
  </si>
  <si>
    <t>Inventories</t>
  </si>
  <si>
    <r>
      <t xml:space="preserve">Należności z tytułu dostaw i usług oraz pozostałe należności </t>
    </r>
    <r>
      <rPr>
        <vertAlign val="superscript"/>
        <sz val="10"/>
        <color indexed="8"/>
        <rFont val="Calibri"/>
        <family val="2"/>
        <charset val="238"/>
      </rPr>
      <t>6)</t>
    </r>
  </si>
  <si>
    <t>Trade and other receivables</t>
  </si>
  <si>
    <r>
      <t xml:space="preserve">Pożyczki udzielone </t>
    </r>
    <r>
      <rPr>
        <vertAlign val="superscript"/>
        <sz val="10"/>
        <color indexed="8"/>
        <rFont val="Calibri"/>
        <family val="2"/>
        <charset val="238"/>
      </rPr>
      <t>6)</t>
    </r>
  </si>
  <si>
    <r>
      <t xml:space="preserve">Current loans granted </t>
    </r>
    <r>
      <rPr>
        <vertAlign val="superscript"/>
        <sz val="10"/>
        <color theme="1"/>
        <rFont val="Calibri"/>
        <family val="2"/>
        <charset val="238"/>
        <scheme val="minor"/>
      </rPr>
      <t>6)</t>
    </r>
  </si>
  <si>
    <t>Należności z tytułu podatku dochodowego</t>
  </si>
  <si>
    <t>Income tax receivable</t>
  </si>
  <si>
    <t>Krótkoterminowe prowizje dla dystrybutorów rozliczane w czasie</t>
  </si>
  <si>
    <t>Current deferred distribution fees</t>
  </si>
  <si>
    <t>Pozostałe aktywa obrotowe, w tym</t>
  </si>
  <si>
    <t>Other current assets, includes:</t>
  </si>
  <si>
    <t>derivative instruments assets</t>
  </si>
  <si>
    <t>Lokaty krótkoterminowe</t>
  </si>
  <si>
    <t>Short-term deposits</t>
  </si>
  <si>
    <t>Środki pieniężne i ich ekwiwalenty</t>
  </si>
  <si>
    <t>Cash and cash equivalents</t>
  </si>
  <si>
    <t>Środki pieniężne o ograniczonej możliwości dysponowania</t>
  </si>
  <si>
    <t>Restricted cash</t>
  </si>
  <si>
    <t>Aktywa obrotowe razem</t>
  </si>
  <si>
    <t>Total current assets</t>
  </si>
  <si>
    <t>Aktywa przeznaczone do sprzedaży, w tym:</t>
  </si>
  <si>
    <t>Assets held for sale</t>
  </si>
  <si>
    <t>środki pieniężne i ich ekwiwalenty</t>
  </si>
  <si>
    <t xml:space="preserve">includes cash and cash equivalents </t>
  </si>
  <si>
    <t>AKTYWA RAZEM</t>
  </si>
  <si>
    <t>TOTAL ASSETS</t>
  </si>
  <si>
    <t>PASYWA</t>
  </si>
  <si>
    <t>EQUITY AND LIABILITIES</t>
  </si>
  <si>
    <t>Kapitał zakładowy</t>
  </si>
  <si>
    <t>Share capital</t>
  </si>
  <si>
    <t>Kapitał zapasowy</t>
  </si>
  <si>
    <t>Reserve capital</t>
  </si>
  <si>
    <t>-</t>
  </si>
  <si>
    <t>Kapitał rezerwowy</t>
  </si>
  <si>
    <t>Other reserves</t>
  </si>
  <si>
    <t>Nadwyżka wartości emisyjnej akcji powyżej ich wartości nominalnej</t>
  </si>
  <si>
    <t>Share premium</t>
  </si>
  <si>
    <t>Kapitał z aktualizacji wyceny instrumentów zabezpieczających</t>
  </si>
  <si>
    <t>Hedge valuation reserve</t>
  </si>
  <si>
    <t>Różnice kursowe z przeliczenia jednostek działających za granicą</t>
  </si>
  <si>
    <t>Currency translation adjustment</t>
  </si>
  <si>
    <t>Udział w innych całkowitych dochodach jednostek stowarzyszonych</t>
  </si>
  <si>
    <t>Share of other comprehensive income of associates</t>
  </si>
  <si>
    <t>Pozostałe kapitały</t>
  </si>
  <si>
    <t>Zyski zatrzymane</t>
  </si>
  <si>
    <t>Retained earnings</t>
  </si>
  <si>
    <t>Akcje własne</t>
  </si>
  <si>
    <t>Treasury shares</t>
  </si>
  <si>
    <t>Kapitał przypadający na akcjonariuszy Jednostki Dominującej</t>
  </si>
  <si>
    <t>Equity attributable to equity holders of the Parent</t>
  </si>
  <si>
    <t>Udziały niekontrolujące</t>
  </si>
  <si>
    <t>Non-controlling interests</t>
  </si>
  <si>
    <t>Kapitał własny razem</t>
  </si>
  <si>
    <t>Total equity</t>
  </si>
  <si>
    <t>Zobowiązania z tytułu kredytów i pożyczek</t>
  </si>
  <si>
    <t>Loans and borrowings</t>
  </si>
  <si>
    <t xml:space="preserve">Zobowiązania z tytułu obligacji </t>
  </si>
  <si>
    <t>Issued bonds</t>
  </si>
  <si>
    <t>Zobowiązania z tytułu leasingu</t>
  </si>
  <si>
    <t>Lease liabilities</t>
  </si>
  <si>
    <t>Zobowiązania z tytułu koncesji UMTS</t>
  </si>
  <si>
    <t>UMTS license liabilities</t>
  </si>
  <si>
    <t>Zobowiązania z tytułu odroczonego podatku dochodowego</t>
  </si>
  <si>
    <t>Deferred tax liabilities</t>
  </si>
  <si>
    <t>Przychody przyszłych okresów</t>
  </si>
  <si>
    <t>Deferred income</t>
  </si>
  <si>
    <t>Inne długoterminowe zobowiązania i rezerwy, w tym:</t>
  </si>
  <si>
    <t xml:space="preserve">Other non-current liabilities and provisions, includes: </t>
  </si>
  <si>
    <t>zobowiązania z tytułu instrumentów pochodnych</t>
  </si>
  <si>
    <t>derivative instruments liabilities</t>
  </si>
  <si>
    <t>Zobowiązania długoterminowe razem</t>
  </si>
  <si>
    <t xml:space="preserve">Total non-current liabilities </t>
  </si>
  <si>
    <t xml:space="preserve">Zobowiązania z tytułu leasingu </t>
  </si>
  <si>
    <t>Zobowiązania z tytułu kontraktów</t>
  </si>
  <si>
    <t>Contract liabilities</t>
  </si>
  <si>
    <t>Zobowiązania z tytułu dostaw i usług oraz pozostałe zobowiązania, w tym:</t>
  </si>
  <si>
    <t>Trade and other payables, includes:</t>
  </si>
  <si>
    <t>Zobowiązanie wobec akcjonariuszy Jednostki Dominującej z tytułu dywidendy</t>
  </si>
  <si>
    <t>Liabilities to shareholders of the Parent Company related to dividend</t>
  </si>
  <si>
    <r>
      <t>Zobowiązanie z tytułu wezwania na akcje Netii S.A.</t>
    </r>
    <r>
      <rPr>
        <vertAlign val="superscript"/>
        <sz val="10"/>
        <color indexed="8"/>
        <rFont val="Calibri"/>
        <family val="2"/>
        <charset val="238"/>
      </rPr>
      <t>4)</t>
    </r>
  </si>
  <si>
    <r>
      <t xml:space="preserve">Liabilities due to tender offer for shares in Netia S.A. </t>
    </r>
    <r>
      <rPr>
        <vertAlign val="superscript"/>
        <sz val="10"/>
        <color theme="1"/>
        <rFont val="Calibri"/>
        <family val="2"/>
        <charset val="238"/>
        <scheme val="minor"/>
      </rPr>
      <t>4)</t>
    </r>
  </si>
  <si>
    <t>Zobowiązania z tytułu podatku dochodowego</t>
  </si>
  <si>
    <t>Income tax liability</t>
  </si>
  <si>
    <t>Kaucje otrzymane za wydany sprzęt</t>
  </si>
  <si>
    <t>Deposits for equipment</t>
  </si>
  <si>
    <t>2)</t>
  </si>
  <si>
    <t>Zobowiązania krótkoterminowe razem</t>
  </si>
  <si>
    <t>Total current liabilities</t>
  </si>
  <si>
    <t>Zobowiązania przeznaczone do sprzedaży</t>
  </si>
  <si>
    <t>Liabilities held for sale, includes:</t>
  </si>
  <si>
    <t>w tym zobowiązania z tytułu leasingu</t>
  </si>
  <si>
    <t>lease liabilities</t>
  </si>
  <si>
    <t>Zobowiązania razem</t>
  </si>
  <si>
    <t>Total liabilities</t>
  </si>
  <si>
    <t>PASYWA RAZEM</t>
  </si>
  <si>
    <t>1) Przekszatłcenie w wyniku finalizacji procesu alokacji ceny nabycia Metelem.</t>
  </si>
  <si>
    <t>1) Restatement due to final purchase price allocation of Metelem</t>
  </si>
  <si>
    <t>2) Od 30 czerwca 2015 roku pozycja "Kaucje otrzymane za wydany sprzęt" została ujęta w pozycji "Zobowiązania z tytułu dostaw i usług oraz pozostałe zobowiązania".</t>
  </si>
  <si>
    <t>2) From June 30, 2015 the item "Deposits for equipment" is accounted for in the item "Trade and other payables"</t>
  </si>
  <si>
    <t>3) Na 31 grudnia 2019 roku Spółka zmieniła prezentację pozycji Inne aktywa długoterminowe i wydzieliła i zaprezentowała osobno pozycję Długoterminowe należności z tytułu dostaw i usług. Dane na 31 grudnia 2018 roku zostały przekształcone w celu uzgodnienia prezentacji.</t>
  </si>
  <si>
    <t>3) As at December 31, 2019, the Group changed the presentation of the item Other non-current assets by reclassifying and separately presenting the item Non-current trade receivables. Data as of December 31, 2018 have been restated.</t>
  </si>
  <si>
    <t xml:space="preserve">4) Ogłoszenie wezwania w dniu 23 grudnia 2020 roku spowodowało powstanie po stronie Grupy zobowiązania finansowego wynikającego z wystawionej opcji sprzedaży, określonego jako iloczyn ceny z wezwania (4,80 zł (nie w milionach)) oraz ilości akcji Netia S.A. z wezwania (114.173.459 akcji (nie w milionach)).  Do dnia 26 lutego 2021 roku przyjęto zapisy na 84.868 akcji (nie w milionach) w ramach wezwania. W konsekwencji w dniu 8 marca 2021 roku zobowiązanie finansowe w wysokości 547,6 zł zostało wycofane z bilansu. </t>
  </si>
  <si>
    <t>4) The announcement of the tender offer for Netia’s shares dated 23 December 2020 resulted in a financial liability for the Group resulting from the put option, defined as the Netia’s share price in the tender offer (PLN 4.80 (not in millions)) and the number of shares in the tender offer (114,173,459 shares (not in millions). Subscriptions for 84,868 shares (not in millions) were accepted in the tender offer until 26 February 2021. As a result, on 8 March 2021, the financial liability in the amount of PLN 547.6 was derecognized from the balance sheet.</t>
  </si>
  <si>
    <t xml:space="preserve">5) Spółka wydzieliła na dzień 31 grudnia 2022 roku pozycję "Udzielone pożyczki długoterminowe" z pozycji "Inne aktywa długoterminowe". Dane na 31 grudnia 2021 zostały przekształcone w celu uzgodnienia prezentacji. </t>
  </si>
  <si>
    <t>5) As at December 31, 2022, the Company changed the presentation of the item "Other non-current assets" by reclassifying and separately presenting the item "Non-current loans granted". Data as of December 31, 2021 have been restated.</t>
  </si>
  <si>
    <t xml:space="preserve">6) Spółka wydzieliła na dzień 31 grudnia 2022 roku pozycję "Udzielone pożyczki" z pozycji "Należności z tytułu dostaw i usług oraz pozostałe należności". Dane na 31 grudnia 2021 zostały przekształcone w celu uzgodnienia prezentacji. </t>
  </si>
  <si>
    <t>6) As at December 31, 2022, the Company changed the presentation of the item "Trade and other receivables" by reclassifying and separately presenting the item "Loans granted". Data as of December 31, 2021 have been restated.</t>
  </si>
  <si>
    <t>7) Od 31 grudnia 2023 roku pozycja "Zestawy odbiorcze" została ujęta w pozycji "Inne rzeczowe aktywa trwałe".</t>
  </si>
  <si>
    <t>7) As at December 31, 2023 the item "Reception equipment" is accounted for in the item "Other property, plant and equipment"</t>
  </si>
  <si>
    <t>SKONSOLIDOWANY RACHUNEK PRZEPŁYWÓW PIENIĘŻNYCH</t>
  </si>
  <si>
    <t>CONSOLIDATED CASH FLOW STATEMENT</t>
  </si>
  <si>
    <r>
      <t xml:space="preserve">2017 </t>
    </r>
    <r>
      <rPr>
        <i/>
        <sz val="10"/>
        <color theme="0"/>
        <rFont val="Calibri"/>
        <family val="2"/>
        <charset val="238"/>
        <scheme val="minor"/>
      </rPr>
      <t>(dane według MSR 18)</t>
    </r>
  </si>
  <si>
    <r>
      <t xml:space="preserve">2018 </t>
    </r>
    <r>
      <rPr>
        <i/>
        <sz val="10"/>
        <color theme="0"/>
        <rFont val="Calibri"/>
        <family val="2"/>
        <charset val="238"/>
        <scheme val="minor"/>
      </rPr>
      <t>(MSSF 15 / IFRS 15 basis
Grupa Netia konsolidowana od 22 maja 2018 r. 
/ Netia Group consolidated since May 22, 2018)</t>
    </r>
  </si>
  <si>
    <r>
      <t xml:space="preserve">2019 </t>
    </r>
    <r>
      <rPr>
        <i/>
        <sz val="10"/>
        <color theme="0"/>
        <rFont val="Calibri"/>
        <family val="2"/>
        <charset val="238"/>
        <scheme val="minor"/>
      </rPr>
      <t>(MSR 17 / IAS 17)</t>
    </r>
  </si>
  <si>
    <r>
      <t xml:space="preserve">2019 </t>
    </r>
    <r>
      <rPr>
        <i/>
        <sz val="10"/>
        <color theme="0"/>
        <rFont val="Calibri"/>
        <family val="2"/>
        <charset val="238"/>
        <scheme val="minor"/>
      </rPr>
      <t>(MSSF 16 / IFRS 16)</t>
    </r>
  </si>
  <si>
    <t>3 miesiące 
do 31 marca</t>
  </si>
  <si>
    <t>6 miesięcy 
do 30 czerwca</t>
  </si>
  <si>
    <t xml:space="preserve">9 miesięcy 
do 30 września </t>
  </si>
  <si>
    <t xml:space="preserve">12 miesięcy 
do 31 grudnia </t>
  </si>
  <si>
    <t>3 months ended
March 31</t>
  </si>
  <si>
    <t>6 months ended
June 30</t>
  </si>
  <si>
    <t>9 months ended
September 30</t>
  </si>
  <si>
    <t>12 months ended
December 31</t>
  </si>
  <si>
    <t>Zysk  netto za okres</t>
  </si>
  <si>
    <t>Net profit</t>
  </si>
  <si>
    <t>Korekty:</t>
  </si>
  <si>
    <t>Adjustments for:</t>
  </si>
  <si>
    <t>Płatności za licencje filmowe i sportowe</t>
  </si>
  <si>
    <t>Payments for film licenses and sports rights</t>
  </si>
  <si>
    <t>Amortyzacja licencji filmowych i sportowych</t>
  </si>
  <si>
    <t>Amortization of film licenses and sports rights</t>
  </si>
  <si>
    <t>(Zysk)/strata ze sprzedaży rzeczowych aktywów trwałych i wartości niematerialnych</t>
  </si>
  <si>
    <t>(Gain)/loss on the sale of property, plant and equipment and intangible assets</t>
  </si>
  <si>
    <t>Wartość sprzedanych aktywów programowych</t>
  </si>
  <si>
    <t>Cost of programming rights sold</t>
  </si>
  <si>
    <t xml:space="preserve">Odsetki </t>
  </si>
  <si>
    <t>Interest expense</t>
  </si>
  <si>
    <t>Zmiana stanu zapasów</t>
  </si>
  <si>
    <t>Change in inventories</t>
  </si>
  <si>
    <t>Zmiana stanu należności i innych aktywów</t>
  </si>
  <si>
    <t>Change in receivables and other assets</t>
  </si>
  <si>
    <t>Zmiana stanu zobowiązań i rezerw</t>
  </si>
  <si>
    <t>Change in liabilities and provisions</t>
  </si>
  <si>
    <t>Zmiana stanu aktywów z tytułu kontraktów</t>
  </si>
  <si>
    <t>Change in contract assets</t>
  </si>
  <si>
    <t>Zmiana stanu zobowiązania z tytułu kontraktów</t>
  </si>
  <si>
    <t>Change in contract liabilities</t>
  </si>
  <si>
    <t>Zmiana stanu produkcji własnej oraz zaliczek na produkcję własną</t>
  </si>
  <si>
    <t>Change in internal production and advance payments</t>
  </si>
  <si>
    <t>Wycena instrumentów zabezpieczających</t>
  </si>
  <si>
    <t>Valuation of hedging instruments</t>
  </si>
  <si>
    <t>Udział w zysku współnego przedsięwzięcia wycenianego metodą praw własności</t>
  </si>
  <si>
    <t>Share of the profit of a joint venture accounted for using the equity method</t>
  </si>
  <si>
    <t>Udział w (zysku) / stracie jednostek stowarzyszonych wycenianych metodą praw własności</t>
  </si>
  <si>
    <t>Share of the (profit)/loss of associates accounted for using the equity method</t>
  </si>
  <si>
    <t>(Zyski) / straty z tytułu różnic kursowych, netto</t>
  </si>
  <si>
    <t>Foreign exchange losses/(gains), net</t>
  </si>
  <si>
    <t xml:space="preserve">Podatek dochodowy </t>
  </si>
  <si>
    <t>Zwiększenie netto wartości zestawów odbiorczych</t>
  </si>
  <si>
    <t>Net additions of reception equipment</t>
  </si>
  <si>
    <t>Jednorazowe spisanie przeszacowania wartości obligacji na moment nabycia do wartości godziwej oraz koszt premii za wcześniejszy wykup obligacji</t>
  </si>
  <si>
    <t>Cumulative catch-up and early redemption costs</t>
  </si>
  <si>
    <t>Koszt premii za wcześniejszy wykup obligacji</t>
  </si>
  <si>
    <t>Premium for early redemption of bonds</t>
  </si>
  <si>
    <t>Jednorazowy przychód wynikający z modyfikacji przepływów pieniężnych w wyniku konwersji obligacji</t>
  </si>
  <si>
    <t>Cumulative catch-up</t>
  </si>
  <si>
    <t>(Zysk) / strata na instrumentach pochodnych, netto</t>
  </si>
  <si>
    <t>Net (gain)/loss on derivatives</t>
  </si>
  <si>
    <t>Zysk ze sprzedaży udziałów/akcji w jednostce zależnej/stowarzyszonej</t>
  </si>
  <si>
    <t>Efekt przeliczenia wartości zobowiązań z tytułu modyfikacji umowy kredytowej</t>
  </si>
  <si>
    <t>Cumulative catch-up resulting from modification of the loan agreement</t>
  </si>
  <si>
    <t>Efekt jednorazowej spłaty kredytów</t>
  </si>
  <si>
    <t>One-time loans repayment</t>
  </si>
  <si>
    <t>Przychody z tytułu dywidend</t>
  </si>
  <si>
    <t>Dividend income</t>
  </si>
  <si>
    <t>Zmiana wartości udziałów w Asseco Poland S.A.</t>
  </si>
  <si>
    <t>Change in value of Asseco Poland S.A. shares</t>
  </si>
  <si>
    <t>Zysk ze sprzedaży IP</t>
  </si>
  <si>
    <t>Gain on disposal of IP</t>
  </si>
  <si>
    <t>Inne korekty</t>
  </si>
  <si>
    <t>Other adjustments</t>
  </si>
  <si>
    <t>Środki pieniężne z działalności operacyjnej</t>
  </si>
  <si>
    <t>Cash from/ (used in) operating activities</t>
  </si>
  <si>
    <t>Podatek dochodowy zapłacony</t>
  </si>
  <si>
    <t>Income tax paid</t>
  </si>
  <si>
    <t>Odsetki otrzymane dotyczące działalności operacyjnej</t>
  </si>
  <si>
    <t>Interest received from operating activities</t>
  </si>
  <si>
    <t>Środki pieniężne netto z działalności operacyjnej</t>
  </si>
  <si>
    <t>Net cash from/ (used in) operating activities</t>
  </si>
  <si>
    <t>Nabycie rzeczowych aktywów trwałych</t>
  </si>
  <si>
    <t>Acquisition of property, plant and equipment</t>
  </si>
  <si>
    <t>Nabycie wartości niematerialnych</t>
  </si>
  <si>
    <t>Acquisition of intangible assets</t>
  </si>
  <si>
    <t>Nabycie obligacji</t>
  </si>
  <si>
    <t>Acquisition of bonds</t>
  </si>
  <si>
    <t>Płatności z tytułu koncesji</t>
  </si>
  <si>
    <t>Concession payments</t>
  </si>
  <si>
    <t>Nabycie akcji/udziałów w jednostkach stowarzyszonych</t>
  </si>
  <si>
    <t>Acquisition of shares in associates</t>
  </si>
  <si>
    <t>Nabycie udziałów w jednostkach zależnych pomniejszone o przejęte środki pieniężne</t>
  </si>
  <si>
    <t>Acquisition of subsidiaries, net of cash acquired</t>
  </si>
  <si>
    <t>Podwyższenie kapitału w jednostce stowarzyszonej</t>
  </si>
  <si>
    <t>Capital increase in an associate</t>
  </si>
  <si>
    <t>Wpływy ze zbycia udziałów/akcji w jednostce zależnej/stowarzyszonej</t>
  </si>
  <si>
    <t>Proceeds from disposal of a subsidiary and an associate</t>
  </si>
  <si>
    <t>Wpływy ze zbycia niefinansowych aktywów trwałych</t>
  </si>
  <si>
    <t>Proceeds from sale of property, plant and equipment</t>
  </si>
  <si>
    <t>Wpływy/(Wypływy) z tytułu inwestycji w fundusze</t>
  </si>
  <si>
    <t>Investment funds inflows/(outflows)</t>
  </si>
  <si>
    <t xml:space="preserve">Lokaty krótkoterminowe </t>
  </si>
  <si>
    <t>Pożyczki udzielone</t>
  </si>
  <si>
    <t>Loans granted</t>
  </si>
  <si>
    <t>Spłata udzielonych pożyczek</t>
  </si>
  <si>
    <t>Repayment of loans granted</t>
  </si>
  <si>
    <t>Wpływy z tytułu realizacji instrumentów pochodnych</t>
  </si>
  <si>
    <t>Other investing activities - derivatives</t>
  </si>
  <si>
    <t>4)</t>
  </si>
  <si>
    <t>Otrzymane dywidendy od jednostek stowarzyszonych</t>
  </si>
  <si>
    <t>Dividends received from associates</t>
  </si>
  <si>
    <t>Wykup obligacji wraz z odsetkami</t>
  </si>
  <si>
    <t>Bonds redemption with interest</t>
  </si>
  <si>
    <t>Inne wpływy/(wypływy)</t>
  </si>
  <si>
    <t>Other inflows/(outflows)</t>
  </si>
  <si>
    <t>Środki pieniężne netto z działalności inwestycyjnej</t>
  </si>
  <si>
    <t>Net cash from/ (used in) investing activities</t>
  </si>
  <si>
    <t>Spłata otrzymanych kredytów i pożyczek</t>
  </si>
  <si>
    <t>Repayment of loans and borrowings</t>
  </si>
  <si>
    <t>Zaciągnięcie kredytów i pożyczek</t>
  </si>
  <si>
    <t>Loans and borrowings inflows</t>
  </si>
  <si>
    <t>Emisja obligacji/(Wykup obligacji)</t>
  </si>
  <si>
    <t>Bonds (redemption)/issue</t>
  </si>
  <si>
    <t>Prowizja za wcześniejszy wykup obligacji</t>
  </si>
  <si>
    <t>Early redemption fee</t>
  </si>
  <si>
    <t>Wpływy z tytułu realizacji instrumentów pochodnych - kapitał</t>
  </si>
  <si>
    <t>Hedging instrument effect – principal</t>
  </si>
  <si>
    <r>
      <t xml:space="preserve">Spłata odsetek od kredytów, pożyczek, obligacji i zapłacone prowizje </t>
    </r>
    <r>
      <rPr>
        <vertAlign val="superscript"/>
        <sz val="10"/>
        <rFont val="Calibri"/>
        <family val="2"/>
        <charset val="238"/>
      </rPr>
      <t>1)</t>
    </r>
  </si>
  <si>
    <r>
      <t xml:space="preserve">Payment of interest on loans, borrowings, bonds and commissions </t>
    </r>
    <r>
      <rPr>
        <vertAlign val="superscript"/>
        <sz val="9"/>
        <rFont val="Calibri"/>
        <family val="2"/>
        <charset val="238"/>
      </rPr>
      <t>1)</t>
    </r>
  </si>
  <si>
    <r>
      <t>Spłata odsetek od leasingu</t>
    </r>
    <r>
      <rPr>
        <vertAlign val="superscript"/>
        <sz val="10"/>
        <color indexed="8"/>
        <rFont val="Calibri"/>
        <family val="2"/>
        <charset val="238"/>
      </rPr>
      <t xml:space="preserve"> 5)</t>
    </r>
  </si>
  <si>
    <r>
      <t>Payment of interest on lease liabilities</t>
    </r>
    <r>
      <rPr>
        <vertAlign val="superscript"/>
        <sz val="10"/>
        <color indexed="8"/>
        <rFont val="Calibri"/>
        <family val="2"/>
        <charset val="238"/>
      </rPr>
      <t xml:space="preserve"> 5)</t>
    </r>
  </si>
  <si>
    <r>
      <t>Spłata zobowiązań z tytułu leasingu</t>
    </r>
    <r>
      <rPr>
        <vertAlign val="superscript"/>
        <sz val="10"/>
        <color indexed="8"/>
        <rFont val="Calibri"/>
        <family val="2"/>
        <charset val="238"/>
      </rPr>
      <t xml:space="preserve"> 6)</t>
    </r>
  </si>
  <si>
    <r>
      <t>Payment of lease liabilities</t>
    </r>
    <r>
      <rPr>
        <vertAlign val="superscript"/>
        <sz val="10"/>
        <color indexed="8"/>
        <rFont val="Calibri"/>
        <family val="2"/>
        <charset val="238"/>
      </rPr>
      <t xml:space="preserve"> 6)</t>
    </r>
  </si>
  <si>
    <t>Wypłacona dywidenda Jednostki Dominującej</t>
  </si>
  <si>
    <t>Dividend payment of the Parent Company</t>
  </si>
  <si>
    <t>Nabycie akcji własnych</t>
  </si>
  <si>
    <t>Acquisition of treasury shares</t>
  </si>
  <si>
    <t>Wykup obligacji wyemitowanych przez Midas</t>
  </si>
  <si>
    <t>Acquisition of bonds issued by Midas</t>
  </si>
  <si>
    <r>
      <t>Other outflows</t>
    </r>
    <r>
      <rPr>
        <vertAlign val="superscript"/>
        <sz val="10"/>
        <color indexed="8"/>
        <rFont val="Calibri"/>
        <family val="2"/>
        <charset val="238"/>
      </rPr>
      <t>(3)</t>
    </r>
  </si>
  <si>
    <r>
      <t xml:space="preserve">Wpływy/(wypływy) z tytułu realizacji instrumentów pochodnych </t>
    </r>
    <r>
      <rPr>
        <vertAlign val="superscript"/>
        <sz val="10"/>
        <color indexed="8"/>
        <rFont val="Calibri"/>
        <family val="2"/>
        <charset val="238"/>
      </rPr>
      <t>8)</t>
    </r>
  </si>
  <si>
    <r>
      <t xml:space="preserve">Hedging instrument effect </t>
    </r>
    <r>
      <rPr>
        <vertAlign val="superscript"/>
        <sz val="10"/>
        <color indexed="8"/>
        <rFont val="Calibri"/>
        <family val="2"/>
        <charset val="238"/>
      </rPr>
      <t>8)</t>
    </r>
  </si>
  <si>
    <t>Zapłata za usługi doradcze związane z emisją akcji</t>
  </si>
  <si>
    <t>Payment of share issuance-related consulting costs</t>
  </si>
  <si>
    <t>Środki pieniężne netto z działalności finansowej</t>
  </si>
  <si>
    <t>Net cash from/ (used in) financing activities</t>
  </si>
  <si>
    <t>Zmiana netto środków pieniężnych i ich ekwiwalentów</t>
  </si>
  <si>
    <t>Net increase/(decrease) in cash and cash equivalents</t>
  </si>
  <si>
    <t>Środki pieniężne i ich ekwiwalenty na początek okresu</t>
  </si>
  <si>
    <t>Cash and cash equivalents at the beginning of the period</t>
  </si>
  <si>
    <t>Zmiana stanu środków pieniężnych z tytułu różnic kursowych</t>
  </si>
  <si>
    <t>Effect of exchange rate fluctuations on cash and cash equivalents</t>
  </si>
  <si>
    <t>Przeniesienie do aktywów przeznaczonych do sprzedaży</t>
  </si>
  <si>
    <t>Transfer to assets held for sale</t>
  </si>
  <si>
    <t>Środki pieniężne i ich ekwiwalenty na koniec okresu</t>
  </si>
  <si>
    <t>Cash and cash equivalents at the end of the period</t>
  </si>
  <si>
    <t>1) Obejmuje premie za wcześniejszą spłatę obligacji oraz zapłatę za koszty związane z pozyskaniem finansowania. Do końca 2019 roku pozycja obejmowała wpływ instrumentów IRS/CIRS/forward.</t>
  </si>
  <si>
    <t>1) Includes premium paid for early bonds’ repayment and amount paid for costs related to new financing. Until the end of 2019 this item included the impact of hedging instruments.</t>
  </si>
  <si>
    <t xml:space="preserve">2) Pozycja została połączona z pozycją "Inne korekty". </t>
  </si>
  <si>
    <t xml:space="preserve">2) Item joined with item "Other adjustments". </t>
  </si>
  <si>
    <t>3) Pozycja obejmowła spłatę zobowiązań z tytułu leasingu finansowego do końca 2018 r. W latach 2020-2021 pozycja obejmowała wpływ instrumentów IRS/CIRS/forward.</t>
  </si>
  <si>
    <t>3) Item included Finance lease – principal repayments until the end of 2018. In the years 2020-2021 this item included the impact of hedging instrument.</t>
  </si>
  <si>
    <t>4) Pozycja została połączona z "Pozostałe wpływy/(wypływy)".</t>
  </si>
  <si>
    <t>4) Item included in "Other inflows/(outflows)".</t>
  </si>
  <si>
    <t>5) Do 31 marca 2019 roku pozycja ta była wykazywana w linii "Spłata odsetek od kredytów, pożyczek, obligacji, leasingu finansowego i zapłacone prowizje".</t>
  </si>
  <si>
    <t>5) Until December 31, 2019 this item was included in "Payment of interest on loans, borrowings, bonds,  lease and commissions".</t>
  </si>
  <si>
    <t>6) Do 31 marca 2019 roku pozycja ta była wykazywana w linii "Inne wydatki".</t>
  </si>
  <si>
    <t>6) Until December 31, 2019 this item was included in "Other outflows".</t>
  </si>
  <si>
    <t>7) W drugim kwartale 2019 roku Spółka dokonała przedterminowego wykupu i umorzenia obligacji serii A oraz przeprowadziła emisję obligacji serii B. Wpływ i wypływ środków pieniężnych z tego tytułu uległ pokryciu i wyniósł 893 mln zł.</t>
  </si>
  <si>
    <t>7) In Q2 2019 the Company exercised the earlier repurchase and redemtion of series A bonds and the issuance of series B bonds. Cash inflow and outflow due to these events amounted to PLN 893m.</t>
  </si>
  <si>
    <t>.</t>
  </si>
  <si>
    <t>8) Pozycja wydzielona z "Inne wypływy" w Q1'2022.</t>
  </si>
  <si>
    <t>8) Item seperated from "Other outflows" in Q1'2022.</t>
  </si>
  <si>
    <t>2018 (dane wg MSR 17,
Grupa Netia konsolidowana od 22 maja 2018 r.)</t>
  </si>
  <si>
    <t>2019 (dane MSSF 16)</t>
  </si>
  <si>
    <t>2018 (IAS 17 basis,
Netia Group consolidated as of May 22, 2018)</t>
  </si>
  <si>
    <t>2019 (IFRS 16 basis)</t>
  </si>
  <si>
    <t>YTD2018</t>
  </si>
  <si>
    <t>YTD2019</t>
  </si>
  <si>
    <t>YTD2020</t>
  </si>
  <si>
    <t>FY2021</t>
  </si>
  <si>
    <t>Przychody ze sprzedaży</t>
  </si>
  <si>
    <t>Revenues</t>
  </si>
  <si>
    <t>Segment usług B2C i B2B</t>
  </si>
  <si>
    <t>B2C &amp; B2B services segment</t>
  </si>
  <si>
    <t>Segment mediowy: TV i online</t>
  </si>
  <si>
    <t>Media segment: TV &amp; online</t>
  </si>
  <si>
    <t xml:space="preserve">Segment nieruchomości </t>
  </si>
  <si>
    <t>Real estate segment</t>
  </si>
  <si>
    <t>Segment zielonej energii</t>
  </si>
  <si>
    <t>Green energy segment</t>
  </si>
  <si>
    <t>wyłączenia i korekty konsolidacyjne</t>
  </si>
  <si>
    <t>consolidation adjustments</t>
  </si>
  <si>
    <t>EBITDA skorygowana (niebadana)</t>
  </si>
  <si>
    <t>EBITDA adjusted (unaudited)</t>
  </si>
  <si>
    <t>Segment nieruchomości</t>
  </si>
  <si>
    <r>
      <t xml:space="preserve">Koszty związane z COVID (w tym darowizny) </t>
    </r>
    <r>
      <rPr>
        <vertAlign val="superscript"/>
        <sz val="10"/>
        <color theme="1"/>
        <rFont val="Calibri"/>
        <family val="2"/>
        <charset val="238"/>
        <scheme val="minor"/>
      </rPr>
      <t>1)</t>
    </r>
  </si>
  <si>
    <r>
      <t xml:space="preserve">Costs related to COVID (including donations) </t>
    </r>
    <r>
      <rPr>
        <vertAlign val="superscript"/>
        <sz val="10"/>
        <color theme="1"/>
        <rFont val="Calibri"/>
        <family val="2"/>
        <charset val="238"/>
        <scheme val="minor"/>
      </rPr>
      <t>1)</t>
    </r>
  </si>
  <si>
    <r>
      <t xml:space="preserve">Zysk ze sprzedaży jednostki zależnej i stowarzyszonej </t>
    </r>
    <r>
      <rPr>
        <vertAlign val="superscript"/>
        <sz val="10"/>
        <color theme="1"/>
        <rFont val="Calibri"/>
        <family val="2"/>
        <charset val="238"/>
        <scheme val="minor"/>
      </rPr>
      <t>2)</t>
    </r>
  </si>
  <si>
    <r>
      <t xml:space="preserve">Gain on disposal of a subsidiary and an associate </t>
    </r>
    <r>
      <rPr>
        <vertAlign val="superscript"/>
        <sz val="10"/>
        <color theme="1"/>
        <rFont val="Calibri"/>
        <family val="2"/>
        <charset val="238"/>
        <scheme val="minor"/>
      </rPr>
      <t>2)</t>
    </r>
  </si>
  <si>
    <t>Costs of supporting Ukraine</t>
  </si>
  <si>
    <t>EBITDA (niebadana)</t>
  </si>
  <si>
    <t>EBITDA (unaudited)</t>
  </si>
  <si>
    <t>Zysk/(strata) z działalności operacyjnej</t>
  </si>
  <si>
    <t>Profit/(loss) from operating activities</t>
  </si>
  <si>
    <r>
      <t>Nabycie rzeczowych aktywów trwałych i innych wartości niematerialnych</t>
    </r>
    <r>
      <rPr>
        <b/>
        <vertAlign val="superscript"/>
        <sz val="11"/>
        <rFont val="Calibri"/>
        <family val="2"/>
        <charset val="238"/>
        <scheme val="minor"/>
      </rPr>
      <t xml:space="preserve"> 3)</t>
    </r>
  </si>
  <si>
    <r>
      <t xml:space="preserve">Acquisition of property, plant and equipment, and other intangible assets </t>
    </r>
    <r>
      <rPr>
        <b/>
        <vertAlign val="superscript"/>
        <sz val="11"/>
        <color theme="1"/>
        <rFont val="Calibri"/>
        <family val="2"/>
        <charset val="238"/>
        <scheme val="minor"/>
      </rPr>
      <t>3)</t>
    </r>
  </si>
  <si>
    <t xml:space="preserve">B2C and B2B services segment </t>
  </si>
  <si>
    <t>Relacja nabycia rzeczowych aktywów trwałych i innych wartości niematerialnych do przychodów</t>
  </si>
  <si>
    <t>Capex/Revenue ratio</t>
  </si>
  <si>
    <t>1) EBITDA skorygowana nie uwzględnia kosztów poniesionych w związku z epidemią COVID-19, w tym darowizn.</t>
  </si>
  <si>
    <t>1) Adjusted EBITDA excludes costs related to the COVID-19 epidemic, including donations.</t>
  </si>
  <si>
    <t>2) EBITDA skorygowana nie uwzględnia zysku ze sprzedaży jednostki zależnej i stowarzyszonej</t>
  </si>
  <si>
    <t>2) Adjusted EBITDA excludes the gain on the disposal of a subsidiary and an associate</t>
  </si>
  <si>
    <t>3) Pozycja ta do 2019 roku obejmowała także nabycie zestawów odbiorczych w leasingu operacyjnym, będące pozycją wykazywaną w ramach środków pieniężnych z działalności operacyjnej. Dla zachowania porównywalności, dane historyczne zostały odpowiednio skorygowane.</t>
  </si>
  <si>
    <t>3) Until 2019 this item also included the acquisition of reception equipment in operating leasing, an item recognized in cash flows from operating activites. To ensure comparability, historical data has been corrected accordingly.</t>
  </si>
  <si>
    <t>WSKAŹNIKI FINANSOWE</t>
  </si>
  <si>
    <t>FINACIAL RATIOS</t>
  </si>
  <si>
    <t>Q1'10</t>
  </si>
  <si>
    <t>Q2'10</t>
  </si>
  <si>
    <t>Q3'10</t>
  </si>
  <si>
    <t>Q4'10</t>
  </si>
  <si>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</si>
  <si>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</si>
  <si>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</si>
  <si>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</si>
  <si>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</si>
  <si>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</si>
  <si>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</si>
  <si>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</si>
  <si>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</si>
  <si>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</si>
  <si>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</si>
  <si>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</si>
  <si>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</si>
  <si>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</si>
  <si>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</si>
  <si>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</si>
  <si>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</si>
  <si>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</si>
  <si>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</si>
  <si>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</si>
  <si>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</si>
  <si>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</si>
  <si>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Q3'16</t>
  </si>
  <si>
    <t>Q4'16</t>
  </si>
  <si>
    <r>
      <t xml:space="preserve">Q1'17
</t>
    </r>
    <r>
      <rPr>
        <i/>
        <sz val="10"/>
        <color theme="0"/>
        <rFont val="Calibri"/>
        <family val="2"/>
        <charset val="238"/>
      </rPr>
      <t>(dane wg MSR 18)</t>
    </r>
  </si>
  <si>
    <r>
      <t xml:space="preserve">Q2'17
</t>
    </r>
    <r>
      <rPr>
        <i/>
        <sz val="10"/>
        <color theme="0"/>
        <rFont val="Calibri"/>
        <family val="2"/>
        <charset val="238"/>
      </rPr>
      <t>(dane wg MSR 18)</t>
    </r>
  </si>
  <si>
    <r>
      <t xml:space="preserve">Q3'17
</t>
    </r>
    <r>
      <rPr>
        <i/>
        <sz val="10"/>
        <color theme="0"/>
        <rFont val="Calibri"/>
        <family val="2"/>
        <charset val="238"/>
      </rPr>
      <t>(dane wg MSR 18)</t>
    </r>
  </si>
  <si>
    <r>
      <t xml:space="preserve">Q4'17
</t>
    </r>
    <r>
      <rPr>
        <i/>
        <sz val="10"/>
        <color theme="0"/>
        <rFont val="Calibri"/>
        <family val="2"/>
        <charset val="238"/>
      </rPr>
      <t>(dane wg MSR 18)</t>
    </r>
  </si>
  <si>
    <r>
      <t xml:space="preserve">2017
</t>
    </r>
    <r>
      <rPr>
        <i/>
        <sz val="10"/>
        <color theme="0"/>
        <rFont val="Calibri"/>
        <family val="2"/>
        <charset val="238"/>
      </rPr>
      <t>(dane wg MSR 18)</t>
    </r>
  </si>
  <si>
    <r>
      <t xml:space="preserve">Q1'18
</t>
    </r>
    <r>
      <rPr>
        <i/>
        <sz val="10"/>
        <color theme="0"/>
        <rFont val="Calibri"/>
        <family val="2"/>
        <charset val="238"/>
      </rPr>
      <t>(dane wg MSSF 15)</t>
    </r>
  </si>
  <si>
    <r>
      <t xml:space="preserve">Q2'18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</si>
  <si>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Q3'18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</si>
  <si>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Q4'18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</si>
  <si>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2018
</t>
    </r>
    <r>
      <rPr>
        <i/>
        <sz val="10"/>
        <color theme="0"/>
        <rFont val="Calibri"/>
        <family val="2"/>
        <charset val="238"/>
      </rPr>
      <t>(dane wg MSSF 15)</t>
    </r>
  </si>
  <si>
    <r>
      <t xml:space="preserve">Q1'19
</t>
    </r>
    <r>
      <rPr>
        <i/>
        <sz val="10"/>
        <color theme="0"/>
        <rFont val="Calibri"/>
        <family val="2"/>
        <charset val="238"/>
      </rPr>
      <t>(dane wg MSSF 16)</t>
    </r>
  </si>
  <si>
    <r>
      <t xml:space="preserve">Q2'19
</t>
    </r>
    <r>
      <rPr>
        <i/>
        <sz val="10"/>
        <color theme="0"/>
        <rFont val="Calibri"/>
        <family val="2"/>
        <charset val="238"/>
      </rPr>
      <t>(dane wg MSSF 16)</t>
    </r>
  </si>
  <si>
    <r>
      <t xml:space="preserve">Q3'19
</t>
    </r>
    <r>
      <rPr>
        <i/>
        <sz val="10"/>
        <color theme="0"/>
        <rFont val="Calibri"/>
        <family val="2"/>
        <charset val="238"/>
      </rPr>
      <t>(dane wg MSSF 16)</t>
    </r>
  </si>
  <si>
    <r>
      <t xml:space="preserve">2019
</t>
    </r>
    <r>
      <rPr>
        <i/>
        <sz val="10"/>
        <color theme="0"/>
        <rFont val="Calibri"/>
        <family val="2"/>
        <charset val="238"/>
      </rPr>
      <t>(dane wg MSSF 16)</t>
    </r>
  </si>
  <si>
    <r>
      <t xml:space="preserve">Q1'20
</t>
    </r>
    <r>
      <rPr>
        <i/>
        <sz val="10"/>
        <color theme="0"/>
        <rFont val="Calibri"/>
        <family val="2"/>
        <charset val="238"/>
      </rPr>
      <t>(dane wg MSSF 16)</t>
    </r>
  </si>
  <si>
    <r>
      <t xml:space="preserve">Q2'20
</t>
    </r>
    <r>
      <rPr>
        <i/>
        <sz val="10"/>
        <color theme="0"/>
        <rFont val="Calibri"/>
        <family val="2"/>
        <charset val="238"/>
      </rPr>
      <t>(dane wg MSSF 16)</t>
    </r>
  </si>
  <si>
    <r>
      <t xml:space="preserve">Q3'20
</t>
    </r>
    <r>
      <rPr>
        <i/>
        <sz val="10"/>
        <color theme="0"/>
        <rFont val="Calibri"/>
        <family val="2"/>
        <charset val="238"/>
      </rPr>
      <t>(dane wg MSSF 16)</t>
    </r>
  </si>
  <si>
    <r>
      <t xml:space="preserve">Q4'20
</t>
    </r>
    <r>
      <rPr>
        <i/>
        <sz val="10"/>
        <color theme="0"/>
        <rFont val="Calibri"/>
        <family val="2"/>
        <charset val="238"/>
      </rPr>
      <t>(dane wg MSSF 16)</t>
    </r>
  </si>
  <si>
    <r>
      <t xml:space="preserve">2020
</t>
    </r>
    <r>
      <rPr>
        <i/>
        <sz val="10"/>
        <color theme="0"/>
        <rFont val="Calibri"/>
        <family val="2"/>
        <charset val="238"/>
      </rPr>
      <t>(dane wg MSSF 16)</t>
    </r>
  </si>
  <si>
    <r>
      <t xml:space="preserve">Q1'21
</t>
    </r>
    <r>
      <rPr>
        <i/>
        <sz val="10"/>
        <color theme="0"/>
        <rFont val="Calibri"/>
        <family val="2"/>
        <charset val="238"/>
      </rPr>
      <t>(dane wg MSSF 16)</t>
    </r>
  </si>
  <si>
    <r>
      <t xml:space="preserve">Q2'21
</t>
    </r>
    <r>
      <rPr>
        <i/>
        <sz val="10"/>
        <color theme="0"/>
        <rFont val="Calibri"/>
        <family val="2"/>
        <charset val="238"/>
      </rPr>
      <t>(dane wg MSSF 16)</t>
    </r>
  </si>
  <si>
    <r>
      <t xml:space="preserve">Q3'21
</t>
    </r>
    <r>
      <rPr>
        <i/>
        <sz val="10"/>
        <color theme="0"/>
        <rFont val="Calibri"/>
        <family val="2"/>
        <charset val="238"/>
      </rPr>
      <t>(dane wg MSSF 16)</t>
    </r>
  </si>
  <si>
    <r>
      <t xml:space="preserve">Q4'21
</t>
    </r>
    <r>
      <rPr>
        <i/>
        <sz val="10"/>
        <color theme="0"/>
        <rFont val="Calibri"/>
        <family val="2"/>
        <charset val="238"/>
      </rPr>
      <t>(dane wg MSSF 16)</t>
    </r>
  </si>
  <si>
    <r>
      <t xml:space="preserve">2021
</t>
    </r>
    <r>
      <rPr>
        <i/>
        <sz val="10"/>
        <color theme="0"/>
        <rFont val="Calibri"/>
        <family val="2"/>
        <charset val="238"/>
      </rPr>
      <t>(dane wg MSSF 16)</t>
    </r>
  </si>
  <si>
    <r>
      <t xml:space="preserve">Q1'22
</t>
    </r>
    <r>
      <rPr>
        <i/>
        <sz val="10"/>
        <color theme="0"/>
        <rFont val="Calibri"/>
        <family val="2"/>
        <charset val="238"/>
      </rPr>
      <t>(dane wg MSSF 16)</t>
    </r>
  </si>
  <si>
    <r>
      <t xml:space="preserve">Q2'22
</t>
    </r>
    <r>
      <rPr>
        <i/>
        <sz val="10"/>
        <color theme="0"/>
        <rFont val="Calibri"/>
        <family val="2"/>
        <charset val="238"/>
      </rPr>
      <t>(dane wg MSSF 16)</t>
    </r>
  </si>
  <si>
    <r>
      <t xml:space="preserve">Q3'22
</t>
    </r>
    <r>
      <rPr>
        <i/>
        <sz val="10"/>
        <color theme="0"/>
        <rFont val="Calibri"/>
        <family val="2"/>
        <charset val="238"/>
      </rPr>
      <t>(dane wg MSSF 16)</t>
    </r>
  </si>
  <si>
    <r>
      <t xml:space="preserve">Q4'22
</t>
    </r>
    <r>
      <rPr>
        <i/>
        <sz val="10"/>
        <color theme="0"/>
        <rFont val="Calibri"/>
        <family val="2"/>
        <charset val="238"/>
      </rPr>
      <t>(dane wg MSSF 16)</t>
    </r>
  </si>
  <si>
    <r>
      <t xml:space="preserve">2022
</t>
    </r>
    <r>
      <rPr>
        <i/>
        <sz val="10"/>
        <color theme="0"/>
        <rFont val="Calibri"/>
        <family val="2"/>
        <charset val="238"/>
      </rPr>
      <t>(dane wg MSSF 16)</t>
    </r>
  </si>
  <si>
    <r>
      <t xml:space="preserve">Q1'23
</t>
    </r>
    <r>
      <rPr>
        <i/>
        <sz val="10"/>
        <color theme="0"/>
        <rFont val="Calibri"/>
        <family val="2"/>
        <charset val="238"/>
      </rPr>
      <t>(dane wg MSSF 16)</t>
    </r>
  </si>
  <si>
    <r>
      <t xml:space="preserve">Q2'23
</t>
    </r>
    <r>
      <rPr>
        <i/>
        <sz val="10"/>
        <color theme="0"/>
        <rFont val="Calibri"/>
        <family val="2"/>
        <charset val="238"/>
      </rPr>
      <t>(dane wg MSSF 16)</t>
    </r>
  </si>
  <si>
    <r>
      <t xml:space="preserve">Q3'23
</t>
    </r>
    <r>
      <rPr>
        <i/>
        <sz val="10"/>
        <color theme="0"/>
        <rFont val="Calibri"/>
        <family val="2"/>
        <charset val="238"/>
      </rPr>
      <t>(dane wg MSSF 16)</t>
    </r>
  </si>
  <si>
    <r>
      <t xml:space="preserve">Q4'23
</t>
    </r>
    <r>
      <rPr>
        <i/>
        <sz val="10"/>
        <color theme="0"/>
        <rFont val="Calibri"/>
        <family val="2"/>
        <charset val="238"/>
      </rPr>
      <t>(dane wg MSSF 16)</t>
    </r>
  </si>
  <si>
    <r>
      <t xml:space="preserve">2023
</t>
    </r>
    <r>
      <rPr>
        <i/>
        <sz val="10"/>
        <color theme="0"/>
        <rFont val="Calibri"/>
        <family val="2"/>
        <charset val="238"/>
      </rPr>
      <t>(dane wg MSSF 16)</t>
    </r>
  </si>
  <si>
    <r>
      <t xml:space="preserve">Q1'24
</t>
    </r>
    <r>
      <rPr>
        <i/>
        <sz val="10"/>
        <color theme="0"/>
        <rFont val="Calibri"/>
        <family val="2"/>
        <charset val="238"/>
      </rPr>
      <t>(dane wg MSSF 16)</t>
    </r>
  </si>
  <si>
    <r>
      <t xml:space="preserve">Q2'24
</t>
    </r>
    <r>
      <rPr>
        <i/>
        <sz val="10"/>
        <color theme="0"/>
        <rFont val="Calibri"/>
        <family val="2"/>
        <charset val="238"/>
      </rPr>
      <t>(dane wg MSSF 16)</t>
    </r>
  </si>
  <si>
    <r>
      <t xml:space="preserve">Q1'17
</t>
    </r>
    <r>
      <rPr>
        <i/>
        <sz val="10"/>
        <color theme="0"/>
        <rFont val="Calibri"/>
        <family val="2"/>
        <charset val="238"/>
      </rPr>
      <t>(IAS 18 basis)</t>
    </r>
  </si>
  <si>
    <r>
      <t xml:space="preserve">Q2'17
</t>
    </r>
    <r>
      <rPr>
        <i/>
        <sz val="10"/>
        <color theme="0"/>
        <rFont val="Calibri"/>
        <family val="2"/>
        <charset val="238"/>
      </rPr>
      <t>(IAS 18 basis)</t>
    </r>
  </si>
  <si>
    <r>
      <t xml:space="preserve">Q3'17
</t>
    </r>
    <r>
      <rPr>
        <i/>
        <sz val="10"/>
        <color theme="0"/>
        <rFont val="Calibri"/>
        <family val="2"/>
        <charset val="238"/>
      </rPr>
      <t>(IAS 18 basis)</t>
    </r>
  </si>
  <si>
    <r>
      <t xml:space="preserve">Q4'17
</t>
    </r>
    <r>
      <rPr>
        <i/>
        <sz val="10"/>
        <color theme="0"/>
        <rFont val="Calibri"/>
        <family val="2"/>
        <charset val="238"/>
      </rPr>
      <t>(IAS 18 basis)</t>
    </r>
  </si>
  <si>
    <r>
      <t xml:space="preserve">2017
</t>
    </r>
    <r>
      <rPr>
        <i/>
        <sz val="10"/>
        <color theme="0"/>
        <rFont val="Calibri"/>
        <family val="2"/>
        <charset val="238"/>
      </rPr>
      <t>(IAS 18 basis)</t>
    </r>
  </si>
  <si>
    <r>
      <t xml:space="preserve">Q1'18
</t>
    </r>
    <r>
      <rPr>
        <i/>
        <sz val="10"/>
        <color theme="0"/>
        <rFont val="Calibri"/>
        <family val="2"/>
        <charset val="238"/>
      </rPr>
      <t>(IFRS 15 basis)</t>
    </r>
  </si>
  <si>
    <r>
      <t xml:space="preserve">Q2'18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</si>
  <si>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Q3'18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</si>
  <si>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Q4'18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</si>
  <si>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2018
</t>
    </r>
    <r>
      <rPr>
        <i/>
        <sz val="10"/>
        <color theme="0"/>
        <rFont val="Calibri"/>
        <family val="2"/>
        <charset val="238"/>
      </rPr>
      <t>(IFRS 15 basis)</t>
    </r>
  </si>
  <si>
    <r>
      <t xml:space="preserve">Q1'19
</t>
    </r>
    <r>
      <rPr>
        <i/>
        <sz val="10"/>
        <color theme="0"/>
        <rFont val="Calibri"/>
        <family val="2"/>
        <charset val="238"/>
      </rPr>
      <t>(IFRS 16 basis)</t>
    </r>
  </si>
  <si>
    <r>
      <t xml:space="preserve">Q2'19
</t>
    </r>
    <r>
      <rPr>
        <i/>
        <sz val="10"/>
        <color theme="0"/>
        <rFont val="Calibri"/>
        <family val="2"/>
        <charset val="238"/>
      </rPr>
      <t>(IFRS 16 basis)</t>
    </r>
  </si>
  <si>
    <r>
      <t xml:space="preserve">Q3'19
</t>
    </r>
    <r>
      <rPr>
        <i/>
        <sz val="10"/>
        <color theme="0"/>
        <rFont val="Calibri"/>
        <family val="2"/>
        <charset val="238"/>
      </rPr>
      <t>(IFRS 16 basis)</t>
    </r>
  </si>
  <si>
    <r>
      <t xml:space="preserve">Q4'19
</t>
    </r>
    <r>
      <rPr>
        <i/>
        <sz val="10"/>
        <color theme="0"/>
        <rFont val="Calibri"/>
        <family val="2"/>
        <charset val="238"/>
      </rPr>
      <t>(IFRS 16 basis)</t>
    </r>
  </si>
  <si>
    <r>
      <t xml:space="preserve">2019
</t>
    </r>
    <r>
      <rPr>
        <i/>
        <sz val="10"/>
        <color theme="0"/>
        <rFont val="Calibri"/>
        <family val="2"/>
        <charset val="238"/>
      </rPr>
      <t>(IFRS 16 basis)</t>
    </r>
  </si>
  <si>
    <r>
      <t xml:space="preserve">Q1'20
</t>
    </r>
    <r>
      <rPr>
        <i/>
        <sz val="10"/>
        <color theme="0"/>
        <rFont val="Calibri"/>
        <family val="2"/>
        <charset val="238"/>
      </rPr>
      <t>(IFRS 16 basis)</t>
    </r>
  </si>
  <si>
    <r>
      <t xml:space="preserve">Q2'20
</t>
    </r>
    <r>
      <rPr>
        <i/>
        <sz val="10"/>
        <color theme="0"/>
        <rFont val="Calibri"/>
        <family val="2"/>
        <charset val="238"/>
      </rPr>
      <t>(IFRS 16 basis)</t>
    </r>
  </si>
  <si>
    <r>
      <t xml:space="preserve">Q3'20
</t>
    </r>
    <r>
      <rPr>
        <i/>
        <sz val="10"/>
        <color theme="0"/>
        <rFont val="Calibri"/>
        <family val="2"/>
        <charset val="238"/>
      </rPr>
      <t>(IFRS 16 basis)</t>
    </r>
  </si>
  <si>
    <r>
      <t xml:space="preserve">Q4'20
</t>
    </r>
    <r>
      <rPr>
        <i/>
        <sz val="10"/>
        <color theme="0"/>
        <rFont val="Calibri"/>
        <family val="2"/>
        <charset val="238"/>
      </rPr>
      <t>(IFRS 16 basis)</t>
    </r>
  </si>
  <si>
    <r>
      <t xml:space="preserve">2020
</t>
    </r>
    <r>
      <rPr>
        <i/>
        <sz val="10"/>
        <color theme="0"/>
        <rFont val="Calibri"/>
        <family val="2"/>
        <charset val="238"/>
      </rPr>
      <t>(IFRS 16 basis)</t>
    </r>
  </si>
  <si>
    <r>
      <t xml:space="preserve">Q1'21
</t>
    </r>
    <r>
      <rPr>
        <i/>
        <sz val="10"/>
        <color theme="0"/>
        <rFont val="Calibri"/>
        <family val="2"/>
        <charset val="238"/>
      </rPr>
      <t>(IFRS 16 basis)</t>
    </r>
  </si>
  <si>
    <r>
      <t xml:space="preserve">Q2'21
</t>
    </r>
    <r>
      <rPr>
        <i/>
        <sz val="10"/>
        <color theme="0"/>
        <rFont val="Calibri"/>
        <family val="2"/>
        <charset val="238"/>
      </rPr>
      <t>(IFRS 16 basis)</t>
    </r>
  </si>
  <si>
    <r>
      <t xml:space="preserve">Q3'21
</t>
    </r>
    <r>
      <rPr>
        <i/>
        <sz val="10"/>
        <color theme="0"/>
        <rFont val="Calibri"/>
        <family val="2"/>
        <charset val="238"/>
      </rPr>
      <t>(IFRS 16 basis)</t>
    </r>
  </si>
  <si>
    <r>
      <t xml:space="preserve">Q4'21
</t>
    </r>
    <r>
      <rPr>
        <i/>
        <sz val="10"/>
        <color theme="0"/>
        <rFont val="Calibri"/>
        <family val="2"/>
        <charset val="238"/>
      </rPr>
      <t>(IFRS 16 basis)</t>
    </r>
  </si>
  <si>
    <r>
      <t xml:space="preserve">2021
</t>
    </r>
    <r>
      <rPr>
        <i/>
        <sz val="10"/>
        <color theme="0"/>
        <rFont val="Calibri"/>
        <family val="2"/>
        <charset val="238"/>
      </rPr>
      <t>(IFRS 16 basis)</t>
    </r>
  </si>
  <si>
    <r>
      <t xml:space="preserve">Q1'22
</t>
    </r>
    <r>
      <rPr>
        <i/>
        <sz val="10"/>
        <color theme="0"/>
        <rFont val="Calibri"/>
        <family val="2"/>
        <charset val="238"/>
      </rPr>
      <t>(IFRS 16 basis)</t>
    </r>
  </si>
  <si>
    <r>
      <t xml:space="preserve">Q2'22
</t>
    </r>
    <r>
      <rPr>
        <i/>
        <sz val="10"/>
        <color theme="0"/>
        <rFont val="Calibri"/>
        <family val="2"/>
        <charset val="238"/>
      </rPr>
      <t>(IFRS 16 basis)</t>
    </r>
  </si>
  <si>
    <r>
      <t xml:space="preserve">Q3'22
</t>
    </r>
    <r>
      <rPr>
        <i/>
        <sz val="10"/>
        <color theme="0"/>
        <rFont val="Calibri"/>
        <family val="2"/>
        <charset val="238"/>
      </rPr>
      <t>(IFRS 16 basis)</t>
    </r>
  </si>
  <si>
    <r>
      <t xml:space="preserve">Q4'22
</t>
    </r>
    <r>
      <rPr>
        <i/>
        <sz val="10"/>
        <color theme="0"/>
        <rFont val="Calibri"/>
        <family val="2"/>
        <charset val="238"/>
      </rPr>
      <t>(IFRS 16 basis)</t>
    </r>
  </si>
  <si>
    <r>
      <t xml:space="preserve">2022
</t>
    </r>
    <r>
      <rPr>
        <i/>
        <sz val="10"/>
        <color theme="0"/>
        <rFont val="Calibri"/>
        <family val="2"/>
        <charset val="238"/>
      </rPr>
      <t>(IFRS 16 basis)</t>
    </r>
  </si>
  <si>
    <r>
      <t xml:space="preserve">Q1'23
</t>
    </r>
    <r>
      <rPr>
        <i/>
        <sz val="10"/>
        <color theme="0"/>
        <rFont val="Calibri"/>
        <family val="2"/>
        <charset val="238"/>
      </rPr>
      <t>(IFRS 16 basis)</t>
    </r>
  </si>
  <si>
    <r>
      <t xml:space="preserve">Q2'23
</t>
    </r>
    <r>
      <rPr>
        <i/>
        <sz val="10"/>
        <color theme="0"/>
        <rFont val="Calibri"/>
        <family val="2"/>
        <charset val="238"/>
      </rPr>
      <t>(IFRS 16 basis)</t>
    </r>
  </si>
  <si>
    <r>
      <t xml:space="preserve">Q3'23
</t>
    </r>
    <r>
      <rPr>
        <i/>
        <sz val="10"/>
        <color theme="0"/>
        <rFont val="Calibri"/>
        <family val="2"/>
        <charset val="238"/>
      </rPr>
      <t>(IFRS 16 basis)</t>
    </r>
  </si>
  <si>
    <r>
      <t xml:space="preserve">Q4'23
</t>
    </r>
    <r>
      <rPr>
        <i/>
        <sz val="10"/>
        <color theme="0"/>
        <rFont val="Calibri"/>
        <family val="2"/>
        <charset val="238"/>
      </rPr>
      <t>(IFRS 16 basis)</t>
    </r>
  </si>
  <si>
    <r>
      <t xml:space="preserve">Q1'24
</t>
    </r>
    <r>
      <rPr>
        <i/>
        <sz val="10"/>
        <color theme="0"/>
        <rFont val="Calibri"/>
        <family val="2"/>
        <charset val="238"/>
      </rPr>
      <t>(IFRS 16 basis)</t>
    </r>
  </si>
  <si>
    <r>
      <t xml:space="preserve">Q2'24
</t>
    </r>
    <r>
      <rPr>
        <i/>
        <sz val="10"/>
        <color theme="0"/>
        <rFont val="Calibri"/>
        <family val="2"/>
        <charset val="238"/>
      </rPr>
      <t>(IFRS 16 basis)</t>
    </r>
  </si>
  <si>
    <r>
      <t>Marża EBITDA</t>
    </r>
    <r>
      <rPr>
        <vertAlign val="superscript"/>
        <sz val="10"/>
        <color indexed="8"/>
        <rFont val="Calibri"/>
        <family val="2"/>
        <charset val="238"/>
      </rPr>
      <t xml:space="preserve"> 1)</t>
    </r>
  </si>
  <si>
    <r>
      <t xml:space="preserve">EBITDA margin </t>
    </r>
    <r>
      <rPr>
        <vertAlign val="superscript"/>
        <sz val="10"/>
        <color indexed="8"/>
        <rFont val="Calibri"/>
        <family val="2"/>
        <charset val="238"/>
      </rPr>
      <t>1)</t>
    </r>
  </si>
  <si>
    <r>
      <t>Marża zysku netto</t>
    </r>
    <r>
      <rPr>
        <vertAlign val="superscript"/>
        <sz val="10"/>
        <color indexed="8"/>
        <rFont val="Calibri"/>
        <family val="2"/>
        <charset val="238"/>
      </rPr>
      <t xml:space="preserve"> 2)</t>
    </r>
  </si>
  <si>
    <r>
      <t xml:space="preserve">Net profit margin </t>
    </r>
    <r>
      <rPr>
        <vertAlign val="superscript"/>
        <sz val="10"/>
        <color indexed="8"/>
        <rFont val="Calibri"/>
        <family val="2"/>
        <charset val="238"/>
      </rPr>
      <t>2)</t>
    </r>
  </si>
  <si>
    <t>&lt;0</t>
  </si>
  <si>
    <r>
      <t xml:space="preserve">Wskaźnik rentowności aktywów (ROA) </t>
    </r>
    <r>
      <rPr>
        <vertAlign val="superscript"/>
        <sz val="10"/>
        <color indexed="8"/>
        <rFont val="Calibri"/>
        <family val="2"/>
        <charset val="238"/>
      </rPr>
      <t>3)</t>
    </r>
  </si>
  <si>
    <r>
      <t xml:space="preserve">Return on assets (ROA) </t>
    </r>
    <r>
      <rPr>
        <vertAlign val="superscript"/>
        <sz val="10"/>
        <color indexed="8"/>
        <rFont val="Calibri"/>
        <family val="2"/>
        <charset val="238"/>
      </rPr>
      <t>3)</t>
    </r>
  </si>
  <si>
    <r>
      <t>Wskaźnik rentowności kapitału własnego (ROE)</t>
    </r>
    <r>
      <rPr>
        <vertAlign val="superscript"/>
        <sz val="10"/>
        <color indexed="8"/>
        <rFont val="Calibri"/>
        <family val="2"/>
        <charset val="238"/>
      </rPr>
      <t xml:space="preserve"> 4)</t>
    </r>
  </si>
  <si>
    <r>
      <t xml:space="preserve">Return on equity (ROE) </t>
    </r>
    <r>
      <rPr>
        <vertAlign val="superscript"/>
        <sz val="10"/>
        <color indexed="8"/>
        <rFont val="Calibri"/>
        <family val="2"/>
        <charset val="238"/>
      </rPr>
      <t>4)</t>
    </r>
  </si>
  <si>
    <r>
      <t xml:space="preserve">Wskaźnik płynności bieżącej (current ratio) </t>
    </r>
    <r>
      <rPr>
        <vertAlign val="superscript"/>
        <sz val="10"/>
        <color indexed="8"/>
        <rFont val="Calibri"/>
        <family val="2"/>
        <charset val="238"/>
      </rPr>
      <t>5)</t>
    </r>
  </si>
  <si>
    <r>
      <t xml:space="preserve">Current ratio </t>
    </r>
    <r>
      <rPr>
        <vertAlign val="superscript"/>
        <sz val="10"/>
        <color indexed="8"/>
        <rFont val="Calibri"/>
        <family val="2"/>
        <charset val="238"/>
      </rPr>
      <t>5)</t>
    </r>
  </si>
  <si>
    <r>
      <t xml:space="preserve">Wskaźnik ogólnego zadłużenia </t>
    </r>
    <r>
      <rPr>
        <vertAlign val="superscript"/>
        <sz val="10"/>
        <color indexed="8"/>
        <rFont val="Calibri"/>
        <family val="2"/>
        <charset val="238"/>
      </rPr>
      <t>6)</t>
    </r>
  </si>
  <si>
    <r>
      <t xml:space="preserve">Debt ratio </t>
    </r>
    <r>
      <rPr>
        <vertAlign val="superscript"/>
        <sz val="10"/>
        <color indexed="8"/>
        <rFont val="Calibri"/>
        <family val="2"/>
        <charset val="238"/>
      </rPr>
      <t>6)</t>
    </r>
  </si>
  <si>
    <r>
      <rPr>
        <i/>
        <vertAlign val="superscript"/>
        <sz val="9"/>
        <color indexed="8"/>
        <rFont val="Calibri"/>
        <family val="2"/>
        <charset val="238"/>
      </rPr>
      <t>1)</t>
    </r>
    <r>
      <rPr>
        <i/>
        <sz val="9"/>
        <color indexed="8"/>
        <rFont val="Calibri"/>
        <family val="2"/>
        <charset val="238"/>
      </rPr>
      <t xml:space="preserve"> EBITDA/przychody ze sprzedaży</t>
    </r>
  </si>
  <si>
    <r>
      <rPr>
        <i/>
        <vertAlign val="superscript"/>
        <sz val="9"/>
        <color indexed="8"/>
        <rFont val="Calibri"/>
        <family val="2"/>
        <charset val="238"/>
      </rPr>
      <t>1)</t>
    </r>
    <r>
      <rPr>
        <i/>
        <sz val="9"/>
        <color indexed="8"/>
        <rFont val="Calibri"/>
        <family val="2"/>
        <charset val="238"/>
      </rPr>
      <t xml:space="preserve"> EBITDA/sales revenue</t>
    </r>
  </si>
  <si>
    <r>
      <rPr>
        <i/>
        <vertAlign val="superscript"/>
        <sz val="9"/>
        <color indexed="8"/>
        <rFont val="Calibri"/>
        <family val="2"/>
        <charset val="238"/>
      </rPr>
      <t>2)</t>
    </r>
    <r>
      <rPr>
        <i/>
        <sz val="9"/>
        <color indexed="8"/>
        <rFont val="Calibri"/>
        <family val="2"/>
        <charset val="238"/>
      </rPr>
      <t xml:space="preserve"> zysk netto/przychody ze sprzedaży</t>
    </r>
  </si>
  <si>
    <r>
      <rPr>
        <i/>
        <vertAlign val="superscript"/>
        <sz val="9"/>
        <color indexed="8"/>
        <rFont val="Calibri"/>
        <family val="2"/>
        <charset val="238"/>
      </rPr>
      <t>2)</t>
    </r>
    <r>
      <rPr>
        <i/>
        <sz val="9"/>
        <color indexed="8"/>
        <rFont val="Calibri"/>
        <family val="2"/>
        <charset val="238"/>
      </rPr>
      <t xml:space="preserve"> net profit/sales revenue</t>
    </r>
  </si>
  <si>
    <r>
      <rPr>
        <i/>
        <vertAlign val="superscript"/>
        <sz val="9"/>
        <color indexed="8"/>
        <rFont val="Calibri"/>
        <family val="2"/>
        <charset val="238"/>
      </rPr>
      <t>3)</t>
    </r>
    <r>
      <rPr>
        <i/>
        <sz val="9"/>
        <color indexed="8"/>
        <rFont val="Calibri"/>
        <family val="2"/>
        <charset val="238"/>
      </rPr>
      <t xml:space="preserve"> zysk netto/aktywa ogółem</t>
    </r>
  </si>
  <si>
    <r>
      <rPr>
        <i/>
        <vertAlign val="superscript"/>
        <sz val="9"/>
        <color indexed="8"/>
        <rFont val="Calibri"/>
        <family val="2"/>
        <charset val="238"/>
      </rPr>
      <t xml:space="preserve">3) </t>
    </r>
    <r>
      <rPr>
        <i/>
        <sz val="9"/>
        <color indexed="8"/>
        <rFont val="Calibri"/>
        <family val="2"/>
        <charset val="238"/>
      </rPr>
      <t>net profit/total assets</t>
    </r>
  </si>
  <si>
    <r>
      <rPr>
        <i/>
        <vertAlign val="superscript"/>
        <sz val="9"/>
        <color indexed="8"/>
        <rFont val="Calibri"/>
        <family val="2"/>
        <charset val="238"/>
      </rPr>
      <t>4)</t>
    </r>
    <r>
      <rPr>
        <i/>
        <sz val="9"/>
        <color indexed="8"/>
        <rFont val="Calibri"/>
        <family val="2"/>
        <charset val="238"/>
      </rPr>
      <t xml:space="preserve"> zysk netto/(kapitał własny-zysk netto)</t>
    </r>
  </si>
  <si>
    <r>
      <rPr>
        <i/>
        <vertAlign val="superscript"/>
        <sz val="9"/>
        <color indexed="8"/>
        <rFont val="Calibri"/>
        <family val="2"/>
        <charset val="238"/>
      </rPr>
      <t>4)</t>
    </r>
    <r>
      <rPr>
        <i/>
        <sz val="9"/>
        <color indexed="8"/>
        <rFont val="Calibri"/>
        <family val="2"/>
        <charset val="238"/>
      </rPr>
      <t xml:space="preserve"> net profit/(equity-net profit)</t>
    </r>
  </si>
  <si>
    <r>
      <rPr>
        <i/>
        <vertAlign val="superscript"/>
        <sz val="9"/>
        <color indexed="8"/>
        <rFont val="Calibri"/>
        <family val="2"/>
        <charset val="238"/>
      </rPr>
      <t>5)</t>
    </r>
    <r>
      <rPr>
        <i/>
        <sz val="9"/>
        <color indexed="8"/>
        <rFont val="Calibri"/>
        <family val="2"/>
        <charset val="238"/>
      </rPr>
      <t xml:space="preserve"> aktywa bieżące/zobowiązania bieżące</t>
    </r>
  </si>
  <si>
    <r>
      <rPr>
        <i/>
        <vertAlign val="superscript"/>
        <sz val="9"/>
        <color indexed="8"/>
        <rFont val="Calibri"/>
        <family val="2"/>
        <charset val="238"/>
      </rPr>
      <t>5)</t>
    </r>
    <r>
      <rPr>
        <i/>
        <sz val="9"/>
        <color indexed="8"/>
        <rFont val="Calibri"/>
        <family val="2"/>
        <charset val="238"/>
      </rPr>
      <t xml:space="preserve"> current assets/current liabilities</t>
    </r>
  </si>
  <si>
    <r>
      <rPr>
        <i/>
        <vertAlign val="superscript"/>
        <sz val="9"/>
        <color indexed="8"/>
        <rFont val="Calibri"/>
        <family val="2"/>
        <charset val="238"/>
      </rPr>
      <t xml:space="preserve">6) </t>
    </r>
    <r>
      <rPr>
        <i/>
        <sz val="9"/>
        <color indexed="8"/>
        <rFont val="Calibri"/>
        <family val="2"/>
        <charset val="238"/>
      </rPr>
      <t>zobowiązania ogółem/aktywa ogółem</t>
    </r>
  </si>
  <si>
    <r>
      <rPr>
        <i/>
        <vertAlign val="superscript"/>
        <sz val="9"/>
        <color indexed="8"/>
        <rFont val="Calibri"/>
        <family val="2"/>
        <charset val="238"/>
      </rPr>
      <t>6)</t>
    </r>
    <r>
      <rPr>
        <i/>
        <sz val="9"/>
        <color indexed="8"/>
        <rFont val="Calibri"/>
        <family val="2"/>
        <charset val="238"/>
      </rPr>
      <t xml:space="preserve"> total liabilities/total assets</t>
    </r>
  </si>
  <si>
    <r>
      <rPr>
        <i/>
        <vertAlign val="superscript"/>
        <sz val="9"/>
        <color indexed="8"/>
        <rFont val="Calibri"/>
        <family val="2"/>
        <charset val="238"/>
      </rPr>
      <t>7)</t>
    </r>
    <r>
      <rPr>
        <i/>
        <sz val="9"/>
        <color indexed="8"/>
        <rFont val="Calibri"/>
        <family val="2"/>
        <charset val="238"/>
      </rPr>
      <t xml:space="preserve"> Grupa Netia konsolidowana od 22 maja 2018 roku.</t>
    </r>
  </si>
  <si>
    <r>
      <rPr>
        <i/>
        <vertAlign val="superscript"/>
        <sz val="9"/>
        <color indexed="8"/>
        <rFont val="Calibri"/>
        <family val="2"/>
        <charset val="238"/>
      </rPr>
      <t>7)</t>
    </r>
    <r>
      <rPr>
        <i/>
        <sz val="9"/>
        <color indexed="8"/>
        <rFont val="Calibri"/>
        <family val="2"/>
        <charset val="238"/>
      </rPr>
      <t xml:space="preserve"> Netia Group consolidated as of May 22, 2018.</t>
    </r>
  </si>
  <si>
    <r>
      <t>SEGMENT USŁUG B2C i B2B</t>
    </r>
    <r>
      <rPr>
        <b/>
        <vertAlign val="superscript"/>
        <sz val="10"/>
        <color theme="0"/>
        <rFont val="Calibri"/>
        <family val="2"/>
        <charset val="238"/>
        <scheme val="minor"/>
      </rPr>
      <t>1)</t>
    </r>
  </si>
  <si>
    <r>
      <t>B2C AND B2B SERVICES SEGMENT</t>
    </r>
    <r>
      <rPr>
        <b/>
        <vertAlign val="superscript"/>
        <sz val="10"/>
        <color theme="0"/>
        <rFont val="Calibri"/>
        <family val="2"/>
        <charset val="238"/>
        <scheme val="minor"/>
      </rPr>
      <t>1)</t>
    </r>
  </si>
  <si>
    <t>1Q</t>
  </si>
  <si>
    <t>2Q</t>
  </si>
  <si>
    <t>3Q</t>
  </si>
  <si>
    <t>4Q</t>
  </si>
  <si>
    <t>USŁUGI KONTRAKTOWE ŚWIADCZONE KLIENTOM B2C</t>
  </si>
  <si>
    <t>CONTRACT SERVICES PROVIDED TO B2C CUSTOMERS</t>
  </si>
  <si>
    <t>Łączna liczba RGU B2C (w tys.,na koniec okresu), w tym:</t>
  </si>
  <si>
    <t>Total number of B2C RGUs (in thous., EOP), including:</t>
  </si>
  <si>
    <t>Płatna telewizja</t>
  </si>
  <si>
    <t>Pay TV (main contract)</t>
  </si>
  <si>
    <t>Telefonia komórkowa</t>
  </si>
  <si>
    <t>Mobile telephony</t>
  </si>
  <si>
    <t xml:space="preserve">Internet </t>
  </si>
  <si>
    <t>Internet</t>
  </si>
  <si>
    <t>Liczba klientów B2C (w tys., na koniec okresu)</t>
  </si>
  <si>
    <t>Number of B2C customers (in thous., EOP)</t>
  </si>
  <si>
    <r>
      <t>ARPU na klienta B2C</t>
    </r>
    <r>
      <rPr>
        <vertAlign val="superscript"/>
        <sz val="9"/>
        <color rgb="FF000000"/>
        <rFont val="Calibri"/>
        <family val="2"/>
        <charset val="238"/>
        <scheme val="minor"/>
      </rPr>
      <t>3)</t>
    </r>
    <r>
      <rPr>
        <sz val="9"/>
        <color rgb="FF000000"/>
        <rFont val="Calibri"/>
        <family val="2"/>
        <charset val="238"/>
        <scheme val="minor"/>
      </rPr>
      <t xml:space="preserve"> (PLN)</t>
    </r>
  </si>
  <si>
    <r>
      <t>ARPU per B2C customer</t>
    </r>
    <r>
      <rPr>
        <vertAlign val="superscript"/>
        <sz val="9"/>
        <color rgb="FF000000"/>
        <rFont val="Calibri"/>
        <family val="2"/>
        <charset val="238"/>
        <scheme val="minor"/>
      </rPr>
      <t>3)</t>
    </r>
    <r>
      <rPr>
        <sz val="9"/>
        <color rgb="FF000000"/>
        <rFont val="Calibri"/>
        <family val="2"/>
        <charset val="238"/>
        <scheme val="minor"/>
      </rPr>
      <t xml:space="preserve"> (PLN)</t>
    </r>
  </si>
  <si>
    <r>
      <t>ARPU na klienta B2C</t>
    </r>
    <r>
      <rPr>
        <vertAlign val="superscript"/>
        <sz val="9"/>
        <color rgb="FF000000"/>
        <rFont val="Calibri"/>
        <family val="2"/>
        <charset val="238"/>
        <scheme val="minor"/>
      </rPr>
      <t>3)</t>
    </r>
    <r>
      <rPr>
        <sz val="9"/>
        <color rgb="FF000000"/>
        <rFont val="Calibri"/>
        <family val="2"/>
        <charset val="238"/>
        <scheme val="minor"/>
      </rPr>
      <t xml:space="preserve"> (narastająco, PLN)</t>
    </r>
  </si>
  <si>
    <r>
      <t>ARPU per B2C customer</t>
    </r>
    <r>
      <rPr>
        <vertAlign val="superscript"/>
        <sz val="9"/>
        <color rgb="FF000000"/>
        <rFont val="Calibri"/>
        <family val="2"/>
        <charset val="238"/>
        <scheme val="minor"/>
      </rPr>
      <t>3)</t>
    </r>
    <r>
      <rPr>
        <sz val="9"/>
        <color rgb="FF000000"/>
        <rFont val="Calibri"/>
        <family val="2"/>
        <charset val="238"/>
        <scheme val="minor"/>
      </rPr>
      <t xml:space="preserve"> (YTD, PLN)</t>
    </r>
  </si>
  <si>
    <r>
      <t>Churn w segmencie B2C</t>
    </r>
    <r>
      <rPr>
        <vertAlign val="superscript"/>
        <sz val="9"/>
        <color rgb="FF000000"/>
        <rFont val="Calibri"/>
        <family val="2"/>
        <charset val="238"/>
        <scheme val="minor"/>
      </rPr>
      <t>4)</t>
    </r>
  </si>
  <si>
    <r>
      <t>Churn in B2C subsegment</t>
    </r>
    <r>
      <rPr>
        <vertAlign val="superscript"/>
        <sz val="9"/>
        <color rgb="FF000000"/>
        <rFont val="Calibri"/>
        <family val="2"/>
        <charset val="238"/>
        <scheme val="minor"/>
      </rPr>
      <t>4)</t>
    </r>
  </si>
  <si>
    <t>n/a</t>
  </si>
  <si>
    <t>Wskaźnik nasycenia RGU na klienta B2C</t>
  </si>
  <si>
    <t xml:space="preserve">RGU saturation per one B2C customer </t>
  </si>
  <si>
    <t>USŁUGI PRZEDPŁACONE</t>
  </si>
  <si>
    <t>PREPAID SERVICES</t>
  </si>
  <si>
    <t>Łączna liczba RGU (w tys., na koniec okresu), w tym:</t>
  </si>
  <si>
    <t>Total number of RGUs (in thous., EOP), including:</t>
  </si>
  <si>
    <t xml:space="preserve">Płatna telewizja </t>
  </si>
  <si>
    <t>Pay TV</t>
  </si>
  <si>
    <t xml:space="preserve">Mobile telephony </t>
  </si>
  <si>
    <t>Internet mobilny</t>
  </si>
  <si>
    <t xml:space="preserve">Mobile internet </t>
  </si>
  <si>
    <r>
      <t>ARPU na RGU prepaid</t>
    </r>
    <r>
      <rPr>
        <vertAlign val="superscript"/>
        <sz val="9"/>
        <color rgb="FF000000"/>
        <rFont val="Calibri"/>
        <family val="2"/>
        <charset val="238"/>
        <scheme val="minor"/>
      </rPr>
      <t>5)</t>
    </r>
    <r>
      <rPr>
        <sz val="9"/>
        <color rgb="FF000000"/>
        <rFont val="Calibri"/>
        <family val="2"/>
        <charset val="238"/>
        <scheme val="minor"/>
      </rPr>
      <t xml:space="preserve"> (PLN)</t>
    </r>
  </si>
  <si>
    <r>
      <t>ARPU per prepaid RGU</t>
    </r>
    <r>
      <rPr>
        <vertAlign val="superscript"/>
        <sz val="9"/>
        <color rgb="FF000000"/>
        <rFont val="Calibri"/>
        <family val="2"/>
        <charset val="238"/>
        <scheme val="minor"/>
      </rPr>
      <t>5)</t>
    </r>
    <r>
      <rPr>
        <sz val="9"/>
        <color rgb="FF000000"/>
        <rFont val="Calibri"/>
        <family val="2"/>
        <charset val="238"/>
        <scheme val="minor"/>
      </rPr>
      <t xml:space="preserve"> (PLN)</t>
    </r>
  </si>
  <si>
    <r>
      <t>ARPU na RGU prepaid</t>
    </r>
    <r>
      <rPr>
        <vertAlign val="superscript"/>
        <sz val="9"/>
        <rFont val="Calibri"/>
        <family val="2"/>
        <charset val="238"/>
        <scheme val="minor"/>
      </rPr>
      <t>5)</t>
    </r>
    <r>
      <rPr>
        <sz val="9"/>
        <rFont val="Calibri"/>
        <family val="2"/>
        <charset val="238"/>
        <scheme val="minor"/>
      </rPr>
      <t xml:space="preserve"> (narastająco, PLN)</t>
    </r>
  </si>
  <si>
    <r>
      <t>ARPU per prepaid RGU</t>
    </r>
    <r>
      <rPr>
        <vertAlign val="superscript"/>
        <sz val="9"/>
        <color rgb="FF000000"/>
        <rFont val="Calibri"/>
        <family val="2"/>
        <charset val="238"/>
        <scheme val="minor"/>
      </rPr>
      <t>5)</t>
    </r>
    <r>
      <rPr>
        <sz val="9"/>
        <color rgb="FF000000"/>
        <rFont val="Calibri"/>
        <family val="2"/>
        <charset val="238"/>
        <scheme val="minor"/>
      </rPr>
      <t xml:space="preserve"> (YTD, PLN)</t>
    </r>
  </si>
  <si>
    <t>USŁUGI KONTRAKTOWE ŚWIADCZONE KLIENTOM B2B</t>
  </si>
  <si>
    <t>CONTRACT SERVICES PROVIDED TO B2B CUSTOMERS</t>
  </si>
  <si>
    <t>Łączna liczba klientów B2B (w tys., na koniec okresu)</t>
  </si>
  <si>
    <t>Total number of B2B customers (in thous., EOP)</t>
  </si>
  <si>
    <r>
      <t>ARPU na klienta B2B</t>
    </r>
    <r>
      <rPr>
        <vertAlign val="superscript"/>
        <sz val="9"/>
        <color rgb="FF000000"/>
        <rFont val="Calibri"/>
        <family val="2"/>
        <charset val="238"/>
        <scheme val="minor"/>
      </rPr>
      <t>3)</t>
    </r>
    <r>
      <rPr>
        <sz val="9"/>
        <color rgb="FF000000"/>
        <rFont val="Calibri"/>
        <family val="2"/>
        <charset val="238"/>
        <scheme val="minor"/>
      </rPr>
      <t xml:space="preserve"> (PLN)</t>
    </r>
  </si>
  <si>
    <r>
      <t>ARPU per B2B customer</t>
    </r>
    <r>
      <rPr>
        <vertAlign val="superscript"/>
        <sz val="9"/>
        <color rgb="FF000000"/>
        <rFont val="Calibri"/>
        <family val="2"/>
        <charset val="238"/>
        <scheme val="minor"/>
      </rPr>
      <t>3)</t>
    </r>
    <r>
      <rPr>
        <sz val="9"/>
        <color rgb="FF000000"/>
        <rFont val="Calibri"/>
        <family val="2"/>
        <charset val="238"/>
        <scheme val="minor"/>
      </rPr>
      <t xml:space="preserve"> (PLN)</t>
    </r>
  </si>
  <si>
    <r>
      <t>ARPU na klienta B2B</t>
    </r>
    <r>
      <rPr>
        <vertAlign val="superscript"/>
        <sz val="9"/>
        <color rgb="FF000000"/>
        <rFont val="Calibri"/>
        <family val="2"/>
        <charset val="238"/>
        <scheme val="minor"/>
      </rPr>
      <t>3)</t>
    </r>
    <r>
      <rPr>
        <sz val="9"/>
        <color rgb="FF000000"/>
        <rFont val="Calibri"/>
        <family val="2"/>
        <charset val="238"/>
        <scheme val="minor"/>
      </rPr>
      <t xml:space="preserve"> (narastająco, PLN)</t>
    </r>
  </si>
  <si>
    <r>
      <t>ARPU per B2B customer</t>
    </r>
    <r>
      <rPr>
        <vertAlign val="superscript"/>
        <sz val="9"/>
        <color rgb="FF000000"/>
        <rFont val="Calibri"/>
        <family val="2"/>
        <charset val="238"/>
        <scheme val="minor"/>
      </rPr>
      <t>3)</t>
    </r>
    <r>
      <rPr>
        <sz val="9"/>
        <color rgb="FF000000"/>
        <rFont val="Calibri"/>
        <family val="2"/>
        <charset val="238"/>
        <scheme val="minor"/>
      </rPr>
      <t xml:space="preserve"> (YTD, PLN)</t>
    </r>
  </si>
  <si>
    <t>1) Klient - osoba fizyczna, prawna lub jednostka organizacyjna nieposiadającą osobowości prawnej, posiadająca co najmniej jedną, aktywną usługę świadczoną w modelu kontraktowym. Klient identyfikowany jest na poziomie unikalnego numeru PESEL, NIP lub REGON.</t>
  </si>
  <si>
    <t>1) Customer - natural person, legal entity or an organizational unit without legal personality who has at least one active service provided in a contract model. The Customer is identified by a unique national identification number (PESEL), tax identification number (NIP) or national business registry number (REGON).</t>
  </si>
  <si>
    <t>2) RGU (revenue generating unit) - pojedyncza, aktywna, generująca przychód detaliczny usługa płatnej telewizji świadczonej w dowolnej technologii, dostępu do Internetu mobilnego lub przewodowego lub telefonii komórkowej, świadczona w modelu kontraktowym lub przedpłaconym.</t>
  </si>
  <si>
    <t xml:space="preserve">2) RGU (revenue generating unit) - single, active and retail revenue generating service of pay TV provided in all types of access technologies, mobile or fixed internet access or mobile telephony provided in the contract or prepaid model. </t>
  </si>
  <si>
    <r>
      <t>3) ARPU na klienta - Średni miesięczny przychód detaliczny od Klienta wygenerowany w danym okresie rozliczeniowym.</t>
    </r>
    <r>
      <rPr>
        <strike/>
        <sz val="9"/>
        <rFont val="Calibri"/>
        <family val="2"/>
        <charset val="238"/>
      </rPr>
      <t xml:space="preserve">
</t>
    </r>
  </si>
  <si>
    <t>3) ARPU per B2C/B2B customer - average monthly retail revenue per customer generated in a given settlement period.</t>
  </si>
  <si>
    <t xml:space="preserve">4) Churn (współczynnik odejść lub odpływu) - rozwiązanie umowy z Klientem B2C w drodze wypowiedzenia, windykacji lub innych działań, skutkujące tym, że po skutecznym rozwiązaniu umowy, Klient nie posiada żadnej aktywnej usługi świadczonej w modelu kontraktowym. Wskaźnik churn prezentuje stosunek liczby klientów, którym dezaktywowano ostatnią usługę (w drodze wypowiedzenia, jak i dezaktywacji w wyniku działań windykacyjnych lub z innych przyczyn) w okresie ostatnich 12 miesięcy do średniorocznej liczby klientów w tym 12 miesięcznym okresie. </t>
  </si>
  <si>
    <t xml:space="preserve">4) Churn - termination of the contract with a B2C customer by means of a termination notice, collections or other activities resulting in the situation that after the termination of the contract the customer does not have any active service provided in the contract model. Churn rate presents the relation of the number of customers for whom the last service has been deactivated (by means of a termination notice as well as deactivation as a result of collection activities or other reasons) within the last 12 months to the annual average number of customers in this 12-month period. 
</t>
  </si>
  <si>
    <t>5) ARPU na RGU - średni miesięczny przychód detaliczny wygenerowany w danym okresie rozliczeniowym w przeliczeniu na jednostkę RGU prepaid.</t>
  </si>
  <si>
    <t>5) ARPU per total prepaid RGU - average monthly revenue per prepaid RGU generated in a given settlement period.</t>
  </si>
  <si>
    <r>
      <t xml:space="preserve">udział w oglądalności </t>
    </r>
    <r>
      <rPr>
        <b/>
        <vertAlign val="superscript"/>
        <sz val="11"/>
        <color theme="0"/>
        <rFont val="Calibri"/>
        <family val="2"/>
        <charset val="238"/>
        <scheme val="minor"/>
      </rPr>
      <t>(1)</t>
    </r>
  </si>
  <si>
    <r>
      <t>audience shares</t>
    </r>
    <r>
      <rPr>
        <b/>
        <vertAlign val="superscript"/>
        <sz val="11"/>
        <color theme="0"/>
        <rFont val="Calibri"/>
        <family val="2"/>
        <charset val="238"/>
        <scheme val="minor"/>
      </rPr>
      <t>(1)</t>
    </r>
  </si>
  <si>
    <r>
      <t xml:space="preserve">Grupa Polsat </t>
    </r>
    <r>
      <rPr>
        <b/>
        <vertAlign val="superscript"/>
        <sz val="11"/>
        <color theme="1"/>
        <rFont val="Calibri"/>
        <family val="2"/>
        <charset val="238"/>
        <scheme val="minor"/>
      </rPr>
      <t>(1)</t>
    </r>
    <r>
      <rPr>
        <b/>
        <sz val="11"/>
        <color theme="1"/>
        <rFont val="Calibri"/>
        <family val="2"/>
        <charset val="238"/>
        <scheme val="minor"/>
      </rPr>
      <t>, w tym:</t>
    </r>
  </si>
  <si>
    <r>
      <t xml:space="preserve">Polsat Group </t>
    </r>
    <r>
      <rPr>
        <b/>
        <vertAlign val="superscript"/>
        <sz val="11"/>
        <color theme="1"/>
        <rFont val="Calibri"/>
        <family val="2"/>
        <charset val="238"/>
        <scheme val="minor"/>
      </rPr>
      <t>(1)</t>
    </r>
    <r>
      <rPr>
        <b/>
        <sz val="11"/>
        <color theme="1"/>
        <rFont val="Calibri"/>
        <family val="2"/>
        <charset val="238"/>
        <scheme val="minor"/>
      </rPr>
      <t>, including:</t>
    </r>
  </si>
  <si>
    <t xml:space="preserve">    POLSAT (kanał główny)</t>
  </si>
  <si>
    <t xml:space="preserve">    POLSAT (main channel)</t>
  </si>
  <si>
    <t xml:space="preserve">    Pozostałe kanały</t>
  </si>
  <si>
    <t>Other channels</t>
  </si>
  <si>
    <r>
      <t>Grupa Warner Bros.Discovery</t>
    </r>
    <r>
      <rPr>
        <vertAlign val="superscript"/>
        <sz val="11"/>
        <color rgb="FF000000"/>
        <rFont val="Calibri"/>
        <family val="2"/>
        <charset val="238"/>
        <scheme val="minor"/>
      </rPr>
      <t>(6)</t>
    </r>
  </si>
  <si>
    <r>
      <t>Warner Bros.Discovery Group</t>
    </r>
    <r>
      <rPr>
        <vertAlign val="superscript"/>
        <sz val="11"/>
        <color rgb="FF000000"/>
        <rFont val="Calibri"/>
        <family val="2"/>
        <charset val="238"/>
        <scheme val="minor"/>
      </rPr>
      <t>(6)</t>
    </r>
  </si>
  <si>
    <t>Grupa TVP</t>
  </si>
  <si>
    <t>TVP Group</t>
  </si>
  <si>
    <r>
      <t>reklama telewizyjna</t>
    </r>
    <r>
      <rPr>
        <sz val="11"/>
        <color theme="0"/>
        <rFont val="Calibri"/>
        <family val="2"/>
        <charset val="238"/>
        <scheme val="minor"/>
      </rPr>
      <t xml:space="preserve"> (mln PLN)</t>
    </r>
  </si>
  <si>
    <r>
      <t xml:space="preserve">TV ad market </t>
    </r>
    <r>
      <rPr>
        <sz val="11"/>
        <color theme="0"/>
        <rFont val="Calibri"/>
        <family val="2"/>
        <charset val="238"/>
        <scheme val="minor"/>
      </rPr>
      <t>(mPLN)</t>
    </r>
  </si>
  <si>
    <r>
      <t>Wydatki na reklamę telewizyjną
i sponsoring na całym rynku</t>
    </r>
    <r>
      <rPr>
        <vertAlign val="superscript"/>
        <sz val="11"/>
        <color rgb="FF000000"/>
        <rFont val="Calibri"/>
        <family val="2"/>
        <charset val="238"/>
        <scheme val="minor"/>
      </rPr>
      <t>(2)</t>
    </r>
    <r>
      <rPr>
        <sz val="11"/>
        <color rgb="FF000000"/>
        <rFont val="Calibri"/>
        <family val="2"/>
        <charset val="238"/>
        <scheme val="minor"/>
      </rPr>
      <t xml:space="preserve"> </t>
    </r>
  </si>
  <si>
    <r>
      <t>Market expenditures on TV advertising
and sponsorship of Polsat Group</t>
    </r>
    <r>
      <rPr>
        <vertAlign val="superscript"/>
        <sz val="11"/>
        <color rgb="FF000000"/>
        <rFont val="Calibri"/>
        <family val="2"/>
        <charset val="238"/>
        <scheme val="minor"/>
      </rPr>
      <t>(2)</t>
    </r>
    <r>
      <rPr>
        <sz val="11"/>
        <color rgb="FF000000"/>
        <rFont val="Calibri"/>
        <family val="2"/>
        <charset val="238"/>
        <scheme val="minor"/>
      </rPr>
      <t xml:space="preserve"> </t>
    </r>
  </si>
  <si>
    <r>
      <t>Przychody z reklamy i sponsoringu Grupy TV Polsat</t>
    </r>
    <r>
      <rPr>
        <b/>
        <vertAlign val="superscript"/>
        <sz val="11"/>
        <color rgb="FF000000"/>
        <rFont val="Calibri"/>
        <family val="2"/>
        <charset val="238"/>
        <scheme val="minor"/>
      </rPr>
      <t>(3)</t>
    </r>
  </si>
  <si>
    <r>
      <t>Revenue from advertising and
sponsorship of TV Polsat Group</t>
    </r>
    <r>
      <rPr>
        <b/>
        <vertAlign val="superscript"/>
        <sz val="11"/>
        <color rgb="FF000000"/>
        <rFont val="Calibri"/>
        <family val="2"/>
        <charset val="238"/>
        <scheme val="minor"/>
      </rPr>
      <t>(3)</t>
    </r>
    <r>
      <rPr>
        <b/>
        <sz val="11"/>
        <color rgb="FF000000"/>
        <rFont val="Calibri"/>
        <family val="2"/>
        <charset val="238"/>
        <scheme val="minor"/>
      </rPr>
      <t xml:space="preserve"> </t>
    </r>
  </si>
  <si>
    <r>
      <t>Udział w rynku reklamy Grupy TV Polsat</t>
    </r>
    <r>
      <rPr>
        <b/>
        <vertAlign val="superscript"/>
        <sz val="11"/>
        <color rgb="FF000000"/>
        <rFont val="Calibri"/>
        <family val="2"/>
        <charset val="238"/>
        <scheme val="minor"/>
      </rPr>
      <t>(4,2)</t>
    </r>
  </si>
  <si>
    <r>
      <t>Advertising market share of Polsat Group</t>
    </r>
    <r>
      <rPr>
        <b/>
        <vertAlign val="superscript"/>
        <sz val="11"/>
        <color rgb="FF000000"/>
        <rFont val="Calibri"/>
        <family val="2"/>
        <charset val="238"/>
        <scheme val="minor"/>
      </rPr>
      <t>(4,2)</t>
    </r>
  </si>
  <si>
    <t>GRUPA POLSAT-INTERIA</t>
  </si>
  <si>
    <t>POLSAT-INTERIA GROUP</t>
  </si>
  <si>
    <t>Średniomiesięczna liczba użytkowników (real users)</t>
  </si>
  <si>
    <t>Average monthly number of users (real users)</t>
  </si>
  <si>
    <t>real users (mln)</t>
  </si>
  <si>
    <t>real users (m)</t>
  </si>
  <si>
    <r>
      <t>Grupa Polsat-Interia</t>
    </r>
    <r>
      <rPr>
        <b/>
        <vertAlign val="superscript"/>
        <sz val="11"/>
        <color theme="1"/>
        <rFont val="Calibri"/>
        <family val="2"/>
        <charset val="238"/>
        <scheme val="minor"/>
      </rPr>
      <t>(1)</t>
    </r>
  </si>
  <si>
    <r>
      <t>Polsat-Interia Group</t>
    </r>
    <r>
      <rPr>
        <b/>
        <vertAlign val="superscript"/>
        <sz val="11"/>
        <color theme="1"/>
        <rFont val="Calibri"/>
        <family val="2"/>
        <charset val="238"/>
        <scheme val="minor"/>
      </rPr>
      <t>(1)</t>
    </r>
  </si>
  <si>
    <t>Grupa Wirtualna Polska</t>
  </si>
  <si>
    <t>Wirtualna Polska Group</t>
  </si>
  <si>
    <t>Grupa RAS Polska</t>
  </si>
  <si>
    <t>RAS Polska Group</t>
  </si>
  <si>
    <t>Grupa Polska Press</t>
  </si>
  <si>
    <t>Polska Press Group</t>
  </si>
  <si>
    <t>Grupa Agora</t>
  </si>
  <si>
    <t>Agora Group</t>
  </si>
  <si>
    <t>Średniomiesięczna liczba odsłon</t>
  </si>
  <si>
    <t>Average monthly number of page views</t>
  </si>
  <si>
    <t>odsłony (mln)</t>
  </si>
  <si>
    <t>page views (m)</t>
  </si>
  <si>
    <r>
      <t>Grupa Polsat-Interia</t>
    </r>
    <r>
      <rPr>
        <b/>
        <vertAlign val="superscript"/>
        <sz val="11"/>
        <color theme="1"/>
        <rFont val="Calibri"/>
        <family val="2"/>
        <charset val="238"/>
        <scheme val="minor"/>
      </rPr>
      <t>(5)</t>
    </r>
  </si>
  <si>
    <r>
      <t>Polsat-Interia Group</t>
    </r>
    <r>
      <rPr>
        <b/>
        <vertAlign val="superscript"/>
        <sz val="11"/>
        <color theme="1"/>
        <rFont val="Calibri"/>
        <family val="2"/>
        <charset val="238"/>
        <scheme val="minor"/>
      </rPr>
      <t>(5)</t>
    </r>
  </si>
  <si>
    <t xml:space="preserve">Źródło: 1Q18 - 3Q20 - Gemius/PBI, 4Q20 i poźniej - Mediapanel, liczba użytkowników – wskaźnik real users
(1) Nielsen Audience Measurement, udział w oglądalności w grupie wszyscy 16-49 lat, cała doba, uwzględniono Live+2 (oglądalność z dnia emisji i z 2 kolejnych dni (tzw. Time Shifted Viewing), od września 2021 r. z uwzględnieniem oglądalności poza miejscem zamieszkania (tzw. widownia OOH); od stycznia 2021 r. udział w oglądalności w grupie wszyscy 16-59 lat
(2) Publicis Groupe, reklama spotowa i sponsoring (uwaga: dane mogą podlegać korektom wstecznym)
(3) Przychody z reklamy i sponsoringu Grupy Telewizji Polsat wg definicji Publicis Groupe
(4) Szacunki własne na podstawie danych Publicis Groupe
(5) dane za 2018, 2019 i H1'20 dla Grupy Cyfrowy Polsat
(6) Grupa powstała 8 kwietnia 2022 r. w wyniku fuzji spółek WarnerMedia i Discovery, dane sprzed tego okresu dotyczą kanałów należących do Grupy Discovery </t>
  </si>
  <si>
    <t>Source: 1Q18 - 3Q20 - Gemius/PBI, 4Q20 - Mediapanel, number of users – real users (RU) indicator
Note: (1) Nielsen Audience Measurement, All 16‐49, all day, SHR%, including Live+2, Audience shares include both live broadcasting and broadcasting during 2 consecutive days (i.e. Time Shifted Viewing), starting from September 2021 also including OOH viewership; starting from January 2021 16‐59 age group.
(2) Publicis Groupe, spot advertising and sponsorship (note: data may be subject to retrospective correction)
(3)  Revenue from advertising and sponsorship of TV Polsat Group according to Publicis Groupe definition 
(4) Own estimates based on Publicis Groupe data 
(5) data for 2018, 2019 and H1'20 for Cyfrowy Polsat
(6) The group was established on April 8, 2022 as a result of the merger of WarnerMedia and Discovery, data before that period refer to channels belonging to Discovery Group</t>
  </si>
  <si>
    <t>Produkcja całkowita energii elektrycznej [GWh]</t>
  </si>
  <si>
    <t>Total electricity generation [GWh]</t>
  </si>
  <si>
    <t>Biomasa</t>
  </si>
  <si>
    <t>Biomass</t>
  </si>
  <si>
    <t>Fotowoltaika</t>
  </si>
  <si>
    <t>Photovoltaics</t>
  </si>
  <si>
    <t>Farmy wiatrowe na lądzie</t>
  </si>
  <si>
    <t>Wind farms onshore</t>
  </si>
  <si>
    <t>1) Konsolidacja segmentu Zielona Energia od 3 lipca 2023 roku.</t>
  </si>
  <si>
    <t>1) Consolidation of the Green Energy segment as of 3 July 2023</t>
  </si>
  <si>
    <r>
      <t xml:space="preserve">FY 2018 </t>
    </r>
    <r>
      <rPr>
        <b/>
        <vertAlign val="superscript"/>
        <sz val="10"/>
        <color theme="0"/>
        <rFont val="Calibri"/>
        <family val="2"/>
        <charset val="238"/>
        <scheme val="minor"/>
      </rPr>
      <t>6</t>
    </r>
  </si>
  <si>
    <r>
      <t>2Q</t>
    </r>
    <r>
      <rPr>
        <b/>
        <vertAlign val="superscript"/>
        <sz val="10"/>
        <color theme="0"/>
        <rFont val="Calibri"/>
        <family val="2"/>
        <charset val="238"/>
        <scheme val="minor"/>
      </rPr>
      <t>6</t>
    </r>
  </si>
  <si>
    <r>
      <t>3Q</t>
    </r>
    <r>
      <rPr>
        <b/>
        <vertAlign val="superscript"/>
        <sz val="10"/>
        <color theme="0"/>
        <rFont val="Calibri"/>
        <family val="2"/>
        <charset val="238"/>
        <scheme val="minor"/>
      </rPr>
      <t>6</t>
    </r>
  </si>
  <si>
    <r>
      <t>4Q</t>
    </r>
    <r>
      <rPr>
        <b/>
        <vertAlign val="superscript"/>
        <sz val="10"/>
        <color theme="0"/>
        <rFont val="Calibri"/>
        <family val="2"/>
        <charset val="238"/>
        <scheme val="minor"/>
      </rPr>
      <t>6</t>
    </r>
  </si>
  <si>
    <r>
      <t>1Q</t>
    </r>
    <r>
      <rPr>
        <b/>
        <vertAlign val="superscript"/>
        <sz val="10"/>
        <color theme="0"/>
        <rFont val="Calibri"/>
        <family val="2"/>
        <charset val="238"/>
        <scheme val="minor"/>
      </rPr>
      <t>6</t>
    </r>
  </si>
  <si>
    <r>
      <t>Łączna liczba RGU</t>
    </r>
    <r>
      <rPr>
        <b/>
        <vertAlign val="superscript"/>
        <sz val="10"/>
        <rFont val="Calibri"/>
        <family val="2"/>
        <charset val="238"/>
        <scheme val="minor"/>
      </rPr>
      <t>2)</t>
    </r>
    <r>
      <rPr>
        <b/>
        <sz val="10"/>
        <rFont val="Calibri"/>
        <family val="2"/>
        <charset val="238"/>
        <scheme val="minor"/>
      </rPr>
      <t xml:space="preserve"> (kontraktowe+przedpłacone)</t>
    </r>
  </si>
  <si>
    <r>
      <t>Total number of RGUs</t>
    </r>
    <r>
      <rPr>
        <b/>
        <vertAlign val="superscript"/>
        <sz val="10"/>
        <rFont val="Calibri"/>
        <family val="2"/>
        <charset val="238"/>
        <scheme val="minor"/>
      </rPr>
      <t>2)</t>
    </r>
    <r>
      <rPr>
        <b/>
        <sz val="10"/>
        <rFont val="Calibri"/>
        <family val="2"/>
        <charset val="238"/>
        <scheme val="minor"/>
      </rPr>
      <t xml:space="preserve"> (contract + prepaid), EOP</t>
    </r>
  </si>
  <si>
    <t>n/d</t>
  </si>
  <si>
    <t>USŁUGI KONTRAKTOWE</t>
  </si>
  <si>
    <t>CONTRACT SERVICES</t>
  </si>
  <si>
    <t>Łączna liczba RGU na koniec okresu, w tym:</t>
  </si>
  <si>
    <t>Total number of RGUs (EOP), including:</t>
  </si>
  <si>
    <t>Płatna telewizja, w tym:</t>
  </si>
  <si>
    <t>Pay TV, including:</t>
  </si>
  <si>
    <t>Multiroom</t>
  </si>
  <si>
    <t>Liczba klientów</t>
  </si>
  <si>
    <t>Number of customers</t>
  </si>
  <si>
    <r>
      <t>ARPU na klienta</t>
    </r>
    <r>
      <rPr>
        <b/>
        <vertAlign val="superscript"/>
        <sz val="9"/>
        <color rgb="FF000000"/>
        <rFont val="Calibri"/>
        <family val="2"/>
        <charset val="238"/>
        <scheme val="minor"/>
      </rPr>
      <t>3)</t>
    </r>
    <r>
      <rPr>
        <b/>
        <sz val="9"/>
        <color rgb="FF000000"/>
        <rFont val="Calibri"/>
        <family val="2"/>
        <charset val="238"/>
        <scheme val="minor"/>
      </rPr>
      <t xml:space="preserve"> [PLN]</t>
    </r>
  </si>
  <si>
    <r>
      <t>ARPU per customer</t>
    </r>
    <r>
      <rPr>
        <b/>
        <vertAlign val="superscript"/>
        <sz val="9"/>
        <color rgb="FF000000"/>
        <rFont val="Calibri"/>
        <family val="2"/>
        <charset val="238"/>
        <scheme val="minor"/>
      </rPr>
      <t>3)</t>
    </r>
    <r>
      <rPr>
        <b/>
        <sz val="9"/>
        <color rgb="FF000000"/>
        <rFont val="Calibri"/>
        <family val="2"/>
        <charset val="238"/>
        <scheme val="minor"/>
      </rPr>
      <t xml:space="preserve"> [PLN]</t>
    </r>
  </si>
  <si>
    <r>
      <t>ARPU na klienta</t>
    </r>
    <r>
      <rPr>
        <vertAlign val="superscript"/>
        <sz val="9"/>
        <color rgb="FF000000"/>
        <rFont val="Calibri"/>
        <family val="2"/>
        <charset val="238"/>
        <scheme val="minor"/>
      </rPr>
      <t>3)</t>
    </r>
    <r>
      <rPr>
        <sz val="9"/>
        <color rgb="FF000000"/>
        <rFont val="Calibri"/>
        <family val="2"/>
        <charset val="238"/>
        <scheme val="minor"/>
      </rPr>
      <t xml:space="preserve"> według MSR 18 [PLN]</t>
    </r>
  </si>
  <si>
    <r>
      <t>ARPU per customer</t>
    </r>
    <r>
      <rPr>
        <vertAlign val="superscript"/>
        <sz val="9"/>
        <color rgb="FF000000"/>
        <rFont val="Calibri"/>
        <family val="2"/>
        <charset val="238"/>
        <scheme val="minor"/>
      </rPr>
      <t xml:space="preserve">3) </t>
    </r>
    <r>
      <rPr>
        <sz val="9"/>
        <color rgb="FF000000"/>
        <rFont val="Calibri"/>
        <family val="2"/>
        <charset val="238"/>
        <scheme val="minor"/>
      </rPr>
      <t>acc. to IAS 18 [PLN]</t>
    </r>
  </si>
  <si>
    <r>
      <t>Churn na klienta</t>
    </r>
    <r>
      <rPr>
        <vertAlign val="superscript"/>
        <sz val="9"/>
        <color rgb="FF000000"/>
        <rFont val="Calibri"/>
        <family val="2"/>
        <charset val="238"/>
        <scheme val="minor"/>
      </rPr>
      <t>4)</t>
    </r>
  </si>
  <si>
    <r>
      <t>Churn per customer</t>
    </r>
    <r>
      <rPr>
        <vertAlign val="superscript"/>
        <sz val="9"/>
        <color rgb="FF000000"/>
        <rFont val="Calibri"/>
        <family val="2"/>
        <charset val="238"/>
        <scheme val="minor"/>
      </rPr>
      <t>4)</t>
    </r>
  </si>
  <si>
    <t xml:space="preserve">Wskaźnik nasycenia RGU na jednego klienta </t>
  </si>
  <si>
    <t xml:space="preserve">RGU saturation per one cusotmer </t>
  </si>
  <si>
    <t>Średnia liczba RGU, w tym:</t>
  </si>
  <si>
    <t>Average number of RGUs, including:</t>
  </si>
  <si>
    <t>Średnia liczba klientów</t>
  </si>
  <si>
    <t>Average number of customers</t>
  </si>
  <si>
    <t>Total number of RGUs, including:</t>
  </si>
  <si>
    <r>
      <t>ARPU na RGU</t>
    </r>
    <r>
      <rPr>
        <vertAlign val="superscript"/>
        <sz val="9"/>
        <color rgb="FF000000"/>
        <rFont val="Calibri"/>
        <family val="2"/>
        <charset val="238"/>
        <scheme val="minor"/>
      </rPr>
      <t>5)</t>
    </r>
    <r>
      <rPr>
        <sz val="9"/>
        <color rgb="FF000000"/>
        <rFont val="Calibri"/>
        <family val="2"/>
        <charset val="238"/>
        <scheme val="minor"/>
      </rPr>
      <t xml:space="preserve"> [PLN]</t>
    </r>
  </si>
  <si>
    <r>
      <t>ARPU per total prepaid RGU</t>
    </r>
    <r>
      <rPr>
        <vertAlign val="superscript"/>
        <sz val="9"/>
        <color rgb="FF000000"/>
        <rFont val="Calibri"/>
        <family val="2"/>
        <charset val="238"/>
        <scheme val="minor"/>
      </rPr>
      <t>5)</t>
    </r>
    <r>
      <rPr>
        <sz val="9"/>
        <color rgb="FF000000"/>
        <rFont val="Calibri"/>
        <family val="2"/>
        <charset val="238"/>
        <scheme val="minor"/>
      </rPr>
      <t xml:space="preserve"> [PLN]</t>
    </r>
  </si>
  <si>
    <t>Average number of RGUs (EOP), including:</t>
  </si>
  <si>
    <t>1) Klient - osoba fizyczna, prawna lub jednostka organizacyjna nieposiadającą osobowości prawnej, posiadająca co najmniej jedną, aktywną usługę świadczoną w modelu kontraktowym.</t>
  </si>
  <si>
    <t xml:space="preserve">1) Customer - natural person, legal entity or an organizational unit without legal personality who has at least one active service provided in a contract model. </t>
  </si>
  <si>
    <t>2) RGU (revenue generating unit) - pojedyncza, aktywna usługa płatnej telewizji, dostępu do Internetu lub telefonii komórkowej, świadczona w modelu kontraktowym lub przedpłaconym.</t>
  </si>
  <si>
    <t xml:space="preserve">2) RGU (revenue generating unit) - single, active service of pay TV, Interneet Access or mobile telephony provided in contract or prepaid model. </t>
  </si>
  <si>
    <t xml:space="preserve">3) ARPU na klienta - Średni miesięczny przychód od Klienta wygenerowany w danym okresie rozliczeniowy (uwzględnia przychody z interconnect)
</t>
  </si>
  <si>
    <t xml:space="preserve">3) ARPU per customer - average monthly revenue per customer generated in a given settlement period (including interconnect revenue). </t>
  </si>
  <si>
    <t xml:space="preserve">4) Churn (współczynnik odejść lub odpływu) - rozwiązanie umowy z Klientem w drodze wypowiedzenia, windykacji lub innych działań, skutkujące tym, że po skutecznym rozwiązaniu umowy, Klient nie posiada żadnej aktywnej usługi świadczonej w modelu kontraktowym. Wskaźnik churn prezentuje stosunek liczby klientów, którym dezaktywowano ostatnią usługę (w drodze wypowiedzenia, jak i dezaktywacji w wyniku działań windykacyjnych lub z innych przyczyn) w okresie ostatnich 12 miesięcy do średniorocznej liczby klientów w tym 12 miesięcznym okresie. </t>
  </si>
  <si>
    <t xml:space="preserve">4) Churn - termination of the contract with Customer by means of the termination notice, collections or other activities resulting in the situation that after termination of the contract the Customer does not have any active service provided in the contract model. Churn rate presents the relation of the number of customers for whom the last service has been deactivated (by means of the termination notice as well as deactivation as a result of collection activities or other reasons) within the last 12 months to the annual average number of customers in this 12-month period. 
</t>
  </si>
  <si>
    <t>5) ARPU na RGU - średni miesięczny przychód od RGU pre-paid wygenerowany w danym okresie rozliczeniowym (uwzględnia przychody z interconnect)</t>
  </si>
  <si>
    <t>5) ARPU per total prepaid RGU - average monthly revenue per prepaid RGU generated in a given settlement period (including interconnect revenue)</t>
  </si>
  <si>
    <t>6) Dane nie obejmują wyników operacyjnych Grupy Netia,  nad którą Grupa Cyfrowy Polsat zaczęła sprawować kontrolę z dniem 22 maja 2018 roku. Z uwagi na fakt że Netia S.A. jest spółką publiczną, notowaną na Giełdzie Papierów Wartościowych w Warszawie, jej szczegółowe wyniki operacyjne i finansowe dostępne są na bieżąco pod adresem: inwestor.netia.pl.</t>
  </si>
  <si>
    <t>6) Operational indicators excluding the results of Netia Group over which Cyfrowy Polsat Group took control effective May 22, 2018. Due to the fact that Netia S.A. is a company listed publically on the Warsaw Stock Exchange in Warsaw, its detailed operational and financial results are continuously available at the address: inwestor.netia.pl.</t>
  </si>
  <si>
    <r>
      <t xml:space="preserve">Q3'24
</t>
    </r>
    <r>
      <rPr>
        <i/>
        <sz val="10"/>
        <color theme="0"/>
        <rFont val="Calibri"/>
        <family val="2"/>
        <charset val="238"/>
      </rPr>
      <t>(dane wg MSSF 16)</t>
    </r>
  </si>
  <si>
    <r>
      <t xml:space="preserve">Q3'24
</t>
    </r>
    <r>
      <rPr>
        <i/>
        <sz val="10"/>
        <color theme="0"/>
        <rFont val="Calibri"/>
        <family val="2"/>
        <charset val="238"/>
      </rPr>
      <t>(IFRS 16 basis)</t>
    </r>
  </si>
  <si>
    <r>
      <t xml:space="preserve">Q4'24
</t>
    </r>
    <r>
      <rPr>
        <i/>
        <sz val="10"/>
        <color theme="0"/>
        <rFont val="Calibri"/>
        <family val="2"/>
        <charset val="238"/>
      </rPr>
      <t>(dane wg MSSF 16)</t>
    </r>
  </si>
  <si>
    <r>
      <t xml:space="preserve">Q4'24
</t>
    </r>
    <r>
      <rPr>
        <i/>
        <sz val="10"/>
        <color theme="0"/>
        <rFont val="Calibri"/>
        <family val="2"/>
        <charset val="238"/>
      </rPr>
      <t>(IFRS 16 basis)</t>
    </r>
  </si>
  <si>
    <r>
      <t xml:space="preserve">2023
</t>
    </r>
    <r>
      <rPr>
        <i/>
        <sz val="10"/>
        <color theme="0"/>
        <rFont val="Calibri"/>
        <family val="2"/>
        <charset val="238"/>
      </rPr>
      <t>(IFRS 16 basis)</t>
    </r>
  </si>
  <si>
    <r>
      <t xml:space="preserve">2024
</t>
    </r>
    <r>
      <rPr>
        <i/>
        <sz val="10"/>
        <color theme="0"/>
        <rFont val="Calibri"/>
        <family val="2"/>
        <charset val="238"/>
      </rPr>
      <t>(dane wg MSSF 16)</t>
    </r>
  </si>
  <si>
    <r>
      <t xml:space="preserve">2024
</t>
    </r>
    <r>
      <rPr>
        <i/>
        <sz val="10"/>
        <color theme="0"/>
        <rFont val="Calibri"/>
        <family val="2"/>
        <charset val="238"/>
      </rPr>
      <t>(IFRS 16 basis)</t>
    </r>
  </si>
  <si>
    <t>5)</t>
  </si>
  <si>
    <t>akcje przeznaczone do obrotu</t>
  </si>
  <si>
    <t>shares held for trading</t>
  </si>
  <si>
    <t>Koszty finansowe</t>
  </si>
  <si>
    <t>Przychody finansowe</t>
  </si>
  <si>
    <t>Financial income</t>
  </si>
  <si>
    <t>Finance costs</t>
  </si>
  <si>
    <t>5) Zmiana prezentacji zysku/straty z działalności inwestycyjnej i kosztów finansowych, netto. Dane za 2023 rok zostały przekształcone, a pozycje zostały zastąpione przez przychody i koszty finansowe.</t>
  </si>
  <si>
    <t>5) Change in the presentation of Gain/Loss on investment activities and finance cost, net. The data for 2023 has been restated, and the items have been replaced by financial income and financial expenses.</t>
  </si>
  <si>
    <r>
      <t>Inne wpływy/(wypływy)</t>
    </r>
    <r>
      <rPr>
        <vertAlign val="superscript"/>
        <sz val="10"/>
        <color indexed="8"/>
        <rFont val="Calibri"/>
        <family val="2"/>
        <charset val="238"/>
      </rPr>
      <t>3)</t>
    </r>
  </si>
  <si>
    <t>Pozostałe przychody ze sprzedaży</t>
  </si>
  <si>
    <t>Other revenue</t>
  </si>
  <si>
    <r>
      <t xml:space="preserve">Q1'25
</t>
    </r>
    <r>
      <rPr>
        <i/>
        <sz val="10"/>
        <color theme="0"/>
        <rFont val="Calibri"/>
        <family val="2"/>
        <charset val="238"/>
      </rPr>
      <t>(dane wg MSSF 16)</t>
    </r>
  </si>
  <si>
    <r>
      <t xml:space="preserve">Q1'25
</t>
    </r>
    <r>
      <rPr>
        <i/>
        <sz val="10"/>
        <color theme="0"/>
        <rFont val="Calibri"/>
        <family val="2"/>
        <charset val="238"/>
      </rPr>
      <t>(IFRS 16 basis)</t>
    </r>
  </si>
  <si>
    <t>2025 (dane wg MSSF 16)</t>
  </si>
  <si>
    <t>2025 (IFRS 16 basis)</t>
  </si>
  <si>
    <t>Jednorazowy koszt wynikający z modyfikacji przepływów pieniężnych w wyniku przedpłaty kredytu</t>
  </si>
  <si>
    <t>Strata na zbyciu akcji Asseco Poland S.A.</t>
  </si>
  <si>
    <t>Wpływ ze zbycia akcji Asseco Poland S.A.</t>
  </si>
  <si>
    <t>akcje/udziały w pozostałych jednostkach wyceniane do wartości godziwej przez wynik finansowy</t>
  </si>
  <si>
    <t>shares in associates valued in fair value through profit or loss</t>
  </si>
  <si>
    <t>Proceeds from the sale of shares in Asseco Poland S.A.</t>
  </si>
  <si>
    <t>Loss on the sale of shares in Asseco Poland S.A.</t>
  </si>
  <si>
    <t>One-off cost resulting from the modification of cash flows due to loan prepayment</t>
  </si>
  <si>
    <t>Odpisy aktualizujące wartość</t>
  </si>
  <si>
    <t>Zbycie aktywów</t>
  </si>
  <si>
    <t>EBITDA   adjusted</t>
  </si>
  <si>
    <t>EBITDA   adjusted margin</t>
  </si>
  <si>
    <t>Gain on disposal of a subsidiary and an associate 2)</t>
  </si>
  <si>
    <t>Disposal of Assets</t>
  </si>
  <si>
    <t>Impairment Losses</t>
  </si>
  <si>
    <t>Zysk/strata ze sprzedaży jednostki zależnej i stowarzyszonej2)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</si>
</sst>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2" formatCode="_-* #,##0\ &quot;zł&quot;_-;\-* #,##0\ &quot;zł&quot;_-;_-* &quot;-&quot;\ &quot;zł&quot;_-;_-@_-"/>
    <numFmt numFmtId="44" formatCode="_-* #,##0.00\ &quot;zł&quot;_-;\-* #,##0.00\ &quot;zł&quot;_-;_-* &quot;-&quot;??\ &quot;zł&quot;_-;_-@_-"/>
    <numFmt numFmtId="43" formatCode="_-* #,##0.00_-;\-* #,##0.00_-;_-* &quot;-&quot;??_-;_-@_-"/>
    <numFmt numFmtId="164" formatCode="_-* #,##0.00\ _z_ł_-;\-* #,##0.00\ _z_ł_-;_-* &quot;-&quot;??\ _z_ł_-;_-@_-"/>
    <numFmt numFmtId="165" formatCode="_(* #,##0_);_(* \(#,##0\);_(* &quot;-&quot;_);_(@_)"/>
    <numFmt numFmtId="166" formatCode="_(* #,##0.00_);_(* \(#,##0.00\);_(* &quot;-&quot;??_);_(@_)"/>
    <numFmt numFmtId="167" formatCode="0.0"/>
    <numFmt numFmtId="168" formatCode="0.000"/>
    <numFmt numFmtId="169" formatCode="0.0%"/>
    <numFmt numFmtId="170" formatCode="#,##0.0"/>
    <numFmt numFmtId="171" formatCode="#,##0.0;\-#,##0.0"/>
    <numFmt numFmtId="172" formatCode="#,##0.0\ ;\(#,##0\)"/>
    <numFmt numFmtId="173" formatCode="#,##0.0\ ;\(#,##0.0\)"/>
    <numFmt numFmtId="174" formatCode="\-"/>
    <numFmt numFmtId="175" formatCode="###0.0"/>
    <numFmt numFmtId="176" formatCode="###0.0;\(###0.0\)"/>
    <numFmt numFmtId="177" formatCode="#,##0.0;\(#,##0.0\)"/>
    <numFmt numFmtId="178" formatCode="_-* #,##0.00\ [$€-1]_-;\-* #,##0.00\ [$€-1]_-;_-* &quot;-&quot;??\ [$€-1]_-"/>
    <numFmt numFmtId="179" formatCode="#,##0.00;\(#,##0.00\)"/>
    <numFmt numFmtId="180" formatCode="##\.##0.0;\(##\.##0.0\)"/>
    <numFmt numFmtId="181" formatCode="#,##0.0\ ;\(#,##0.0\);\-"/>
    <numFmt numFmtId="182" formatCode="#,##0.0;\(#,##0.0\);\-"/>
    <numFmt numFmtId="183" formatCode="#,##0.000;\(#,##0.000\);\-"/>
    <numFmt numFmtId="184" formatCode="#,##0.0,;\(#,##0.0\)"/>
    <numFmt numFmtId="185" formatCode="General;\ \(General\)"/>
    <numFmt numFmtId="186" formatCode="#,##0.00;\(#,##0.00\);\-"/>
    <numFmt numFmtId="187" formatCode="_([$€]* #,##0.00_);_([$€]* \(#,##0.00\);_([$€]* &quot;-&quot;??_);_(@_)"/>
    <numFmt numFmtId="188" formatCode="[$-415]mmm\ yy;@"/>
    <numFmt numFmtId="189" formatCode="_ &quot;kr&quot;\ * #,##0.00_ ;_ &quot;kr&quot;\ * \-#,##0.00_ ;_ &quot;kr&quot;\ * &quot;-&quot;??_ ;_ @_ "/>
    <numFmt numFmtId="190" formatCode="_ * #,##0.00_ ;_ * \-#,##0.00_ ;_ * &quot;-&quot;??_ ;_ @_ "/>
    <numFmt numFmtId="191" formatCode="&quot;$&quot;#,##0;[Red]\-&quot;$&quot;#,##0"/>
    <numFmt numFmtId="192" formatCode="d/m/yy\ h:mm"/>
    <numFmt numFmtId="193" formatCode="General_)"/>
    <numFmt numFmtId="194" formatCode="0.000000000"/>
    <numFmt numFmtId="195" formatCode="\k\$#"/>
    <numFmt numFmtId="196" formatCode="\H\U\F\ 0.000"/>
    <numFmt numFmtId="197" formatCode="&quot;$&quot;#,##0.00\ ;\(&quot;$&quot;#,##0.00\)"/>
    <numFmt numFmtId="198" formatCode="\k\$\ 0.000"/>
    <numFmt numFmtId="199" formatCode="\k\E\C\U\ 0.000"/>
    <numFmt numFmtId="200" formatCode="\k\H\U\F\ 0.000"/>
    <numFmt numFmtId="201" formatCode="\k\L\E\ 0.000"/>
    <numFmt numFmtId="202" formatCode="_-* #,##0.00\ &quot;Sk&quot;_-;\-* #,##0.00\ &quot;Sk&quot;_-;_-* &quot;-&quot;??\ &quot;Sk&quot;_-;_-@_-"/>
    <numFmt numFmtId="203" formatCode="_ * #,##0_)\ _$_ ;_ * \(#,##0\)\ _$_ ;_ * &quot;-&quot;_)\ _$_ ;_ @_ "/>
    <numFmt numFmtId="204" formatCode="_ * #,##0.00_)\ _$_ ;_ * \(#,##0.00\)\ _$_ ;_ * &quot;-&quot;??_)\ _$_ ;_ @_ "/>
    <numFmt numFmtId="205" formatCode="_ * #,##0_)\ &quot;$&quot;_ ;_ * \(#,##0\)\ &quot;$&quot;_ ;_ * &quot;-&quot;_)\ &quot;$&quot;_ ;_ @_ "/>
    <numFmt numFmtId="206" formatCode="_ * #,##0.00_)\ &quot;$&quot;_ ;_ * \(#,##0.00\)\ &quot;$&quot;_ ;_ * &quot;-&quot;??_)\ &quot;$&quot;_ ;_ @_ "/>
    <numFmt numFmtId="207" formatCode="&quot;Note&quot;\ #"/>
    <numFmt numFmtId="208" formatCode="&quot;See Note &quot;\ #"/>
    <numFmt numFmtId="209" formatCode="\$\ #,##0"/>
    <numFmt numFmtId="210" formatCode="&quot;L.&quot;\ #,##0;[Red]\-&quot;L.&quot;\ #,##0"/>
    <numFmt numFmtId="211" formatCode="_-&quot;£&quot;* #,##0_-;\-&quot;£&quot;* #,##0_-;_-&quot;£&quot;* &quot;-&quot;_-;_-@_-"/>
    <numFmt numFmtId="212" formatCode="_-&quot;£&quot;* #,##0.00_-;\-&quot;£&quot;* #,##0.00_-;_-&quot;£&quot;* &quot;-&quot;??_-;_-@_-"/>
    <numFmt numFmtId="213" formatCode="#,##0;\(#,##0\)"/>
    <numFmt numFmtId="214" formatCode="#,##0.0;\(#,##0.0\);0"/>
    <numFmt numFmtId="215" formatCode="#,##0.0,;\(#,##0.0\);\-"/>
    <numFmt numFmtId="216" formatCode="_-* #,##0_-;\-* #,##0_-;_-* &quot;-&quot;??_-;_-@_-"/>
    <numFmt numFmtId="217" formatCode="_(* #,##0.0_);_(* \(#,##0.0\);_(* &quot;-&quot;_);_(@_)"/>
    <numFmt numFmtId="218" formatCode="#,##0.0\ ;\(#,##0\);\-"/>
    <numFmt numFmtId="219" formatCode="#,##0.0_ ;\-#,##0.0\ "/>
    <numFmt numFmtId="220" formatCode="#,##0.0;\(#,##0.0\);0.0"/>
    <numFmt numFmtId="221" formatCode="#,##0.00_ ;\-#,##0.00\ "/>
  </numFmts>
  <fonts count="245">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zcionka tekstu podstawowego"/>
      <family val="2"/>
      <charset val="238"/>
    </font>
    <font>
      <sz val="9"/>
      <color indexed="8"/>
      <name val="Calibri"/>
      <family val="2"/>
      <charset val="238"/>
    </font>
    <font>
      <sz val="11"/>
      <color indexed="8"/>
      <name val="Czcionka tekstu podstawowego"/>
      <family val="2"/>
      <charset val="238"/>
    </font>
    <font>
      <sz val="8"/>
      <name val="Czcionka tekstu podstawowego"/>
      <family val="2"/>
      <charset val="238"/>
    </font>
    <font>
      <sz val="10"/>
      <color indexed="8"/>
      <name val="Calibri"/>
      <family val="2"/>
      <charset val="238"/>
    </font>
    <font>
      <i/>
      <sz val="9"/>
      <color theme="1"/>
      <name val="Calibri"/>
      <family val="2"/>
      <charset val="238"/>
      <scheme val="minor"/>
    </font>
    <font>
      <sz val="11"/>
      <color theme="1"/>
      <name val="Czcionka tekstu podstawowego"/>
      <family val="2"/>
      <charset val="238"/>
    </font>
    <font>
      <b/>
      <sz val="11"/>
      <color theme="1"/>
      <name val="Calibri"/>
      <family val="2"/>
      <charset val="238"/>
      <scheme val="minor"/>
    </font>
    <font>
      <b/>
      <sz val="12"/>
      <color theme="9"/>
      <name val="Calibri"/>
      <family val="2"/>
      <charset val="238"/>
      <scheme val="minor"/>
    </font>
    <font>
      <b/>
      <sz val="11"/>
      <color rgb="FF000000"/>
      <name val="Calibri"/>
      <family val="2"/>
      <charset val="238"/>
      <scheme val="minor"/>
    </font>
    <font>
      <b/>
      <sz val="9"/>
      <color rgb="FF000000"/>
      <name val="Calibri"/>
      <family val="2"/>
      <charset val="238"/>
      <scheme val="minor"/>
    </font>
    <font>
      <b/>
      <sz val="9"/>
      <color theme="1"/>
      <name val="Calibri"/>
      <family val="2"/>
      <charset val="238"/>
      <scheme val="minor"/>
    </font>
    <font>
      <sz val="9"/>
      <name val="Calibri"/>
      <family val="2"/>
      <charset val="238"/>
      <scheme val="minor"/>
    </font>
    <font>
      <b/>
      <sz val="10"/>
      <color theme="9"/>
      <name val="Calibri"/>
      <family val="2"/>
      <charset val="238"/>
      <scheme val="minor"/>
    </font>
    <font>
      <b/>
      <sz val="10"/>
      <color rgb="FF000000"/>
      <name val="Calibri"/>
      <family val="2"/>
      <charset val="238"/>
      <scheme val="minor"/>
    </font>
    <font>
      <b/>
      <sz val="10"/>
      <color indexed="8"/>
      <name val="Calibri"/>
      <family val="2"/>
      <charset val="238"/>
    </font>
    <font>
      <b/>
      <sz val="10"/>
      <color theme="1"/>
      <name val="Calibri"/>
      <family val="2"/>
      <charset val="238"/>
      <scheme val="minor"/>
    </font>
    <font>
      <vertAlign val="superscript"/>
      <sz val="10"/>
      <color indexed="8"/>
      <name val="Calibri"/>
      <family val="2"/>
      <charset val="238"/>
    </font>
    <font>
      <b/>
      <sz val="10"/>
      <color indexed="8"/>
      <name val="Calibri"/>
      <family val="2"/>
      <charset val="238"/>
      <scheme val="minor"/>
    </font>
    <font>
      <sz val="10"/>
      <color theme="1"/>
      <name val="Calibri"/>
      <family val="2"/>
      <charset val="238"/>
      <scheme val="minor"/>
    </font>
    <font>
      <sz val="10"/>
      <color theme="1"/>
      <name val="Czcionka tekstu podstawowego"/>
      <family val="2"/>
      <charset val="238"/>
    </font>
    <font>
      <vertAlign val="superscript"/>
      <sz val="11"/>
      <color theme="1"/>
      <name val="Calibri"/>
      <family val="2"/>
      <charset val="238"/>
      <scheme val="minor"/>
    </font>
    <font>
      <sz val="9"/>
      <color theme="1"/>
      <name val="Calibri"/>
      <family val="2"/>
      <charset val="238"/>
      <scheme val="minor"/>
    </font>
    <font>
      <sz val="10"/>
      <name val="Calibri"/>
      <family val="2"/>
      <charset val="238"/>
    </font>
    <font>
      <i/>
      <sz val="10"/>
      <color theme="1"/>
      <name val="Calibri"/>
      <family val="2"/>
      <charset val="238"/>
      <scheme val="minor"/>
    </font>
    <font>
      <i/>
      <sz val="10"/>
      <color indexed="8"/>
      <name val="Calibri"/>
      <family val="2"/>
      <charset val="238"/>
    </font>
    <font>
      <b/>
      <sz val="10"/>
      <name val="Calibri"/>
      <family val="2"/>
      <charset val="238"/>
    </font>
    <font>
      <vertAlign val="superscript"/>
      <sz val="10"/>
      <name val="Calibri"/>
      <family val="2"/>
      <charset val="238"/>
    </font>
    <font>
      <b/>
      <vertAlign val="superscript"/>
      <sz val="9"/>
      <color rgb="FF000000"/>
      <name val="Calibri"/>
      <family val="2"/>
      <charset val="238"/>
      <scheme val="minor"/>
    </font>
    <font>
      <b/>
      <sz val="9"/>
      <name val="Calibri"/>
      <family val="2"/>
      <charset val="238"/>
      <scheme val="minor"/>
    </font>
    <font>
      <sz val="9"/>
      <color rgb="FF000000"/>
      <name val="Calibri"/>
      <family val="2"/>
      <charset val="238"/>
      <scheme val="minor"/>
    </font>
    <font>
      <i/>
      <sz val="9"/>
      <color rgb="FF000000"/>
      <name val="Calibri"/>
      <family val="2"/>
      <charset val="238"/>
      <scheme val="minor"/>
    </font>
    <font>
      <i/>
      <sz val="9"/>
      <name val="Calibri"/>
      <family val="2"/>
      <charset val="238"/>
      <scheme val="minor"/>
    </font>
    <font>
      <vertAlign val="superscript"/>
      <sz val="9"/>
      <color rgb="FF000000"/>
      <name val="Calibri"/>
      <family val="2"/>
      <charset val="238"/>
      <scheme val="minor"/>
    </font>
    <font>
      <b/>
      <sz val="11"/>
      <color indexed="8"/>
      <name val="Calibri"/>
      <family val="2"/>
      <charset val="238"/>
      <scheme val="minor"/>
    </font>
    <font>
      <sz val="10"/>
      <color indexed="8"/>
      <name val="Calibri"/>
      <family val="2"/>
      <charset val="238"/>
      <scheme val="minor"/>
    </font>
    <font>
      <b/>
      <sz val="10"/>
      <color theme="9"/>
      <name val="Calibri"/>
      <family val="2"/>
      <charset val="238"/>
    </font>
    <font>
      <sz val="11"/>
      <color theme="1"/>
      <name val="Calibri"/>
      <family val="2"/>
      <charset val="238"/>
    </font>
    <font>
      <b/>
      <sz val="11"/>
      <color theme="1"/>
      <name val="Calibri"/>
      <family val="2"/>
      <charset val="238"/>
    </font>
    <font>
      <b/>
      <sz val="10"/>
      <color theme="1"/>
      <name val="Calibri"/>
      <family val="2"/>
      <charset val="238"/>
    </font>
    <font>
      <sz val="9"/>
      <name val="Calibri"/>
      <family val="2"/>
      <charset val="238"/>
    </font>
    <font>
      <sz val="11"/>
      <name val="Calibri"/>
      <family val="2"/>
      <charset val="238"/>
      <scheme val="minor"/>
    </font>
    <font>
      <sz val="10"/>
      <name val="Calibri"/>
      <family val="2"/>
      <charset val="238"/>
      <scheme val="minor"/>
    </font>
    <font>
      <sz val="11"/>
      <name val="Calibri"/>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theme="1"/>
      <name val="Arial Narrow"/>
      <family val="2"/>
      <charset val="238"/>
    </font>
    <font>
      <sz val="10"/>
      <color rgb="FF000000"/>
      <name val="Arial"/>
      <family val="2"/>
      <charset val="238"/>
    </font>
    <font>
      <sz val="9"/>
      <color theme="1"/>
      <name val="Arial"/>
      <family val="2"/>
      <charset val="238"/>
    </font>
    <font>
      <sz val="10"/>
      <name val="Arial CE"/>
      <charset val="238"/>
    </font>
    <font>
      <sz val="10"/>
      <name val="Times New Roman CE"/>
      <charset val="238"/>
    </font>
    <font>
      <sz val="9"/>
      <name val="Arial CE"/>
      <charset val="238"/>
    </font>
    <font>
      <sz val="9"/>
      <name val="Helv"/>
    </font>
    <font>
      <sz val="10"/>
      <name val="Arial"/>
      <family val="2"/>
      <charset val="238"/>
    </font>
    <font>
      <sz val="10"/>
      <name val="Courier"/>
      <family val="3"/>
    </font>
    <font>
      <sz val="8"/>
      <name val="Tms Rmn"/>
    </font>
    <font>
      <sz val="9"/>
      <name val="Courier"/>
      <family val="3"/>
    </font>
    <font>
      <sz val="10"/>
      <name val="Dutch"/>
    </font>
    <font>
      <sz val="10"/>
      <name val="MS Sans Serif"/>
      <family val="2"/>
      <charset val="238"/>
    </font>
    <font>
      <sz val="11"/>
      <color indexed="8"/>
      <name val="Calibri"/>
      <family val="2"/>
      <charset val="238"/>
    </font>
    <font>
      <sz val="11"/>
      <color indexed="9"/>
      <name val="Czcionka tekstu podstawowego"/>
      <family val="2"/>
      <charset val="238"/>
    </font>
    <font>
      <sz val="11"/>
      <color theme="0"/>
      <name val="Czcionka tekstu podstawowego"/>
      <family val="2"/>
      <charset val="238"/>
    </font>
    <font>
      <b/>
      <sz val="12"/>
      <name val="Arial"/>
      <family val="2"/>
      <charset val="238"/>
    </font>
    <font>
      <sz val="11"/>
      <color indexed="62"/>
      <name val="Czcionka tekstu podstawowego"/>
      <family val="2"/>
      <charset val="238"/>
    </font>
    <font>
      <sz val="11"/>
      <color rgb="FF3F3F76"/>
      <name val="Czcionka tekstu podstawowego"/>
      <family val="2"/>
      <charset val="238"/>
    </font>
    <font>
      <b/>
      <sz val="11"/>
      <color indexed="63"/>
      <name val="Czcionka tekstu podstawowego"/>
      <family val="2"/>
      <charset val="238"/>
    </font>
    <font>
      <b/>
      <sz val="11"/>
      <color rgb="FF3F3F3F"/>
      <name val="Czcionka tekstu podstawowego"/>
      <family val="2"/>
      <charset val="238"/>
    </font>
    <font>
      <sz val="11"/>
      <color rgb="FF3F3F3F"/>
      <name val="Czcionka tekstu podstawowego"/>
      <family val="2"/>
      <charset val="238"/>
    </font>
    <font>
      <sz val="11"/>
      <color indexed="17"/>
      <name val="Czcionka tekstu podstawowego"/>
      <family val="2"/>
      <charset val="238"/>
    </font>
    <font>
      <sz val="11"/>
      <color rgb="FF006100"/>
      <name val="Czcionka tekstu podstawowego"/>
      <family val="2"/>
      <charset val="238"/>
    </font>
    <font>
      <i/>
      <sz val="10"/>
      <name val="Arial"/>
      <family val="2"/>
      <charset val="238"/>
    </font>
    <font>
      <sz val="10"/>
      <color theme="1"/>
      <name val="Tahoma"/>
      <family val="2"/>
      <charset val="238"/>
    </font>
    <font>
      <sz val="10"/>
      <name val="Arial"/>
      <family val="2"/>
    </font>
    <font>
      <sz val="11"/>
      <color theme="1"/>
      <name val="Czcionka tekstu podstawowego"/>
      <family val="2"/>
    </font>
    <font>
      <sz val="12"/>
      <name val="Tms Rmn"/>
    </font>
    <font>
      <i/>
      <sz val="10"/>
      <name val="Times New Roman"/>
      <family val="1"/>
      <charset val="238"/>
    </font>
    <font>
      <b/>
      <sz val="8"/>
      <color indexed="18"/>
      <name val="PL Arial"/>
      <charset val="238"/>
    </font>
    <font>
      <sz val="8"/>
      <name val="Arial"/>
      <family val="2"/>
    </font>
    <font>
      <b/>
      <sz val="12"/>
      <color indexed="10"/>
      <name val="Arial"/>
      <family val="2"/>
      <charset val="238"/>
    </font>
    <font>
      <b/>
      <sz val="12"/>
      <name val="Arial"/>
      <family val="2"/>
    </font>
    <font>
      <b/>
      <sz val="18"/>
      <name val="Helv"/>
    </font>
    <font>
      <b/>
      <sz val="12"/>
      <name val="Helv"/>
    </font>
    <font>
      <b/>
      <sz val="12"/>
      <name val="Geneva"/>
      <family val="2"/>
    </font>
    <font>
      <u/>
      <sz val="12"/>
      <name val="Geneva"/>
      <family val="2"/>
    </font>
    <font>
      <b/>
      <sz val="10"/>
      <name val="Helv"/>
    </font>
    <font>
      <u/>
      <sz val="7"/>
      <color indexed="12"/>
      <name val="Arial"/>
      <family val="2"/>
      <charset val="238"/>
    </font>
    <font>
      <sz val="8"/>
      <name val="Geneva"/>
      <family val="2"/>
    </font>
    <font>
      <u/>
      <sz val="10"/>
      <color indexed="12"/>
      <name val="Arial"/>
      <family val="2"/>
      <charset val="238"/>
    </font>
    <font>
      <sz val="10"/>
      <name val="Arial CE"/>
    </font>
    <font>
      <sz val="10"/>
      <name val="AA Normal"/>
    </font>
    <font>
      <sz val="10"/>
      <name val="Geneva"/>
      <family val="2"/>
    </font>
    <font>
      <sz val="11"/>
      <color indexed="52"/>
      <name val="Czcionka tekstu podstawowego"/>
      <family val="2"/>
      <charset val="238"/>
    </font>
    <font>
      <sz val="11"/>
      <color rgb="FFFA7D00"/>
      <name val="Czcionka tekstu podstawowego"/>
      <family val="2"/>
      <charset val="238"/>
    </font>
    <font>
      <b/>
      <sz val="11"/>
      <color indexed="8"/>
      <name val="Czcionka tekstu podstawowego"/>
      <family val="2"/>
      <charset val="238"/>
    </font>
    <font>
      <b/>
      <sz val="11"/>
      <color indexed="9"/>
      <name val="Czcionka tekstu podstawowego"/>
      <family val="2"/>
      <charset val="238"/>
    </font>
    <font>
      <b/>
      <sz val="11"/>
      <color theme="0"/>
      <name val="Czcionka tekstu podstawowego"/>
      <family val="2"/>
      <charset val="238"/>
    </font>
    <font>
      <sz val="8"/>
      <name val="Courier"/>
      <family val="3"/>
    </font>
    <font>
      <sz val="8"/>
      <name val="Swiss"/>
      <charset val="238"/>
    </font>
    <font>
      <sz val="11"/>
      <name val="Arial"/>
      <family val="2"/>
      <charset val="238"/>
    </font>
    <font>
      <b/>
      <sz val="15"/>
      <color indexed="62"/>
      <name val="Czcionka tekstu podstawowego"/>
      <family val="2"/>
      <charset val="238"/>
    </font>
    <font>
      <b/>
      <sz val="15"/>
      <color indexed="56"/>
      <name val="Czcionka tekstu podstawowego"/>
      <family val="2"/>
      <charset val="238"/>
    </font>
    <font>
      <b/>
      <sz val="15"/>
      <color theme="3"/>
      <name val="Czcionka tekstu podstawowego"/>
      <family val="2"/>
      <charset val="238"/>
    </font>
    <font>
      <sz val="11"/>
      <color theme="3"/>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3"/>
      <color theme="3"/>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1"/>
      <color theme="3"/>
      <name val="Czcionka tekstu podstawowego"/>
      <family val="2"/>
      <charset val="238"/>
    </font>
    <font>
      <sz val="11"/>
      <color indexed="60"/>
      <name val="Czcionka tekstu podstawowego"/>
      <family val="2"/>
      <charset val="238"/>
    </font>
    <font>
      <sz val="11"/>
      <color rgb="FF9C6500"/>
      <name val="Czcionka tekstu podstawowego"/>
      <family val="2"/>
      <charset val="238"/>
    </font>
    <font>
      <sz val="10"/>
      <name val="Times New Roman"/>
      <family val="1"/>
      <charset val="238"/>
    </font>
    <font>
      <sz val="9"/>
      <color indexed="0"/>
      <name val="Arial"/>
      <family val="2"/>
      <charset val="238"/>
    </font>
    <font>
      <sz val="11"/>
      <color theme="1"/>
      <name val="Calibri"/>
      <family val="2"/>
      <scheme val="minor"/>
    </font>
    <font>
      <sz val="11"/>
      <color theme="1"/>
      <name val="Tahoma"/>
      <family val="2"/>
      <charset val="238"/>
    </font>
    <font>
      <sz val="11"/>
      <color theme="1"/>
      <name val="Cambria"/>
      <family val="2"/>
      <charset val="238"/>
      <scheme val="major"/>
    </font>
    <font>
      <sz val="8"/>
      <name val="Times New Roman"/>
      <family val="1"/>
      <charset val="238"/>
    </font>
    <font>
      <b/>
      <sz val="8"/>
      <name val="Times New Roman"/>
      <family val="1"/>
      <charset val="238"/>
    </font>
    <font>
      <b/>
      <sz val="11"/>
      <color indexed="52"/>
      <name val="Czcionka tekstu podstawowego"/>
      <family val="2"/>
      <charset val="238"/>
    </font>
    <font>
      <b/>
      <sz val="11"/>
      <color rgb="FFFA7D00"/>
      <name val="Czcionka tekstu podstawowego"/>
      <family val="2"/>
      <charset val="238"/>
    </font>
    <font>
      <sz val="8"/>
      <name val="Helv"/>
    </font>
    <font>
      <sz val="11"/>
      <color indexed="8"/>
      <name val="Times New Roman"/>
      <family val="1"/>
      <charset val="238"/>
    </font>
    <font>
      <b/>
      <i/>
      <sz val="11"/>
      <color indexed="8"/>
      <name val="Times New Roman"/>
      <family val="1"/>
      <charset val="238"/>
    </font>
    <font>
      <b/>
      <sz val="11"/>
      <color indexed="16"/>
      <name val="Times New Roman"/>
      <family val="1"/>
      <charset val="238"/>
    </font>
    <font>
      <b/>
      <sz val="22"/>
      <color indexed="8"/>
      <name val="Times New Roman"/>
      <family val="1"/>
      <charset val="238"/>
    </font>
    <font>
      <sz val="10"/>
      <name val="Lohit Hindi"/>
      <family val="2"/>
    </font>
    <font>
      <sz val="10"/>
      <name val="Tms Rmn PL"/>
      <family val="1"/>
    </font>
    <font>
      <sz val="12"/>
      <color theme="1"/>
      <name val="Calibri"/>
      <family val="2"/>
      <scheme val="minor"/>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name val="Helv"/>
      <charset val="204"/>
    </font>
    <font>
      <b/>
      <sz val="8"/>
      <name val="Tms Rmn"/>
    </font>
    <font>
      <b/>
      <sz val="11"/>
      <color theme="1"/>
      <name val="Czcionka tekstu podstawowego"/>
      <family val="2"/>
      <charset val="238"/>
    </font>
    <font>
      <i/>
      <sz val="11"/>
      <color indexed="23"/>
      <name val="Czcionka tekstu podstawowego"/>
      <family val="2"/>
      <charset val="238"/>
    </font>
    <font>
      <i/>
      <sz val="11"/>
      <color rgb="FF7F7F7F"/>
      <name val="Czcionka tekstu podstawowego"/>
      <family val="2"/>
      <charset val="238"/>
    </font>
    <font>
      <sz val="11"/>
      <color rgb="FF7F7F7F"/>
      <name val="Czcionka tekstu podstawowego"/>
      <family val="2"/>
      <charset val="238"/>
    </font>
    <font>
      <sz val="11"/>
      <color indexed="11"/>
      <name val="Czcionka tekstu podstawowego"/>
      <family val="2"/>
      <charset val="238"/>
    </font>
    <font>
      <sz val="11"/>
      <color indexed="10"/>
      <name val="Czcionka tekstu podstawowego"/>
      <family val="2"/>
      <charset val="238"/>
    </font>
    <font>
      <sz val="11"/>
      <color rgb="FFFF0000"/>
      <name val="Czcionka tekstu podstawowego"/>
      <family val="2"/>
      <charset val="238"/>
    </font>
    <font>
      <b/>
      <sz val="18"/>
      <color indexed="62"/>
      <name val="Cambria"/>
      <family val="2"/>
      <charset val="238"/>
    </font>
    <font>
      <b/>
      <sz val="18"/>
      <color indexed="56"/>
      <name val="Cambria"/>
      <family val="2"/>
      <charset val="238"/>
    </font>
    <font>
      <sz val="11"/>
      <color theme="3"/>
      <name val="Cambria"/>
      <family val="2"/>
      <charset val="238"/>
      <scheme val="major"/>
    </font>
    <font>
      <sz val="18"/>
      <color theme="3"/>
      <name val="Cambria"/>
      <family val="2"/>
      <charset val="238"/>
      <scheme val="major"/>
    </font>
    <font>
      <b/>
      <sz val="9"/>
      <color indexed="12"/>
      <name val="Arial"/>
      <family val="2"/>
      <charset val="238"/>
    </font>
    <font>
      <sz val="11"/>
      <color indexed="20"/>
      <name val="Czcionka tekstu podstawowego"/>
      <family val="2"/>
      <charset val="238"/>
    </font>
    <font>
      <sz val="11"/>
      <color rgb="FF9C0006"/>
      <name val="Czcionka tekstu podstawowego"/>
      <family val="2"/>
      <charset val="238"/>
    </font>
    <font>
      <b/>
      <sz val="11"/>
      <name val="Calibri"/>
      <family val="2"/>
      <charset val="238"/>
    </font>
    <font>
      <i/>
      <sz val="11"/>
      <name val="Calibri"/>
      <family val="2"/>
      <charset val="238"/>
      <scheme val="minor"/>
    </font>
    <font>
      <sz val="10"/>
      <color rgb="FF000000"/>
      <name val="Calibri"/>
      <family val="2"/>
      <charset val="238"/>
      <scheme val="minor"/>
    </font>
    <font>
      <vertAlign val="superscript"/>
      <sz val="10"/>
      <color theme="1"/>
      <name val="Calibri"/>
      <family val="2"/>
      <charset val="238"/>
      <scheme val="minor"/>
    </font>
    <font>
      <vertAlign val="superscript"/>
      <sz val="9"/>
      <name val="Calibri"/>
      <family val="2"/>
      <charset val="238"/>
    </font>
    <font>
      <sz val="10"/>
      <color theme="1"/>
      <name val="Calibri"/>
      <family val="2"/>
      <charset val="238"/>
    </font>
    <font>
      <sz val="10"/>
      <color rgb="FF000000"/>
      <name val="Arial Narrow"/>
      <family val="2"/>
      <charset val="238"/>
    </font>
    <font>
      <b/>
      <vertAlign val="superscript"/>
      <sz val="11"/>
      <color theme="0"/>
      <name val="Calibri"/>
      <family val="2"/>
      <charset val="238"/>
      <scheme val="minor"/>
    </font>
    <font>
      <b/>
      <sz val="11"/>
      <name val="Calibri"/>
      <family val="2"/>
      <charset val="238"/>
      <scheme val="minor"/>
    </font>
    <font>
      <sz val="9"/>
      <color theme="1"/>
      <name val="Czcionka tekstu podstawowego"/>
      <family val="2"/>
      <charset val="238"/>
    </font>
    <font>
      <sz val="11"/>
      <color rgb="FF000000"/>
      <name val="Calibri"/>
      <family val="2"/>
      <charset val="238"/>
      <scheme val="minor"/>
    </font>
    <font>
      <b/>
      <vertAlign val="superscript"/>
      <sz val="11"/>
      <color rgb="FF000000"/>
      <name val="Calibri"/>
      <family val="2"/>
      <charset val="238"/>
      <scheme val="minor"/>
    </font>
    <font>
      <b/>
      <sz val="12"/>
      <name val="Calibri"/>
      <family val="2"/>
      <charset val="238"/>
      <scheme val="minor"/>
    </font>
    <font>
      <b/>
      <vertAlign val="superscript"/>
      <sz val="11"/>
      <color theme="1"/>
      <name val="Calibri"/>
      <family val="2"/>
      <charset val="238"/>
      <scheme val="minor"/>
    </font>
    <font>
      <b/>
      <sz val="11"/>
      <color theme="0" tint="-0.34998626667073579"/>
      <name val="Calibri"/>
      <family val="2"/>
      <charset val="238"/>
      <scheme val="minor"/>
    </font>
    <font>
      <b/>
      <sz val="11"/>
      <color indexed="8"/>
      <name val="Calibri"/>
      <family val="2"/>
      <charset val="238"/>
    </font>
    <font>
      <b/>
      <vertAlign val="superscript"/>
      <sz val="11"/>
      <name val="Calibri"/>
      <family val="2"/>
      <charset val="238"/>
      <scheme val="minor"/>
    </font>
    <font>
      <sz val="11"/>
      <name val="Czcionka tekstu podstawowego"/>
      <family val="2"/>
      <charset val="238"/>
    </font>
    <font>
      <i/>
      <sz val="10"/>
      <color theme="1"/>
      <name val="Calibri"/>
      <family val="2"/>
      <charset val="238"/>
    </font>
    <font>
      <b/>
      <sz val="11"/>
      <color theme="0"/>
      <name val="Calibri"/>
      <family val="2"/>
      <charset val="238"/>
    </font>
    <font>
      <b/>
      <sz val="10"/>
      <color theme="0"/>
      <name val="Calibri"/>
      <family val="2"/>
      <charset val="238"/>
    </font>
    <font>
      <b/>
      <vertAlign val="superscript"/>
      <sz val="10"/>
      <color theme="0"/>
      <name val="Calibri"/>
      <family val="2"/>
      <charset val="238"/>
    </font>
    <font>
      <b/>
      <sz val="10"/>
      <color theme="0"/>
      <name val="Calibri"/>
      <family val="2"/>
      <charset val="238"/>
      <scheme val="minor"/>
    </font>
    <font>
      <b/>
      <vertAlign val="superscript"/>
      <sz val="11"/>
      <color theme="0"/>
      <name val="Calibri"/>
      <family val="2"/>
      <charset val="238"/>
    </font>
    <font>
      <sz val="9"/>
      <color theme="1"/>
      <name val="Calibri"/>
      <family val="2"/>
      <charset val="238"/>
    </font>
    <font>
      <i/>
      <sz val="10"/>
      <color theme="0"/>
      <name val="Calibri"/>
      <family val="2"/>
      <charset val="238"/>
      <scheme val="minor"/>
    </font>
    <font>
      <sz val="10"/>
      <color theme="0"/>
      <name val="Calibri"/>
      <family val="2"/>
      <charset val="238"/>
      <scheme val="minor"/>
    </font>
    <font>
      <b/>
      <i/>
      <sz val="10"/>
      <color theme="0"/>
      <name val="Calibri"/>
      <family val="2"/>
      <charset val="238"/>
      <scheme val="minor"/>
    </font>
    <font>
      <b/>
      <vertAlign val="superscript"/>
      <sz val="10"/>
      <color theme="0"/>
      <name val="Calibri"/>
      <family val="2"/>
      <charset val="238"/>
      <scheme val="minor"/>
    </font>
    <font>
      <b/>
      <sz val="12"/>
      <color theme="0"/>
      <name val="Calibri"/>
      <family val="2"/>
      <charset val="238"/>
      <scheme val="minor"/>
    </font>
    <font>
      <sz val="12"/>
      <color indexed="8"/>
      <name val="Calibri"/>
      <family val="2"/>
      <charset val="238"/>
    </font>
    <font>
      <b/>
      <sz val="12"/>
      <color indexed="8"/>
      <name val="Calibri"/>
      <family val="2"/>
      <charset val="238"/>
    </font>
    <font>
      <b/>
      <sz val="10"/>
      <name val="Calibri"/>
      <family val="2"/>
      <charset val="238"/>
      <scheme val="minor"/>
    </font>
    <font>
      <b/>
      <vertAlign val="superscript"/>
      <sz val="10"/>
      <name val="Calibri"/>
      <family val="2"/>
      <charset val="238"/>
      <scheme val="minor"/>
    </font>
    <font>
      <sz val="9"/>
      <color rgb="FF2E83BF"/>
      <name val="Calibri"/>
      <family val="2"/>
      <charset val="238"/>
      <scheme val="minor"/>
    </font>
    <font>
      <sz val="9"/>
      <color rgb="FF2E83BF"/>
      <name val="Calibri"/>
      <family val="2"/>
      <charset val="238"/>
    </font>
    <font>
      <b/>
      <sz val="9"/>
      <color theme="1"/>
      <name val="Calibri"/>
      <family val="2"/>
      <charset val="238"/>
    </font>
    <font>
      <i/>
      <sz val="9"/>
      <color theme="1"/>
      <name val="Calibri"/>
      <family val="2"/>
      <charset val="238"/>
    </font>
    <font>
      <sz val="10"/>
      <color theme="0"/>
      <name val="Calibri"/>
      <family val="2"/>
      <charset val="238"/>
    </font>
    <font>
      <b/>
      <sz val="12"/>
      <color rgb="FF2E83BF"/>
      <name val="Calibri"/>
      <family val="2"/>
      <charset val="238"/>
      <scheme val="minor"/>
    </font>
    <font>
      <sz val="11"/>
      <color theme="0" tint="-0.34998626667073579"/>
      <name val="Calibri"/>
      <family val="2"/>
      <charset val="238"/>
    </font>
    <font>
      <b/>
      <sz val="11"/>
      <color theme="0" tint="-0.34998626667073579"/>
      <name val="Calibri"/>
      <family val="2"/>
      <charset val="238"/>
    </font>
    <font>
      <b/>
      <sz val="12"/>
      <color theme="0"/>
      <name val="Calibri"/>
      <family val="2"/>
      <charset val="238"/>
    </font>
    <font>
      <b/>
      <sz val="12"/>
      <color theme="9"/>
      <name val="Calibri"/>
      <family val="2"/>
      <charset val="238"/>
    </font>
    <font>
      <i/>
      <sz val="10"/>
      <color theme="0"/>
      <name val="Calibri"/>
      <family val="2"/>
      <charset val="238"/>
    </font>
    <font>
      <i/>
      <vertAlign val="superscript"/>
      <sz val="10"/>
      <color theme="0"/>
      <name val="Calibri"/>
      <family val="2"/>
      <charset val="238"/>
    </font>
    <font>
      <i/>
      <sz val="9"/>
      <color indexed="8"/>
      <name val="Calibri"/>
      <family val="2"/>
      <charset val="238"/>
    </font>
    <font>
      <i/>
      <vertAlign val="superscript"/>
      <sz val="9"/>
      <color indexed="8"/>
      <name val="Calibri"/>
      <family val="2"/>
      <charset val="238"/>
    </font>
    <font>
      <sz val="9"/>
      <color rgb="FF000000"/>
      <name val="Arial"/>
      <family val="2"/>
      <charset val="238"/>
    </font>
    <font>
      <sz val="9"/>
      <color theme="0"/>
      <name val="Calibri"/>
      <family val="2"/>
      <charset val="238"/>
      <scheme val="minor"/>
    </font>
    <font>
      <sz val="9"/>
      <color rgb="FF0070C0"/>
      <name val="Calibri"/>
      <family val="2"/>
      <charset val="238"/>
    </font>
    <font>
      <b/>
      <sz val="9"/>
      <color indexed="8"/>
      <name val="Calibri"/>
      <family val="2"/>
      <charset val="238"/>
    </font>
    <font>
      <vertAlign val="superscript"/>
      <sz val="9"/>
      <name val="Calibri"/>
      <family val="2"/>
      <charset val="238"/>
      <scheme val="minor"/>
    </font>
    <font>
      <strike/>
      <sz val="9"/>
      <name val="Calibri"/>
      <family val="2"/>
      <charset val="238"/>
    </font>
    <font>
      <vertAlign val="superscript"/>
      <sz val="11"/>
      <color rgb="FF000000"/>
      <name val="Calibri"/>
      <family val="2"/>
      <charset val="238"/>
      <scheme val="minor"/>
    </font>
    <font>
      <sz val="11"/>
      <color rgb="FF172B4D"/>
      <name val="Segoe UI"/>
      <family val="2"/>
      <charset val="238"/>
    </font>
    <font>
      <i/>
      <sz val="10"/>
      <name val="Calibri"/>
      <family val="2"/>
      <charset val="238"/>
    </font>
    <font>
      <sz val="10"/>
      <color rgb="FF000000"/>
      <name val="Calibri"/>
      <family val="2"/>
      <charset val="238"/>
    </font>
    <font>
      <i/>
      <sz val="10"/>
      <color rgb="FF000000"/>
      <name val="Calibri"/>
      <family val="2"/>
      <charset val="238"/>
    </font>
    <font>
      <sz val="9"/>
      <name val="Arial"/>
      <family val="2"/>
      <charset val="238"/>
    </font>
    <font>
      <sz val="10"/>
      <color rgb="FFFF0000"/>
      <name val="Czcionka tekstu podstawowego"/>
      <family val="2"/>
      <charset val="238"/>
    </font>
    <font>
      <b/>
      <sz val="22"/>
      <color indexed="8"/>
      <name val="Calibri"/>
      <family val="2"/>
      <charset val="238"/>
    </font>
    <font>
      <i/>
      <sz val="10"/>
      <name val="Calibri"/>
      <family val="2"/>
      <charset val="238"/>
      <scheme val="minor"/>
    </font>
    <font>
      <b/>
      <sz val="9"/>
      <color rgb="FFFF0000"/>
      <name val="Calibri"/>
      <family val="2"/>
      <charset val="238"/>
    </font>
    <font>
      <i/>
      <sz val="9"/>
      <name val="Calibri"/>
      <family val="2"/>
      <charset val="238"/>
    </font>
    <font>
      <i/>
      <sz val="10"/>
      <color indexed="8"/>
      <name val="Calibri"/>
      <family val="2"/>
      <charset val="238"/>
      <scheme val="minor"/>
    </font>
    <font>
      <b/>
      <i/>
      <sz val="10"/>
      <color theme="1"/>
      <name val="Calibri"/>
      <family val="2"/>
      <charset val="238"/>
    </font>
    <font>
      <b/>
      <sz val="14"/>
      <color theme="0"/>
      <name val="Calibri"/>
      <family val="2"/>
      <charset val="238"/>
    </font>
    <font>
      <b/>
      <sz val="11"/>
      <color rgb="FFFF0000"/>
      <name val="Calibri"/>
      <family val="2"/>
      <charset val="238"/>
      <scheme val="minor"/>
    </font>
    <font>
      <sz val="8"/>
      <color theme="1"/>
      <name val="Times New Roman"/>
      <family val="1"/>
      <charset val="238"/>
    </font>
    <font>
      <b/>
      <vertAlign val="superscript"/>
      <sz val="10"/>
      <color indexed="8"/>
      <name val="Calibri"/>
      <family val="2"/>
      <charset val="238"/>
    </font>
    <font>
      <sz val="10"/>
      <color theme="0" tint="-0.499984740745262"/>
      <name val="Calibri"/>
      <family val="2"/>
      <charset val="238"/>
    </font>
    <font>
      <b/>
      <sz val="10"/>
      <color theme="0" tint="-0.499984740745262"/>
      <name val="Calibri"/>
      <family val="2"/>
      <charset val="238"/>
    </font>
  </fonts>
  <fills count="94">
    <fill>
      <patternFill patternType="none"/>
    </fill>
    <fill>
      <patternFill patternType="gray125"/>
    </fill>
    <fill>
      <patternFill patternType="solid">
        <fgColor theme="0"/>
        <bgColor indexed="64"/>
      </patternFill>
    </fill>
    <fill>
      <patternFill patternType="mediumGray">
        <fgColor theme="0" tint="-0.14996795556505021"/>
        <bgColor theme="0" tint="-4.9989318521683403E-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8"/>
      </patternFill>
    </fill>
    <fill>
      <patternFill patternType="solid">
        <fgColor indexed="47"/>
      </patternFill>
    </fill>
    <fill>
      <patternFill patternType="solid">
        <fgColor indexed="26"/>
      </patternFill>
    </fill>
    <fill>
      <patternFill patternType="solid">
        <fgColor indexed="10"/>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mediumGray">
        <fgColor indexed="22"/>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gray0625">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solid">
        <fgColor rgb="FF2E83BF"/>
        <bgColor indexed="64"/>
      </patternFill>
    </fill>
    <fill>
      <patternFill patternType="mediumGray">
        <fgColor theme="0" tint="-0.14996795556505021"/>
        <bgColor rgb="FF2E83BF"/>
      </patternFill>
    </fill>
    <fill>
      <patternFill patternType="mediumGray">
        <fgColor rgb="FF03ACE5"/>
      </patternFill>
    </fill>
    <fill>
      <patternFill patternType="solid">
        <fgColor indexed="65"/>
        <bgColor rgb="FF03ACE5"/>
      </patternFill>
    </fill>
    <fill>
      <patternFill patternType="lightGray">
        <fgColor rgb="FF03ACE5"/>
        <bgColor rgb="FF2E83BF"/>
      </patternFill>
    </fill>
    <fill>
      <patternFill patternType="lightGray">
        <fgColor rgb="FF03ACE5"/>
      </patternFill>
    </fill>
    <fill>
      <patternFill patternType="solid">
        <fgColor rgb="FF1082BF"/>
        <bgColor indexed="64"/>
      </patternFill>
    </fill>
    <fill>
      <patternFill patternType="lightGray">
        <fgColor rgb="FF03ACE5"/>
        <bgColor rgb="FF1082BF"/>
      </patternFill>
    </fill>
    <fill>
      <patternFill patternType="mediumGray">
        <fgColor rgb="FF03ACE5"/>
        <bgColor rgb="FF03ACE5"/>
      </patternFill>
    </fill>
    <fill>
      <patternFill patternType="gray125">
        <fgColor rgb="FF03ACE5"/>
      </patternFill>
    </fill>
    <fill>
      <patternFill patternType="solid">
        <fgColor rgb="FF00B0F0"/>
        <bgColor indexed="64"/>
      </patternFill>
    </fill>
    <fill>
      <patternFill patternType="lightGray">
        <fgColor theme="0"/>
      </patternFill>
    </fill>
    <fill>
      <patternFill patternType="solid">
        <fgColor theme="0"/>
        <bgColor theme="0"/>
      </patternFill>
    </fill>
    <fill>
      <patternFill patternType="solid">
        <fgColor indexed="65"/>
        <bgColor theme="0"/>
      </patternFill>
    </fill>
    <fill>
      <patternFill patternType="solid">
        <fgColor rgb="FFE7EEF5"/>
        <bgColor rgb="FFE4EDF8"/>
      </patternFill>
    </fill>
    <fill>
      <patternFill patternType="solid">
        <fgColor rgb="FF2E83BF"/>
        <bgColor theme="0"/>
      </patternFill>
    </fill>
    <fill>
      <patternFill patternType="solid">
        <fgColor rgb="FF03ACE5"/>
        <bgColor theme="0"/>
      </patternFill>
    </fill>
    <fill>
      <patternFill patternType="solid">
        <fgColor theme="4" tint="0.79998168889431442"/>
        <bgColor theme="0"/>
      </patternFill>
    </fill>
    <fill>
      <patternFill patternType="solid">
        <fgColor theme="0" tint="-0.14999847407452621"/>
        <bgColor indexed="64"/>
      </patternFill>
    </fill>
  </fills>
  <borders count="148">
    <border>
      <left/>
      <right/>
      <top/>
      <bottom/>
      <diagonal/>
    </border>
    <border>
      <left/>
      <right/>
      <top/>
      <bottom style="thin">
        <color indexed="64"/>
      </bottom>
      <diagonal/>
    </border>
    <border>
      <left/>
      <right/>
      <top style="thin">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10"/>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bottom/>
      <diagonal/>
    </border>
    <border>
      <left/>
      <right/>
      <top style="thin">
        <color indexed="49"/>
      </top>
      <bottom style="double">
        <color indexed="49"/>
      </bottom>
      <diagonal/>
    </border>
    <border>
      <left/>
      <right/>
      <top style="thin">
        <color indexed="62"/>
      </top>
      <bottom style="double">
        <color indexed="6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rgb="FF2E83BF"/>
      </top>
      <bottom style="medium">
        <color rgb="FF2E83BF"/>
      </bottom>
      <diagonal/>
    </border>
    <border>
      <left style="medium">
        <color indexed="64"/>
      </left>
      <right/>
      <top style="medium">
        <color rgb="FF2E83BF"/>
      </top>
      <bottom style="medium">
        <color rgb="FF2E83BF"/>
      </bottom>
      <diagonal/>
    </border>
    <border>
      <left/>
      <right/>
      <top style="medium">
        <color rgb="FF2E83BF"/>
      </top>
      <bottom style="medium">
        <color rgb="FF2E83BF"/>
      </bottom>
      <diagonal/>
    </border>
    <border>
      <left/>
      <right style="medium">
        <color indexed="64"/>
      </right>
      <top style="medium">
        <color rgb="FF2E83BF"/>
      </top>
      <bottom style="medium">
        <color rgb="FF2E83BF"/>
      </bottom>
      <diagonal/>
    </border>
    <border>
      <left style="medium">
        <color indexed="64"/>
      </left>
      <right/>
      <top style="medium">
        <color rgb="FF2E83BF"/>
      </top>
      <bottom/>
      <diagonal/>
    </border>
    <border>
      <left/>
      <right/>
      <top style="medium">
        <color rgb="FF2E83BF"/>
      </top>
      <bottom/>
      <diagonal/>
    </border>
    <border>
      <left/>
      <right style="medium">
        <color indexed="64"/>
      </right>
      <top style="medium">
        <color rgb="FF2E83BF"/>
      </top>
      <bottom/>
      <diagonal/>
    </border>
    <border>
      <left style="medium">
        <color indexed="64"/>
      </left>
      <right/>
      <top style="medium">
        <color rgb="FF1082BF"/>
      </top>
      <bottom style="medium">
        <color rgb="FF2E83BF"/>
      </bottom>
      <diagonal/>
    </border>
    <border>
      <left/>
      <right/>
      <top style="medium">
        <color rgb="FF1082BF"/>
      </top>
      <bottom style="medium">
        <color rgb="FF2E83BF"/>
      </bottom>
      <diagonal/>
    </border>
    <border>
      <left/>
      <right style="medium">
        <color indexed="64"/>
      </right>
      <top style="medium">
        <color rgb="FF1082BF"/>
      </top>
      <bottom style="medium">
        <color rgb="FF2E83BF"/>
      </bottom>
      <diagonal/>
    </border>
    <border>
      <left style="medium">
        <color indexed="64"/>
      </left>
      <right style="medium">
        <color indexed="64"/>
      </right>
      <top style="medium">
        <color rgb="FF03ACE5"/>
      </top>
      <bottom style="medium">
        <color rgb="FF03ACE5"/>
      </bottom>
      <diagonal/>
    </border>
    <border>
      <left style="medium">
        <color indexed="64"/>
      </left>
      <right/>
      <top style="medium">
        <color rgb="FF03ACE5"/>
      </top>
      <bottom style="medium">
        <color rgb="FF03ACE5"/>
      </bottom>
      <diagonal/>
    </border>
    <border>
      <left/>
      <right/>
      <top style="medium">
        <color rgb="FF03ACE5"/>
      </top>
      <bottom style="medium">
        <color rgb="FF03ACE5"/>
      </bottom>
      <diagonal/>
    </border>
    <border>
      <left/>
      <right style="medium">
        <color indexed="64"/>
      </right>
      <top style="medium">
        <color rgb="FF03ACE5"/>
      </top>
      <bottom style="medium">
        <color rgb="FF03ACE5"/>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medium">
        <color rgb="FF03ACE5"/>
      </bottom>
      <diagonal/>
    </border>
    <border>
      <left/>
      <right style="medium">
        <color indexed="64"/>
      </right>
      <top/>
      <bottom style="medium">
        <color rgb="FF03ACE5"/>
      </bottom>
      <diagonal/>
    </border>
    <border>
      <left/>
      <right/>
      <top/>
      <bottom style="thin">
        <color rgb="FF03ACE5"/>
      </bottom>
      <diagonal/>
    </border>
    <border>
      <left style="medium">
        <color indexed="64"/>
      </left>
      <right/>
      <top/>
      <bottom style="thin">
        <color theme="0"/>
      </bottom>
      <diagonal/>
    </border>
    <border>
      <left style="medium">
        <color indexed="64"/>
      </left>
      <right style="medium">
        <color indexed="64"/>
      </right>
      <top/>
      <bottom style="thin">
        <color theme="0"/>
      </bottom>
      <diagonal/>
    </border>
    <border>
      <left/>
      <right style="medium">
        <color indexed="64"/>
      </right>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top style="thin">
        <color rgb="FF2E83BF"/>
      </top>
      <bottom/>
      <diagonal/>
    </border>
    <border>
      <left/>
      <right/>
      <top style="thin">
        <color rgb="FF2E83BF"/>
      </top>
      <bottom style="thin">
        <color theme="0"/>
      </bottom>
      <diagonal/>
    </border>
    <border>
      <left/>
      <right/>
      <top style="thin">
        <color theme="0"/>
      </top>
      <bottom style="thin">
        <color rgb="FF2E83BF"/>
      </bottom>
      <diagonal/>
    </border>
    <border>
      <left/>
      <right/>
      <top/>
      <bottom style="thin">
        <color rgb="FF2E83BF"/>
      </bottom>
      <diagonal/>
    </border>
    <border>
      <left/>
      <right/>
      <top/>
      <bottom style="thin">
        <color rgb="FF1082BF"/>
      </bottom>
      <diagonal/>
    </border>
    <border>
      <left style="thin">
        <color theme="0"/>
      </left>
      <right/>
      <top style="thin">
        <color theme="0"/>
      </top>
      <bottom style="thin">
        <color theme="0"/>
      </bottom>
      <diagonal/>
    </border>
    <border>
      <left/>
      <right style="thin">
        <color theme="0"/>
      </right>
      <top style="thin">
        <color theme="0"/>
      </top>
      <bottom/>
      <diagonal/>
    </border>
    <border>
      <left/>
      <right style="medium">
        <color rgb="FF03ACE5"/>
      </right>
      <top style="thin">
        <color theme="0"/>
      </top>
      <bottom/>
      <diagonal/>
    </border>
    <border>
      <left style="medium">
        <color indexed="64"/>
      </left>
      <right style="medium">
        <color rgb="FF03ACE5"/>
      </right>
      <top/>
      <bottom style="medium">
        <color rgb="FF03ACE5"/>
      </bottom>
      <diagonal/>
    </border>
    <border>
      <left style="medium">
        <color indexed="64"/>
      </left>
      <right style="medium">
        <color rgb="FF03ACE5"/>
      </right>
      <top/>
      <bottom/>
      <diagonal/>
    </border>
    <border>
      <left style="medium">
        <color indexed="64"/>
      </left>
      <right style="medium">
        <color rgb="FF03ACE5"/>
      </right>
      <top style="medium">
        <color rgb="FF03ACE5"/>
      </top>
      <bottom style="medium">
        <color rgb="FF03ACE5"/>
      </bottom>
      <diagonal/>
    </border>
    <border>
      <left/>
      <right style="medium">
        <color rgb="FF03ACE5"/>
      </right>
      <top/>
      <bottom/>
      <diagonal/>
    </border>
    <border>
      <left style="medium">
        <color rgb="FF03ACE5"/>
      </left>
      <right style="medium">
        <color rgb="FF03ACE5"/>
      </right>
      <top/>
      <bottom style="medium">
        <color rgb="FF03ACE5"/>
      </bottom>
      <diagonal/>
    </border>
    <border>
      <left style="medium">
        <color rgb="FF03ACE5"/>
      </left>
      <right/>
      <top style="thin">
        <color theme="0"/>
      </top>
      <bottom/>
      <diagonal/>
    </border>
    <border>
      <left style="medium">
        <color rgb="FF03ACE5"/>
      </left>
      <right/>
      <top/>
      <bottom style="medium">
        <color rgb="FF03ACE5"/>
      </bottom>
      <diagonal/>
    </border>
    <border>
      <left/>
      <right style="medium">
        <color rgb="FF03ACE5"/>
      </right>
      <top/>
      <bottom style="medium">
        <color rgb="FF03ACE5"/>
      </bottom>
      <diagonal/>
    </border>
    <border>
      <left style="medium">
        <color rgb="FF03ACE5"/>
      </left>
      <right/>
      <top/>
      <bottom/>
      <diagonal/>
    </border>
    <border>
      <left style="medium">
        <color rgb="FF03ACE5"/>
      </left>
      <right/>
      <top style="medium">
        <color rgb="FF03ACE5"/>
      </top>
      <bottom style="medium">
        <color rgb="FF03ACE5"/>
      </bottom>
      <diagonal/>
    </border>
    <border>
      <left/>
      <right style="medium">
        <color rgb="FF03ACE5"/>
      </right>
      <top style="medium">
        <color rgb="FF03ACE5"/>
      </top>
      <bottom style="medium">
        <color rgb="FF03ACE5"/>
      </bottom>
      <diagonal/>
    </border>
    <border>
      <left style="medium">
        <color rgb="FF03ACE5"/>
      </left>
      <right style="medium">
        <color rgb="FF03ACE5"/>
      </right>
      <top/>
      <bottom/>
      <diagonal/>
    </border>
    <border>
      <left style="medium">
        <color rgb="FF03ACE5"/>
      </left>
      <right style="medium">
        <color rgb="FF03ACE5"/>
      </right>
      <top style="medium">
        <color rgb="FF03ACE5"/>
      </top>
      <bottom style="medium">
        <color rgb="FF03ACE5"/>
      </bottom>
      <diagonal/>
    </border>
    <border>
      <left style="medium">
        <color rgb="FF0070C0"/>
      </left>
      <right style="medium">
        <color rgb="FF0070C0"/>
      </right>
      <top/>
      <bottom/>
      <diagonal/>
    </border>
    <border>
      <left style="medium">
        <color rgb="FF0070C0"/>
      </left>
      <right/>
      <top/>
      <bottom/>
      <diagonal/>
    </border>
    <border>
      <left/>
      <right style="medium">
        <color rgb="FF0070C0"/>
      </right>
      <top/>
      <bottom/>
      <diagonal/>
    </border>
    <border>
      <left/>
      <right style="medium">
        <color rgb="FF2E83BF"/>
      </right>
      <top/>
      <bottom/>
      <diagonal/>
    </border>
    <border>
      <left style="medium">
        <color rgb="FF2E83BF"/>
      </left>
      <right/>
      <top/>
      <bottom/>
      <diagonal/>
    </border>
    <border>
      <left style="medium">
        <color rgb="FF0070C0"/>
      </left>
      <right style="medium">
        <color rgb="FF0070C0"/>
      </right>
      <top/>
      <bottom style="medium">
        <color rgb="FF2E83BF"/>
      </bottom>
      <diagonal/>
    </border>
    <border>
      <left/>
      <right/>
      <top/>
      <bottom style="medium">
        <color rgb="FF2E83BF"/>
      </bottom>
      <diagonal/>
    </border>
    <border>
      <left style="medium">
        <color rgb="FF0070C0"/>
      </left>
      <right/>
      <top/>
      <bottom style="medium">
        <color rgb="FF2E83BF"/>
      </bottom>
      <diagonal/>
    </border>
    <border>
      <left style="medium">
        <color rgb="FF2E83BF"/>
      </left>
      <right/>
      <top/>
      <bottom style="medium">
        <color rgb="FF2E83BF"/>
      </bottom>
      <diagonal/>
    </border>
    <border>
      <left style="medium">
        <color rgb="FF0070C0"/>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style="medium">
        <color rgb="FF2E83BF"/>
      </left>
      <right/>
      <top/>
      <bottom style="medium">
        <color rgb="FF0070C0"/>
      </bottom>
      <diagonal/>
    </border>
    <border>
      <left style="medium">
        <color rgb="FF03ACE5"/>
      </left>
      <right/>
      <top style="thin">
        <color theme="0"/>
      </top>
      <bottom style="thin">
        <color theme="0"/>
      </bottom>
      <diagonal/>
    </border>
    <border>
      <left/>
      <right style="medium">
        <color rgb="FF03ACE5"/>
      </right>
      <top style="thin">
        <color theme="0"/>
      </top>
      <bottom style="thin">
        <color theme="0"/>
      </bottom>
      <diagonal/>
    </border>
    <border>
      <left style="medium">
        <color rgb="FF03ACE5"/>
      </left>
      <right/>
      <top style="thin">
        <color indexed="64"/>
      </top>
      <bottom/>
      <diagonal/>
    </border>
    <border>
      <left/>
      <right style="medium">
        <color rgb="FF03ACE5"/>
      </right>
      <top style="thin">
        <color indexed="64"/>
      </top>
      <bottom/>
      <diagonal/>
    </border>
    <border>
      <left style="medium">
        <color rgb="FF03ACE5"/>
      </left>
      <right style="medium">
        <color rgb="FF03ACE5"/>
      </right>
      <top/>
      <bottom style="thin">
        <color theme="0"/>
      </bottom>
      <diagonal/>
    </border>
    <border>
      <left style="medium">
        <color rgb="FF03ACE5"/>
      </left>
      <right style="medium">
        <color rgb="FF03ACE5"/>
      </right>
      <top style="thin">
        <color indexed="64"/>
      </top>
      <bottom/>
      <diagonal/>
    </border>
    <border>
      <left/>
      <right style="medium">
        <color rgb="FF0070C0"/>
      </right>
      <top/>
      <bottom style="medium">
        <color rgb="FF0070C0"/>
      </bottom>
      <diagonal/>
    </border>
    <border>
      <left/>
      <right style="medium">
        <color rgb="FF0070C0"/>
      </right>
      <top/>
      <bottom style="medium">
        <color rgb="FF2E83BF"/>
      </bottom>
      <diagonal/>
    </border>
    <border>
      <left/>
      <right/>
      <top/>
      <bottom style="medium">
        <color rgb="FF000000"/>
      </bottom>
      <diagonal/>
    </border>
    <border>
      <left/>
      <right style="medium">
        <color indexed="64"/>
      </right>
      <top/>
      <bottom style="medium">
        <color rgb="FF000000"/>
      </bottom>
      <diagonal/>
    </border>
    <border>
      <left/>
      <right/>
      <top style="thin">
        <color rgb="FF03ACE5"/>
      </top>
      <bottom style="thin">
        <color rgb="FF03ACE5"/>
      </bottom>
      <diagonal/>
    </border>
    <border>
      <left/>
      <right style="medium">
        <color rgb="FF03ACE5"/>
      </right>
      <top style="medium">
        <color rgb="FF03ACE5"/>
      </top>
      <bottom/>
      <diagonal/>
    </border>
    <border>
      <left/>
      <right/>
      <top style="medium">
        <color rgb="FF03ACE5"/>
      </top>
      <bottom/>
      <diagonal/>
    </border>
    <border>
      <left/>
      <right style="thin">
        <color rgb="FF03ACE5"/>
      </right>
      <top style="thin">
        <color theme="0"/>
      </top>
      <bottom/>
      <diagonal/>
    </border>
    <border>
      <left style="thin">
        <color rgb="FF03ACE5"/>
      </left>
      <right/>
      <top style="thin">
        <color rgb="FF03ACE5"/>
      </top>
      <bottom style="thin">
        <color rgb="FF03ACE5"/>
      </bottom>
      <diagonal/>
    </border>
    <border>
      <left style="thin">
        <color rgb="FF03ACE5"/>
      </left>
      <right/>
      <top/>
      <bottom/>
      <diagonal/>
    </border>
    <border>
      <left style="thin">
        <color rgb="FF03ACE5"/>
      </left>
      <right/>
      <top style="thin">
        <color rgb="FF03ACE5"/>
      </top>
      <bottom/>
      <diagonal/>
    </border>
    <border>
      <left/>
      <right/>
      <top style="thin">
        <color rgb="FF03ACE5"/>
      </top>
      <bottom/>
      <diagonal/>
    </border>
    <border>
      <left style="thin">
        <color rgb="FF03ACE5"/>
      </left>
      <right/>
      <top/>
      <bottom style="thin">
        <color rgb="FF03ACE5"/>
      </bottom>
      <diagonal/>
    </border>
    <border>
      <left style="thin">
        <color rgb="FF1082BF"/>
      </left>
      <right style="thin">
        <color rgb="FF1082BF"/>
      </right>
      <top style="thin">
        <color rgb="FF03ACE5"/>
      </top>
      <bottom style="thin">
        <color rgb="FF03ACE5"/>
      </bottom>
      <diagonal/>
    </border>
    <border>
      <left style="thin">
        <color rgb="FF1082BF"/>
      </left>
      <right style="thin">
        <color rgb="FF1082BF"/>
      </right>
      <top/>
      <bottom/>
      <diagonal/>
    </border>
    <border>
      <left/>
      <right/>
      <top style="thin">
        <color theme="0"/>
      </top>
      <bottom style="thin">
        <color rgb="FF03ACE5"/>
      </bottom>
      <diagonal/>
    </border>
    <border>
      <left style="thin">
        <color rgb="FF1082BF"/>
      </left>
      <right/>
      <top style="thin">
        <color theme="0"/>
      </top>
      <bottom/>
      <diagonal/>
    </border>
    <border>
      <left style="thin">
        <color rgb="FF1082BF"/>
      </left>
      <right/>
      <top style="thin">
        <color rgb="FF03ACE5"/>
      </top>
      <bottom style="thin">
        <color rgb="FF03ACE5"/>
      </bottom>
      <diagonal/>
    </border>
    <border>
      <left/>
      <right style="thin">
        <color theme="0"/>
      </right>
      <top style="thin">
        <color theme="0"/>
      </top>
      <bottom style="thin">
        <color rgb="FF03ACE5"/>
      </bottom>
      <diagonal/>
    </border>
    <border>
      <left/>
      <right style="thin">
        <color theme="0"/>
      </right>
      <top style="thin">
        <color theme="0"/>
      </top>
      <bottom style="thin">
        <color theme="0"/>
      </bottom>
      <diagonal/>
    </border>
    <border>
      <left/>
      <right style="dashed">
        <color theme="0"/>
      </right>
      <top style="thin">
        <color theme="0"/>
      </top>
      <bottom style="thin">
        <color theme="0"/>
      </bottom>
      <diagonal/>
    </border>
    <border>
      <left style="thin">
        <color rgb="FF1082BF"/>
      </left>
      <right style="thin">
        <color rgb="FF1082BF"/>
      </right>
      <top style="thin">
        <color rgb="FF03ACE5"/>
      </top>
      <bottom/>
      <diagonal/>
    </border>
    <border>
      <left style="thin">
        <color rgb="FF1082BF"/>
      </left>
      <right style="thin">
        <color rgb="FF1082BF"/>
      </right>
      <top/>
      <bottom style="thin">
        <color rgb="FF03ACE5"/>
      </bottom>
      <diagonal/>
    </border>
    <border>
      <left style="thin">
        <color rgb="FF1082BF"/>
      </left>
      <right/>
      <top style="thin">
        <color rgb="FF03ACE5"/>
      </top>
      <bottom/>
      <diagonal/>
    </border>
    <border>
      <left style="thin">
        <color rgb="FF1082BF"/>
      </left>
      <right/>
      <top/>
      <bottom style="thin">
        <color rgb="FF03ACE5"/>
      </bottom>
      <diagonal/>
    </border>
    <border>
      <left/>
      <right style="thin">
        <color rgb="FF1082BF"/>
      </right>
      <top style="thin">
        <color rgb="FF03ACE5"/>
      </top>
      <bottom/>
      <diagonal/>
    </border>
    <border>
      <left/>
      <right style="thin">
        <color rgb="FF1082BF"/>
      </right>
      <top/>
      <bottom/>
      <diagonal/>
    </border>
  </borders>
  <cellStyleXfs count="42859">
    <xf numFmtId="0" fontId="0" fillId="0" borderId="0"/>
    <xf numFmtId="166" fontId="10" fillId="0" borderId="0" applyFont="0" applyFill="0" applyBorder="0" applyAlignment="0" applyProtection="0"/>
    <xf numFmtId="9" fontId="8" fillId="0" borderId="0" applyFont="0" applyFill="0" applyBorder="0" applyAlignment="0" applyProtection="0"/>
    <xf numFmtId="178" fontId="14" fillId="0" borderId="0"/>
    <xf numFmtId="178" fontId="14" fillId="0" borderId="0"/>
    <xf numFmtId="178" fontId="14" fillId="0" borderId="0"/>
    <xf numFmtId="9" fontId="14" fillId="0" borderId="0" applyFont="0" applyFill="0" applyBorder="0" applyAlignment="0" applyProtection="0"/>
    <xf numFmtId="9" fontId="14" fillId="0" borderId="0" applyFont="0" applyFill="0" applyBorder="0" applyAlignment="0" applyProtection="0"/>
    <xf numFmtId="166" fontId="8" fillId="0" borderId="0" applyFont="0" applyFill="0" applyBorder="0" applyAlignment="0" applyProtection="0"/>
    <xf numFmtId="0" fontId="66" fillId="0" borderId="0"/>
    <xf numFmtId="164" fontId="66" fillId="0" borderId="0" applyFont="0" applyFill="0" applyBorder="0" applyAlignment="0" applyProtection="0"/>
    <xf numFmtId="187" fontId="14" fillId="0" borderId="0"/>
    <xf numFmtId="0" fontId="67" fillId="0" borderId="0"/>
    <xf numFmtId="0" fontId="67" fillId="0" borderId="0"/>
    <xf numFmtId="0" fontId="67" fillId="0" borderId="0"/>
    <xf numFmtId="187" fontId="14" fillId="0" borderId="0"/>
    <xf numFmtId="0" fontId="7" fillId="0" borderId="0"/>
    <xf numFmtId="164" fontId="7" fillId="0" borderId="0" applyFont="0" applyFill="0" applyBorder="0" applyAlignment="0" applyProtection="0"/>
    <xf numFmtId="0" fontId="69" fillId="0" borderId="0"/>
    <xf numFmtId="0" fontId="7" fillId="0" borderId="0"/>
    <xf numFmtId="0" fontId="14" fillId="0" borderId="0"/>
    <xf numFmtId="0" fontId="70" fillId="0" borderId="0"/>
    <xf numFmtId="0" fontId="71" fillId="0" borderId="0"/>
    <xf numFmtId="168" fontId="72" fillId="0" borderId="0"/>
    <xf numFmtId="189" fontId="73" fillId="0" borderId="0" applyFont="0" applyFill="0" applyBorder="0" applyAlignment="0" applyProtection="0"/>
    <xf numFmtId="0" fontId="74" fillId="0" borderId="0">
      <alignment vertical="center"/>
    </xf>
    <xf numFmtId="1" fontId="72" fillId="0" borderId="0"/>
    <xf numFmtId="167" fontId="75" fillId="0" borderId="0"/>
    <xf numFmtId="2" fontId="72" fillId="0" borderId="0"/>
    <xf numFmtId="1" fontId="75" fillId="0" borderId="0"/>
    <xf numFmtId="1" fontId="76" fillId="0" borderId="0"/>
    <xf numFmtId="1" fontId="76" fillId="0" borderId="0"/>
    <xf numFmtId="1" fontId="76" fillId="0" borderId="0"/>
    <xf numFmtId="1" fontId="76" fillId="0" borderId="0"/>
    <xf numFmtId="190" fontId="77" fillId="0" borderId="0" applyFont="0" applyFill="0" applyBorder="0" applyAlignment="0" applyProtection="0"/>
    <xf numFmtId="38" fontId="78" fillId="0" borderId="0" applyFont="0" applyFill="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87" fontId="80" fillId="40" borderId="0" applyNumberFormat="0" applyBorder="0" applyAlignment="0" applyProtection="0"/>
    <xf numFmtId="0" fontId="14" fillId="1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0" fillId="40" borderId="0" applyNumberFormat="0" applyBorder="0" applyAlignment="0" applyProtection="0"/>
    <xf numFmtId="0" fontId="8" fillId="35" borderId="0" applyNumberFormat="0" applyBorder="0" applyAlignment="0" applyProtection="0"/>
    <xf numFmtId="0" fontId="14" fillId="1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0" fillId="40" borderId="0" applyNumberFormat="0" applyBorder="0" applyAlignment="0" applyProtection="0"/>
    <xf numFmtId="0" fontId="8" fillId="35" borderId="0" applyNumberFormat="0" applyBorder="0" applyAlignment="0" applyProtection="0"/>
    <xf numFmtId="0" fontId="80" fillId="40" borderId="0" applyNumberFormat="0" applyBorder="0" applyAlignment="0" applyProtection="0"/>
    <xf numFmtId="0" fontId="8" fillId="35" borderId="0" applyNumberFormat="0" applyBorder="0" applyAlignment="0" applyProtection="0"/>
    <xf numFmtId="0" fontId="80" fillId="40" borderId="0" applyNumberFormat="0" applyBorder="0" applyAlignment="0" applyProtection="0"/>
    <xf numFmtId="0" fontId="8" fillId="35"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0" fillId="4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87"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87"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4" fillId="12" borderId="0" applyNumberFormat="0" applyBorder="0" applyAlignment="0" applyProtection="0"/>
    <xf numFmtId="0" fontId="80" fillId="4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187" fontId="80" fillId="4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4" fillId="1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0" fillId="41" borderId="0" applyNumberFormat="0" applyBorder="0" applyAlignment="0" applyProtection="0"/>
    <xf numFmtId="0" fontId="8" fillId="36" borderId="0" applyNumberFormat="0" applyBorder="0" applyAlignment="0" applyProtection="0"/>
    <xf numFmtId="0" fontId="14" fillId="1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0" fillId="41" borderId="0" applyNumberFormat="0" applyBorder="0" applyAlignment="0" applyProtection="0"/>
    <xf numFmtId="0" fontId="8" fillId="36" borderId="0" applyNumberFormat="0" applyBorder="0" applyAlignment="0" applyProtection="0"/>
    <xf numFmtId="0" fontId="80" fillId="41" borderId="0" applyNumberFormat="0" applyBorder="0" applyAlignment="0" applyProtection="0"/>
    <xf numFmtId="0" fontId="8" fillId="36" borderId="0" applyNumberFormat="0" applyBorder="0" applyAlignment="0" applyProtection="0"/>
    <xf numFmtId="0" fontId="80" fillId="41" borderId="0" applyNumberFormat="0" applyBorder="0" applyAlignment="0" applyProtection="0"/>
    <xf numFmtId="0" fontId="8" fillId="36"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187"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87"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16" borderId="0" applyNumberFormat="0" applyBorder="0" applyAlignment="0" applyProtection="0"/>
    <xf numFmtId="0" fontId="80" fillId="4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187" fontId="80" fillId="4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14"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0" fillId="42" borderId="0" applyNumberFormat="0" applyBorder="0" applyAlignment="0" applyProtection="0"/>
    <xf numFmtId="0" fontId="8" fillId="37" borderId="0" applyNumberFormat="0" applyBorder="0" applyAlignment="0" applyProtection="0"/>
    <xf numFmtId="0" fontId="14"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0" fillId="42" borderId="0" applyNumberFormat="0" applyBorder="0" applyAlignment="0" applyProtection="0"/>
    <xf numFmtId="0" fontId="8" fillId="37" borderId="0" applyNumberFormat="0" applyBorder="0" applyAlignment="0" applyProtection="0"/>
    <xf numFmtId="0" fontId="80" fillId="42" borderId="0" applyNumberFormat="0" applyBorder="0" applyAlignment="0" applyProtection="0"/>
    <xf numFmtId="0" fontId="8" fillId="37" borderId="0" applyNumberFormat="0" applyBorder="0" applyAlignment="0" applyProtection="0"/>
    <xf numFmtId="0" fontId="80" fillId="42" borderId="0" applyNumberFormat="0" applyBorder="0" applyAlignment="0" applyProtection="0"/>
    <xf numFmtId="0" fontId="8" fillId="3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187"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87"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14" fillId="20" borderId="0" applyNumberFormat="0" applyBorder="0" applyAlignment="0" applyProtection="0"/>
    <xf numFmtId="0" fontId="80" fillId="42"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87" fontId="80"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14" fillId="2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0" fillId="40" borderId="0" applyNumberFormat="0" applyBorder="0" applyAlignment="0" applyProtection="0"/>
    <xf numFmtId="0" fontId="8" fillId="38" borderId="0" applyNumberFormat="0" applyBorder="0" applyAlignment="0" applyProtection="0"/>
    <xf numFmtId="0" fontId="14" fillId="2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0" fillId="40" borderId="0" applyNumberFormat="0" applyBorder="0" applyAlignment="0" applyProtection="0"/>
    <xf numFmtId="0" fontId="8" fillId="38" borderId="0" applyNumberFormat="0" applyBorder="0" applyAlignment="0" applyProtection="0"/>
    <xf numFmtId="0" fontId="80" fillId="40" borderId="0" applyNumberFormat="0" applyBorder="0" applyAlignment="0" applyProtection="0"/>
    <xf numFmtId="0" fontId="8" fillId="38" borderId="0" applyNumberFormat="0" applyBorder="0" applyAlignment="0" applyProtection="0"/>
    <xf numFmtId="0" fontId="80" fillId="40" borderId="0" applyNumberFormat="0" applyBorder="0" applyAlignment="0" applyProtection="0"/>
    <xf numFmtId="0" fontId="8" fillId="38"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87"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87"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4" fillId="24" borderId="0" applyNumberFormat="0" applyBorder="0" applyAlignment="0" applyProtection="0"/>
    <xf numFmtId="0" fontId="80"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87" fontId="80"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4"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0" fillId="39" borderId="0" applyNumberFormat="0" applyBorder="0" applyAlignment="0" applyProtection="0"/>
    <xf numFmtId="0" fontId="8" fillId="39" borderId="0" applyNumberFormat="0" applyBorder="0" applyAlignment="0" applyProtection="0"/>
    <xf numFmtId="0" fontId="14"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0" fillId="39" borderId="0" applyNumberFormat="0" applyBorder="0" applyAlignment="0" applyProtection="0"/>
    <xf numFmtId="0" fontId="8" fillId="39" borderId="0" applyNumberFormat="0" applyBorder="0" applyAlignment="0" applyProtection="0"/>
    <xf numFmtId="0" fontId="80" fillId="39" borderId="0" applyNumberFormat="0" applyBorder="0" applyAlignment="0" applyProtection="0"/>
    <xf numFmtId="0" fontId="8" fillId="39" borderId="0" applyNumberFormat="0" applyBorder="0" applyAlignment="0" applyProtection="0"/>
    <xf numFmtId="0" fontId="80" fillId="39" borderId="0" applyNumberFormat="0" applyBorder="0" applyAlignment="0" applyProtection="0"/>
    <xf numFmtId="0" fontId="8"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87"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87"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14" fillId="28" borderId="0" applyNumberFormat="0" applyBorder="0" applyAlignment="0" applyProtection="0"/>
    <xf numFmtId="0" fontId="80" fillId="3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187" fontId="80"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4" fillId="3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0" fillId="41" borderId="0" applyNumberFormat="0" applyBorder="0" applyAlignment="0" applyProtection="0"/>
    <xf numFmtId="0" fontId="8" fillId="41" borderId="0" applyNumberFormat="0" applyBorder="0" applyAlignment="0" applyProtection="0"/>
    <xf numFmtId="0" fontId="14" fillId="3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0" fillId="41" borderId="0" applyNumberFormat="0" applyBorder="0" applyAlignment="0" applyProtection="0"/>
    <xf numFmtId="0" fontId="8" fillId="41" borderId="0" applyNumberFormat="0" applyBorder="0" applyAlignment="0" applyProtection="0"/>
    <xf numFmtId="0" fontId="80" fillId="41" borderId="0" applyNumberFormat="0" applyBorder="0" applyAlignment="0" applyProtection="0"/>
    <xf numFmtId="0" fontId="8" fillId="41" borderId="0" applyNumberFormat="0" applyBorder="0" applyAlignment="0" applyProtection="0"/>
    <xf numFmtId="0" fontId="80" fillId="41" borderId="0" applyNumberFormat="0" applyBorder="0" applyAlignment="0" applyProtection="0"/>
    <xf numFmtId="0" fontId="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187"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87"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32" borderId="0" applyNumberFormat="0" applyBorder="0" applyAlignment="0" applyProtection="0"/>
    <xf numFmtId="0" fontId="80" fillId="4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187" fontId="80"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4" fillId="1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0" fillId="43" borderId="0" applyNumberFormat="0" applyBorder="0" applyAlignment="0" applyProtection="0"/>
    <xf numFmtId="0" fontId="8" fillId="44" borderId="0" applyNumberFormat="0" applyBorder="0" applyAlignment="0" applyProtection="0"/>
    <xf numFmtId="0" fontId="14" fillId="1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0" fillId="43" borderId="0" applyNumberFormat="0" applyBorder="0" applyAlignment="0" applyProtection="0"/>
    <xf numFmtId="0" fontId="8" fillId="44" borderId="0" applyNumberFormat="0" applyBorder="0" applyAlignment="0" applyProtection="0"/>
    <xf numFmtId="0" fontId="80" fillId="43" borderId="0" applyNumberFormat="0" applyBorder="0" applyAlignment="0" applyProtection="0"/>
    <xf numFmtId="0" fontId="8" fillId="44" borderId="0" applyNumberFormat="0" applyBorder="0" applyAlignment="0" applyProtection="0"/>
    <xf numFmtId="0" fontId="80" fillId="43" borderId="0" applyNumberFormat="0" applyBorder="0" applyAlignment="0" applyProtection="0"/>
    <xf numFmtId="0" fontId="8" fillId="44"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187"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187"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14" fillId="13" borderId="0" applyNumberFormat="0" applyBorder="0" applyAlignment="0" applyProtection="0"/>
    <xf numFmtId="0" fontId="80"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187" fontId="80"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4" fillId="17"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14" fillId="17"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187"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187"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4" fillId="17" borderId="0" applyNumberFormat="0" applyBorder="0" applyAlignment="0" applyProtection="0"/>
    <xf numFmtId="0" fontId="80" fillId="4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87" fontId="80" fillId="4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4" fillId="21"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0" fillId="46" borderId="0" applyNumberFormat="0" applyBorder="0" applyAlignment="0" applyProtection="0"/>
    <xf numFmtId="0" fontId="8" fillId="47" borderId="0" applyNumberFormat="0" applyBorder="0" applyAlignment="0" applyProtection="0"/>
    <xf numFmtId="0" fontId="14" fillId="21"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0" fillId="46" borderId="0" applyNumberFormat="0" applyBorder="0" applyAlignment="0" applyProtection="0"/>
    <xf numFmtId="0" fontId="8" fillId="47" borderId="0" applyNumberFormat="0" applyBorder="0" applyAlignment="0" applyProtection="0"/>
    <xf numFmtId="0" fontId="80" fillId="46" borderId="0" applyNumberFormat="0" applyBorder="0" applyAlignment="0" applyProtection="0"/>
    <xf numFmtId="0" fontId="8" fillId="47" borderId="0" applyNumberFormat="0" applyBorder="0" applyAlignment="0" applyProtection="0"/>
    <xf numFmtId="0" fontId="80" fillId="46" borderId="0" applyNumberFormat="0" applyBorder="0" applyAlignment="0" applyProtection="0"/>
    <xf numFmtId="0" fontId="8" fillId="47"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87"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187"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14" fillId="21" borderId="0" applyNumberFormat="0" applyBorder="0" applyAlignment="0" applyProtection="0"/>
    <xf numFmtId="0" fontId="80" fillId="4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87" fontId="80"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14" fillId="2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0" fillId="43" borderId="0" applyNumberFormat="0" applyBorder="0" applyAlignment="0" applyProtection="0"/>
    <xf numFmtId="0" fontId="8" fillId="38" borderId="0" applyNumberFormat="0" applyBorder="0" applyAlignment="0" applyProtection="0"/>
    <xf numFmtId="0" fontId="14" fillId="2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0" fillId="43" borderId="0" applyNumberFormat="0" applyBorder="0" applyAlignment="0" applyProtection="0"/>
    <xf numFmtId="0" fontId="8" fillId="38" borderId="0" applyNumberFormat="0" applyBorder="0" applyAlignment="0" applyProtection="0"/>
    <xf numFmtId="0" fontId="80" fillId="43" borderId="0" applyNumberFormat="0" applyBorder="0" applyAlignment="0" applyProtection="0"/>
    <xf numFmtId="0" fontId="8" fillId="38" borderId="0" applyNumberFormat="0" applyBorder="0" applyAlignment="0" applyProtection="0"/>
    <xf numFmtId="0" fontId="80" fillId="43" borderId="0" applyNumberFormat="0" applyBorder="0" applyAlignment="0" applyProtection="0"/>
    <xf numFmtId="0" fontId="8" fillId="38"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87"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187"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14" fillId="25" borderId="0" applyNumberFormat="0" applyBorder="0" applyAlignment="0" applyProtection="0"/>
    <xf numFmtId="0" fontId="80" fillId="4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87" fontId="80"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4" fillId="29"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0" fillId="44" borderId="0" applyNumberFormat="0" applyBorder="0" applyAlignment="0" applyProtection="0"/>
    <xf numFmtId="0" fontId="8" fillId="44" borderId="0" applyNumberFormat="0" applyBorder="0" applyAlignment="0" applyProtection="0"/>
    <xf numFmtId="0" fontId="14" fillId="29"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0" fillId="44" borderId="0" applyNumberFormat="0" applyBorder="0" applyAlignment="0" applyProtection="0"/>
    <xf numFmtId="0" fontId="8" fillId="44" borderId="0" applyNumberFormat="0" applyBorder="0" applyAlignment="0" applyProtection="0"/>
    <xf numFmtId="0" fontId="80" fillId="44" borderId="0" applyNumberFormat="0" applyBorder="0" applyAlignment="0" applyProtection="0"/>
    <xf numFmtId="0" fontId="8" fillId="44" borderId="0" applyNumberFormat="0" applyBorder="0" applyAlignment="0" applyProtection="0"/>
    <xf numFmtId="0" fontId="80" fillId="44" borderId="0" applyNumberFormat="0" applyBorder="0" applyAlignment="0" applyProtection="0"/>
    <xf numFmtId="0" fontId="8"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87"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187"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14" fillId="29" borderId="0" applyNumberFormat="0" applyBorder="0" applyAlignment="0" applyProtection="0"/>
    <xf numFmtId="0" fontId="80" fillId="44"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87" fontId="80" fillId="41"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4" fillId="33"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0" fillId="41" borderId="0" applyNumberFormat="0" applyBorder="0" applyAlignment="0" applyProtection="0"/>
    <xf numFmtId="0" fontId="8" fillId="48" borderId="0" applyNumberFormat="0" applyBorder="0" applyAlignment="0" applyProtection="0"/>
    <xf numFmtId="0" fontId="14" fillId="33"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0" fillId="41" borderId="0" applyNumberFormat="0" applyBorder="0" applyAlignment="0" applyProtection="0"/>
    <xf numFmtId="0" fontId="8" fillId="48" borderId="0" applyNumberFormat="0" applyBorder="0" applyAlignment="0" applyProtection="0"/>
    <xf numFmtId="0" fontId="80" fillId="41" borderId="0" applyNumberFormat="0" applyBorder="0" applyAlignment="0" applyProtection="0"/>
    <xf numFmtId="0" fontId="8" fillId="48" borderId="0" applyNumberFormat="0" applyBorder="0" applyAlignment="0" applyProtection="0"/>
    <xf numFmtId="0" fontId="80" fillId="41" borderId="0" applyNumberFormat="0" applyBorder="0" applyAlignment="0" applyProtection="0"/>
    <xf numFmtId="0" fontId="8" fillId="48"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87"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187"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4" fillId="33" borderId="0" applyNumberFormat="0" applyBorder="0" applyAlignment="0" applyProtection="0"/>
    <xf numFmtId="0" fontId="80" fillId="41"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4"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187" fontId="8"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65" fillId="14"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1" fillId="14"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187" fontId="8" fillId="49" borderId="0" applyNumberFormat="0" applyBorder="0" applyAlignment="0" applyProtection="0"/>
    <xf numFmtId="0" fontId="80" fillId="50"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14" borderId="0" applyNumberFormat="0" applyBorder="0" applyAlignment="0" applyProtection="0"/>
    <xf numFmtId="0" fontId="8" fillId="49" borderId="0" applyNumberFormat="0" applyBorder="0" applyAlignment="0" applyProtection="0"/>
    <xf numFmtId="187"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14" borderId="0" applyNumberFormat="0" applyBorder="0" applyAlignment="0" applyProtection="0"/>
    <xf numFmtId="0" fontId="8" fillId="49" borderId="0" applyNumberFormat="0" applyBorder="0" applyAlignment="0" applyProtection="0"/>
    <xf numFmtId="0" fontId="65"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187" fontId="8"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5" fillId="18"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1" fillId="18"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187" fontId="8" fillId="45" borderId="0" applyNumberFormat="0" applyBorder="0" applyAlignment="0" applyProtection="0"/>
    <xf numFmtId="0" fontId="80"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1" fillId="18" borderId="0" applyNumberFormat="0" applyBorder="0" applyAlignment="0" applyProtection="0"/>
    <xf numFmtId="0" fontId="8" fillId="45" borderId="0" applyNumberFormat="0" applyBorder="0" applyAlignment="0" applyProtection="0"/>
    <xf numFmtId="187"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1" fillId="18" borderId="0" applyNumberFormat="0" applyBorder="0" applyAlignment="0" applyProtection="0"/>
    <xf numFmtId="0" fontId="8" fillId="45" borderId="0" applyNumberFormat="0" applyBorder="0" applyAlignment="0" applyProtection="0"/>
    <xf numFmtId="0" fontId="65"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187" fontId="8" fillId="46"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5" fillId="22"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1" fillId="22"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187" fontId="8" fillId="46" borderId="0" applyNumberFormat="0" applyBorder="0" applyAlignment="0" applyProtection="0"/>
    <xf numFmtId="0" fontId="80" fillId="47"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1" fillId="22" borderId="0" applyNumberFormat="0" applyBorder="0" applyAlignment="0" applyProtection="0"/>
    <xf numFmtId="0" fontId="8" fillId="46" borderId="0" applyNumberFormat="0" applyBorder="0" applyAlignment="0" applyProtection="0"/>
    <xf numFmtId="187"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1" fillId="22" borderId="0" applyNumberFormat="0" applyBorder="0" applyAlignment="0" applyProtection="0"/>
    <xf numFmtId="0" fontId="8" fillId="46" borderId="0" applyNumberFormat="0" applyBorder="0" applyAlignment="0" applyProtection="0"/>
    <xf numFmtId="0" fontId="65"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187" fontId="8" fillId="4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5" fillId="26"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1" fillId="26"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187" fontId="8" fillId="43" borderId="0" applyNumberFormat="0" applyBorder="0" applyAlignment="0" applyProtection="0"/>
    <xf numFmtId="0" fontId="80" fillId="5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1" fillId="26" borderId="0" applyNumberFormat="0" applyBorder="0" applyAlignment="0" applyProtection="0"/>
    <xf numFmtId="0" fontId="8" fillId="43" borderId="0" applyNumberFormat="0" applyBorder="0" applyAlignment="0" applyProtection="0"/>
    <xf numFmtId="187"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1" fillId="26" borderId="0" applyNumberFormat="0" applyBorder="0" applyAlignment="0" applyProtection="0"/>
    <xf numFmtId="0" fontId="8" fillId="43" borderId="0" applyNumberFormat="0" applyBorder="0" applyAlignment="0" applyProtection="0"/>
    <xf numFmtId="0" fontId="65"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187"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5" fillId="3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1" fillId="3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187"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30" borderId="0" applyNumberFormat="0" applyBorder="0" applyAlignment="0" applyProtection="0"/>
    <xf numFmtId="0" fontId="8" fillId="49" borderId="0" applyNumberFormat="0" applyBorder="0" applyAlignment="0" applyProtection="0"/>
    <xf numFmtId="187"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30" borderId="0" applyNumberFormat="0" applyBorder="0" applyAlignment="0" applyProtection="0"/>
    <xf numFmtId="0" fontId="8" fillId="49" borderId="0" applyNumberFormat="0" applyBorder="0" applyAlignment="0" applyProtection="0"/>
    <xf numFmtId="0" fontId="65"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187" fontId="8" fillId="41"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65" fillId="34"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1" fillId="34"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187" fontId="8" fillId="41" borderId="0" applyNumberFormat="0" applyBorder="0" applyAlignment="0" applyProtection="0"/>
    <xf numFmtId="0" fontId="80" fillId="5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1" fillId="34" borderId="0" applyNumberFormat="0" applyBorder="0" applyAlignment="0" applyProtection="0"/>
    <xf numFmtId="0" fontId="8" fillId="41" borderId="0" applyNumberFormat="0" applyBorder="0" applyAlignment="0" applyProtection="0"/>
    <xf numFmtId="187"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1" fillId="34" borderId="0" applyNumberFormat="0" applyBorder="0" applyAlignment="0" applyProtection="0"/>
    <xf numFmtId="0" fontId="8" fillId="41" borderId="0" applyNumberFormat="0" applyBorder="0" applyAlignment="0" applyProtection="0"/>
    <xf numFmtId="0" fontId="65"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2" fillId="53" borderId="0">
      <alignment horizontal="left" vertical="top"/>
    </xf>
    <xf numFmtId="191" fontId="78" fillId="0" borderId="0" applyFont="0" applyFill="0" applyBorder="0" applyAlignment="0" applyProtection="0"/>
    <xf numFmtId="187" fontId="8" fillId="4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65" fillId="11"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1" fillId="11"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187" fontId="8" fillId="49" borderId="0" applyNumberFormat="0" applyBorder="0" applyAlignment="0" applyProtection="0"/>
    <xf numFmtId="0" fontId="80" fillId="5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11" borderId="0" applyNumberFormat="0" applyBorder="0" applyAlignment="0" applyProtection="0"/>
    <xf numFmtId="0" fontId="8" fillId="49" borderId="0" applyNumberFormat="0" applyBorder="0" applyAlignment="0" applyProtection="0"/>
    <xf numFmtId="187"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11" borderId="0" applyNumberFormat="0" applyBorder="0" applyAlignment="0" applyProtection="0"/>
    <xf numFmtId="0" fontId="8" fillId="49" borderId="0" applyNumberFormat="0" applyBorder="0" applyAlignment="0" applyProtection="0"/>
    <xf numFmtId="0" fontId="65"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187" fontId="8" fillId="47"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65" fillId="15"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1" fillId="15"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187" fontId="8" fillId="47" borderId="0" applyNumberFormat="0" applyBorder="0" applyAlignment="0" applyProtection="0"/>
    <xf numFmtId="0" fontId="80"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1" fillId="15" borderId="0" applyNumberFormat="0" applyBorder="0" applyAlignment="0" applyProtection="0"/>
    <xf numFmtId="0" fontId="8" fillId="47" borderId="0" applyNumberFormat="0" applyBorder="0" applyAlignment="0" applyProtection="0"/>
    <xf numFmtId="187"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1" fillId="15" borderId="0" applyNumberFormat="0" applyBorder="0" applyAlignment="0" applyProtection="0"/>
    <xf numFmtId="0" fontId="8" fillId="47" borderId="0" applyNumberFormat="0" applyBorder="0" applyAlignment="0" applyProtection="0"/>
    <xf numFmtId="0" fontId="65"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187" fontId="8"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5" fillId="19"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1" fillId="19"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187" fontId="8" fillId="55" borderId="0" applyNumberFormat="0" applyBorder="0" applyAlignment="0" applyProtection="0"/>
    <xf numFmtId="0" fontId="80"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1" fillId="19" borderId="0" applyNumberFormat="0" applyBorder="0" applyAlignment="0" applyProtection="0"/>
    <xf numFmtId="0" fontId="8" fillId="55" borderId="0" applyNumberFormat="0" applyBorder="0" applyAlignment="0" applyProtection="0"/>
    <xf numFmtId="187"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1" fillId="19" borderId="0" applyNumberFormat="0" applyBorder="0" applyAlignment="0" applyProtection="0"/>
    <xf numFmtId="0" fontId="8" fillId="55" borderId="0" applyNumberFormat="0" applyBorder="0" applyAlignment="0" applyProtection="0"/>
    <xf numFmtId="0" fontId="65"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187" fontId="8" fillId="56"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5" fillId="2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1" fillId="2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187" fontId="8" fillId="56" borderId="0" applyNumberFormat="0" applyBorder="0" applyAlignment="0" applyProtection="0"/>
    <xf numFmtId="0" fontId="80" fillId="51"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1" fillId="23" borderId="0" applyNumberFormat="0" applyBorder="0" applyAlignment="0" applyProtection="0"/>
    <xf numFmtId="0" fontId="8" fillId="56" borderId="0" applyNumberFormat="0" applyBorder="0" applyAlignment="0" applyProtection="0"/>
    <xf numFmtId="187"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1" fillId="23" borderId="0" applyNumberFormat="0" applyBorder="0" applyAlignment="0" applyProtection="0"/>
    <xf numFmtId="0" fontId="8" fillId="56" borderId="0" applyNumberFormat="0" applyBorder="0" applyAlignment="0" applyProtection="0"/>
    <xf numFmtId="0" fontId="65"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187"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5" fillId="2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1" fillId="2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187" fontId="8" fillId="49" borderId="0" applyNumberFormat="0" applyBorder="0" applyAlignment="0" applyProtection="0"/>
    <xf numFmtId="0" fontId="80"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27" borderId="0" applyNumberFormat="0" applyBorder="0" applyAlignment="0" applyProtection="0"/>
    <xf numFmtId="0" fontId="8" fillId="49" borderId="0" applyNumberFormat="0" applyBorder="0" applyAlignment="0" applyProtection="0"/>
    <xf numFmtId="187"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1" fillId="27" borderId="0" applyNumberFormat="0" applyBorder="0" applyAlignment="0" applyProtection="0"/>
    <xf numFmtId="0" fontId="8" fillId="49" borderId="0" applyNumberFormat="0" applyBorder="0" applyAlignment="0" applyProtection="0"/>
    <xf numFmtId="0" fontId="65"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187" fontId="8"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5" fillId="31"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1" fillId="31"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187" fontId="8" fillId="57" borderId="0" applyNumberFormat="0" applyBorder="0" applyAlignment="0" applyProtection="0"/>
    <xf numFmtId="0" fontId="80"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1" fillId="31" borderId="0" applyNumberFormat="0" applyBorder="0" applyAlignment="0" applyProtection="0"/>
    <xf numFmtId="0" fontId="8" fillId="57" borderId="0" applyNumberFormat="0" applyBorder="0" applyAlignment="0" applyProtection="0"/>
    <xf numFmtId="187"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1" fillId="31" borderId="0" applyNumberFormat="0" applyBorder="0" applyAlignment="0" applyProtection="0"/>
    <xf numFmtId="0" fontId="8" fillId="57" borderId="0" applyNumberFormat="0" applyBorder="0" applyAlignment="0" applyProtection="0"/>
    <xf numFmtId="0" fontId="65"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192" fontId="69" fillId="0" borderId="0" applyFill="0" applyBorder="0" applyAlignment="0"/>
    <xf numFmtId="164" fontId="69" fillId="0" borderId="0" applyFont="0" applyFill="0" applyBorder="0" applyAlignment="0" applyProtection="0"/>
    <xf numFmtId="187"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58" fillId="7" borderId="23"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4" fillId="7" borderId="2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3" fillId="41" borderId="29" applyNumberFormat="0" applyAlignment="0" applyProtection="0"/>
    <xf numFmtId="187" fontId="83" fillId="41" borderId="29" applyNumberFormat="0" applyAlignment="0" applyProtection="0"/>
    <xf numFmtId="0"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4" fillId="7" borderId="23" applyNumberFormat="0" applyAlignment="0" applyProtection="0"/>
    <xf numFmtId="0" fontId="8" fillId="0" borderId="0" applyNumberFormat="0" applyFont="0" applyFill="0" applyBorder="0" applyAlignment="0" applyProtection="0"/>
    <xf numFmtId="187" fontId="83" fillId="41"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3" fillId="41" borderId="29" applyNumberFormat="0" applyAlignment="0" applyProtection="0"/>
    <xf numFmtId="0" fontId="83" fillId="41" borderId="29" applyNumberFormat="0" applyAlignment="0" applyProtection="0"/>
    <xf numFmtId="0" fontId="84" fillId="7" borderId="23" applyNumberFormat="0" applyAlignment="0" applyProtection="0"/>
    <xf numFmtId="0" fontId="8" fillId="0" borderId="0" applyNumberFormat="0" applyFont="0" applyFill="0" applyBorder="0" applyAlignment="0" applyProtection="0"/>
    <xf numFmtId="0" fontId="58" fillId="7" borderId="23" applyNumberFormat="0" applyAlignment="0" applyProtection="0"/>
    <xf numFmtId="0" fontId="84" fillId="7" borderId="23" applyNumberFormat="0" applyAlignment="0" applyProtection="0"/>
    <xf numFmtId="0" fontId="84" fillId="7" borderId="23" applyNumberFormat="0" applyAlignment="0" applyProtection="0"/>
    <xf numFmtId="0" fontId="84" fillId="7" borderId="23" applyNumberFormat="0" applyAlignment="0" applyProtection="0"/>
    <xf numFmtId="187" fontId="85" fillId="40"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59" fillId="8" borderId="24"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40"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40"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6" fillId="8" borderId="24" applyNumberFormat="0" applyAlignment="0" applyProtection="0"/>
    <xf numFmtId="0" fontId="87" fillId="0" borderId="2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5" fillId="58" borderId="30" applyNumberFormat="0" applyAlignment="0" applyProtection="0"/>
    <xf numFmtId="0" fontId="85" fillId="58" borderId="30" applyNumberFormat="0" applyAlignment="0" applyProtection="0"/>
    <xf numFmtId="0" fontId="85" fillId="58" borderId="30" applyNumberFormat="0" applyAlignment="0" applyProtection="0"/>
    <xf numFmtId="187" fontId="85" fillId="40" borderId="30" applyNumberFormat="0" applyAlignment="0" applyProtection="0"/>
    <xf numFmtId="0" fontId="85" fillId="58"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40" borderId="30" applyNumberFormat="0" applyAlignment="0" applyProtection="0"/>
    <xf numFmtId="0" fontId="85" fillId="40" borderId="30" applyNumberFormat="0" applyAlignment="0" applyProtection="0"/>
    <xf numFmtId="0" fontId="86" fillId="8" borderId="24" applyNumberFormat="0" applyAlignment="0" applyProtection="0"/>
    <xf numFmtId="0" fontId="8" fillId="0" borderId="0" applyNumberFormat="0" applyFont="0" applyFill="0" applyBorder="0" applyAlignment="0" applyProtection="0"/>
    <xf numFmtId="187" fontId="85" fillId="40" borderId="3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5" fillId="40" borderId="30" applyNumberFormat="0" applyAlignment="0" applyProtection="0"/>
    <xf numFmtId="0" fontId="85" fillId="40" borderId="30" applyNumberFormat="0" applyAlignment="0" applyProtection="0"/>
    <xf numFmtId="0" fontId="86" fillId="8" borderId="24" applyNumberFormat="0" applyAlignment="0" applyProtection="0"/>
    <xf numFmtId="0" fontId="8" fillId="0" borderId="0" applyNumberFormat="0" applyFont="0" applyFill="0" applyBorder="0" applyAlignment="0" applyProtection="0"/>
    <xf numFmtId="0" fontId="59" fillId="8" borderId="24" applyNumberFormat="0" applyAlignment="0" applyProtection="0"/>
    <xf numFmtId="0" fontId="86" fillId="8" borderId="24" applyNumberFormat="0" applyAlignment="0" applyProtection="0"/>
    <xf numFmtId="0" fontId="87" fillId="0" borderId="24" applyNumberFormat="0" applyFill="0" applyAlignment="0" applyProtection="0"/>
    <xf numFmtId="0" fontId="87" fillId="0" borderId="24" applyNumberFormat="0" applyFill="0" applyAlignment="0" applyProtection="0"/>
    <xf numFmtId="0" fontId="86" fillId="8" borderId="24" applyNumberFormat="0" applyAlignment="0" applyProtection="0"/>
    <xf numFmtId="0" fontId="87" fillId="0" borderId="24" applyNumberFormat="0" applyFill="0" applyAlignment="0" applyProtection="0"/>
    <xf numFmtId="187"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55" fillId="4"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4" borderId="0" applyNumberFormat="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187" fontId="88" fillId="37" borderId="0" applyNumberFormat="0" applyBorder="0" applyAlignment="0" applyProtection="0"/>
    <xf numFmtId="0"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9" fillId="4" borderId="0" applyNumberFormat="0" applyBorder="0" applyAlignment="0" applyProtection="0"/>
    <xf numFmtId="0" fontId="8" fillId="0" borderId="0" applyNumberFormat="0" applyFont="0" applyFill="0" applyBorder="0" applyAlignment="0" applyProtection="0"/>
    <xf numFmtId="187" fontId="88" fillId="3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9" fillId="4" borderId="0" applyNumberFormat="0" applyBorder="0" applyAlignment="0" applyProtection="0"/>
    <xf numFmtId="0" fontId="8" fillId="0" borderId="0" applyNumberFormat="0" applyFont="0" applyFill="0" applyBorder="0" applyAlignment="0" applyProtection="0"/>
    <xf numFmtId="0" fontId="55" fillId="4" borderId="0" applyNumberFormat="0" applyBorder="0" applyAlignment="0" applyProtection="0"/>
    <xf numFmtId="0" fontId="89" fillId="4"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4" borderId="0" applyNumberFormat="0" applyBorder="0" applyAlignment="0" applyProtection="0"/>
    <xf numFmtId="0" fontId="89" fillId="0" borderId="0" applyNumberFormat="0" applyFill="0" applyBorder="0" applyAlignment="0" applyProtection="0"/>
    <xf numFmtId="193" fontId="90" fillId="0" borderId="0">
      <alignment horizontal="center"/>
    </xf>
    <xf numFmtId="194" fontId="73" fillId="0" borderId="0" applyFont="0" applyFill="0" applyBorder="0" applyAlignment="0" applyProtection="0"/>
    <xf numFmtId="195" fontId="7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6"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164" fontId="91" fillId="0" borderId="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0" fontId="8" fillId="0" borderId="0" applyNumberFormat="0" applyFont="0" applyFill="0" applyBorder="0" applyAlignment="0" applyProtection="0"/>
    <xf numFmtId="164" fontId="69"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6" fontId="73" fillId="0" borderId="0" applyFont="0" applyFill="0" applyBorder="0" applyAlignment="0" applyProtection="0"/>
    <xf numFmtId="164" fontId="69"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8" fillId="0" borderId="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0" fontId="8" fillId="0" borderId="0" applyNumberFormat="0" applyFont="0" applyFill="0" applyBorder="0" applyAlignment="0" applyProtection="0"/>
    <xf numFmtId="164" fontId="70"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164" fontId="45"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14" fillId="0" borderId="0" applyFont="0" applyFill="0" applyBorder="0" applyAlignment="0" applyProtection="0"/>
    <xf numFmtId="164" fontId="8" fillId="0" borderId="0" applyFont="0" applyFill="0" applyBorder="0" applyAlignment="0" applyProtection="0"/>
    <xf numFmtId="164" fontId="45" fillId="0" borderId="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45" fillId="0" borderId="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3" fillId="0" borderId="0" applyFont="0" applyFill="0" applyBorder="0" applyAlignment="0" applyProtection="0"/>
    <xf numFmtId="0" fontId="8" fillId="0" borderId="0" applyNumberFormat="0" applyFont="0" applyFill="0" applyBorder="0" applyAlignment="0" applyProtection="0"/>
    <xf numFmtId="164" fontId="7"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3" fillId="0" borderId="0" applyFont="0" applyFill="0" applyBorder="0" applyAlignment="0" applyProtection="0"/>
    <xf numFmtId="164" fontId="45" fillId="0" borderId="0" applyFont="0" applyFill="0" applyBorder="0" applyAlignment="0" applyProtection="0"/>
    <xf numFmtId="164" fontId="73"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0" fontId="8" fillId="0" borderId="0" applyNumberFormat="0" applyFont="0" applyFill="0" applyBorder="0" applyAlignment="0" applyProtection="0"/>
    <xf numFmtId="166" fontId="73" fillId="0" borderId="0" applyFont="0" applyFill="0" applyBorder="0" applyAlignment="0" applyProtection="0"/>
    <xf numFmtId="164" fontId="73"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7" fillId="0" borderId="0" applyFont="0" applyFill="0" applyBorder="0" applyAlignment="0" applyProtection="0"/>
    <xf numFmtId="164" fontId="93" fillId="0" borderId="0" applyFont="0" applyFill="0" applyBorder="0" applyAlignment="0" applyProtection="0"/>
    <xf numFmtId="0" fontId="94" fillId="0" borderId="0" applyNumberFormat="0" applyFill="0" applyBorder="0" applyAlignment="0" applyProtection="0"/>
    <xf numFmtId="187" fontId="73" fillId="0" borderId="0" applyFont="0" applyFill="0" applyBorder="0" applyAlignment="0" applyProtection="0"/>
    <xf numFmtId="178" fontId="69" fillId="0" borderId="0" applyFont="0" applyFill="0" applyBorder="0" applyAlignment="0" applyProtection="0"/>
    <xf numFmtId="178" fontId="73" fillId="0" borderId="0" applyFont="0" applyFill="0" applyBorder="0" applyAlignment="0" applyProtection="0"/>
    <xf numFmtId="0" fontId="73" fillId="0" borderId="0" applyFont="0" applyFill="0" applyBorder="0" applyAlignment="0" applyProtection="0"/>
    <xf numFmtId="178" fontId="7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Protection="0">
      <alignment vertical="top"/>
    </xf>
    <xf numFmtId="3" fontId="96" fillId="59" borderId="0" applyNumberFormat="0" applyFont="0" applyBorder="0" applyAlignment="0">
      <protection hidden="1"/>
    </xf>
    <xf numFmtId="0" fontId="92" fillId="0" borderId="1">
      <alignment horizontal="center"/>
    </xf>
    <xf numFmtId="38" fontId="97" fillId="60" borderId="0" applyNumberFormat="0" applyBorder="0" applyAlignment="0" applyProtection="0"/>
    <xf numFmtId="3" fontId="98" fillId="0" borderId="0"/>
    <xf numFmtId="0" fontId="99" fillId="0" borderId="7" applyNumberFormat="0" applyAlignment="0" applyProtection="0">
      <alignment horizontal="left" vertical="center"/>
    </xf>
    <xf numFmtId="0" fontId="99" fillId="0" borderId="31">
      <alignment horizontal="left" vertical="center"/>
    </xf>
    <xf numFmtId="0" fontId="100" fillId="0" borderId="0"/>
    <xf numFmtId="0" fontId="101" fillId="0" borderId="0"/>
    <xf numFmtId="0" fontId="102" fillId="0" borderId="0"/>
    <xf numFmtId="0" fontId="103" fillId="0" borderId="0"/>
    <xf numFmtId="0" fontId="104" fillId="0" borderId="0"/>
    <xf numFmtId="187" fontId="105" fillId="0" borderId="0" applyNumberFormat="0" applyFill="0" applyBorder="0" applyAlignment="0" applyProtection="0">
      <alignment vertical="top"/>
      <protection locked="0"/>
    </xf>
    <xf numFmtId="196" fontId="106" fillId="0" borderId="0"/>
    <xf numFmtId="0" fontId="107" fillId="0" borderId="0" applyNumberFormat="0" applyFill="0" applyBorder="0" applyAlignment="0" applyProtection="0"/>
    <xf numFmtId="10" fontId="97" fillId="61" borderId="32" applyNumberFormat="0" applyBorder="0" applyAlignment="0" applyProtection="0"/>
    <xf numFmtId="42" fontId="108" fillId="0" borderId="0">
      <alignment horizontal="center"/>
    </xf>
    <xf numFmtId="197" fontId="109" fillId="0" borderId="0" applyFont="0" applyFill="0" applyBorder="0" applyAlignment="0" applyProtection="0"/>
    <xf numFmtId="198" fontId="75" fillId="0" borderId="0"/>
    <xf numFmtId="199" fontId="110" fillId="0" borderId="0"/>
    <xf numFmtId="200" fontId="106" fillId="0" borderId="0"/>
    <xf numFmtId="201" fontId="106" fillId="0" borderId="0"/>
    <xf numFmtId="187"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61" fillId="0" borderId="2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2" fillId="0" borderId="2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187" fontId="111" fillId="0" borderId="33" applyNumberFormat="0" applyFill="0" applyAlignment="0" applyProtection="0"/>
    <xf numFmtId="0"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112" fillId="0" borderId="25" applyNumberFormat="0" applyFill="0" applyAlignment="0" applyProtection="0"/>
    <xf numFmtId="0" fontId="8" fillId="0" borderId="0" applyNumberFormat="0" applyFont="0" applyFill="0" applyBorder="0" applyAlignment="0" applyProtection="0"/>
    <xf numFmtId="187" fontId="111"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1" fillId="0" borderId="33" applyNumberFormat="0" applyFill="0" applyAlignment="0" applyProtection="0"/>
    <xf numFmtId="0" fontId="111" fillId="0" borderId="33" applyNumberFormat="0" applyFill="0" applyAlignment="0" applyProtection="0"/>
    <xf numFmtId="0" fontId="112" fillId="0" borderId="25" applyNumberFormat="0" applyFill="0" applyAlignment="0" applyProtection="0"/>
    <xf numFmtId="0" fontId="8" fillId="0" borderId="0" applyNumberFormat="0" applyFont="0" applyFill="0" applyBorder="0" applyAlignment="0" applyProtection="0"/>
    <xf numFmtId="0" fontId="61" fillId="0" borderId="25" applyNumberFormat="0" applyFill="0" applyAlignment="0" applyProtection="0"/>
    <xf numFmtId="0" fontId="112" fillId="0" borderId="25" applyNumberFormat="0" applyFill="0" applyAlignment="0" applyProtection="0"/>
    <xf numFmtId="0" fontId="112" fillId="0" borderId="25" applyNumberFormat="0" applyFill="0" applyAlignment="0" applyProtection="0"/>
    <xf numFmtId="0" fontId="112" fillId="0" borderId="25" applyNumberFormat="0" applyFill="0" applyAlignment="0" applyProtection="0"/>
    <xf numFmtId="187" fontId="113"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62" fillId="9" borderId="2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114" fillId="62" borderId="34" applyNumberFormat="0" applyAlignment="0" applyProtection="0"/>
    <xf numFmtId="0" fontId="8" fillId="0" borderId="0" applyNumberFormat="0" applyFont="0" applyFill="0" applyBorder="0" applyAlignment="0" applyProtection="0"/>
    <xf numFmtId="0" fontId="114" fillId="62" borderId="34" applyNumberFormat="0" applyAlignment="0" applyProtection="0"/>
    <xf numFmtId="0" fontId="8" fillId="0" borderId="0" applyNumberFormat="0" applyFont="0" applyFill="0" applyBorder="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5" fillId="9" borderId="26" applyNumberFormat="0" applyAlignment="0" applyProtection="0"/>
    <xf numFmtId="0" fontId="81" fillId="0" borderId="26" applyNumberFormat="0" applyFill="0" applyAlignment="0" applyProtection="0"/>
    <xf numFmtId="187" fontId="113"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62" borderId="34" applyNumberFormat="0" applyAlignment="0" applyProtection="0"/>
    <xf numFmtId="0" fontId="114" fillId="62" borderId="34" applyNumberFormat="0" applyAlignment="0" applyProtection="0"/>
    <xf numFmtId="187" fontId="113" fillId="62" borderId="34" applyNumberFormat="0" applyAlignment="0" applyProtection="0"/>
    <xf numFmtId="187" fontId="113" fillId="62" borderId="34" applyNumberFormat="0" applyAlignment="0" applyProtection="0"/>
    <xf numFmtId="0" fontId="114" fillId="62" borderId="34" applyNumberFormat="0" applyAlignment="0" applyProtection="0"/>
    <xf numFmtId="0" fontId="8" fillId="0" borderId="0" applyNumberFormat="0" applyFont="0" applyFill="0" applyBorder="0" applyAlignment="0" applyProtection="0"/>
    <xf numFmtId="0" fontId="114"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115" fillId="9" borderId="26" applyNumberFormat="0" applyAlignment="0" applyProtection="0"/>
    <xf numFmtId="0" fontId="8" fillId="0" borderId="0" applyNumberFormat="0" applyFont="0" applyFill="0" applyBorder="0" applyAlignment="0" applyProtection="0"/>
    <xf numFmtId="187" fontId="113" fillId="62" borderId="34" applyNumberFormat="0" applyAlignment="0" applyProtection="0"/>
    <xf numFmtId="187" fontId="113" fillId="6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115" fillId="9" borderId="26" applyNumberFormat="0" applyAlignment="0" applyProtection="0"/>
    <xf numFmtId="0" fontId="8" fillId="0" borderId="0" applyNumberFormat="0" applyFont="0" applyFill="0" applyBorder="0" applyAlignment="0" applyProtection="0"/>
    <xf numFmtId="0" fontId="62" fillId="9" borderId="26" applyNumberFormat="0" applyAlignment="0" applyProtection="0"/>
    <xf numFmtId="0" fontId="115" fillId="9" borderId="26" applyNumberFormat="0" applyAlignment="0" applyProtection="0"/>
    <xf numFmtId="0" fontId="81" fillId="0" borderId="26" applyNumberFormat="0" applyFill="0" applyAlignment="0" applyProtection="0"/>
    <xf numFmtId="0" fontId="81" fillId="0" borderId="26" applyNumberFormat="0" applyFill="0" applyAlignment="0" applyProtection="0"/>
    <xf numFmtId="0" fontId="115" fillId="9" borderId="26" applyNumberFormat="0" applyAlignment="0" applyProtection="0"/>
    <xf numFmtId="0" fontId="81" fillId="0" borderId="26" applyNumberFormat="0" applyFill="0" applyAlignment="0" applyProtection="0"/>
    <xf numFmtId="1" fontId="116" fillId="63" borderId="0"/>
    <xf numFmtId="202" fontId="69" fillId="0" borderId="0" applyFont="0" applyFill="0" applyBorder="0" applyAlignment="0" applyProtection="0"/>
    <xf numFmtId="193" fontId="117" fillId="0" borderId="0"/>
    <xf numFmtId="38" fontId="78" fillId="0" borderId="0" applyFont="0" applyFill="0" applyBorder="0" applyAlignment="0" applyProtection="0"/>
    <xf numFmtId="203" fontId="118" fillId="0" borderId="0" applyFont="0" applyFill="0" applyBorder="0" applyAlignment="0" applyProtection="0"/>
    <xf numFmtId="204" fontId="118" fillId="0" borderId="0" applyFont="0" applyFill="0" applyBorder="0" applyAlignment="0" applyProtection="0"/>
    <xf numFmtId="205" fontId="118" fillId="0" borderId="0" applyFont="0" applyFill="0" applyBorder="0" applyAlignment="0" applyProtection="0"/>
    <xf numFmtId="206" fontId="118" fillId="0" borderId="0" applyFont="0" applyFill="0" applyBorder="0" applyAlignment="0" applyProtection="0"/>
    <xf numFmtId="187" fontId="119"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52"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9" fillId="0" borderId="35" applyNumberFormat="0" applyFill="0" applyAlignment="0" applyProtection="0"/>
    <xf numFmtId="0" fontId="119"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1" fillId="0" borderId="20" applyNumberFormat="0" applyFill="0" applyAlignment="0" applyProtection="0"/>
    <xf numFmtId="0" fontId="122"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0" fillId="0" borderId="36" applyNumberFormat="0" applyFill="0" applyAlignment="0" applyProtection="0"/>
    <xf numFmtId="0" fontId="120" fillId="0" borderId="36" applyNumberFormat="0" applyFill="0" applyAlignment="0" applyProtection="0"/>
    <xf numFmtId="187" fontId="119" fillId="0" borderId="35" applyNumberFormat="0" applyFill="0" applyAlignment="0" applyProtection="0"/>
    <xf numFmtId="0" fontId="120" fillId="0" borderId="36"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21" fillId="0" borderId="20" applyNumberFormat="0" applyFill="0" applyAlignment="0" applyProtection="0"/>
    <xf numFmtId="0" fontId="8" fillId="0" borderId="0" applyNumberFormat="0" applyFont="0" applyFill="0" applyBorder="0" applyAlignment="0" applyProtection="0"/>
    <xf numFmtId="187"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21" fillId="0" borderId="20" applyNumberFormat="0" applyFill="0" applyAlignment="0" applyProtection="0"/>
    <xf numFmtId="0" fontId="8" fillId="0" borderId="0" applyNumberFormat="0" applyFont="0" applyFill="0" applyBorder="0" applyAlignment="0" applyProtection="0"/>
    <xf numFmtId="0" fontId="52" fillId="0" borderId="20" applyNumberFormat="0" applyFill="0" applyAlignment="0" applyProtection="0"/>
    <xf numFmtId="0" fontId="121"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1" fillId="0" borderId="20" applyNumberFormat="0" applyFill="0" applyAlignment="0" applyProtection="0"/>
    <xf numFmtId="0" fontId="122" fillId="0" borderId="20" applyNumberFormat="0" applyFill="0" applyAlignment="0" applyProtection="0"/>
    <xf numFmtId="187" fontId="123"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53" fillId="0" borderId="2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3" fillId="0" borderId="37" applyNumberFormat="0" applyFill="0" applyAlignment="0" applyProtection="0"/>
    <xf numFmtId="0" fontId="123"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5" fillId="0" borderId="21" applyNumberFormat="0" applyFill="0" applyAlignment="0" applyProtection="0"/>
    <xf numFmtId="0" fontId="122" fillId="0" borderId="2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187" fontId="123" fillId="0" borderId="37" applyNumberFormat="0" applyFill="0" applyAlignment="0" applyProtection="0"/>
    <xf numFmtId="0" fontId="124" fillId="0" borderId="38" applyNumberFormat="0" applyFill="0" applyAlignment="0" applyProtection="0"/>
    <xf numFmtId="0" fontId="123" fillId="0" borderId="37" applyNumberFormat="0" applyFill="0" applyAlignment="0" applyProtection="0"/>
    <xf numFmtId="0" fontId="123" fillId="0" borderId="37" applyNumberFormat="0" applyFill="0" applyAlignment="0" applyProtection="0"/>
    <xf numFmtId="0" fontId="125" fillId="0" borderId="21" applyNumberFormat="0" applyFill="0" applyAlignment="0" applyProtection="0"/>
    <xf numFmtId="0" fontId="8" fillId="0" borderId="0" applyNumberFormat="0" applyFont="0" applyFill="0" applyBorder="0" applyAlignment="0" applyProtection="0"/>
    <xf numFmtId="187" fontId="123" fillId="0" borderId="37" applyNumberFormat="0" applyFill="0" applyAlignment="0" applyProtection="0"/>
    <xf numFmtId="0" fontId="123" fillId="0" borderId="37" applyNumberFormat="0" applyFill="0" applyAlignment="0" applyProtection="0"/>
    <xf numFmtId="0" fontId="123" fillId="0" borderId="37" applyNumberFormat="0" applyFill="0" applyAlignment="0" applyProtection="0"/>
    <xf numFmtId="0" fontId="125" fillId="0" borderId="21" applyNumberFormat="0" applyFill="0" applyAlignment="0" applyProtection="0"/>
    <xf numFmtId="0" fontId="8" fillId="0" borderId="0" applyNumberFormat="0" applyFont="0" applyFill="0" applyBorder="0" applyAlignment="0" applyProtection="0"/>
    <xf numFmtId="0" fontId="53" fillId="0" borderId="21" applyNumberFormat="0" applyFill="0" applyAlignment="0" applyProtection="0"/>
    <xf numFmtId="0" fontId="125" fillId="0" borderId="21" applyNumberFormat="0" applyFill="0" applyAlignment="0" applyProtection="0"/>
    <xf numFmtId="0" fontId="122" fillId="0" borderId="21" applyNumberFormat="0" applyFill="0" applyAlignment="0" applyProtection="0"/>
    <xf numFmtId="0" fontId="122" fillId="0" borderId="21" applyNumberFormat="0" applyFill="0" applyAlignment="0" applyProtection="0"/>
    <xf numFmtId="0" fontId="125" fillId="0" borderId="21" applyNumberFormat="0" applyFill="0" applyAlignment="0" applyProtection="0"/>
    <xf numFmtId="0" fontId="122" fillId="0" borderId="21" applyNumberFormat="0" applyFill="0" applyAlignment="0" applyProtection="0"/>
    <xf numFmtId="187" fontId="126"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54" fillId="0" borderId="2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6" fillId="0" borderId="39" applyNumberFormat="0" applyFill="0" applyAlignment="0" applyProtection="0"/>
    <xf numFmtId="0" fontId="126"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8" fillId="0" borderId="22" applyNumberFormat="0" applyFill="0" applyAlignment="0" applyProtection="0"/>
    <xf numFmtId="0" fontId="122" fillId="0" borderId="2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40" applyNumberFormat="0" applyFill="0" applyAlignment="0" applyProtection="0"/>
    <xf numFmtId="0" fontId="127" fillId="0" borderId="40" applyNumberFormat="0" applyFill="0" applyAlignment="0" applyProtection="0"/>
    <xf numFmtId="187" fontId="126" fillId="0" borderId="39" applyNumberFormat="0" applyFill="0" applyAlignment="0" applyProtection="0"/>
    <xf numFmtId="0" fontId="127" fillId="0" borderId="40"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8" fillId="0" borderId="22" applyNumberFormat="0" applyFill="0" applyAlignment="0" applyProtection="0"/>
    <xf numFmtId="0" fontId="8" fillId="0" borderId="0" applyNumberFormat="0" applyFont="0" applyFill="0" applyBorder="0" applyAlignment="0" applyProtection="0"/>
    <xf numFmtId="187"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8" fillId="0" borderId="22" applyNumberFormat="0" applyFill="0" applyAlignment="0" applyProtection="0"/>
    <xf numFmtId="0" fontId="8" fillId="0" borderId="0" applyNumberFormat="0" applyFont="0" applyFill="0" applyBorder="0" applyAlignment="0" applyProtection="0"/>
    <xf numFmtId="0" fontId="54" fillId="0" borderId="22" applyNumberFormat="0" applyFill="0" applyAlignment="0" applyProtection="0"/>
    <xf numFmtId="0" fontId="128"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8" fillId="0" borderId="22" applyNumberFormat="0" applyFill="0" applyAlignment="0" applyProtection="0"/>
    <xf numFmtId="0" fontId="122" fillId="0" borderId="22" applyNumberFormat="0" applyFill="0" applyAlignment="0" applyProtection="0"/>
    <xf numFmtId="187" fontId="1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8" fillId="0" borderId="0" applyNumberFormat="0" applyFill="0" applyBorder="0" applyAlignment="0" applyProtection="0"/>
    <xf numFmtId="0" fontId="12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87"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8" fillId="0" borderId="0" applyNumberFormat="0" applyFont="0" applyFill="0" applyBorder="0" applyAlignment="0" applyProtection="0"/>
    <xf numFmtId="187"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8" fillId="0" borderId="0" applyNumberFormat="0" applyFont="0" applyFill="0" applyBorder="0" applyAlignment="0" applyProtection="0"/>
    <xf numFmtId="0" fontId="54" fillId="0" borderId="0" applyNumberFormat="0" applyFill="0" applyBorder="0" applyAlignment="0" applyProtection="0"/>
    <xf numFmtId="0" fontId="12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8" fillId="0" borderId="0" applyNumberFormat="0" applyFill="0" applyBorder="0" applyAlignment="0" applyProtection="0"/>
    <xf numFmtId="0" fontId="122" fillId="0" borderId="0" applyNumberFormat="0" applyFill="0" applyBorder="0" applyAlignment="0" applyProtection="0"/>
    <xf numFmtId="187"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57" fillId="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30" fillId="6" borderId="0" applyNumberFormat="0" applyBorder="0" applyAlignment="0" applyProtection="0"/>
    <xf numFmtId="0" fontId="13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187" fontId="129" fillId="46" borderId="0" applyNumberFormat="0" applyBorder="0" applyAlignment="0" applyProtection="0"/>
    <xf numFmtId="0"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30" fillId="6" borderId="0" applyNumberFormat="0" applyBorder="0" applyAlignment="0" applyProtection="0"/>
    <xf numFmtId="0" fontId="8" fillId="0" borderId="0" applyNumberFormat="0" applyFont="0" applyFill="0" applyBorder="0" applyAlignment="0" applyProtection="0"/>
    <xf numFmtId="187" fontId="129"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9" fillId="46" borderId="0" applyNumberFormat="0" applyBorder="0" applyAlignment="0" applyProtection="0"/>
    <xf numFmtId="0" fontId="129" fillId="46" borderId="0" applyNumberFormat="0" applyBorder="0" applyAlignment="0" applyProtection="0"/>
    <xf numFmtId="0" fontId="130" fillId="6" borderId="0" applyNumberFormat="0" applyBorder="0" applyAlignment="0" applyProtection="0"/>
    <xf numFmtId="0" fontId="8" fillId="0" borderId="0" applyNumberFormat="0" applyFont="0" applyFill="0" applyBorder="0" applyAlignment="0" applyProtection="0"/>
    <xf numFmtId="0" fontId="57" fillId="6" borderId="0" applyNumberFormat="0" applyBorder="0" applyAlignment="0" applyProtection="0"/>
    <xf numFmtId="0" fontId="130" fillId="6" borderId="0" applyNumberFormat="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6" borderId="0" applyNumberFormat="0" applyBorder="0" applyAlignment="0" applyProtection="0"/>
    <xf numFmtId="0" fontId="130" fillId="0" borderId="0" applyNumberFormat="0" applyFill="0" applyBorder="0" applyAlignment="0" applyProtection="0"/>
    <xf numFmtId="0" fontId="69" fillId="0" borderId="0"/>
    <xf numFmtId="0" fontId="73" fillId="0" borderId="0"/>
    <xf numFmtId="0" fontId="14" fillId="0" borderId="0"/>
    <xf numFmtId="0" fontId="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131" fillId="0" borderId="0"/>
    <xf numFmtId="0" fontId="132" fillId="0" borderId="0" applyNumberFormat="0" applyFont="0" applyFill="0" applyBorder="0" applyAlignment="0" applyProtection="0">
      <protection locked="0"/>
    </xf>
    <xf numFmtId="187" fontId="45"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187" fontId="45" fillId="0" borderId="0"/>
    <xf numFmtId="0" fontId="73" fillId="0" borderId="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14"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45" fillId="0" borderId="0"/>
    <xf numFmtId="187" fontId="45" fillId="0" borderId="0"/>
    <xf numFmtId="0" fontId="14" fillId="0" borderId="0"/>
    <xf numFmtId="0" fontId="73" fillId="0" borderId="0"/>
    <xf numFmtId="0" fontId="73" fillId="0" borderId="0"/>
    <xf numFmtId="0" fontId="14" fillId="0" borderId="0"/>
    <xf numFmtId="0" fontId="14" fillId="0" borderId="0"/>
    <xf numFmtId="0" fontId="14"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xf numFmtId="0" fontId="73" fillId="0" borderId="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73" fillId="0" borderId="0"/>
    <xf numFmtId="0" fontId="7" fillId="0" borderId="0"/>
    <xf numFmtId="0" fontId="7" fillId="0" borderId="0"/>
    <xf numFmtId="0" fontId="133" fillId="0" borderId="0"/>
    <xf numFmtId="0" fontId="7" fillId="0" borderId="0"/>
    <xf numFmtId="0" fontId="7" fillId="0" borderId="0"/>
    <xf numFmtId="0" fontId="7" fillId="0" borderId="0"/>
    <xf numFmtId="0" fontId="7" fillId="0" borderId="0"/>
    <xf numFmtId="0" fontId="7" fillId="0" borderId="0"/>
    <xf numFmtId="0" fontId="93" fillId="0" borderId="0"/>
    <xf numFmtId="0" fontId="7" fillId="0" borderId="0"/>
    <xf numFmtId="0" fontId="7" fillId="0" borderId="0"/>
    <xf numFmtId="187" fontId="45" fillId="0" borderId="0"/>
    <xf numFmtId="187" fontId="45" fillId="0" borderId="0"/>
    <xf numFmtId="0" fontId="14" fillId="0" borderId="0"/>
    <xf numFmtId="0" fontId="73" fillId="0" borderId="0"/>
    <xf numFmtId="0" fontId="14" fillId="0" borderId="0"/>
    <xf numFmtId="0" fontId="73" fillId="0" borderId="0"/>
    <xf numFmtId="0" fontId="14" fillId="0" borderId="0" applyNumberFormat="0" applyFont="0" applyFill="0" applyBorder="0" applyAlignment="0" applyProtection="0"/>
    <xf numFmtId="0" fontId="7" fillId="0" borderId="0"/>
    <xf numFmtId="0" fontId="7" fillId="0" borderId="0"/>
    <xf numFmtId="0" fontId="7" fillId="0" borderId="0"/>
    <xf numFmtId="0" fontId="7" fillId="0" borderId="0"/>
    <xf numFmtId="187" fontId="45" fillId="0" borderId="0"/>
    <xf numFmtId="187" fontId="45" fillId="0" borderId="0"/>
    <xf numFmtId="0" fontId="14" fillId="0" borderId="0"/>
    <xf numFmtId="0" fontId="14" fillId="0" borderId="0"/>
    <xf numFmtId="0" fontId="69" fillId="0" borderId="0"/>
    <xf numFmtId="0" fontId="14" fillId="0" borderId="0" applyNumberFormat="0" applyFill="0" applyBorder="0" applyAlignment="0" applyProtection="0"/>
    <xf numFmtId="187" fontId="73" fillId="0" borderId="0"/>
    <xf numFmtId="0" fontId="14" fillId="0" borderId="0"/>
    <xf numFmtId="0" fontId="14" fillId="0" borderId="0"/>
    <xf numFmtId="0" fontId="73" fillId="0" borderId="0"/>
    <xf numFmtId="0" fontId="73" fillId="0" borderId="0"/>
    <xf numFmtId="0" fontId="14" fillId="0" borderId="0" applyNumberFormat="0" applyFont="0" applyFill="0" applyBorder="0" applyAlignment="0" applyProtection="0"/>
    <xf numFmtId="0" fontId="69" fillId="0" borderId="0"/>
    <xf numFmtId="0" fontId="73" fillId="0" borderId="0"/>
    <xf numFmtId="187" fontId="45" fillId="0" borderId="0"/>
    <xf numFmtId="187" fontId="45" fillId="0" borderId="0"/>
    <xf numFmtId="0" fontId="14" fillId="0" borderId="0"/>
    <xf numFmtId="0" fontId="14" fillId="0" borderId="0"/>
    <xf numFmtId="0" fontId="69" fillId="0" borderId="0"/>
    <xf numFmtId="0" fontId="14" fillId="0" borderId="0" applyNumberFormat="0" applyFill="0" applyBorder="0" applyAlignment="0" applyProtection="0"/>
    <xf numFmtId="0" fontId="14" fillId="0" borderId="0"/>
    <xf numFmtId="0" fontId="14" fillId="0" borderId="0"/>
    <xf numFmtId="0" fontId="69" fillId="0" borderId="0"/>
    <xf numFmtId="0" fontId="14" fillId="0" borderId="0" applyNumberFormat="0" applyFill="0" applyBorder="0" applyAlignment="0" applyProtection="0"/>
    <xf numFmtId="187" fontId="45" fillId="0" borderId="0"/>
    <xf numFmtId="0" fontId="14" fillId="0" borderId="0"/>
    <xf numFmtId="0" fontId="69" fillId="0" borderId="0"/>
    <xf numFmtId="0" fontId="73" fillId="0" borderId="0"/>
    <xf numFmtId="187" fontId="45"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69" fillId="0" borderId="0"/>
    <xf numFmtId="187" fontId="73" fillId="0" borderId="0"/>
    <xf numFmtId="187" fontId="79" fillId="0" borderId="0" applyFill="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3" fillId="0" borderId="0"/>
    <xf numFmtId="0" fontId="70" fillId="0" borderId="0"/>
    <xf numFmtId="0" fontId="70" fillId="0" borderId="0"/>
    <xf numFmtId="0" fontId="14" fillId="0" borderId="0" applyNumberFormat="0" applyFont="0" applyFill="0" applyBorder="0" applyAlignment="0" applyProtection="0"/>
    <xf numFmtId="188" fontId="73" fillId="0" borderId="0"/>
    <xf numFmtId="0" fontId="70" fillId="0" borderId="0"/>
    <xf numFmtId="0" fontId="70"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187" fontId="7" fillId="0" borderId="0"/>
    <xf numFmtId="0" fontId="73" fillId="0" borderId="0"/>
    <xf numFmtId="0" fontId="7" fillId="0" borderId="0" applyNumberFormat="0" applyFill="0" applyBorder="0" applyAlignment="0" applyProtection="0"/>
    <xf numFmtId="188" fontId="6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3" fillId="0" borderId="0"/>
    <xf numFmtId="0" fontId="7" fillId="0" borderId="0"/>
    <xf numFmtId="0" fontId="14" fillId="0" borderId="0" applyNumberFormat="0" applyFont="0" applyFill="0" applyBorder="0" applyAlignment="0" applyProtection="0"/>
    <xf numFmtId="187" fontId="7" fillId="0" borderId="0"/>
    <xf numFmtId="187" fontId="14" fillId="0" borderId="0"/>
    <xf numFmtId="187" fontId="14" fillId="0" borderId="0"/>
    <xf numFmtId="0" fontId="7" fillId="0" borderId="0"/>
    <xf numFmtId="0" fontId="7" fillId="0" borderId="0"/>
    <xf numFmtId="0" fontId="69" fillId="0" borderId="0"/>
    <xf numFmtId="0" fontId="7" fillId="0" borderId="0"/>
    <xf numFmtId="0" fontId="7" fillId="0" borderId="0" applyNumberFormat="0" applyFill="0" applyBorder="0" applyAlignment="0" applyProtection="0"/>
    <xf numFmtId="187" fontId="8" fillId="0" borderId="0"/>
    <xf numFmtId="0" fontId="7" fillId="0" borderId="0"/>
    <xf numFmtId="0" fontId="7" fillId="0" borderId="0"/>
    <xf numFmtId="0" fontId="7" fillId="0" borderId="0" applyNumberFormat="0" applyFill="0" applyBorder="0" applyAlignment="0" applyProtection="0"/>
    <xf numFmtId="187" fontId="8" fillId="0" borderId="0"/>
    <xf numFmtId="0" fontId="7" fillId="0" borderId="0" applyNumberFormat="0" applyFill="0" applyBorder="0" applyAlignment="0" applyProtection="0"/>
    <xf numFmtId="187" fontId="8" fillId="0" borderId="0"/>
    <xf numFmtId="0" fontId="7" fillId="0" borderId="0" applyNumberFormat="0" applyFill="0" applyBorder="0" applyAlignment="0" applyProtection="0"/>
    <xf numFmtId="187" fontId="8" fillId="0" borderId="0"/>
    <xf numFmtId="0" fontId="7" fillId="0" borderId="0" applyNumberFormat="0" applyFill="0" applyBorder="0" applyAlignment="0" applyProtection="0"/>
    <xf numFmtId="187" fontId="8" fillId="0" borderId="0"/>
    <xf numFmtId="0" fontId="7" fillId="0" borderId="0" applyNumberFormat="0" applyFill="0" applyBorder="0" applyAlignment="0" applyProtection="0"/>
    <xf numFmtId="187" fontId="8" fillId="0" borderId="0"/>
    <xf numFmtId="0" fontId="7" fillId="0" borderId="0" applyNumberFormat="0" applyFill="0" applyBorder="0" applyAlignment="0" applyProtection="0"/>
    <xf numFmtId="187" fontId="8" fillId="0" borderId="0"/>
    <xf numFmtId="0" fontId="7" fillId="0" borderId="0" applyNumberFormat="0" applyFill="0" applyBorder="0" applyAlignment="0" applyProtection="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0" fillId="0" borderId="0"/>
    <xf numFmtId="0" fontId="70" fillId="0" borderId="0"/>
    <xf numFmtId="0" fontId="14" fillId="0" borderId="0" applyNumberFormat="0" applyFont="0" applyFill="0" applyBorder="0" applyAlignment="0" applyProtection="0"/>
    <xf numFmtId="0" fontId="73" fillId="0" borderId="0"/>
    <xf numFmtId="0" fontId="73" fillId="0" borderId="0"/>
    <xf numFmtId="0" fontId="14" fillId="0" borderId="0" applyNumberFormat="0" applyFont="0" applyFill="0" applyBorder="0" applyAlignment="0" applyProtection="0"/>
    <xf numFmtId="0" fontId="73" fillId="0" borderId="0"/>
    <xf numFmtId="0" fontId="73" fillId="0" borderId="0"/>
    <xf numFmtId="0" fontId="14" fillId="0" borderId="0" applyNumberFormat="0" applyFill="0" applyBorder="0" applyAlignment="0" applyProtection="0"/>
    <xf numFmtId="0" fontId="91" fillId="0" borderId="0"/>
    <xf numFmtId="0" fontId="91" fillId="0" borderId="0"/>
    <xf numFmtId="0" fontId="14" fillId="0" borderId="0" applyNumberFormat="0" applyFill="0" applyBorder="0" applyAlignment="0" applyProtection="0"/>
    <xf numFmtId="0" fontId="91" fillId="0" borderId="0"/>
    <xf numFmtId="0" fontId="91" fillId="0" borderId="0"/>
    <xf numFmtId="0" fontId="14" fillId="0" borderId="0" applyNumberFormat="0" applyFont="0" applyFill="0" applyBorder="0" applyAlignment="0" applyProtection="0"/>
    <xf numFmtId="0" fontId="73" fillId="0" borderId="0"/>
    <xf numFmtId="0" fontId="73" fillId="0" borderId="0"/>
    <xf numFmtId="0" fontId="73" fillId="0" borderId="0"/>
    <xf numFmtId="187" fontId="73" fillId="0" borderId="0"/>
    <xf numFmtId="0" fontId="73" fillId="0" borderId="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ont="0" applyFill="0" applyBorder="0" applyAlignment="0" applyProtection="0"/>
    <xf numFmtId="0"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34" fillId="0" borderId="0"/>
    <xf numFmtId="187" fontId="7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69" fillId="0" borderId="0"/>
    <xf numFmtId="0" fontId="14" fillId="0" borderId="0" applyNumberFormat="0" applyFont="0" applyFill="0" applyBorder="0" applyAlignment="0" applyProtection="0"/>
    <xf numFmtId="0" fontId="69" fillId="0" borderId="0"/>
    <xf numFmtId="0" fontId="69" fillId="0" borderId="0"/>
    <xf numFmtId="0" fontId="70"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187" fontId="69" fillId="0" borderId="0"/>
    <xf numFmtId="187" fontId="69" fillId="0" borderId="0"/>
    <xf numFmtId="0" fontId="70" fillId="0" borderId="0"/>
    <xf numFmtId="187" fontId="14" fillId="0" borderId="0"/>
    <xf numFmtId="0" fontId="70" fillId="0" borderId="0"/>
    <xf numFmtId="0" fontId="14" fillId="0" borderId="0" applyNumberFormat="0" applyFont="0" applyFill="0" applyBorder="0" applyAlignment="0" applyProtection="0"/>
    <xf numFmtId="187" fontId="69" fillId="0" borderId="0"/>
    <xf numFmtId="0" fontId="70" fillId="0" borderId="0"/>
    <xf numFmtId="0" fontId="70" fillId="0" borderId="0"/>
    <xf numFmtId="0" fontId="14" fillId="0" borderId="0" applyNumberFormat="0" applyFont="0" applyFill="0" applyBorder="0" applyAlignment="0" applyProtection="0"/>
    <xf numFmtId="187" fontId="69" fillId="0" borderId="0"/>
    <xf numFmtId="0" fontId="70" fillId="0" borderId="0"/>
    <xf numFmtId="0" fontId="70" fillId="0" borderId="0"/>
    <xf numFmtId="0" fontId="14" fillId="0" borderId="0" applyNumberFormat="0" applyFont="0" applyFill="0" applyBorder="0" applyAlignment="0" applyProtection="0"/>
    <xf numFmtId="187" fontId="69" fillId="0" borderId="0"/>
    <xf numFmtId="0" fontId="70" fillId="0" borderId="0"/>
    <xf numFmtId="0" fontId="70" fillId="0" borderId="0"/>
    <xf numFmtId="0" fontId="14" fillId="0" borderId="0" applyNumberFormat="0" applyFont="0" applyFill="0" applyBorder="0" applyAlignment="0" applyProtection="0"/>
    <xf numFmtId="187" fontId="69" fillId="0" borderId="0"/>
    <xf numFmtId="0" fontId="70" fillId="0" borderId="0"/>
    <xf numFmtId="0" fontId="70" fillId="0" borderId="0"/>
    <xf numFmtId="0" fontId="14" fillId="0" borderId="0" applyNumberFormat="0" applyFont="0" applyFill="0" applyBorder="0" applyAlignment="0" applyProtection="0"/>
    <xf numFmtId="187" fontId="73" fillId="0" borderId="0"/>
    <xf numFmtId="187" fontId="45"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69" fillId="0" borderId="0"/>
    <xf numFmtId="0" fontId="45" fillId="0" borderId="0"/>
    <xf numFmtId="0" fontId="7" fillId="0" borderId="0"/>
    <xf numFmtId="0" fontId="73"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69" fillId="0" borderId="0"/>
    <xf numFmtId="0" fontId="7" fillId="0" borderId="0"/>
    <xf numFmtId="0" fontId="7"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69" fillId="0" borderId="0"/>
    <xf numFmtId="0" fontId="7" fillId="0" borderId="0"/>
    <xf numFmtId="0" fontId="7"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69" fillId="0" borderId="0"/>
    <xf numFmtId="0" fontId="7" fillId="0" borderId="0"/>
    <xf numFmtId="0" fontId="7"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69" fillId="0" borderId="0"/>
    <xf numFmtId="0" fontId="7" fillId="0" borderId="0"/>
    <xf numFmtId="0" fontId="7" fillId="0" borderId="0"/>
    <xf numFmtId="0" fontId="14" fillId="0" borderId="0"/>
    <xf numFmtId="0" fontId="69" fillId="0" borderId="0"/>
    <xf numFmtId="0" fontId="7" fillId="0" borderId="0"/>
    <xf numFmtId="0" fontId="7" fillId="0" borderId="0"/>
    <xf numFmtId="0" fontId="14" fillId="0" borderId="0"/>
    <xf numFmtId="0" fontId="108" fillId="0" borderId="0"/>
    <xf numFmtId="0" fontId="7" fillId="0" borderId="0"/>
    <xf numFmtId="0" fontId="7" fillId="0" borderId="0"/>
    <xf numFmtId="0" fontId="14" fillId="0" borderId="0"/>
    <xf numFmtId="0" fontId="108" fillId="0" borderId="0"/>
    <xf numFmtId="0" fontId="7" fillId="0" borderId="0"/>
    <xf numFmtId="0" fontId="7" fillId="0" borderId="0"/>
    <xf numFmtId="0" fontId="14" fillId="0" borderId="0"/>
    <xf numFmtId="0" fontId="108" fillId="0" borderId="0"/>
    <xf numFmtId="0" fontId="7" fillId="0" borderId="0"/>
    <xf numFmtId="0" fontId="7" fillId="0" borderId="0"/>
    <xf numFmtId="0" fontId="7" fillId="0" borderId="0"/>
    <xf numFmtId="0" fontId="14" fillId="0" borderId="0"/>
    <xf numFmtId="0" fontId="7" fillId="0" borderId="0"/>
    <xf numFmtId="0" fontId="91" fillId="0" borderId="0"/>
    <xf numFmtId="0" fontId="7" fillId="0" borderId="0"/>
    <xf numFmtId="187" fontId="73" fillId="0" borderId="0"/>
    <xf numFmtId="0" fontId="73" fillId="0" borderId="0"/>
    <xf numFmtId="0" fontId="14" fillId="0" borderId="0"/>
    <xf numFmtId="0" fontId="14" fillId="0" borderId="0" applyNumberFormat="0" applyFill="0" applyBorder="0" applyAlignment="0" applyProtection="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7" fillId="0" borderId="0" applyNumberFormat="0" applyFill="0" applyBorder="0" applyAlignment="0" applyProtection="0"/>
    <xf numFmtId="0" fontId="7" fillId="0" borderId="0"/>
    <xf numFmtId="0" fontId="7" fillId="0" borderId="0"/>
    <xf numFmtId="0" fontId="73" fillId="0" borderId="0"/>
    <xf numFmtId="0" fontId="14" fillId="0" borderId="0" applyNumberFormat="0" applyFont="0" applyFill="0" applyBorder="0" applyAlignment="0" applyProtection="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7" fontId="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0" fontId="73" fillId="0" borderId="0"/>
    <xf numFmtId="0" fontId="14"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7" fontId="8" fillId="0" borderId="0"/>
    <xf numFmtId="0" fontId="7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2" fillId="0" borderId="0"/>
    <xf numFmtId="0" fontId="14" fillId="0" borderId="0" applyNumberFormat="0" applyFont="0" applyFill="0" applyBorder="0" applyAlignment="0" applyProtection="0"/>
    <xf numFmtId="187" fontId="8" fillId="0" borderId="0"/>
    <xf numFmtId="0" fontId="92" fillId="0" borderId="0"/>
    <xf numFmtId="0" fontId="14" fillId="0" borderId="0" applyNumberFormat="0" applyFont="0" applyFill="0" applyBorder="0" applyAlignment="0" applyProtection="0"/>
    <xf numFmtId="187" fontId="8" fillId="0" borderId="0"/>
    <xf numFmtId="0" fontId="92" fillId="0" borderId="0"/>
    <xf numFmtId="0" fontId="14" fillId="0" borderId="0" applyNumberFormat="0" applyFont="0" applyFill="0" applyBorder="0" applyAlignment="0" applyProtection="0"/>
    <xf numFmtId="187" fontId="8" fillId="0" borderId="0"/>
    <xf numFmtId="0" fontId="92" fillId="0" borderId="0"/>
    <xf numFmtId="0" fontId="14" fillId="0" borderId="0"/>
    <xf numFmtId="187" fontId="8" fillId="0" borderId="0"/>
    <xf numFmtId="0" fontId="92" fillId="0" borderId="0"/>
    <xf numFmtId="0" fontId="14" fillId="0" borderId="0"/>
    <xf numFmtId="187" fontId="8" fillId="0" borderId="0"/>
    <xf numFmtId="187" fontId="73" fillId="0" borderId="0"/>
    <xf numFmtId="0" fontId="7" fillId="0" borderId="0"/>
    <xf numFmtId="0" fontId="14" fillId="0" borderId="0"/>
    <xf numFmtId="0" fontId="108" fillId="0" borderId="0"/>
    <xf numFmtId="0" fontId="7" fillId="0" borderId="0"/>
    <xf numFmtId="187" fontId="14" fillId="0" borderId="0"/>
    <xf numFmtId="0" fontId="7" fillId="0" borderId="0"/>
    <xf numFmtId="0" fontId="14" fillId="0" borderId="0"/>
    <xf numFmtId="0" fontId="7" fillId="0" borderId="0"/>
    <xf numFmtId="0" fontId="108" fillId="0" borderId="0"/>
    <xf numFmtId="0" fontId="7" fillId="0" borderId="0"/>
    <xf numFmtId="0" fontId="14" fillId="0" borderId="0"/>
    <xf numFmtId="0" fontId="69" fillId="0" borderId="0"/>
    <xf numFmtId="0" fontId="7" fillId="0" borderId="0"/>
    <xf numFmtId="0" fontId="7" fillId="0" borderId="0"/>
    <xf numFmtId="0" fontId="14" fillId="0" borderId="0"/>
    <xf numFmtId="0" fontId="69" fillId="0" borderId="0"/>
    <xf numFmtId="0" fontId="7" fillId="0" borderId="0"/>
    <xf numFmtId="0" fontId="7" fillId="0" borderId="0"/>
    <xf numFmtId="0" fontId="14" fillId="0" borderId="0"/>
    <xf numFmtId="0" fontId="69" fillId="0" borderId="0"/>
    <xf numFmtId="0" fontId="7" fillId="0" borderId="0"/>
    <xf numFmtId="0" fontId="7" fillId="0" borderId="0"/>
    <xf numFmtId="0" fontId="14" fillId="0" borderId="0"/>
    <xf numFmtId="0" fontId="73"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3" fillId="0" borderId="0"/>
    <xf numFmtId="0" fontId="7" fillId="0" borderId="0"/>
    <xf numFmtId="0" fontId="14" fillId="0" borderId="0"/>
    <xf numFmtId="0" fontId="7" fillId="0" borderId="0"/>
    <xf numFmtId="0" fontId="14" fillId="0" borderId="0"/>
    <xf numFmtId="187" fontId="45" fillId="0" borderId="0"/>
    <xf numFmtId="0" fontId="14" fillId="0" borderId="0"/>
    <xf numFmtId="0" fontId="14" fillId="0" borderId="0" applyNumberFormat="0" applyFill="0" applyBorder="0" applyAlignment="0" applyProtection="0"/>
    <xf numFmtId="187" fontId="7" fillId="0" borderId="0"/>
    <xf numFmtId="187" fontId="7" fillId="0" borderId="0"/>
    <xf numFmtId="0" fontId="1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 fillId="0" borderId="0" applyNumberFormat="0" applyFill="0" applyBorder="0" applyAlignment="0" applyProtection="0"/>
    <xf numFmtId="0" fontId="7"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 fillId="0" borderId="0"/>
    <xf numFmtId="0" fontId="7" fillId="0" borderId="0"/>
    <xf numFmtId="0" fontId="73" fillId="0" borderId="0"/>
    <xf numFmtId="0" fontId="7" fillId="0" borderId="0" applyNumberFormat="0" applyFill="0" applyBorder="0" applyAlignment="0" applyProtection="0"/>
    <xf numFmtId="187" fontId="73" fillId="0" borderId="0"/>
    <xf numFmtId="0" fontId="14" fillId="0" borderId="0"/>
    <xf numFmtId="0" fontId="73" fillId="0" borderId="0"/>
    <xf numFmtId="0" fontId="73" fillId="0" borderId="0"/>
    <xf numFmtId="0" fontId="14" fillId="0" borderId="0" applyNumberFormat="0" applyFont="0" applyFill="0" applyBorder="0" applyAlignment="0" applyProtection="0"/>
    <xf numFmtId="187" fontId="73" fillId="0" borderId="0"/>
    <xf numFmtId="0" fontId="73" fillId="0" borderId="0"/>
    <xf numFmtId="0" fontId="73" fillId="0" borderId="0"/>
    <xf numFmtId="0" fontId="14" fillId="0" borderId="0" applyNumberFormat="0" applyFont="0" applyFill="0" applyBorder="0" applyAlignment="0" applyProtection="0"/>
    <xf numFmtId="187" fontId="45" fillId="0" borderId="0"/>
    <xf numFmtId="0" fontId="14" fillId="0" borderId="0"/>
    <xf numFmtId="0" fontId="14" fillId="0" borderId="0"/>
    <xf numFmtId="0" fontId="14" fillId="0" borderId="0" applyNumberFormat="0" applyFill="0" applyBorder="0" applyAlignment="0" applyProtection="0"/>
    <xf numFmtId="187" fontId="4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187" fontId="73" fillId="0" borderId="0"/>
    <xf numFmtId="0" fontId="73" fillId="0" borderId="0"/>
    <xf numFmtId="0" fontId="7" fillId="0" borderId="0"/>
    <xf numFmtId="0" fontId="14" fillId="0" borderId="0"/>
    <xf numFmtId="0" fontId="7" fillId="0" borderId="0"/>
    <xf numFmtId="187"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7" fillId="0" borderId="0"/>
    <xf numFmtId="0" fontId="14" fillId="0" borderId="0"/>
    <xf numFmtId="0" fontId="7" fillId="0" borderId="0"/>
    <xf numFmtId="0" fontId="14" fillId="0" borderId="0"/>
    <xf numFmtId="0" fontId="7" fillId="0" borderId="0"/>
    <xf numFmtId="0" fontId="14" fillId="0" borderId="0"/>
    <xf numFmtId="0" fontId="7" fillId="0" borderId="0"/>
    <xf numFmtId="188" fontId="14" fillId="0" borderId="0"/>
    <xf numFmtId="0" fontId="7" fillId="0" borderId="0"/>
    <xf numFmtId="0" fontId="14" fillId="0" borderId="0"/>
    <xf numFmtId="0" fontId="14" fillId="0" borderId="0"/>
    <xf numFmtId="0" fontId="7" fillId="0" borderId="0"/>
    <xf numFmtId="188" fontId="14" fillId="0" borderId="0"/>
    <xf numFmtId="0" fontId="7" fillId="0" borderId="0"/>
    <xf numFmtId="0" fontId="14" fillId="0" borderId="0"/>
    <xf numFmtId="0" fontId="14" fillId="0" borderId="0"/>
    <xf numFmtId="0" fontId="7" fillId="0" borderId="0"/>
    <xf numFmtId="187" fontId="14"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187" fontId="135" fillId="0" borderId="0"/>
    <xf numFmtId="0" fontId="73" fillId="0" borderId="0"/>
    <xf numFmtId="0" fontId="14" fillId="0" borderId="0"/>
    <xf numFmtId="0" fontId="14" fillId="0" borderId="0" applyNumberFormat="0" applyFon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73" fillId="0" borderId="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14" fillId="0" borderId="0" applyNumberFormat="0" applyFont="0" applyFill="0" applyBorder="0" applyAlignment="0" applyProtection="0"/>
    <xf numFmtId="0" fontId="14" fillId="0" borderId="0"/>
    <xf numFmtId="0" fontId="7" fillId="0" borderId="0"/>
    <xf numFmtId="0" fontId="7" fillId="0" borderId="0" applyNumberFormat="0" applyFill="0" applyBorder="0" applyAlignment="0" applyProtection="0"/>
    <xf numFmtId="0" fontId="73" fillId="0" borderId="0"/>
    <xf numFmtId="0" fontId="7" fillId="0" borderId="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3" fillId="0" borderId="0"/>
    <xf numFmtId="0" fontId="14" fillId="0" borderId="0" applyNumberFormat="0" applyFont="0" applyFill="0" applyBorder="0" applyAlignment="0" applyProtection="0"/>
    <xf numFmtId="0" fontId="69" fillId="0" borderId="0"/>
    <xf numFmtId="0" fontId="135" fillId="0" borderId="0"/>
    <xf numFmtId="187" fontId="8" fillId="0" borderId="0"/>
    <xf numFmtId="0" fontId="14" fillId="0" borderId="0"/>
    <xf numFmtId="0" fontId="73" fillId="0" borderId="0"/>
    <xf numFmtId="0" fontId="14" fillId="0" borderId="0" applyNumberFormat="0" applyFont="0" applyFill="0" applyBorder="0" applyAlignment="0" applyProtection="0"/>
    <xf numFmtId="187" fontId="8" fillId="0" borderId="0"/>
    <xf numFmtId="0" fontId="135" fillId="0" borderId="0"/>
    <xf numFmtId="0" fontId="14" fillId="0" borderId="0" applyNumberFormat="0" applyFont="0" applyFill="0" applyBorder="0" applyAlignment="0" applyProtection="0"/>
    <xf numFmtId="187" fontId="8" fillId="0" borderId="0"/>
    <xf numFmtId="0" fontId="14" fillId="0" borderId="0" applyNumberFormat="0" applyFont="0" applyFill="0" applyBorder="0" applyAlignment="0" applyProtection="0"/>
    <xf numFmtId="187" fontId="8" fillId="0" borderId="0"/>
    <xf numFmtId="0" fontId="14" fillId="0" borderId="0" applyNumberFormat="0" applyFont="0" applyFill="0" applyBorder="0" applyAlignment="0" applyProtection="0"/>
    <xf numFmtId="187" fontId="8" fillId="0" borderId="0"/>
    <xf numFmtId="0" fontId="14" fillId="0" borderId="0" applyNumberFormat="0" applyFont="0" applyFill="0" applyBorder="0" applyAlignment="0" applyProtection="0"/>
    <xf numFmtId="187" fontId="8" fillId="0" borderId="0"/>
    <xf numFmtId="0" fontId="14" fillId="0" borderId="0" applyNumberFormat="0" applyFont="0" applyFill="0" applyBorder="0" applyAlignment="0" applyProtection="0"/>
    <xf numFmtId="187" fontId="8" fillId="0" borderId="0"/>
    <xf numFmtId="0" fontId="14" fillId="0" borderId="0" applyNumberFormat="0" applyFont="0" applyFill="0" applyBorder="0" applyAlignment="0" applyProtection="0"/>
    <xf numFmtId="187" fontId="73"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7" fillId="0" borderId="0"/>
    <xf numFmtId="0" fontId="7" fillId="0" borderId="0"/>
    <xf numFmtId="187" fontId="45" fillId="0" borderId="0"/>
    <xf numFmtId="187" fontId="45" fillId="0" borderId="0"/>
    <xf numFmtId="0" fontId="73" fillId="0" borderId="0"/>
    <xf numFmtId="0" fontId="14" fillId="0" borderId="0" applyNumberFormat="0" applyFill="0" applyBorder="0" applyAlignment="0" applyProtection="0"/>
    <xf numFmtId="187" fontId="45" fillId="0" borderId="0"/>
    <xf numFmtId="0" fontId="14" fillId="0" borderId="0" applyNumberFormat="0" applyFill="0" applyBorder="0" applyAlignment="0" applyProtection="0"/>
    <xf numFmtId="0" fontId="73" fillId="0" borderId="0"/>
    <xf numFmtId="0" fontId="14" fillId="0" borderId="0"/>
    <xf numFmtId="0" fontId="14" fillId="0" borderId="0" applyNumberFormat="0" applyFill="0" applyBorder="0" applyAlignment="0" applyProtection="0"/>
    <xf numFmtId="188" fontId="4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7" fontId="7" fillId="0" borderId="0"/>
    <xf numFmtId="0" fontId="7" fillId="0" borderId="0" applyNumberForma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187" fontId="45" fillId="0" borderId="0"/>
    <xf numFmtId="187" fontId="45" fillId="0" borderId="0"/>
    <xf numFmtId="0" fontId="14" fillId="0" borderId="0"/>
    <xf numFmtId="0" fontId="14" fillId="0" borderId="0" applyNumberFormat="0" applyFont="0" applyFill="0" applyBorder="0" applyAlignment="0" applyProtection="0"/>
    <xf numFmtId="0" fontId="73" fillId="0" borderId="0"/>
    <xf numFmtId="0" fontId="73" fillId="0" borderId="0"/>
    <xf numFmtId="0" fontId="14" fillId="0" borderId="0"/>
    <xf numFmtId="0" fontId="14" fillId="0" borderId="0" applyNumberFormat="0" applyFill="0" applyBorder="0" applyAlignment="0" applyProtection="0"/>
    <xf numFmtId="187" fontId="7"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7" fillId="0" borderId="0" applyNumberFormat="0" applyFill="0" applyBorder="0" applyAlignment="0" applyProtection="0"/>
    <xf numFmtId="0" fontId="14" fillId="0" borderId="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 fillId="0" borderId="0"/>
    <xf numFmtId="0" fontId="7" fillId="0" borderId="0" applyNumberFormat="0" applyFill="0" applyBorder="0" applyAlignment="0" applyProtection="0"/>
    <xf numFmtId="0" fontId="7" fillId="0" borderId="0"/>
    <xf numFmtId="0" fontId="7" fillId="0" borderId="0"/>
    <xf numFmtId="0" fontId="14" fillId="0" borderId="0"/>
    <xf numFmtId="0" fontId="14" fillId="0" borderId="0" applyNumberFormat="0" applyFill="0" applyBorder="0" applyAlignment="0" applyProtection="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7" fontId="8" fillId="0" borderId="0"/>
    <xf numFmtId="187" fontId="8" fillId="0" borderId="0"/>
    <xf numFmtId="0" fontId="73" fillId="0" borderId="0"/>
    <xf numFmtId="187" fontId="45" fillId="0" borderId="0"/>
    <xf numFmtId="187" fontId="45" fillId="0" borderId="0"/>
    <xf numFmtId="0" fontId="14" fillId="0" borderId="0" applyNumberFormat="0" applyFill="0" applyBorder="0" applyAlignment="0" applyProtection="0"/>
    <xf numFmtId="187" fontId="8" fillId="0" borderId="0"/>
    <xf numFmtId="187" fontId="8" fillId="0" borderId="0"/>
    <xf numFmtId="0" fontId="73" fillId="0" borderId="0"/>
    <xf numFmtId="187" fontId="45" fillId="0" borderId="0"/>
    <xf numFmtId="187" fontId="45" fillId="0" borderId="0"/>
    <xf numFmtId="0" fontId="14" fillId="0" borderId="0" applyNumberFormat="0" applyFill="0" applyBorder="0" applyAlignment="0" applyProtection="0"/>
    <xf numFmtId="187" fontId="8" fillId="0" borderId="0"/>
    <xf numFmtId="187" fontId="8" fillId="0" borderId="0"/>
    <xf numFmtId="0" fontId="73" fillId="0" borderId="0"/>
    <xf numFmtId="187" fontId="45" fillId="0" borderId="0"/>
    <xf numFmtId="187" fontId="45" fillId="0" borderId="0"/>
    <xf numFmtId="0" fontId="14" fillId="0" borderId="0" applyNumberFormat="0" applyFill="0" applyBorder="0" applyAlignment="0" applyProtection="0"/>
    <xf numFmtId="187" fontId="8" fillId="0" borderId="0"/>
    <xf numFmtId="0" fontId="73" fillId="0" borderId="0"/>
    <xf numFmtId="0" fontId="14" fillId="0" borderId="0" applyNumberFormat="0" applyFill="0" applyBorder="0" applyAlignment="0" applyProtection="0"/>
    <xf numFmtId="187" fontId="8" fillId="0" borderId="0"/>
    <xf numFmtId="0" fontId="73" fillId="0" borderId="0"/>
    <xf numFmtId="0" fontId="14" fillId="0" borderId="0" applyNumberFormat="0" applyFill="0" applyBorder="0" applyAlignment="0" applyProtection="0"/>
    <xf numFmtId="187" fontId="8" fillId="0" borderId="0"/>
    <xf numFmtId="0" fontId="73" fillId="0" borderId="0"/>
    <xf numFmtId="0" fontId="14" fillId="0" borderId="0" applyNumberFormat="0" applyFill="0" applyBorder="0" applyAlignment="0" applyProtection="0"/>
    <xf numFmtId="187" fontId="73"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3" fillId="0" borderId="0"/>
    <xf numFmtId="0" fontId="7" fillId="0" borderId="0"/>
    <xf numFmtId="0" fontId="7" fillId="0" borderId="0"/>
    <xf numFmtId="0" fontId="1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8" fillId="0" borderId="0"/>
    <xf numFmtId="187" fontId="8" fillId="0" borderId="0"/>
    <xf numFmtId="187" fontId="45" fillId="0" borderId="0"/>
    <xf numFmtId="187" fontId="45" fillId="0" borderId="0"/>
    <xf numFmtId="0" fontId="14" fillId="0" borderId="0"/>
    <xf numFmtId="0" fontId="14" fillId="0" borderId="0" applyNumberFormat="0" applyFill="0" applyBorder="0" applyAlignment="0" applyProtection="0"/>
    <xf numFmtId="187" fontId="7" fillId="0" borderId="0"/>
    <xf numFmtId="0" fontId="14" fillId="0" borderId="0"/>
    <xf numFmtId="0" fontId="7" fillId="0" borderId="0"/>
    <xf numFmtId="0" fontId="7" fillId="0" borderId="0"/>
    <xf numFmtId="0" fontId="14" fillId="0" borderId="0"/>
    <xf numFmtId="0" fontId="7" fillId="0" borderId="0" applyNumberFormat="0" applyFill="0" applyBorder="0" applyAlignment="0" applyProtection="0"/>
    <xf numFmtId="187" fontId="7" fillId="0" borderId="0"/>
    <xf numFmtId="187" fontId="7" fillId="0" borderId="0"/>
    <xf numFmtId="0" fontId="14" fillId="0" borderId="0"/>
    <xf numFmtId="0" fontId="7" fillId="0" borderId="0"/>
    <xf numFmtId="0" fontId="7" fillId="0" borderId="0"/>
    <xf numFmtId="0" fontId="7" fillId="0" borderId="0" applyNumberFormat="0" applyFill="0" applyBorder="0" applyAlignment="0" applyProtection="0"/>
    <xf numFmtId="187" fontId="7" fillId="0" borderId="0"/>
    <xf numFmtId="187" fontId="8" fillId="0" borderId="0"/>
    <xf numFmtId="0" fontId="14" fillId="0" borderId="0"/>
    <xf numFmtId="187" fontId="8" fillId="0" borderId="0"/>
    <xf numFmtId="0" fontId="14" fillId="0" borderId="0"/>
    <xf numFmtId="187" fontId="8" fillId="0" borderId="0"/>
    <xf numFmtId="187" fontId="8" fillId="0" borderId="0"/>
    <xf numFmtId="187" fontId="8" fillId="0" borderId="0"/>
    <xf numFmtId="187" fontId="8" fillId="0" borderId="0"/>
    <xf numFmtId="187"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8" fillId="0" borderId="0"/>
    <xf numFmtId="187" fontId="8" fillId="0" borderId="0"/>
    <xf numFmtId="187" fontId="45" fillId="0" borderId="0"/>
    <xf numFmtId="187" fontId="45" fillId="0" borderId="0"/>
    <xf numFmtId="0" fontId="73" fillId="0" borderId="0"/>
    <xf numFmtId="0" fontId="14" fillId="0" borderId="0"/>
    <xf numFmtId="0" fontId="14" fillId="0" borderId="0" applyNumberFormat="0" applyFont="0" applyFill="0" applyBorder="0" applyAlignment="0" applyProtection="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 fillId="0" borderId="0"/>
    <xf numFmtId="0" fontId="7" fillId="0" borderId="0" applyNumberFormat="0" applyFill="0" applyBorder="0" applyAlignment="0" applyProtection="0"/>
    <xf numFmtId="0" fontId="7" fillId="0" borderId="0"/>
    <xf numFmtId="0" fontId="7" fillId="0" borderId="0"/>
    <xf numFmtId="0" fontId="14" fillId="0" borderId="0"/>
    <xf numFmtId="0" fontId="14" fillId="0" borderId="0" applyNumberFormat="0" applyFill="0" applyBorder="0" applyAlignment="0" applyProtection="0"/>
    <xf numFmtId="187"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7" fontId="7" fillId="0" borderId="0"/>
    <xf numFmtId="0" fontId="14" fillId="0" borderId="0"/>
    <xf numFmtId="0" fontId="7" fillId="0" borderId="0"/>
    <xf numFmtId="0" fontId="7" fillId="0" borderId="0"/>
    <xf numFmtId="0" fontId="7" fillId="0" borderId="0" applyNumberFormat="0" applyFill="0" applyBorder="0" applyAlignment="0" applyProtection="0"/>
    <xf numFmtId="187" fontId="7" fillId="0" borderId="0"/>
    <xf numFmtId="187" fontId="8" fillId="0" borderId="0"/>
    <xf numFmtId="0" fontId="69" fillId="0" borderId="0"/>
    <xf numFmtId="187" fontId="8" fillId="0" borderId="0"/>
    <xf numFmtId="0" fontId="69" fillId="0" borderId="0"/>
    <xf numFmtId="187" fontId="8" fillId="0" borderId="0"/>
    <xf numFmtId="187" fontId="8" fillId="0" borderId="0"/>
    <xf numFmtId="187" fontId="8" fillId="0" borderId="0"/>
    <xf numFmtId="187" fontId="8" fillId="0" borderId="0"/>
    <xf numFmtId="187"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14" fillId="0" borderId="0"/>
    <xf numFmtId="187" fontId="14" fillId="0" borderId="0"/>
    <xf numFmtId="0" fontId="69" fillId="0" borderId="0"/>
    <xf numFmtId="187" fontId="45" fillId="0" borderId="0"/>
    <xf numFmtId="0" fontId="69" fillId="0" borderId="0"/>
    <xf numFmtId="187" fontId="45" fillId="0" borderId="0"/>
    <xf numFmtId="0" fontId="73" fillId="0" borderId="0"/>
    <xf numFmtId="0" fontId="14" fillId="0" borderId="0"/>
    <xf numFmtId="0" fontId="14"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6" fillId="0" borderId="0" applyNumberFormat="0" applyFill="0" applyBorder="0" applyProtection="0">
      <alignment vertical="top" wrapText="1"/>
    </xf>
    <xf numFmtId="0" fontId="136" fillId="0" borderId="0" applyNumberFormat="0" applyFill="0" applyBorder="0" applyProtection="0">
      <alignment vertical="top" wrapText="1"/>
    </xf>
    <xf numFmtId="207" fontId="137" fillId="0" borderId="0" applyFill="0" applyBorder="0" applyProtection="0">
      <alignment horizontal="right" vertical="top"/>
    </xf>
    <xf numFmtId="187" fontId="138" fillId="40"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60" fillId="8" borderId="23"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40"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40"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9" fillId="8" borderId="23" applyNumberFormat="0" applyAlignment="0" applyProtection="0"/>
    <xf numFmtId="0" fontId="112" fillId="0" borderId="23"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38" fillId="58" borderId="29" applyNumberFormat="0" applyAlignment="0" applyProtection="0"/>
    <xf numFmtId="0" fontId="138" fillId="58" borderId="29" applyNumberFormat="0" applyAlignment="0" applyProtection="0"/>
    <xf numFmtId="0" fontId="138" fillId="58" borderId="29" applyNumberFormat="0" applyAlignment="0" applyProtection="0"/>
    <xf numFmtId="187" fontId="138" fillId="40" borderId="29" applyNumberFormat="0" applyAlignment="0" applyProtection="0"/>
    <xf numFmtId="0" fontId="138" fillId="58"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40" borderId="29" applyNumberFormat="0" applyAlignment="0" applyProtection="0"/>
    <xf numFmtId="0" fontId="138" fillId="40" borderId="29" applyNumberFormat="0" applyAlignment="0" applyProtection="0"/>
    <xf numFmtId="0" fontId="139" fillId="8" borderId="23" applyNumberFormat="0" applyAlignment="0" applyProtection="0"/>
    <xf numFmtId="0" fontId="14" fillId="0" borderId="0" applyNumberFormat="0" applyFont="0" applyFill="0" applyBorder="0" applyAlignment="0" applyProtection="0"/>
    <xf numFmtId="187" fontId="138" fillId="40" borderId="29" applyNumberForma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38" fillId="40" borderId="29" applyNumberFormat="0" applyAlignment="0" applyProtection="0"/>
    <xf numFmtId="0" fontId="138" fillId="40" borderId="29" applyNumberFormat="0" applyAlignment="0" applyProtection="0"/>
    <xf numFmtId="0" fontId="139" fillId="8" borderId="23" applyNumberFormat="0" applyAlignment="0" applyProtection="0"/>
    <xf numFmtId="0" fontId="14" fillId="0" borderId="0" applyNumberFormat="0" applyFont="0" applyFill="0" applyBorder="0" applyAlignment="0" applyProtection="0"/>
    <xf numFmtId="0" fontId="60" fillId="8" borderId="23" applyNumberFormat="0" applyAlignment="0" applyProtection="0"/>
    <xf numFmtId="0" fontId="139" fillId="8" borderId="23" applyNumberFormat="0" applyAlignment="0" applyProtection="0"/>
    <xf numFmtId="0" fontId="112" fillId="0" borderId="23" applyNumberFormat="0" applyFill="0" applyAlignment="0" applyProtection="0"/>
    <xf numFmtId="0" fontId="112" fillId="0" borderId="23" applyNumberFormat="0" applyFill="0" applyAlignment="0" applyProtection="0"/>
    <xf numFmtId="0" fontId="139" fillId="8" borderId="23" applyNumberFormat="0" applyAlignment="0" applyProtection="0"/>
    <xf numFmtId="0" fontId="112" fillId="0" borderId="23" applyNumberFormat="0" applyFill="0" applyAlignment="0" applyProtection="0"/>
    <xf numFmtId="208" fontId="140" fillId="0" borderId="0">
      <alignment horizontal="left"/>
    </xf>
    <xf numFmtId="40" fontId="141" fillId="53" borderId="0">
      <alignment horizontal="right"/>
    </xf>
    <xf numFmtId="0" fontId="142" fillId="53" borderId="0">
      <alignment horizontal="right"/>
    </xf>
    <xf numFmtId="0" fontId="143" fillId="53" borderId="41"/>
    <xf numFmtId="0" fontId="143" fillId="0" borderId="0" applyBorder="0">
      <alignment horizontal="centerContinuous"/>
    </xf>
    <xf numFmtId="0" fontId="144" fillId="0" borderId="0" applyBorder="0">
      <alignment horizontal="centerContinuous"/>
    </xf>
    <xf numFmtId="0" fontId="14" fillId="0" borderId="0" applyNumberFormat="0" applyFont="0" applyFill="0" applyBorder="0" applyAlignment="0" applyProtection="0"/>
    <xf numFmtId="0" fontId="14" fillId="0" borderId="0" applyNumberFormat="0" applyFont="0" applyFill="0" applyBorder="0" applyAlignment="0" applyProtection="0"/>
    <xf numFmtId="10" fontId="73" fillId="0" borderId="0" applyFont="0" applyFill="0" applyBorder="0" applyAlignment="0" applyProtection="0"/>
    <xf numFmtId="9" fontId="69" fillId="0" borderId="0" applyFont="0" applyFill="0" applyBorder="0" applyAlignment="0" applyProtection="0"/>
    <xf numFmtId="187" fontId="145" fillId="0" borderId="0" applyNumberFormat="0" applyFill="0" applyBorder="0" applyProtection="0">
      <alignment horizontal="left"/>
    </xf>
    <xf numFmtId="187" fontId="145" fillId="0" borderId="0" applyNumberFormat="0" applyFill="0" applyBorder="0" applyAlignment="0" applyProtection="0"/>
    <xf numFmtId="187" fontId="145" fillId="0" borderId="0" applyNumberFormat="0" applyFill="0" applyBorder="0" applyAlignment="0" applyProtection="0"/>
    <xf numFmtId="187" fontId="145" fillId="0" borderId="0" applyNumberFormat="0" applyFill="0" applyBorder="0" applyAlignment="0" applyProtection="0"/>
    <xf numFmtId="187" fontId="145" fillId="0" borderId="0" applyNumberFormat="0" applyFill="0" applyBorder="0" applyProtection="0">
      <alignment horizontal="left"/>
    </xf>
    <xf numFmtId="187" fontId="145" fillId="0" borderId="0" applyNumberFormat="0" applyFill="0" applyBorder="0" applyAlignment="0" applyProtection="0"/>
    <xf numFmtId="2" fontId="146" fillId="53" borderId="0">
      <protection locked="0"/>
    </xf>
    <xf numFmtId="209" fontId="136" fillId="0" borderId="0"/>
    <xf numFmtId="9" fontId="14"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147" fillId="0" borderId="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73"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73"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91" fillId="0" borderId="0" applyFont="0" applyFill="0" applyBorder="0" applyAlignment="0" applyProtection="0"/>
    <xf numFmtId="9" fontId="8" fillId="0" borderId="0" applyFont="0" applyFill="0" applyBorder="0" applyAlignment="0" applyProtection="0"/>
    <xf numFmtId="9" fontId="91"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14" fillId="0" borderId="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9" fontId="45" fillId="0" borderId="0" applyFont="0" applyFill="0" applyBorder="0" applyAlignment="0" applyProtection="0"/>
    <xf numFmtId="0" fontId="14" fillId="0" borderId="0" applyNumberFormat="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9" fontId="7"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 fillId="0" borderId="0" applyNumberFormat="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7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48" fillId="46" borderId="42" applyNumberFormat="0" applyProtection="0">
      <alignment vertical="center"/>
    </xf>
    <xf numFmtId="4" fontId="149" fillId="64" borderId="42" applyNumberFormat="0" applyProtection="0">
      <alignment vertical="center"/>
    </xf>
    <xf numFmtId="4" fontId="148" fillId="64" borderId="42" applyNumberFormat="0" applyProtection="0">
      <alignment horizontal="left" vertical="center" indent="1"/>
    </xf>
    <xf numFmtId="0" fontId="148" fillId="64" borderId="42" applyNumberFormat="0" applyProtection="0">
      <alignment horizontal="left" vertical="top" indent="1"/>
    </xf>
    <xf numFmtId="4" fontId="148" fillId="65" borderId="0" applyNumberFormat="0" applyProtection="0">
      <alignment horizontal="left" vertical="center" indent="1"/>
    </xf>
    <xf numFmtId="4" fontId="150" fillId="36" borderId="42" applyNumberFormat="0" applyProtection="0">
      <alignment horizontal="right" vertical="center"/>
    </xf>
    <xf numFmtId="4" fontId="150" fillId="45" borderId="42" applyNumberFormat="0" applyProtection="0">
      <alignment horizontal="right" vertical="center"/>
    </xf>
    <xf numFmtId="4" fontId="150" fillId="43" borderId="42" applyNumberFormat="0" applyProtection="0">
      <alignment horizontal="right" vertical="center"/>
    </xf>
    <xf numFmtId="4" fontId="150" fillId="48" borderId="42" applyNumberFormat="0" applyProtection="0">
      <alignment horizontal="right" vertical="center"/>
    </xf>
    <xf numFmtId="4" fontId="150" fillId="52" borderId="42" applyNumberFormat="0" applyProtection="0">
      <alignment horizontal="right" vertical="center"/>
    </xf>
    <xf numFmtId="4" fontId="150" fillId="57" borderId="42" applyNumberFormat="0" applyProtection="0">
      <alignment horizontal="right" vertical="center"/>
    </xf>
    <xf numFmtId="4" fontId="150" fillId="55" borderId="42" applyNumberFormat="0" applyProtection="0">
      <alignment horizontal="right" vertical="center"/>
    </xf>
    <xf numFmtId="4" fontId="150" fillId="66" borderId="42" applyNumberFormat="0" applyProtection="0">
      <alignment horizontal="right" vertical="center"/>
    </xf>
    <xf numFmtId="4" fontId="150" fillId="47" borderId="42" applyNumberFormat="0" applyProtection="0">
      <alignment horizontal="right" vertical="center"/>
    </xf>
    <xf numFmtId="4" fontId="148" fillId="67" borderId="43" applyNumberFormat="0" applyProtection="0">
      <alignment horizontal="left" vertical="center" indent="1"/>
    </xf>
    <xf numFmtId="4" fontId="150" fillId="68" borderId="0" applyNumberFormat="0" applyProtection="0">
      <alignment horizontal="left" vertical="center" indent="1"/>
    </xf>
    <xf numFmtId="4" fontId="151" fillId="69" borderId="0" applyNumberFormat="0" applyProtection="0">
      <alignment horizontal="left" vertical="center" indent="1"/>
    </xf>
    <xf numFmtId="4" fontId="150" fillId="70" borderId="42" applyNumberFormat="0" applyProtection="0">
      <alignment horizontal="right" vertical="center"/>
    </xf>
    <xf numFmtId="4" fontId="152" fillId="68" borderId="0" applyNumberFormat="0" applyProtection="0">
      <alignment horizontal="left" vertical="center" indent="1"/>
    </xf>
    <xf numFmtId="4" fontId="152" fillId="65" borderId="0" applyNumberFormat="0" applyProtection="0">
      <alignment horizontal="left" vertical="center" indent="1"/>
    </xf>
    <xf numFmtId="0" fontId="73" fillId="69" borderId="42" applyNumberFormat="0" applyProtection="0">
      <alignment horizontal="left" vertical="center" indent="1"/>
    </xf>
    <xf numFmtId="0" fontId="73" fillId="69" borderId="42" applyNumberFormat="0" applyProtection="0">
      <alignment horizontal="left" vertical="center" indent="1"/>
    </xf>
    <xf numFmtId="0" fontId="73" fillId="69" borderId="42" applyNumberFormat="0" applyProtection="0">
      <alignment horizontal="left" vertical="center" indent="1"/>
    </xf>
    <xf numFmtId="0" fontId="73" fillId="69" borderId="42" applyNumberFormat="0" applyProtection="0">
      <alignment horizontal="left" vertical="top" indent="1"/>
    </xf>
    <xf numFmtId="0" fontId="73" fillId="69" borderId="42" applyNumberFormat="0" applyProtection="0">
      <alignment horizontal="left" vertical="top" indent="1"/>
    </xf>
    <xf numFmtId="0" fontId="73" fillId="69" borderId="42" applyNumberFormat="0" applyProtection="0">
      <alignment horizontal="left" vertical="top" indent="1"/>
    </xf>
    <xf numFmtId="0" fontId="73" fillId="65" borderId="42" applyNumberFormat="0" applyProtection="0">
      <alignment horizontal="left" vertical="center" indent="1"/>
    </xf>
    <xf numFmtId="0" fontId="73" fillId="65" borderId="42" applyNumberFormat="0" applyProtection="0">
      <alignment horizontal="left" vertical="center" indent="1"/>
    </xf>
    <xf numFmtId="0" fontId="73" fillId="65" borderId="42" applyNumberFormat="0" applyProtection="0">
      <alignment horizontal="left" vertical="center" indent="1"/>
    </xf>
    <xf numFmtId="0" fontId="73" fillId="65" borderId="42" applyNumberFormat="0" applyProtection="0">
      <alignment horizontal="left" vertical="top" indent="1"/>
    </xf>
    <xf numFmtId="0" fontId="73" fillId="65" borderId="42" applyNumberFormat="0" applyProtection="0">
      <alignment horizontal="left" vertical="top" indent="1"/>
    </xf>
    <xf numFmtId="0" fontId="73" fillId="65" borderId="42" applyNumberFormat="0" applyProtection="0">
      <alignment horizontal="left" vertical="top" indent="1"/>
    </xf>
    <xf numFmtId="0" fontId="73" fillId="71" borderId="42" applyNumberFormat="0" applyProtection="0">
      <alignment horizontal="left" vertical="center" indent="1"/>
    </xf>
    <xf numFmtId="0" fontId="73" fillId="71" borderId="42" applyNumberFormat="0" applyProtection="0">
      <alignment horizontal="left" vertical="center" indent="1"/>
    </xf>
    <xf numFmtId="0" fontId="73" fillId="71" borderId="42" applyNumberFormat="0" applyProtection="0">
      <alignment horizontal="left" vertical="center" indent="1"/>
    </xf>
    <xf numFmtId="0" fontId="73" fillId="71" borderId="42" applyNumberFormat="0" applyProtection="0">
      <alignment horizontal="left" vertical="top" indent="1"/>
    </xf>
    <xf numFmtId="0" fontId="73" fillId="71" borderId="42" applyNumberFormat="0" applyProtection="0">
      <alignment horizontal="left" vertical="top" indent="1"/>
    </xf>
    <xf numFmtId="0" fontId="73" fillId="71" borderId="42" applyNumberFormat="0" applyProtection="0">
      <alignment horizontal="left" vertical="top" indent="1"/>
    </xf>
    <xf numFmtId="0" fontId="73" fillId="72" borderId="42" applyNumberFormat="0" applyProtection="0">
      <alignment horizontal="left" vertical="center" indent="1"/>
    </xf>
    <xf numFmtId="0" fontId="73" fillId="72" borderId="42" applyNumberFormat="0" applyProtection="0">
      <alignment horizontal="left" vertical="center" indent="1"/>
    </xf>
    <xf numFmtId="0" fontId="73" fillId="72" borderId="42" applyNumberFormat="0" applyProtection="0">
      <alignment horizontal="left" vertical="center" indent="1"/>
    </xf>
    <xf numFmtId="0" fontId="73" fillId="72" borderId="42" applyNumberFormat="0" applyProtection="0">
      <alignment horizontal="left" vertical="top" indent="1"/>
    </xf>
    <xf numFmtId="0" fontId="73" fillId="72" borderId="42" applyNumberFormat="0" applyProtection="0">
      <alignment horizontal="left" vertical="top" indent="1"/>
    </xf>
    <xf numFmtId="0" fontId="73" fillId="72" borderId="42" applyNumberFormat="0" applyProtection="0">
      <alignment horizontal="left" vertical="top" indent="1"/>
    </xf>
    <xf numFmtId="4" fontId="150" fillId="61" borderId="42" applyNumberFormat="0" applyProtection="0">
      <alignment vertical="center"/>
    </xf>
    <xf numFmtId="4" fontId="153" fillId="61" borderId="42" applyNumberFormat="0" applyProtection="0">
      <alignment vertical="center"/>
    </xf>
    <xf numFmtId="4" fontId="150" fillId="61" borderId="42" applyNumberFormat="0" applyProtection="0">
      <alignment horizontal="left" vertical="center" indent="1"/>
    </xf>
    <xf numFmtId="0" fontId="150" fillId="61" borderId="42" applyNumberFormat="0" applyProtection="0">
      <alignment horizontal="left" vertical="top" indent="1"/>
    </xf>
    <xf numFmtId="4" fontId="150" fillId="68" borderId="42" applyNumberFormat="0" applyProtection="0">
      <alignment horizontal="right" vertical="center"/>
    </xf>
    <xf numFmtId="4" fontId="150" fillId="73" borderId="30" applyNumberFormat="0" applyProtection="0">
      <alignment horizontal="right" vertical="center"/>
    </xf>
    <xf numFmtId="4" fontId="153" fillId="68" borderId="42" applyNumberFormat="0" applyProtection="0">
      <alignment horizontal="right" vertical="center"/>
    </xf>
    <xf numFmtId="4" fontId="150" fillId="70" borderId="42" applyNumberFormat="0" applyProtection="0">
      <alignment horizontal="left" vertical="center" indent="1"/>
    </xf>
    <xf numFmtId="0" fontId="150" fillId="65" borderId="42" applyNumberFormat="0" applyProtection="0">
      <alignment horizontal="left" vertical="top" indent="1"/>
    </xf>
    <xf numFmtId="4" fontId="154" fillId="74" borderId="0" applyNumberFormat="0" applyProtection="0">
      <alignment horizontal="left" vertical="center" indent="1"/>
    </xf>
    <xf numFmtId="4" fontId="155" fillId="68" borderId="42" applyNumberFormat="0" applyProtection="0">
      <alignment horizontal="right" vertical="center"/>
    </xf>
    <xf numFmtId="0" fontId="14" fillId="0" borderId="0" applyNumberFormat="0" applyFont="0" applyFill="0" applyBorder="0" applyAlignment="0" applyProtection="0"/>
    <xf numFmtId="0" fontId="156" fillId="0" borderId="0"/>
    <xf numFmtId="0" fontId="152" fillId="0" borderId="0">
      <alignment vertical="top"/>
    </xf>
    <xf numFmtId="0" fontId="157" fillId="0" borderId="44"/>
    <xf numFmtId="187" fontId="114" fillId="0" borderId="45"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5" fillId="0" borderId="28"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4" fillId="0" borderId="45"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4" fillId="0" borderId="45"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58" fillId="0" borderId="28" applyNumberFormat="0" applyFill="0" applyAlignment="0" applyProtection="0"/>
    <xf numFmtId="0" fontId="14" fillId="0" borderId="28"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187" fontId="114" fillId="0" borderId="45" applyNumberFormat="0" applyFill="0" applyAlignment="0" applyProtection="0"/>
    <xf numFmtId="0" fontId="113" fillId="0" borderId="46"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4" fillId="0" borderId="45" applyNumberFormat="0" applyFill="0" applyAlignment="0" applyProtection="0"/>
    <xf numFmtId="0" fontId="114" fillId="0" borderId="45" applyNumberFormat="0" applyFill="0" applyAlignment="0" applyProtection="0"/>
    <xf numFmtId="0" fontId="158" fillId="0" borderId="28" applyNumberFormat="0" applyFill="0" applyAlignment="0" applyProtection="0"/>
    <xf numFmtId="0" fontId="14" fillId="0" borderId="0" applyNumberFormat="0" applyFont="0" applyFill="0" applyBorder="0" applyAlignment="0" applyProtection="0"/>
    <xf numFmtId="187" fontId="114" fillId="0" borderId="45" applyNumberFormat="0" applyFill="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14" fillId="0" borderId="45" applyNumberFormat="0" applyFill="0" applyAlignment="0" applyProtection="0"/>
    <xf numFmtId="0" fontId="114" fillId="0" borderId="45" applyNumberFormat="0" applyFill="0" applyAlignment="0" applyProtection="0"/>
    <xf numFmtId="0" fontId="158" fillId="0" borderId="28" applyNumberFormat="0" applyFill="0" applyAlignment="0" applyProtection="0"/>
    <xf numFmtId="0" fontId="14" fillId="0" borderId="0" applyNumberFormat="0" applyFont="0" applyFill="0" applyBorder="0" applyAlignment="0" applyProtection="0"/>
    <xf numFmtId="0" fontId="15" fillId="0" borderId="28" applyNumberFormat="0" applyFill="0" applyAlignment="0" applyProtection="0"/>
    <xf numFmtId="0" fontId="158" fillId="0" borderId="28" applyNumberFormat="0" applyFill="0" applyAlignment="0" applyProtection="0"/>
    <xf numFmtId="0" fontId="14" fillId="0" borderId="28" applyNumberFormat="0" applyFill="0" applyAlignment="0" applyProtection="0"/>
    <xf numFmtId="0" fontId="14" fillId="0" borderId="28" applyNumberFormat="0" applyFill="0" applyAlignment="0" applyProtection="0"/>
    <xf numFmtId="0" fontId="158" fillId="0" borderId="28" applyNumberFormat="0" applyFill="0" applyAlignment="0" applyProtection="0"/>
    <xf numFmtId="0" fontId="14" fillId="0" borderId="28" applyNumberFormat="0" applyFill="0" applyAlignment="0" applyProtection="0"/>
    <xf numFmtId="187"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64"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87"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4" fillId="0" borderId="0" applyNumberFormat="0" applyFont="0" applyFill="0" applyBorder="0" applyAlignment="0" applyProtection="0"/>
    <xf numFmtId="187" fontId="159"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4" fillId="0" borderId="0" applyNumberFormat="0" applyFont="0" applyFill="0" applyBorder="0" applyAlignment="0" applyProtection="0"/>
    <xf numFmtId="0" fontId="64"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187" fontId="162"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4"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87" fontId="162" fillId="0" borderId="0" applyNumberFormat="0" applyFill="0" applyBorder="0" applyAlignment="0" applyProtection="0"/>
    <xf numFmtId="0" fontId="163"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4" fillId="0" borderId="0" applyNumberFormat="0" applyFill="0" applyBorder="0" applyAlignment="0" applyProtection="0"/>
    <xf numFmtId="0" fontId="14" fillId="0" borderId="0" applyNumberFormat="0" applyFont="0" applyFill="0" applyBorder="0" applyAlignment="0" applyProtection="0"/>
    <xf numFmtId="187" fontId="162"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4" fillId="0" borderId="0" applyNumberFormat="0" applyFill="0" applyBorder="0" applyAlignment="0" applyProtection="0"/>
    <xf numFmtId="0" fontId="14" fillId="0" borderId="0" applyNumberFormat="0" applyFont="0" applyFill="0" applyBorder="0" applyAlignment="0" applyProtection="0"/>
    <xf numFmtId="0" fontId="63"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187" fontId="165"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7"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87" fontId="165" fillId="0" borderId="0" applyNumberFormat="0" applyFill="0" applyBorder="0" applyAlignment="0" applyProtection="0"/>
    <xf numFmtId="0" fontId="166"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4" fillId="0" borderId="0" applyNumberFormat="0" applyFont="0" applyFill="0" applyBorder="0" applyAlignment="0" applyProtection="0"/>
    <xf numFmtId="187" fontId="165"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4" fillId="0" borderId="0" applyNumberFormat="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3" fontId="169" fillId="0" borderId="0"/>
    <xf numFmtId="208" fontId="140" fillId="0" borderId="0">
      <alignment horizontal="left"/>
    </xf>
    <xf numFmtId="0" fontId="14"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187" fontId="73" fillId="42" borderId="47"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27" applyNumberFormat="0" applyFont="0" applyFill="0" applyAlignment="0" applyProtection="0"/>
    <xf numFmtId="0" fontId="14" fillId="10" borderId="27" applyNumberFormat="0" applyFont="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27" applyNumberFormat="0" applyFont="0" applyFill="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73" fillId="42" borderId="47"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73" fillId="42" borderId="47"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0" borderId="0" applyNumberFormat="0" applyFont="0" applyFill="0" applyBorder="0" applyAlignment="0" applyProtection="0"/>
    <xf numFmtId="0" fontId="8" fillId="42" borderId="48" applyNumberFormat="0" applyFont="0" applyAlignment="0" applyProtection="0"/>
    <xf numFmtId="0" fontId="8" fillId="42" borderId="48" applyNumberFormat="0" applyFont="0" applyAlignment="0" applyProtection="0"/>
    <xf numFmtId="0" fontId="8" fillId="42" borderId="48"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187" fontId="73" fillId="42" borderId="4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0" applyNumberFormat="0" applyFont="0" applyFill="0" applyBorder="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14" fillId="0" borderId="27" applyNumberFormat="0" applyFont="0" applyFill="0" applyAlignment="0" applyProtection="0"/>
    <xf numFmtId="0" fontId="8" fillId="10" borderId="27" applyNumberFormat="0" applyFont="0" applyAlignment="0" applyProtection="0"/>
    <xf numFmtId="0" fontId="73" fillId="42" borderId="47" applyNumberFormat="0" applyFont="0" applyAlignment="0" applyProtection="0"/>
    <xf numFmtId="0" fontId="8" fillId="10" borderId="27" applyNumberFormat="0" applyFont="0" applyAlignment="0" applyProtection="0"/>
    <xf numFmtId="0" fontId="73" fillId="42" borderId="4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8" fillId="10" borderId="27" applyNumberFormat="0" applyFont="0" applyAlignment="0" applyProtection="0"/>
    <xf numFmtId="0" fontId="8" fillId="10" borderId="27" applyNumberFormat="0" applyFont="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0" borderId="27" applyNumberFormat="0" applyFont="0" applyFill="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187" fontId="73" fillId="42" borderId="47"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73" fillId="42" borderId="47" applyNumberFormat="0" applyFont="0" applyAlignment="0" applyProtection="0"/>
    <xf numFmtId="0" fontId="73" fillId="42" borderId="4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14" fillId="10" borderId="27" applyNumberFormat="0" applyFont="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14"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4"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193" fontId="117" fillId="0" borderId="0"/>
    <xf numFmtId="210" fontId="78" fillId="0" borderId="0" applyFont="0" applyFill="0" applyBorder="0" applyAlignment="0" applyProtection="0"/>
    <xf numFmtId="189" fontId="77" fillId="0" borderId="0" applyFont="0" applyFill="0" applyBorder="0" applyAlignment="0" applyProtection="0"/>
    <xf numFmtId="211" fontId="73" fillId="0" borderId="0" applyFont="0" applyFill="0" applyBorder="0" applyAlignment="0" applyProtection="0"/>
    <xf numFmtId="212" fontId="73" fillId="0" borderId="0" applyFont="0" applyFill="0" applyBorder="0" applyAlignment="0" applyProtection="0"/>
    <xf numFmtId="44" fontId="14"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44" fontId="73"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44" fontId="7" fillId="0" borderId="0" applyFont="0" applyFill="0" applyBorder="0" applyAlignment="0" applyProtection="0"/>
    <xf numFmtId="44" fontId="73"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44" fontId="73"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44" fontId="73"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187"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56" fillId="5"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1" fillId="5" borderId="0" applyNumberFormat="0" applyBorder="0" applyAlignment="0" applyProtection="0"/>
    <xf numFmtId="0" fontId="171"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187"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1" fillId="5" borderId="0" applyNumberFormat="0" applyBorder="0" applyAlignment="0" applyProtection="0"/>
    <xf numFmtId="0" fontId="171" fillId="0" borderId="0" applyNumberForma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187" fontId="170" fillId="36" borderId="0" applyNumberFormat="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1" fillId="5" borderId="0" applyNumberFormat="0" applyBorder="0" applyAlignment="0" applyProtection="0"/>
    <xf numFmtId="0" fontId="14" fillId="0" borderId="0" applyNumberFormat="0" applyFont="0" applyFill="0" applyBorder="0" applyAlignment="0" applyProtection="0"/>
    <xf numFmtId="0" fontId="56" fillId="5" borderId="0" applyNumberFormat="0" applyBorder="0" applyAlignment="0" applyProtection="0"/>
    <xf numFmtId="0" fontId="171" fillId="5" borderId="0" applyNumberFormat="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5" borderId="0" applyNumberFormat="0" applyBorder="0" applyAlignment="0" applyProtection="0"/>
    <xf numFmtId="0" fontId="171" fillId="0" borderId="0" applyNumberForma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66" fillId="0" borderId="0" applyFont="0" applyFill="0" applyBorder="0" applyAlignment="0" applyProtection="0"/>
    <xf numFmtId="0" fontId="5" fillId="0" borderId="0"/>
    <xf numFmtId="9" fontId="5" fillId="0" borderId="0" applyFont="0" applyFill="0" applyBorder="0" applyAlignment="0" applyProtection="0"/>
    <xf numFmtId="0" fontId="133" fillId="0" borderId="0"/>
    <xf numFmtId="0" fontId="5" fillId="0" borderId="0"/>
    <xf numFmtId="43" fontId="14" fillId="0" borderId="0" applyFont="0" applyFill="0" applyBorder="0" applyAlignment="0" applyProtection="0"/>
    <xf numFmtId="9" fontId="133" fillId="0" borderId="0" applyFont="0" applyFill="0" applyBorder="0" applyAlignment="0" applyProtection="0"/>
    <xf numFmtId="0" fontId="147" fillId="0" borderId="0"/>
    <xf numFmtId="0" fontId="14" fillId="0" borderId="0"/>
  </cellStyleXfs>
  <cellXfs count="998">
    <xf numFmtId="0" fontId="0" fillId="0" borderId="0" xfId="0"/>
    <xf numFmtId="0" fontId="9" fillId="0" borderId="0" xfId="0" applyFont="1" applyAlignment="1">
      <alignment vertical="center"/>
    </xf>
    <xf numFmtId="0" fontId="16" fillId="2" borderId="0" xfId="0" applyFont="1" applyFill="1" applyAlignment="1">
      <alignment vertical="center"/>
    </xf>
    <xf numFmtId="0" fontId="21" fillId="2" borderId="0" xfId="0" applyFont="1" applyFill="1" applyAlignment="1">
      <alignment vertical="center"/>
    </xf>
    <xf numFmtId="0" fontId="12" fillId="0" borderId="0" xfId="0" applyFont="1" applyAlignment="1">
      <alignment vertical="center"/>
    </xf>
    <xf numFmtId="0" fontId="12" fillId="0" borderId="0" xfId="0" applyFont="1"/>
    <xf numFmtId="0" fontId="12" fillId="2" borderId="0" xfId="0" applyFont="1" applyFill="1" applyAlignment="1">
      <alignment vertical="center"/>
    </xf>
    <xf numFmtId="0" fontId="12" fillId="2" borderId="0" xfId="0" applyFont="1" applyFill="1"/>
    <xf numFmtId="0" fontId="23" fillId="2" borderId="0" xfId="0" applyFont="1" applyFill="1"/>
    <xf numFmtId="0" fontId="28" fillId="2" borderId="0" xfId="0" applyFont="1" applyFill="1" applyAlignment="1">
      <alignment vertical="center"/>
    </xf>
    <xf numFmtId="0" fontId="28" fillId="0" borderId="0" xfId="0" applyFont="1" applyAlignment="1">
      <alignment vertical="center"/>
    </xf>
    <xf numFmtId="0" fontId="15" fillId="2" borderId="0" xfId="0" applyFont="1" applyFill="1" applyAlignment="1">
      <alignment vertical="center"/>
    </xf>
    <xf numFmtId="0" fontId="30" fillId="2" borderId="0" xfId="0" applyFont="1" applyFill="1"/>
    <xf numFmtId="0" fontId="28" fillId="2" borderId="0" xfId="0" applyFont="1" applyFill="1"/>
    <xf numFmtId="0" fontId="28" fillId="0" borderId="0" xfId="0" applyFont="1"/>
    <xf numFmtId="0" fontId="33" fillId="2" borderId="0" xfId="0" applyFont="1" applyFill="1"/>
    <xf numFmtId="170" fontId="12" fillId="2" borderId="0" xfId="0" applyNumberFormat="1" applyFont="1" applyFill="1" applyAlignment="1">
      <alignment vertical="center"/>
    </xf>
    <xf numFmtId="173" fontId="12" fillId="2" borderId="0" xfId="0" applyNumberFormat="1" applyFont="1" applyFill="1" applyAlignment="1">
      <alignment vertical="center"/>
    </xf>
    <xf numFmtId="174" fontId="31" fillId="2" borderId="0" xfId="1" applyNumberFormat="1" applyFont="1" applyFill="1" applyBorder="1" applyAlignment="1">
      <alignment horizontal="right" vertical="center"/>
    </xf>
    <xf numFmtId="174" fontId="12" fillId="2" borderId="0" xfId="0" applyNumberFormat="1" applyFont="1" applyFill="1" applyAlignment="1">
      <alignment vertical="center"/>
    </xf>
    <xf numFmtId="173" fontId="31" fillId="2" borderId="0" xfId="1" applyNumberFormat="1" applyFont="1" applyFill="1" applyBorder="1" applyAlignment="1">
      <alignment horizontal="right" vertical="center"/>
    </xf>
    <xf numFmtId="172" fontId="12" fillId="2" borderId="0" xfId="0" applyNumberFormat="1" applyFont="1" applyFill="1" applyAlignment="1">
      <alignment vertical="center"/>
    </xf>
    <xf numFmtId="173" fontId="33" fillId="2" borderId="0" xfId="0" applyNumberFormat="1" applyFont="1" applyFill="1" applyAlignment="1">
      <alignment vertical="center"/>
    </xf>
    <xf numFmtId="174" fontId="33" fillId="2" borderId="0" xfId="0" applyNumberFormat="1" applyFont="1" applyFill="1" applyAlignment="1">
      <alignment vertical="center"/>
    </xf>
    <xf numFmtId="165" fontId="31" fillId="2" borderId="0" xfId="0" applyNumberFormat="1" applyFont="1" applyFill="1" applyAlignment="1">
      <alignment horizontal="right" vertical="center"/>
    </xf>
    <xf numFmtId="170" fontId="33" fillId="2" borderId="0" xfId="0" applyNumberFormat="1" applyFont="1" applyFill="1" applyAlignment="1">
      <alignment vertical="center"/>
    </xf>
    <xf numFmtId="170" fontId="31" fillId="2" borderId="0" xfId="0" applyNumberFormat="1" applyFont="1" applyFill="1" applyAlignment="1">
      <alignment horizontal="right" vertical="center"/>
    </xf>
    <xf numFmtId="0" fontId="12" fillId="2" borderId="3" xfId="0" applyFont="1" applyFill="1" applyBorder="1" applyAlignment="1">
      <alignment horizontal="left" vertical="center"/>
    </xf>
    <xf numFmtId="0" fontId="12" fillId="2" borderId="0" xfId="0" applyFont="1" applyFill="1" applyAlignment="1">
      <alignment horizontal="left" vertical="center"/>
    </xf>
    <xf numFmtId="0" fontId="32" fillId="2" borderId="3" xfId="0" applyFont="1" applyFill="1" applyBorder="1" applyAlignment="1">
      <alignment horizontal="left" vertical="center" indent="2"/>
    </xf>
    <xf numFmtId="173" fontId="12" fillId="2" borderId="0" xfId="0" applyNumberFormat="1" applyFont="1" applyFill="1" applyAlignment="1">
      <alignment horizontal="right" vertical="center"/>
    </xf>
    <xf numFmtId="174" fontId="31" fillId="2" borderId="3" xfId="1" applyNumberFormat="1" applyFont="1" applyFill="1" applyBorder="1" applyAlignment="1">
      <alignment horizontal="right" vertical="center"/>
    </xf>
    <xf numFmtId="174" fontId="33" fillId="2" borderId="3" xfId="0" applyNumberFormat="1" applyFont="1" applyFill="1" applyBorder="1" applyAlignment="1">
      <alignment vertical="center"/>
    </xf>
    <xf numFmtId="0" fontId="9" fillId="2" borderId="0" xfId="0" applyFont="1" applyFill="1" applyAlignment="1">
      <alignment vertical="center"/>
    </xf>
    <xf numFmtId="181" fontId="31" fillId="2" borderId="0" xfId="1" applyNumberFormat="1" applyFont="1" applyFill="1" applyBorder="1" applyAlignment="1">
      <alignment horizontal="right" vertical="center"/>
    </xf>
    <xf numFmtId="0" fontId="43" fillId="2" borderId="0" xfId="0" applyFont="1" applyFill="1"/>
    <xf numFmtId="177" fontId="43" fillId="2" borderId="0" xfId="0" applyNumberFormat="1" applyFont="1" applyFill="1" applyAlignment="1">
      <alignment horizontal="right" vertical="center"/>
    </xf>
    <xf numFmtId="179" fontId="26" fillId="2" borderId="0" xfId="0" applyNumberFormat="1" applyFont="1" applyFill="1" applyAlignment="1">
      <alignment vertical="center"/>
    </xf>
    <xf numFmtId="0" fontId="43" fillId="2" borderId="0" xfId="0" applyFont="1" applyFill="1" applyAlignment="1">
      <alignment vertical="center"/>
    </xf>
    <xf numFmtId="0" fontId="43" fillId="0" borderId="0" xfId="0" applyFont="1" applyAlignment="1">
      <alignment vertical="center"/>
    </xf>
    <xf numFmtId="173" fontId="12" fillId="2" borderId="3" xfId="0" applyNumberFormat="1" applyFont="1" applyFill="1" applyBorder="1" applyAlignment="1">
      <alignment horizontal="right" vertical="center"/>
    </xf>
    <xf numFmtId="167" fontId="12" fillId="2" borderId="0" xfId="0" applyNumberFormat="1" applyFont="1" applyFill="1" applyAlignment="1">
      <alignment horizontal="right" vertical="center"/>
    </xf>
    <xf numFmtId="167" fontId="12" fillId="2" borderId="3" xfId="0" applyNumberFormat="1" applyFont="1" applyFill="1" applyBorder="1" applyAlignment="1">
      <alignment horizontal="right" vertical="center"/>
    </xf>
    <xf numFmtId="184" fontId="12" fillId="2" borderId="0" xfId="0" applyNumberFormat="1" applyFont="1" applyFill="1" applyAlignment="1">
      <alignment horizontal="right" vertical="center"/>
    </xf>
    <xf numFmtId="167" fontId="12" fillId="2" borderId="0" xfId="0" applyNumberFormat="1" applyFont="1" applyFill="1" applyAlignment="1">
      <alignment vertical="center"/>
    </xf>
    <xf numFmtId="182" fontId="12" fillId="2" borderId="0" xfId="0" applyNumberFormat="1" applyFont="1" applyFill="1" applyAlignment="1">
      <alignment horizontal="right" vertical="center"/>
    </xf>
    <xf numFmtId="182" fontId="43" fillId="2" borderId="0" xfId="0" applyNumberFormat="1" applyFont="1" applyFill="1" applyAlignment="1">
      <alignment horizontal="right" vertical="center"/>
    </xf>
    <xf numFmtId="0" fontId="12" fillId="2" borderId="0" xfId="0" applyFont="1" applyFill="1" applyAlignment="1">
      <alignment horizontal="right" vertical="center"/>
    </xf>
    <xf numFmtId="0" fontId="45" fillId="2" borderId="0" xfId="0" applyFont="1" applyFill="1"/>
    <xf numFmtId="171" fontId="12" fillId="0" borderId="0" xfId="0" applyNumberFormat="1" applyFont="1" applyAlignment="1">
      <alignment horizontal="right" vertical="center"/>
    </xf>
    <xf numFmtId="176" fontId="48" fillId="0" borderId="0" xfId="0" applyNumberFormat="1" applyFont="1" applyAlignment="1">
      <alignment horizontal="right" vertical="center"/>
    </xf>
    <xf numFmtId="0" fontId="23" fillId="0" borderId="0" xfId="0" applyFont="1"/>
    <xf numFmtId="177" fontId="12" fillId="0" borderId="0" xfId="0" applyNumberFormat="1" applyFont="1" applyAlignment="1">
      <alignment horizontal="right" vertical="center"/>
    </xf>
    <xf numFmtId="177" fontId="12" fillId="2" borderId="0" xfId="0" applyNumberFormat="1" applyFont="1" applyFill="1" applyAlignment="1">
      <alignment horizontal="right" vertical="center"/>
    </xf>
    <xf numFmtId="176" fontId="31" fillId="0" borderId="0" xfId="0" applyNumberFormat="1" applyFont="1" applyAlignment="1">
      <alignment horizontal="right" vertical="center"/>
    </xf>
    <xf numFmtId="179" fontId="23" fillId="0" borderId="0" xfId="0" applyNumberFormat="1" applyFont="1" applyAlignment="1">
      <alignment horizontal="right" vertical="center"/>
    </xf>
    <xf numFmtId="179" fontId="34" fillId="0" borderId="0" xfId="0" applyNumberFormat="1" applyFont="1" applyAlignment="1">
      <alignment horizontal="right" vertical="center"/>
    </xf>
    <xf numFmtId="179" fontId="23" fillId="2" borderId="0" xfId="0" applyNumberFormat="1" applyFont="1" applyFill="1" applyAlignment="1">
      <alignment horizontal="right" vertical="center"/>
    </xf>
    <xf numFmtId="0" fontId="12" fillId="0" borderId="0" xfId="0" applyFont="1" applyAlignment="1">
      <alignment horizontal="right" vertical="center"/>
    </xf>
    <xf numFmtId="0" fontId="15" fillId="0" borderId="0" xfId="0" applyFont="1" applyAlignment="1">
      <alignment vertical="center"/>
    </xf>
    <xf numFmtId="174" fontId="33" fillId="0" borderId="0" xfId="0" applyNumberFormat="1" applyFont="1" applyAlignment="1">
      <alignment vertical="center"/>
    </xf>
    <xf numFmtId="182" fontId="12" fillId="0" borderId="9" xfId="0" applyNumberFormat="1" applyFont="1" applyBorder="1" applyAlignment="1">
      <alignment vertical="center"/>
    </xf>
    <xf numFmtId="182" fontId="12" fillId="0" borderId="0" xfId="0" applyNumberFormat="1" applyFont="1" applyAlignment="1">
      <alignment vertical="center"/>
    </xf>
    <xf numFmtId="183" fontId="12" fillId="0" borderId="0" xfId="0" applyNumberFormat="1" applyFont="1" applyAlignment="1">
      <alignment vertical="center"/>
    </xf>
    <xf numFmtId="0" fontId="12" fillId="0" borderId="3" xfId="0" applyFont="1" applyBorder="1" applyAlignment="1">
      <alignment vertical="center" wrapText="1"/>
    </xf>
    <xf numFmtId="182" fontId="23" fillId="2" borderId="0" xfId="0" applyNumberFormat="1" applyFont="1" applyFill="1" applyAlignment="1">
      <alignment vertical="center"/>
    </xf>
    <xf numFmtId="182" fontId="43" fillId="0" borderId="0" xfId="0" applyNumberFormat="1" applyFont="1" applyAlignment="1">
      <alignment horizontal="right" vertical="center"/>
    </xf>
    <xf numFmtId="0" fontId="48" fillId="0" borderId="0" xfId="0" applyFont="1" applyAlignment="1">
      <alignment vertical="center" wrapText="1"/>
    </xf>
    <xf numFmtId="169" fontId="12" fillId="2" borderId="0" xfId="7" applyNumberFormat="1" applyFont="1" applyFill="1" applyAlignment="1">
      <alignment vertical="center"/>
    </xf>
    <xf numFmtId="3" fontId="37" fillId="0" borderId="0" xfId="0" applyNumberFormat="1" applyFont="1" applyAlignment="1">
      <alignment horizontal="right" vertical="center" wrapText="1"/>
    </xf>
    <xf numFmtId="3" fontId="20" fillId="0" borderId="0" xfId="0" applyNumberFormat="1" applyFont="1" applyAlignment="1">
      <alignment horizontal="right" vertical="center" wrapText="1"/>
    </xf>
    <xf numFmtId="3" fontId="20" fillId="0" borderId="19" xfId="0" applyNumberFormat="1" applyFont="1" applyBorder="1" applyAlignment="1">
      <alignment horizontal="right" vertical="center" wrapText="1"/>
    </xf>
    <xf numFmtId="169" fontId="20" fillId="0" borderId="0" xfId="0" applyNumberFormat="1" applyFont="1" applyAlignment="1">
      <alignment horizontal="right" vertical="center" wrapText="1"/>
    </xf>
    <xf numFmtId="3" fontId="40" fillId="0" borderId="0" xfId="6" applyNumberFormat="1" applyFont="1" applyFill="1" applyBorder="1" applyAlignment="1">
      <alignment horizontal="right" vertical="center" wrapText="1"/>
    </xf>
    <xf numFmtId="3" fontId="20" fillId="0" borderId="0" xfId="6" applyNumberFormat="1" applyFont="1" applyFill="1" applyBorder="1" applyAlignment="1">
      <alignment horizontal="right" vertical="center" wrapText="1"/>
    </xf>
    <xf numFmtId="185" fontId="43" fillId="2" borderId="0" xfId="0" applyNumberFormat="1" applyFont="1" applyFill="1" applyAlignment="1">
      <alignment horizontal="right" vertical="center"/>
    </xf>
    <xf numFmtId="181" fontId="31" fillId="2" borderId="0" xfId="8" applyNumberFormat="1" applyFont="1" applyFill="1" applyBorder="1" applyAlignment="1">
      <alignment horizontal="right" vertical="center"/>
    </xf>
    <xf numFmtId="181" fontId="12" fillId="2" borderId="0" xfId="0" applyNumberFormat="1" applyFont="1" applyFill="1" applyAlignment="1">
      <alignment vertical="center"/>
    </xf>
    <xf numFmtId="181" fontId="33" fillId="2" borderId="0" xfId="0" applyNumberFormat="1" applyFont="1" applyFill="1" applyAlignment="1">
      <alignment vertical="center"/>
    </xf>
    <xf numFmtId="3" fontId="40" fillId="0" borderId="0" xfId="0" applyNumberFormat="1" applyFont="1" applyAlignment="1">
      <alignment horizontal="right" vertical="center" wrapText="1"/>
    </xf>
    <xf numFmtId="167" fontId="20" fillId="0" borderId="0" xfId="0" applyNumberFormat="1" applyFont="1" applyAlignment="1">
      <alignment horizontal="right" vertical="center" wrapText="1"/>
    </xf>
    <xf numFmtId="182" fontId="12" fillId="2" borderId="0" xfId="0" applyNumberFormat="1" applyFont="1" applyFill="1" applyAlignment="1">
      <alignment vertical="center"/>
    </xf>
    <xf numFmtId="182" fontId="25" fillId="2" borderId="0" xfId="0" applyNumberFormat="1" applyFont="1" applyFill="1" applyAlignment="1">
      <alignment horizontal="right" vertical="center"/>
    </xf>
    <xf numFmtId="182" fontId="25" fillId="0" borderId="0" xfId="0" applyNumberFormat="1" applyFont="1" applyAlignment="1">
      <alignment horizontal="right" vertical="center"/>
    </xf>
    <xf numFmtId="182" fontId="23" fillId="0" borderId="0" xfId="0" applyNumberFormat="1" applyFont="1" applyAlignment="1">
      <alignment vertical="center"/>
    </xf>
    <xf numFmtId="3" fontId="49" fillId="2" borderId="0" xfId="0" applyNumberFormat="1" applyFont="1" applyFill="1" applyAlignment="1">
      <alignment horizontal="right" vertical="center" wrapText="1"/>
    </xf>
    <xf numFmtId="177" fontId="50" fillId="2" borderId="0" xfId="0" applyNumberFormat="1" applyFont="1" applyFill="1" applyAlignment="1">
      <alignment horizontal="right" vertical="center"/>
    </xf>
    <xf numFmtId="186" fontId="26" fillId="2" borderId="0" xfId="0" applyNumberFormat="1" applyFont="1" applyFill="1" applyAlignment="1">
      <alignment horizontal="right" vertical="center"/>
    </xf>
    <xf numFmtId="0" fontId="51" fillId="2" borderId="0" xfId="0" applyFont="1" applyFill="1"/>
    <xf numFmtId="0" fontId="31" fillId="2" borderId="0" xfId="0" applyFont="1" applyFill="1" applyAlignment="1">
      <alignment vertical="center"/>
    </xf>
    <xf numFmtId="0" fontId="31" fillId="2" borderId="0" xfId="0" applyFont="1" applyFill="1"/>
    <xf numFmtId="0" fontId="31" fillId="0" borderId="0" xfId="0" applyFont="1" applyAlignment="1">
      <alignment vertical="center"/>
    </xf>
    <xf numFmtId="177" fontId="31" fillId="0" borderId="0" xfId="0" applyNumberFormat="1" applyFont="1" applyAlignment="1">
      <alignment horizontal="right" vertical="center"/>
    </xf>
    <xf numFmtId="177" fontId="31" fillId="2" borderId="0" xfId="0" applyNumberFormat="1" applyFont="1" applyFill="1" applyAlignment="1">
      <alignment horizontal="right" vertical="center"/>
    </xf>
    <xf numFmtId="0" fontId="31" fillId="0" borderId="0" xfId="0" applyFont="1"/>
    <xf numFmtId="0" fontId="31" fillId="2" borderId="3" xfId="0" applyFont="1" applyFill="1" applyBorder="1" applyAlignment="1">
      <alignment horizontal="left" vertical="center"/>
    </xf>
    <xf numFmtId="0" fontId="30" fillId="2" borderId="0" xfId="0" applyFont="1" applyFill="1" applyAlignment="1">
      <alignment horizontal="left" vertical="top" wrapText="1"/>
    </xf>
    <xf numFmtId="0" fontId="12" fillId="2" borderId="0" xfId="0" applyFont="1" applyFill="1" applyAlignment="1">
      <alignment vertical="center" wrapText="1"/>
    </xf>
    <xf numFmtId="185" fontId="12" fillId="0" borderId="0" xfId="0" applyNumberFormat="1" applyFont="1" applyAlignment="1">
      <alignment vertical="center"/>
    </xf>
    <xf numFmtId="185" fontId="12" fillId="0" borderId="0" xfId="0" applyNumberFormat="1" applyFont="1" applyAlignment="1">
      <alignment horizontal="right" vertical="center"/>
    </xf>
    <xf numFmtId="185" fontId="12" fillId="2" borderId="0" xfId="0" applyNumberFormat="1" applyFont="1" applyFill="1" applyAlignment="1">
      <alignment vertical="center"/>
    </xf>
    <xf numFmtId="185" fontId="12" fillId="2" borderId="0" xfId="0" applyNumberFormat="1" applyFont="1" applyFill="1" applyAlignment="1">
      <alignment horizontal="left" vertical="center" wrapText="1"/>
    </xf>
    <xf numFmtId="185" fontId="12" fillId="0" borderId="0" xfId="0" applyNumberFormat="1" applyFont="1" applyAlignment="1">
      <alignment horizontal="left" vertical="center" wrapText="1"/>
    </xf>
    <xf numFmtId="0" fontId="30" fillId="2" borderId="0" xfId="0" applyFont="1" applyFill="1" applyAlignment="1">
      <alignment vertical="top" wrapText="1"/>
    </xf>
    <xf numFmtId="0" fontId="43" fillId="2" borderId="0" xfId="0" applyFont="1" applyFill="1" applyAlignment="1">
      <alignment horizontal="left" vertical="center"/>
    </xf>
    <xf numFmtId="0" fontId="27" fillId="2" borderId="16" xfId="0" applyFont="1" applyFill="1" applyBorder="1" applyAlignment="1">
      <alignment vertical="center"/>
    </xf>
    <xf numFmtId="0" fontId="43" fillId="2" borderId="16" xfId="0" applyFont="1" applyFill="1" applyBorder="1" applyAlignment="1">
      <alignment horizontal="left" vertical="center"/>
    </xf>
    <xf numFmtId="0" fontId="50" fillId="2" borderId="16" xfId="0" applyFont="1" applyFill="1" applyBorder="1" applyAlignment="1">
      <alignment vertical="center"/>
    </xf>
    <xf numFmtId="0" fontId="27" fillId="0" borderId="16" xfId="0" applyFont="1" applyBorder="1" applyAlignment="1">
      <alignment vertical="center"/>
    </xf>
    <xf numFmtId="0" fontId="32" fillId="2" borderId="16" xfId="0" applyFont="1" applyFill="1" applyBorder="1" applyAlignment="1">
      <alignment horizontal="left" vertical="center" indent="3"/>
    </xf>
    <xf numFmtId="169" fontId="47" fillId="0" borderId="0" xfId="2" applyNumberFormat="1" applyFont="1" applyFill="1" applyBorder="1" applyAlignment="1">
      <alignment vertical="center" wrapText="1"/>
    </xf>
    <xf numFmtId="169" fontId="24" fillId="0" borderId="0" xfId="2" applyNumberFormat="1" applyFont="1" applyFill="1" applyBorder="1" applyAlignment="1">
      <alignment vertical="center" wrapText="1"/>
    </xf>
    <xf numFmtId="0" fontId="12" fillId="0" borderId="0" xfId="0" applyFont="1" applyAlignment="1">
      <alignment vertical="center" wrapText="1"/>
    </xf>
    <xf numFmtId="0" fontId="0" fillId="2" borderId="0" xfId="0" applyFill="1"/>
    <xf numFmtId="10" fontId="180" fillId="0" borderId="0" xfId="0" applyNumberFormat="1" applyFont="1" applyAlignment="1">
      <alignment horizontal="right" vertical="center" wrapText="1"/>
    </xf>
    <xf numFmtId="0" fontId="181" fillId="0" borderId="0" xfId="0" applyFont="1"/>
    <xf numFmtId="0" fontId="182" fillId="2" borderId="16" xfId="0" applyFont="1" applyFill="1" applyBorder="1" applyAlignment="1">
      <alignment vertical="center" wrapText="1"/>
    </xf>
    <xf numFmtId="3" fontId="173" fillId="0" borderId="0" xfId="0" applyNumberFormat="1" applyFont="1" applyAlignment="1">
      <alignment horizontal="right" vertical="center" wrapText="1"/>
    </xf>
    <xf numFmtId="10" fontId="49" fillId="0" borderId="0" xfId="7" applyNumberFormat="1" applyFont="1" applyFill="1" applyBorder="1" applyAlignment="1">
      <alignment horizontal="right" vertical="center" wrapText="1"/>
    </xf>
    <xf numFmtId="10" fontId="49" fillId="2" borderId="0" xfId="7" applyNumberFormat="1" applyFont="1" applyFill="1" applyBorder="1" applyAlignment="1">
      <alignment horizontal="right" vertical="center" wrapText="1"/>
    </xf>
    <xf numFmtId="3" fontId="49" fillId="2" borderId="31" xfId="7" applyNumberFormat="1" applyFont="1" applyFill="1" applyBorder="1" applyAlignment="1">
      <alignment horizontal="right" vertical="center" wrapText="1"/>
    </xf>
    <xf numFmtId="3" fontId="49" fillId="0" borderId="31" xfId="7" applyNumberFormat="1" applyFont="1" applyFill="1" applyBorder="1" applyAlignment="1">
      <alignment horizontal="right" vertical="center" wrapText="1"/>
    </xf>
    <xf numFmtId="3" fontId="49" fillId="0" borderId="31" xfId="0" applyNumberFormat="1" applyFont="1" applyBorder="1" applyAlignment="1">
      <alignment horizontal="right" vertical="center" wrapText="1"/>
    </xf>
    <xf numFmtId="3" fontId="49" fillId="0" borderId="0" xfId="0" applyNumberFormat="1" applyFont="1" applyAlignment="1">
      <alignment horizontal="right" vertical="center" wrapText="1"/>
    </xf>
    <xf numFmtId="3" fontId="180" fillId="0" borderId="0" xfId="0" applyNumberFormat="1" applyFont="1" applyAlignment="1">
      <alignment vertical="center" wrapText="1"/>
    </xf>
    <xf numFmtId="3" fontId="0" fillId="0" borderId="0" xfId="0" applyNumberFormat="1"/>
    <xf numFmtId="0" fontId="30" fillId="0" borderId="0" xfId="0" applyFont="1" applyAlignment="1">
      <alignment horizontal="left" vertical="top" wrapText="1"/>
    </xf>
    <xf numFmtId="0" fontId="30" fillId="2" borderId="0" xfId="0" applyFont="1" applyFill="1" applyAlignment="1">
      <alignment horizontal="left" vertical="top"/>
    </xf>
    <xf numFmtId="0" fontId="0" fillId="2" borderId="0" xfId="0" applyFill="1" applyAlignment="1">
      <alignment wrapText="1"/>
    </xf>
    <xf numFmtId="0" fontId="184" fillId="2" borderId="0" xfId="0" applyFont="1" applyFill="1" applyAlignment="1">
      <alignment vertical="center"/>
    </xf>
    <xf numFmtId="0" fontId="15" fillId="0" borderId="15" xfId="0" applyFont="1" applyBorder="1" applyAlignment="1">
      <alignment vertical="center"/>
    </xf>
    <xf numFmtId="3" fontId="180" fillId="2" borderId="0" xfId="0" applyNumberFormat="1" applyFont="1" applyFill="1" applyAlignment="1">
      <alignment horizontal="right" vertical="center" wrapText="1"/>
    </xf>
    <xf numFmtId="3" fontId="180" fillId="0" borderId="0" xfId="0" applyNumberFormat="1" applyFont="1" applyAlignment="1">
      <alignment horizontal="right" vertical="center" wrapText="1"/>
    </xf>
    <xf numFmtId="170" fontId="186" fillId="2" borderId="0" xfId="0" applyNumberFormat="1" applyFont="1" applyFill="1" applyAlignment="1">
      <alignment horizontal="right" vertical="center" wrapText="1"/>
    </xf>
    <xf numFmtId="170" fontId="180" fillId="2" borderId="0" xfId="0" applyNumberFormat="1" applyFont="1" applyFill="1" applyAlignment="1">
      <alignment horizontal="right" vertical="center" wrapText="1"/>
    </xf>
    <xf numFmtId="0" fontId="158" fillId="2" borderId="0" xfId="0" applyFont="1" applyFill="1" applyAlignment="1">
      <alignment vertical="center"/>
    </xf>
    <xf numFmtId="170" fontId="49" fillId="2" borderId="0" xfId="0" applyNumberFormat="1" applyFont="1" applyFill="1" applyAlignment="1">
      <alignment horizontal="right" vertical="center" wrapText="1"/>
    </xf>
    <xf numFmtId="0" fontId="0" fillId="2" borderId="0" xfId="0" applyFill="1" applyAlignment="1">
      <alignment vertical="center"/>
    </xf>
    <xf numFmtId="0" fontId="180" fillId="2" borderId="0" xfId="0" applyFont="1" applyFill="1" applyAlignment="1">
      <alignment vertical="center"/>
    </xf>
    <xf numFmtId="3" fontId="186" fillId="2" borderId="0" xfId="0" applyNumberFormat="1" applyFont="1" applyFill="1" applyAlignment="1">
      <alignment horizontal="right" vertical="center" wrapText="1"/>
    </xf>
    <xf numFmtId="0" fontId="158" fillId="2" borderId="0" xfId="0" applyFont="1" applyFill="1"/>
    <xf numFmtId="170" fontId="180" fillId="0" borderId="0" xfId="0" applyNumberFormat="1" applyFont="1" applyAlignment="1">
      <alignment horizontal="right" vertical="center" wrapText="1"/>
    </xf>
    <xf numFmtId="170" fontId="49" fillId="0" borderId="0" xfId="0" applyNumberFormat="1" applyFont="1" applyAlignment="1">
      <alignment horizontal="right" vertical="center" wrapText="1"/>
    </xf>
    <xf numFmtId="0" fontId="6" fillId="2" borderId="0" xfId="0" applyFont="1" applyFill="1"/>
    <xf numFmtId="0" fontId="6" fillId="0" borderId="0" xfId="0" applyFont="1"/>
    <xf numFmtId="0" fontId="6" fillId="2" borderId="0" xfId="0" applyFont="1" applyFill="1" applyAlignment="1">
      <alignment vertical="center"/>
    </xf>
    <xf numFmtId="169" fontId="63" fillId="0" borderId="0" xfId="0" applyNumberFormat="1" applyFont="1"/>
    <xf numFmtId="0" fontId="49" fillId="0" borderId="0" xfId="0" applyFont="1" applyAlignment="1">
      <alignment wrapText="1"/>
    </xf>
    <xf numFmtId="0" fontId="62" fillId="0" borderId="0" xfId="0" applyFont="1" applyAlignment="1">
      <alignment vertical="center"/>
    </xf>
    <xf numFmtId="0" fontId="62" fillId="0" borderId="0" xfId="0" applyFont="1"/>
    <xf numFmtId="170" fontId="49" fillId="0" borderId="0" xfId="0" applyNumberFormat="1" applyFont="1"/>
    <xf numFmtId="170" fontId="62" fillId="0" borderId="0" xfId="0" applyNumberFormat="1" applyFont="1"/>
    <xf numFmtId="170" fontId="65" fillId="0" borderId="0" xfId="0" applyNumberFormat="1" applyFont="1"/>
    <xf numFmtId="0" fontId="20" fillId="2" borderId="0" xfId="0" applyFont="1" applyFill="1" applyAlignment="1">
      <alignment horizontal="left" vertical="top" wrapText="1"/>
    </xf>
    <xf numFmtId="0" fontId="12" fillId="2" borderId="3" xfId="0" applyFont="1" applyFill="1" applyBorder="1" applyAlignment="1">
      <alignment horizontal="left" vertical="center" wrapText="1"/>
    </xf>
    <xf numFmtId="0" fontId="43" fillId="2" borderId="0" xfId="0" applyFont="1" applyFill="1" applyAlignment="1">
      <alignment horizontal="left" vertical="top" wrapText="1"/>
    </xf>
    <xf numFmtId="0" fontId="43" fillId="2" borderId="0" xfId="0" applyFont="1" applyFill="1" applyAlignment="1">
      <alignment vertical="top" wrapText="1"/>
    </xf>
    <xf numFmtId="0" fontId="12" fillId="2" borderId="0" xfId="0" applyFont="1" applyFill="1" applyAlignment="1">
      <alignment vertical="top"/>
    </xf>
    <xf numFmtId="0" fontId="43" fillId="0" borderId="0" xfId="0" applyFont="1" applyAlignment="1">
      <alignment horizontal="left" vertical="top" wrapText="1"/>
    </xf>
    <xf numFmtId="0" fontId="43" fillId="2" borderId="0" xfId="0" applyFont="1" applyFill="1" applyAlignment="1">
      <alignment vertical="top"/>
    </xf>
    <xf numFmtId="0" fontId="12" fillId="2" borderId="0" xfId="0" applyFont="1" applyFill="1" applyAlignment="1">
      <alignment horizontal="left" vertical="top" wrapText="1"/>
    </xf>
    <xf numFmtId="168" fontId="43" fillId="2" borderId="0" xfId="0" applyNumberFormat="1" applyFont="1" applyFill="1" applyAlignment="1">
      <alignment horizontal="left" vertical="top" wrapText="1"/>
    </xf>
    <xf numFmtId="168" fontId="12" fillId="2" borderId="0" xfId="0" applyNumberFormat="1" applyFont="1" applyFill="1" applyAlignment="1">
      <alignment horizontal="left" vertical="top" wrapText="1"/>
    </xf>
    <xf numFmtId="0" fontId="30" fillId="0" borderId="0" xfId="0" applyFont="1" applyAlignment="1">
      <alignment vertical="top" wrapText="1"/>
    </xf>
    <xf numFmtId="49" fontId="189" fillId="0" borderId="0" xfId="0" applyNumberFormat="1" applyFont="1"/>
    <xf numFmtId="0" fontId="182" fillId="2" borderId="16" xfId="0" applyFont="1" applyFill="1" applyBorder="1" applyAlignment="1">
      <alignment horizontal="left" vertical="center" wrapText="1" indent="2"/>
    </xf>
    <xf numFmtId="10" fontId="49" fillId="0" borderId="0" xfId="0" applyNumberFormat="1" applyFont="1" applyAlignment="1">
      <alignment horizontal="right" vertical="center" wrapText="1"/>
    </xf>
    <xf numFmtId="0" fontId="182" fillId="2" borderId="16" xfId="0" applyFont="1" applyFill="1" applyBorder="1" applyAlignment="1">
      <alignment horizontal="left" vertical="center" wrapText="1" indent="3"/>
    </xf>
    <xf numFmtId="0" fontId="12" fillId="2" borderId="0" xfId="0" applyFont="1" applyFill="1" applyAlignment="1">
      <alignment horizontal="left" vertical="center" wrapText="1"/>
    </xf>
    <xf numFmtId="10" fontId="0" fillId="0" borderId="0" xfId="0" applyNumberFormat="1"/>
    <xf numFmtId="10" fontId="0" fillId="2" borderId="0" xfId="0" applyNumberFormat="1" applyFill="1"/>
    <xf numFmtId="0" fontId="27" fillId="2" borderId="16" xfId="0" applyFont="1" applyFill="1" applyBorder="1" applyAlignment="1">
      <alignment vertical="center" wrapText="1"/>
    </xf>
    <xf numFmtId="0" fontId="31" fillId="0" borderId="3" xfId="0" applyFont="1" applyBorder="1" applyAlignment="1">
      <alignment vertical="center" wrapText="1"/>
    </xf>
    <xf numFmtId="181" fontId="33" fillId="0" borderId="0" xfId="0" applyNumberFormat="1" applyFont="1" applyAlignment="1">
      <alignment vertical="center"/>
    </xf>
    <xf numFmtId="181" fontId="33" fillId="0" borderId="0" xfId="0" applyNumberFormat="1" applyFont="1" applyAlignment="1">
      <alignment horizontal="right" vertical="center"/>
    </xf>
    <xf numFmtId="0" fontId="47" fillId="77" borderId="6" xfId="0" applyFont="1" applyFill="1" applyBorder="1" applyAlignment="1">
      <alignment vertical="center" wrapText="1"/>
    </xf>
    <xf numFmtId="0" fontId="44" fillId="2" borderId="0" xfId="0" applyFont="1" applyFill="1" applyAlignment="1">
      <alignment horizontal="center" vertical="center"/>
    </xf>
    <xf numFmtId="0" fontId="194" fillId="75" borderId="4" xfId="0" applyFont="1" applyFill="1" applyBorder="1" applyAlignment="1">
      <alignment vertical="center" wrapText="1"/>
    </xf>
    <xf numFmtId="0" fontId="194" fillId="75" borderId="15" xfId="0" applyFont="1" applyFill="1" applyBorder="1" applyAlignment="1">
      <alignment vertical="center" wrapText="1"/>
    </xf>
    <xf numFmtId="0" fontId="194" fillId="75" borderId="5" xfId="0" applyFont="1" applyFill="1" applyBorder="1" applyAlignment="1">
      <alignment vertical="center" wrapText="1"/>
    </xf>
    <xf numFmtId="0" fontId="194" fillId="75" borderId="17" xfId="0" applyFont="1" applyFill="1" applyBorder="1" applyAlignment="1">
      <alignment vertical="center" wrapText="1"/>
    </xf>
    <xf numFmtId="0" fontId="12" fillId="0" borderId="9" xfId="0" applyFont="1" applyBorder="1" applyAlignment="1">
      <alignment horizontal="left" vertical="center"/>
    </xf>
    <xf numFmtId="170" fontId="174" fillId="0" borderId="0" xfId="0" applyNumberFormat="1" applyFont="1" applyAlignment="1">
      <alignment horizontal="right" vertical="center"/>
    </xf>
    <xf numFmtId="173" fontId="12" fillId="2" borderId="9" xfId="0" applyNumberFormat="1" applyFont="1" applyFill="1" applyBorder="1" applyAlignment="1">
      <alignment horizontal="right" vertical="center"/>
    </xf>
    <xf numFmtId="173" fontId="12" fillId="2" borderId="9" xfId="0" applyNumberFormat="1" applyFont="1" applyFill="1" applyBorder="1" applyAlignment="1">
      <alignment vertical="center"/>
    </xf>
    <xf numFmtId="174" fontId="31" fillId="2" borderId="9" xfId="1" applyNumberFormat="1" applyFont="1" applyFill="1" applyBorder="1" applyAlignment="1">
      <alignment horizontal="right" vertical="center"/>
    </xf>
    <xf numFmtId="167" fontId="12" fillId="2" borderId="9" xfId="0" applyNumberFormat="1" applyFont="1" applyFill="1" applyBorder="1" applyAlignment="1">
      <alignment horizontal="right" vertical="center"/>
    </xf>
    <xf numFmtId="165" fontId="31" fillId="2" borderId="9" xfId="0" applyNumberFormat="1" applyFont="1" applyFill="1" applyBorder="1" applyAlignment="1">
      <alignment horizontal="right" vertical="center"/>
    </xf>
    <xf numFmtId="174" fontId="33" fillId="0" borderId="9" xfId="0" applyNumberFormat="1" applyFont="1" applyBorder="1" applyAlignment="1">
      <alignment vertical="center"/>
    </xf>
    <xf numFmtId="174" fontId="33" fillId="2" borderId="9" xfId="0" applyNumberFormat="1" applyFont="1" applyFill="1" applyBorder="1" applyAlignment="1">
      <alignment vertical="center"/>
    </xf>
    <xf numFmtId="181" fontId="12" fillId="0" borderId="0" xfId="0" applyNumberFormat="1" applyFont="1" applyAlignment="1">
      <alignment vertical="center"/>
    </xf>
    <xf numFmtId="181" fontId="12" fillId="0" borderId="9" xfId="0" applyNumberFormat="1" applyFont="1" applyBorder="1" applyAlignment="1">
      <alignment vertical="center"/>
    </xf>
    <xf numFmtId="181" fontId="31" fillId="0" borderId="0" xfId="0" applyNumberFormat="1" applyFont="1" applyAlignment="1">
      <alignment horizontal="right" vertical="center"/>
    </xf>
    <xf numFmtId="181" fontId="12" fillId="0" borderId="0" xfId="0" applyNumberFormat="1" applyFont="1" applyAlignment="1">
      <alignment horizontal="right" vertical="center"/>
    </xf>
    <xf numFmtId="182" fontId="33" fillId="0" borderId="9" xfId="0" applyNumberFormat="1" applyFont="1" applyBorder="1" applyAlignment="1">
      <alignment vertical="center"/>
    </xf>
    <xf numFmtId="182" fontId="25" fillId="0" borderId="9" xfId="0" applyNumberFormat="1" applyFont="1" applyBorder="1" applyAlignment="1">
      <alignment horizontal="right" vertical="center"/>
    </xf>
    <xf numFmtId="181" fontId="25" fillId="0" borderId="0" xfId="0" applyNumberFormat="1" applyFont="1" applyAlignment="1">
      <alignment horizontal="right" vertical="center"/>
    </xf>
    <xf numFmtId="0" fontId="12" fillId="0" borderId="0" xfId="0" applyFont="1" applyAlignment="1">
      <alignment vertical="top"/>
    </xf>
    <xf numFmtId="0" fontId="12" fillId="2" borderId="16" xfId="0" applyFont="1" applyFill="1" applyBorder="1" applyAlignment="1">
      <alignment horizontal="left" vertical="center"/>
    </xf>
    <xf numFmtId="0" fontId="187" fillId="0" borderId="0" xfId="0" applyFont="1"/>
    <xf numFmtId="0" fontId="203" fillId="2" borderId="0" xfId="0" applyFont="1" applyFill="1"/>
    <xf numFmtId="165" fontId="31" fillId="0" borderId="9" xfId="0" applyNumberFormat="1" applyFont="1" applyBorder="1" applyAlignment="1">
      <alignment horizontal="right" vertical="center"/>
    </xf>
    <xf numFmtId="165" fontId="31" fillId="0" borderId="0" xfId="0" applyNumberFormat="1" applyFont="1" applyAlignment="1">
      <alignment horizontal="right" vertical="center"/>
    </xf>
    <xf numFmtId="165" fontId="31" fillId="0" borderId="3" xfId="0" applyNumberFormat="1" applyFont="1" applyBorder="1" applyAlignment="1">
      <alignment horizontal="right" vertical="center"/>
    </xf>
    <xf numFmtId="173" fontId="12" fillId="0" borderId="9" xfId="0" applyNumberFormat="1" applyFont="1" applyBorder="1" applyAlignment="1">
      <alignment vertical="center"/>
    </xf>
    <xf numFmtId="173" fontId="12" fillId="0" borderId="0" xfId="0" applyNumberFormat="1" applyFont="1" applyAlignment="1">
      <alignment vertical="center"/>
    </xf>
    <xf numFmtId="170" fontId="12" fillId="0" borderId="0" xfId="0" applyNumberFormat="1" applyFont="1" applyAlignment="1">
      <alignment horizontal="right" vertical="center"/>
    </xf>
    <xf numFmtId="170" fontId="12" fillId="0" borderId="9" xfId="0" applyNumberFormat="1" applyFont="1" applyBorder="1" applyAlignment="1">
      <alignment vertical="center"/>
    </xf>
    <xf numFmtId="170" fontId="12" fillId="0" borderId="0" xfId="0" applyNumberFormat="1" applyFont="1" applyAlignment="1">
      <alignment vertical="center"/>
    </xf>
    <xf numFmtId="167" fontId="12" fillId="0" borderId="9" xfId="0" applyNumberFormat="1" applyFont="1" applyBorder="1" applyAlignment="1">
      <alignment horizontal="right" vertical="center"/>
    </xf>
    <xf numFmtId="167" fontId="12" fillId="0" borderId="0" xfId="0" applyNumberFormat="1" applyFont="1" applyAlignment="1">
      <alignment horizontal="right" vertical="center"/>
    </xf>
    <xf numFmtId="173" fontId="12" fillId="0" borderId="0" xfId="0" applyNumberFormat="1" applyFont="1" applyAlignment="1">
      <alignment horizontal="right" vertical="center"/>
    </xf>
    <xf numFmtId="177" fontId="12" fillId="0" borderId="9" xfId="0" applyNumberFormat="1" applyFont="1" applyBorder="1" applyAlignment="1">
      <alignment vertical="center"/>
    </xf>
    <xf numFmtId="167" fontId="12" fillId="0" borderId="9" xfId="0" applyNumberFormat="1" applyFont="1" applyBorder="1" applyAlignment="1">
      <alignment vertical="center"/>
    </xf>
    <xf numFmtId="167" fontId="12" fillId="0" borderId="0" xfId="0" applyNumberFormat="1" applyFont="1" applyAlignment="1">
      <alignment vertical="center"/>
    </xf>
    <xf numFmtId="175" fontId="12" fillId="0" borderId="9" xfId="0" applyNumberFormat="1" applyFont="1" applyBorder="1" applyAlignment="1">
      <alignment vertical="center"/>
    </xf>
    <xf numFmtId="173" fontId="12" fillId="0" borderId="9" xfId="0" applyNumberFormat="1" applyFont="1" applyBorder="1" applyAlignment="1">
      <alignment horizontal="right" vertical="center"/>
    </xf>
    <xf numFmtId="173" fontId="12" fillId="0" borderId="3" xfId="0" applyNumberFormat="1" applyFont="1" applyBorder="1" applyAlignment="1">
      <alignment horizontal="right" vertical="center"/>
    </xf>
    <xf numFmtId="175" fontId="12" fillId="0" borderId="0" xfId="0" applyNumberFormat="1" applyFont="1" applyAlignment="1">
      <alignment vertical="center"/>
    </xf>
    <xf numFmtId="174" fontId="31" fillId="0" borderId="9" xfId="1" applyNumberFormat="1" applyFont="1" applyFill="1" applyBorder="1" applyAlignment="1">
      <alignment horizontal="right" vertical="center"/>
    </xf>
    <xf numFmtId="174" fontId="31" fillId="0" borderId="0" xfId="1" applyNumberFormat="1" applyFont="1" applyFill="1" applyBorder="1" applyAlignment="1">
      <alignment horizontal="right" vertical="center"/>
    </xf>
    <xf numFmtId="174" fontId="31" fillId="0" borderId="3" xfId="1" applyNumberFormat="1" applyFont="1" applyFill="1" applyBorder="1" applyAlignment="1">
      <alignment horizontal="right" vertical="center"/>
    </xf>
    <xf numFmtId="167" fontId="12" fillId="0" borderId="3" xfId="0" applyNumberFormat="1" applyFont="1" applyBorder="1" applyAlignment="1">
      <alignment horizontal="right" vertical="center"/>
    </xf>
    <xf numFmtId="175" fontId="33" fillId="0" borderId="9" xfId="0" applyNumberFormat="1" applyFont="1" applyBorder="1" applyAlignment="1">
      <alignment vertical="center"/>
    </xf>
    <xf numFmtId="175" fontId="33" fillId="0" borderId="0" xfId="0" applyNumberFormat="1" applyFont="1" applyAlignment="1">
      <alignment vertical="center"/>
    </xf>
    <xf numFmtId="170" fontId="33" fillId="0" borderId="0" xfId="0" applyNumberFormat="1" applyFont="1" applyAlignment="1">
      <alignment vertical="center"/>
    </xf>
    <xf numFmtId="174" fontId="12" fillId="0" borderId="9" xfId="0" applyNumberFormat="1" applyFont="1" applyBorder="1" applyAlignment="1">
      <alignment vertical="center"/>
    </xf>
    <xf numFmtId="174" fontId="12" fillId="0" borderId="0" xfId="0" applyNumberFormat="1" applyFont="1" applyAlignment="1">
      <alignment vertical="center"/>
    </xf>
    <xf numFmtId="174" fontId="12" fillId="0" borderId="3" xfId="0" applyNumberFormat="1" applyFont="1" applyBorder="1" applyAlignment="1">
      <alignment vertical="center"/>
    </xf>
    <xf numFmtId="174" fontId="33" fillId="0" borderId="3" xfId="0" applyNumberFormat="1" applyFont="1" applyBorder="1" applyAlignment="1">
      <alignment vertical="center"/>
    </xf>
    <xf numFmtId="173" fontId="33" fillId="0" borderId="0" xfId="0" applyNumberFormat="1" applyFont="1" applyAlignment="1">
      <alignment vertical="center"/>
    </xf>
    <xf numFmtId="165" fontId="35" fillId="0" borderId="0" xfId="0" applyNumberFormat="1" applyFont="1" applyAlignment="1">
      <alignment horizontal="right" vertical="center"/>
    </xf>
    <xf numFmtId="184" fontId="12" fillId="2" borderId="9" xfId="0" applyNumberFormat="1" applyFont="1" applyFill="1" applyBorder="1" applyAlignment="1">
      <alignment horizontal="right" vertical="center"/>
    </xf>
    <xf numFmtId="182" fontId="12" fillId="0" borderId="0" xfId="0" applyNumberFormat="1" applyFont="1" applyAlignment="1">
      <alignment horizontal="right" vertical="center"/>
    </xf>
    <xf numFmtId="182" fontId="31" fillId="0" borderId="0" xfId="0" applyNumberFormat="1" applyFont="1" applyAlignment="1">
      <alignment vertical="center"/>
    </xf>
    <xf numFmtId="183" fontId="31" fillId="0" borderId="0" xfId="0" applyNumberFormat="1" applyFont="1" applyAlignment="1">
      <alignment vertical="center"/>
    </xf>
    <xf numFmtId="182" fontId="35" fillId="0" borderId="0" xfId="0" applyNumberFormat="1" applyFont="1" applyAlignment="1">
      <alignment horizontal="right" vertical="center"/>
    </xf>
    <xf numFmtId="0" fontId="23" fillId="0" borderId="11" xfId="0" applyFont="1" applyBorder="1" applyAlignment="1">
      <alignment vertical="center" wrapText="1"/>
    </xf>
    <xf numFmtId="182" fontId="23" fillId="0" borderId="2" xfId="0" applyNumberFormat="1" applyFont="1" applyBorder="1" applyAlignment="1">
      <alignment vertical="center"/>
    </xf>
    <xf numFmtId="0" fontId="79" fillId="0" borderId="0" xfId="0" applyFont="1" applyAlignment="1">
      <alignment vertical="center"/>
    </xf>
    <xf numFmtId="3" fontId="20" fillId="0" borderId="3" xfId="0" applyNumberFormat="1" applyFont="1" applyBorder="1" applyAlignment="1">
      <alignment horizontal="right" vertical="center" wrapText="1"/>
    </xf>
    <xf numFmtId="3" fontId="9" fillId="0" borderId="0" xfId="0" applyNumberFormat="1" applyFont="1" applyAlignment="1">
      <alignment vertical="center"/>
    </xf>
    <xf numFmtId="0" fontId="38" fillId="0" borderId="3" xfId="0" applyFont="1" applyBorder="1" applyAlignment="1">
      <alignment horizontal="left" vertical="center" wrapText="1" indent="1"/>
    </xf>
    <xf numFmtId="3" fontId="30" fillId="0" borderId="0" xfId="0" applyNumberFormat="1" applyFont="1" applyAlignment="1">
      <alignment horizontal="right" vertical="center" wrapText="1"/>
    </xf>
    <xf numFmtId="0" fontId="39" fillId="0" borderId="3" xfId="0" applyFont="1" applyBorder="1" applyAlignment="1">
      <alignment horizontal="left" vertical="center" wrapText="1" indent="3"/>
    </xf>
    <xf numFmtId="3" fontId="40" fillId="0" borderId="3" xfId="0" applyNumberFormat="1" applyFont="1" applyBorder="1" applyAlignment="1">
      <alignment horizontal="right" vertical="center" wrapText="1"/>
    </xf>
    <xf numFmtId="3" fontId="13" fillId="0" borderId="0" xfId="0" applyNumberFormat="1" applyFont="1" applyAlignment="1">
      <alignment horizontal="right" vertical="center" wrapText="1"/>
    </xf>
    <xf numFmtId="3" fontId="20" fillId="0" borderId="18" xfId="0" applyNumberFormat="1" applyFont="1" applyBorder="1" applyAlignment="1">
      <alignment horizontal="right" vertical="center" wrapText="1"/>
    </xf>
    <xf numFmtId="170" fontId="30" fillId="0" borderId="0" xfId="0" applyNumberFormat="1" applyFont="1" applyAlignment="1">
      <alignment horizontal="right" vertical="center" wrapText="1"/>
    </xf>
    <xf numFmtId="0" fontId="38" fillId="0" borderId="16" xfId="0" applyFont="1" applyBorder="1" applyAlignment="1">
      <alignment horizontal="left" vertical="center"/>
    </xf>
    <xf numFmtId="167" fontId="20" fillId="0" borderId="3" xfId="0" applyNumberFormat="1" applyFont="1" applyBorder="1" applyAlignment="1">
      <alignment horizontal="right" vertical="center" wrapText="1"/>
    </xf>
    <xf numFmtId="0" fontId="38" fillId="0" borderId="3" xfId="0" applyFont="1" applyBorder="1" applyAlignment="1">
      <alignment horizontal="left" vertical="center" wrapText="1"/>
    </xf>
    <xf numFmtId="169" fontId="20" fillId="0" borderId="3" xfId="0" applyNumberFormat="1" applyFont="1" applyBorder="1" applyAlignment="1">
      <alignment horizontal="right" vertical="center" wrapText="1"/>
    </xf>
    <xf numFmtId="169" fontId="30" fillId="0" borderId="0" xfId="0" applyNumberFormat="1" applyFont="1" applyAlignment="1">
      <alignment horizontal="right" vertical="center" wrapText="1"/>
    </xf>
    <xf numFmtId="3" fontId="40" fillId="0" borderId="3" xfId="6" applyNumberFormat="1" applyFont="1" applyFill="1" applyBorder="1" applyAlignment="1">
      <alignment horizontal="right" vertical="center" wrapText="1"/>
    </xf>
    <xf numFmtId="3" fontId="20" fillId="0" borderId="3" xfId="6" applyNumberFormat="1" applyFont="1" applyFill="1" applyBorder="1" applyAlignment="1">
      <alignment horizontal="right" vertical="center" wrapText="1"/>
    </xf>
    <xf numFmtId="3" fontId="20" fillId="0" borderId="5" xfId="0" applyNumberFormat="1" applyFont="1" applyBorder="1" applyAlignment="1">
      <alignment horizontal="right" vertical="center" wrapText="1"/>
    </xf>
    <xf numFmtId="0" fontId="9" fillId="0" borderId="0" xfId="0" applyFont="1" applyAlignment="1">
      <alignment horizontal="left" vertical="top" wrapText="1"/>
    </xf>
    <xf numFmtId="0" fontId="9" fillId="0" borderId="0" xfId="0" applyFont="1" applyAlignment="1">
      <alignment vertical="top"/>
    </xf>
    <xf numFmtId="0" fontId="9" fillId="0" borderId="0" xfId="0" applyFont="1" applyAlignment="1">
      <alignment vertical="top" wrapText="1"/>
    </xf>
    <xf numFmtId="0" fontId="9" fillId="0" borderId="0" xfId="0" applyFont="1" applyAlignment="1">
      <alignment vertical="center" wrapText="1"/>
    </xf>
    <xf numFmtId="0" fontId="194" fillId="75" borderId="5" xfId="0" applyFont="1" applyFill="1" applyBorder="1" applyAlignment="1">
      <alignment horizontal="center" vertical="center"/>
    </xf>
    <xf numFmtId="0" fontId="194" fillId="75" borderId="53" xfId="0" applyFont="1" applyFill="1" applyBorder="1" applyAlignment="1">
      <alignment horizontal="center" vertical="center"/>
    </xf>
    <xf numFmtId="0" fontId="207" fillId="0" borderId="0" xfId="0" applyFont="1" applyAlignment="1">
      <alignment vertical="center"/>
    </xf>
    <xf numFmtId="177" fontId="23" fillId="77" borderId="6" xfId="0" applyNumberFormat="1" applyFont="1" applyFill="1" applyBorder="1" applyAlignment="1">
      <alignment horizontal="right" vertical="center"/>
    </xf>
    <xf numFmtId="177" fontId="23" fillId="77" borderId="7" xfId="0" applyNumberFormat="1" applyFont="1" applyFill="1" applyBorder="1" applyAlignment="1">
      <alignment horizontal="right" vertical="center"/>
    </xf>
    <xf numFmtId="170" fontId="47" fillId="80" borderId="8" xfId="0" applyNumberFormat="1" applyFont="1" applyFill="1" applyBorder="1" applyAlignment="1">
      <alignment horizontal="right" vertical="center" wrapText="1"/>
    </xf>
    <xf numFmtId="170" fontId="196" fillId="80" borderId="9" xfId="0" applyNumberFormat="1" applyFont="1" applyFill="1" applyBorder="1" applyAlignment="1">
      <alignment horizontal="right" vertical="center" wrapText="1"/>
    </xf>
    <xf numFmtId="213" fontId="23" fillId="77" borderId="6" xfId="0" applyNumberFormat="1" applyFont="1" applyFill="1" applyBorder="1" applyAlignment="1">
      <alignment horizontal="right" vertical="center"/>
    </xf>
    <xf numFmtId="213" fontId="23" fillId="77" borderId="7" xfId="0" applyNumberFormat="1" applyFont="1" applyFill="1" applyBorder="1" applyAlignment="1">
      <alignment horizontal="right" vertical="center"/>
    </xf>
    <xf numFmtId="213" fontId="47" fillId="80" borderId="8" xfId="0" applyNumberFormat="1" applyFont="1" applyFill="1" applyBorder="1" applyAlignment="1">
      <alignment horizontal="right" vertical="center" wrapText="1"/>
    </xf>
    <xf numFmtId="169" fontId="196" fillId="80" borderId="9" xfId="0" applyNumberFormat="1" applyFont="1" applyFill="1" applyBorder="1" applyAlignment="1">
      <alignment horizontal="right" vertical="center" wrapText="1"/>
    </xf>
    <xf numFmtId="166" fontId="196" fillId="80" borderId="9" xfId="0" applyNumberFormat="1" applyFont="1" applyFill="1" applyBorder="1" applyAlignment="1">
      <alignment horizontal="right" vertical="center" wrapText="1"/>
    </xf>
    <xf numFmtId="0" fontId="18" fillId="0" borderId="55" xfId="0" applyFont="1" applyBorder="1" applyAlignment="1">
      <alignment horizontal="left" vertical="center" wrapText="1"/>
    </xf>
    <xf numFmtId="0" fontId="18" fillId="0" borderId="55" xfId="0" applyFont="1" applyBorder="1" applyAlignment="1">
      <alignment horizontal="left" vertical="center"/>
    </xf>
    <xf numFmtId="3" fontId="37" fillId="0" borderId="55" xfId="0" applyNumberFormat="1" applyFont="1" applyBorder="1" applyAlignment="1">
      <alignment horizontal="right" vertical="center" wrapText="1"/>
    </xf>
    <xf numFmtId="3" fontId="37" fillId="0" borderId="56" xfId="0" applyNumberFormat="1" applyFont="1" applyBorder="1" applyAlignment="1">
      <alignment horizontal="right" vertical="center" wrapText="1"/>
    </xf>
    <xf numFmtId="170" fontId="208" fillId="80" borderId="57" xfId="0" applyNumberFormat="1" applyFont="1" applyFill="1" applyBorder="1" applyAlignment="1">
      <alignment horizontal="right" vertical="center" wrapText="1"/>
    </xf>
    <xf numFmtId="170" fontId="37" fillId="0" borderId="55" xfId="0" applyNumberFormat="1" applyFont="1" applyBorder="1" applyAlignment="1">
      <alignment horizontal="right" vertical="center" wrapText="1"/>
    </xf>
    <xf numFmtId="170" fontId="37" fillId="0" borderId="56" xfId="0" applyNumberFormat="1" applyFont="1" applyBorder="1" applyAlignment="1">
      <alignment horizontal="right" vertical="center" wrapText="1"/>
    </xf>
    <xf numFmtId="170" fontId="18" fillId="0" borderId="55" xfId="0" applyNumberFormat="1" applyFont="1" applyBorder="1" applyAlignment="1">
      <alignment horizontal="left" vertical="center" wrapText="1"/>
    </xf>
    <xf numFmtId="170" fontId="18" fillId="0" borderId="55" xfId="0" applyNumberFormat="1" applyFont="1" applyBorder="1" applyAlignment="1">
      <alignment horizontal="left" vertical="center"/>
    </xf>
    <xf numFmtId="170" fontId="9" fillId="0" borderId="0" xfId="0" applyNumberFormat="1" applyFont="1" applyAlignment="1">
      <alignment vertical="center"/>
    </xf>
    <xf numFmtId="3" fontId="196" fillId="80" borderId="9" xfId="0" applyNumberFormat="1" applyFont="1" applyFill="1" applyBorder="1" applyAlignment="1">
      <alignment horizontal="right" vertical="center" wrapText="1"/>
    </xf>
    <xf numFmtId="3" fontId="208" fillId="80" borderId="57" xfId="0" applyNumberFormat="1" applyFont="1" applyFill="1" applyBorder="1" applyAlignment="1">
      <alignment horizontal="right" vertical="center" wrapText="1"/>
    </xf>
    <xf numFmtId="3" fontId="206" fillId="81" borderId="3" xfId="0" applyNumberFormat="1" applyFont="1" applyFill="1" applyBorder="1" applyAlignment="1">
      <alignment horizontal="right" vertical="center" wrapText="1"/>
    </xf>
    <xf numFmtId="3" fontId="206" fillId="81" borderId="0" xfId="0" applyNumberFormat="1" applyFont="1" applyFill="1" applyAlignment="1">
      <alignment horizontal="right" vertical="center" wrapText="1"/>
    </xf>
    <xf numFmtId="170" fontId="47" fillId="82" borderId="50" xfId="0" applyNumberFormat="1" applyFont="1" applyFill="1" applyBorder="1" applyAlignment="1">
      <alignment horizontal="right" vertical="center" wrapText="1"/>
    </xf>
    <xf numFmtId="3" fontId="206" fillId="81" borderId="4" xfId="0" applyNumberFormat="1" applyFont="1" applyFill="1" applyBorder="1" applyAlignment="1">
      <alignment horizontal="right" vertical="center" wrapText="1"/>
    </xf>
    <xf numFmtId="169" fontId="206" fillId="81" borderId="3" xfId="6" applyNumberFormat="1" applyFont="1" applyFill="1" applyBorder="1" applyAlignment="1">
      <alignment horizontal="right" vertical="center" wrapText="1"/>
    </xf>
    <xf numFmtId="169" fontId="206" fillId="81" borderId="0" xfId="6" applyNumberFormat="1" applyFont="1" applyFill="1" applyBorder="1" applyAlignment="1">
      <alignment horizontal="right" vertical="center" wrapText="1"/>
    </xf>
    <xf numFmtId="0" fontId="18" fillId="0" borderId="58" xfId="0" applyFont="1" applyBorder="1" applyAlignment="1">
      <alignment horizontal="left" vertical="center" wrapText="1"/>
    </xf>
    <xf numFmtId="0" fontId="18" fillId="0" borderId="58" xfId="0" applyFont="1" applyBorder="1" applyAlignment="1">
      <alignment horizontal="left" vertical="center"/>
    </xf>
    <xf numFmtId="3" fontId="37" fillId="0" borderId="58" xfId="0" applyNumberFormat="1" applyFont="1" applyBorder="1" applyAlignment="1">
      <alignment horizontal="right" vertical="center" wrapText="1"/>
    </xf>
    <xf numFmtId="3" fontId="37" fillId="0" borderId="59" xfId="0" applyNumberFormat="1" applyFont="1" applyBorder="1" applyAlignment="1">
      <alignment horizontal="right" vertical="center" wrapText="1"/>
    </xf>
    <xf numFmtId="3" fontId="208" fillId="80" borderId="60" xfId="0" applyNumberFormat="1" applyFont="1" applyFill="1" applyBorder="1" applyAlignment="1">
      <alignment horizontal="right" vertical="center" wrapText="1"/>
    </xf>
    <xf numFmtId="0" fontId="194" fillId="75" borderId="3" xfId="0" applyFont="1" applyFill="1" applyBorder="1" applyAlignment="1">
      <alignment vertical="center" wrapText="1"/>
    </xf>
    <xf numFmtId="170" fontId="47" fillId="82" borderId="9" xfId="0" applyNumberFormat="1" applyFont="1" applyFill="1" applyBorder="1" applyAlignment="1">
      <alignment horizontal="right" vertical="center" wrapText="1"/>
    </xf>
    <xf numFmtId="2" fontId="20" fillId="0" borderId="3" xfId="0" applyNumberFormat="1" applyFont="1" applyBorder="1" applyAlignment="1">
      <alignment horizontal="right" vertical="center" wrapText="1"/>
    </xf>
    <xf numFmtId="2" fontId="20" fillId="0" borderId="0" xfId="0" applyNumberFormat="1" applyFont="1" applyAlignment="1">
      <alignment horizontal="right" vertical="center" wrapText="1"/>
    </xf>
    <xf numFmtId="4" fontId="30" fillId="0" borderId="0" xfId="0" applyNumberFormat="1" applyFont="1" applyAlignment="1">
      <alignment horizontal="right" vertical="center" wrapText="1"/>
    </xf>
    <xf numFmtId="3" fontId="37" fillId="0" borderId="61" xfId="0" applyNumberFormat="1" applyFont="1" applyBorder="1" applyAlignment="1">
      <alignment horizontal="right" vertical="center" wrapText="1"/>
    </xf>
    <xf numFmtId="3" fontId="37" fillId="0" borderId="62" xfId="0" applyNumberFormat="1" applyFont="1" applyBorder="1" applyAlignment="1">
      <alignment horizontal="right" vertical="center" wrapText="1"/>
    </xf>
    <xf numFmtId="170" fontId="208" fillId="80" borderId="63" xfId="0" applyNumberFormat="1" applyFont="1" applyFill="1" applyBorder="1" applyAlignment="1">
      <alignment horizontal="right" vertical="center" wrapText="1"/>
    </xf>
    <xf numFmtId="3" fontId="209" fillId="80" borderId="9" xfId="0" applyNumberFormat="1" applyFont="1" applyFill="1" applyBorder="1" applyAlignment="1">
      <alignment horizontal="right" vertical="center" wrapText="1"/>
    </xf>
    <xf numFmtId="3" fontId="47" fillId="80" borderId="8" xfId="0" applyNumberFormat="1" applyFont="1" applyFill="1" applyBorder="1" applyAlignment="1">
      <alignment horizontal="right" vertical="center" wrapText="1"/>
    </xf>
    <xf numFmtId="3" fontId="208" fillId="80" borderId="63" xfId="0" applyNumberFormat="1" applyFont="1" applyFill="1" applyBorder="1" applyAlignment="1">
      <alignment horizontal="right" vertical="center" wrapText="1"/>
    </xf>
    <xf numFmtId="3" fontId="38" fillId="0" borderId="3" xfId="0" applyNumberFormat="1" applyFont="1" applyBorder="1" applyAlignment="1">
      <alignment horizontal="left" vertical="center" wrapText="1" indent="1"/>
    </xf>
    <xf numFmtId="3" fontId="38" fillId="0" borderId="5" xfId="0" applyNumberFormat="1" applyFont="1" applyBorder="1" applyAlignment="1">
      <alignment horizontal="left" vertical="center" wrapText="1" indent="1"/>
    </xf>
    <xf numFmtId="3" fontId="196" fillId="80" borderId="13" xfId="0" applyNumberFormat="1" applyFont="1" applyFill="1" applyBorder="1" applyAlignment="1">
      <alignment horizontal="right" vertical="center" wrapText="1"/>
    </xf>
    <xf numFmtId="3" fontId="18" fillId="0" borderId="55" xfId="0" applyNumberFormat="1" applyFont="1" applyBorder="1" applyAlignment="1">
      <alignment horizontal="left" vertical="center" wrapText="1"/>
    </xf>
    <xf numFmtId="3" fontId="18" fillId="0" borderId="55" xfId="0" applyNumberFormat="1" applyFont="1" applyBorder="1" applyAlignment="1">
      <alignment horizontal="left" vertical="center"/>
    </xf>
    <xf numFmtId="0" fontId="210" fillId="0" borderId="0" xfId="0" applyFont="1" applyAlignment="1">
      <alignment vertical="center"/>
    </xf>
    <xf numFmtId="0" fontId="194" fillId="75" borderId="10" xfId="0" applyFont="1" applyFill="1" applyBorder="1" applyAlignment="1">
      <alignment horizontal="center" vertical="center"/>
    </xf>
    <xf numFmtId="0" fontId="194" fillId="75" borderId="0" xfId="0" applyFont="1" applyFill="1" applyAlignment="1">
      <alignment horizontal="center" vertical="center"/>
    </xf>
    <xf numFmtId="0" fontId="0" fillId="0" borderId="0" xfId="0" applyAlignment="1">
      <alignment horizontal="right"/>
    </xf>
    <xf numFmtId="0" fontId="42" fillId="0" borderId="5" xfId="0" applyFont="1" applyBorder="1" applyAlignment="1">
      <alignment horizontal="right" vertical="center"/>
    </xf>
    <xf numFmtId="0" fontId="42" fillId="0" borderId="7" xfId="0" applyFont="1" applyBorder="1" applyAlignment="1">
      <alignment horizontal="right" vertical="center"/>
    </xf>
    <xf numFmtId="0" fontId="16" fillId="0" borderId="0" xfId="0" applyFont="1" applyAlignment="1">
      <alignment vertical="center"/>
    </xf>
    <xf numFmtId="0" fontId="62" fillId="0" borderId="14" xfId="0" applyFont="1" applyBorder="1" applyAlignment="1">
      <alignment horizontal="left" vertical="center" wrapText="1"/>
    </xf>
    <xf numFmtId="169" fontId="180" fillId="0" borderId="9" xfId="0" applyNumberFormat="1" applyFont="1" applyBorder="1" applyAlignment="1">
      <alignment horizontal="right" vertical="center" wrapText="1"/>
    </xf>
    <xf numFmtId="10" fontId="173" fillId="0" borderId="0" xfId="7" applyNumberFormat="1" applyFont="1" applyFill="1" applyBorder="1" applyAlignment="1">
      <alignment horizontal="right" vertical="center" wrapText="1"/>
    </xf>
    <xf numFmtId="3" fontId="49" fillId="0" borderId="9" xfId="0" applyNumberFormat="1" applyFont="1" applyBorder="1" applyAlignment="1">
      <alignment horizontal="right" vertical="center" wrapText="1"/>
    </xf>
    <xf numFmtId="3" fontId="180" fillId="0" borderId="9" xfId="0" applyNumberFormat="1" applyFont="1" applyBorder="1" applyAlignment="1">
      <alignment horizontal="right" vertical="center" wrapText="1"/>
    </xf>
    <xf numFmtId="3" fontId="180" fillId="0" borderId="13" xfId="0" applyNumberFormat="1" applyFont="1" applyBorder="1" applyAlignment="1">
      <alignment horizontal="right" vertical="center" wrapText="1"/>
    </xf>
    <xf numFmtId="0" fontId="30" fillId="0" borderId="0" xfId="0" applyFont="1" applyAlignment="1">
      <alignment horizontal="left" vertical="top"/>
    </xf>
    <xf numFmtId="0" fontId="184" fillId="0" borderId="0" xfId="0" applyFont="1" applyAlignment="1">
      <alignment vertical="center"/>
    </xf>
    <xf numFmtId="0" fontId="29" fillId="0" borderId="0" xfId="0" applyFont="1" applyAlignment="1">
      <alignment horizontal="left" vertical="center" wrapText="1"/>
    </xf>
    <xf numFmtId="0" fontId="180" fillId="0" borderId="0" xfId="0" applyFont="1" applyAlignment="1">
      <alignment vertical="center"/>
    </xf>
    <xf numFmtId="0" fontId="81" fillId="0" borderId="14" xfId="0" applyFont="1" applyBorder="1" applyAlignment="1">
      <alignment horizontal="left" vertical="center" wrapText="1"/>
    </xf>
    <xf numFmtId="0" fontId="0" fillId="0" borderId="0" xfId="0" applyAlignment="1">
      <alignment wrapText="1"/>
    </xf>
    <xf numFmtId="0" fontId="62" fillId="0" borderId="12" xfId="0" applyFont="1" applyBorder="1" applyAlignment="1">
      <alignment horizontal="left" vertical="center" wrapText="1"/>
    </xf>
    <xf numFmtId="0" fontId="62" fillId="81" borderId="5" xfId="0" applyFont="1" applyFill="1" applyBorder="1" applyAlignment="1">
      <alignment horizontal="right" vertical="center"/>
    </xf>
    <xf numFmtId="0" fontId="62" fillId="81" borderId="53" xfId="0" applyFont="1" applyFill="1" applyBorder="1" applyAlignment="1">
      <alignment horizontal="right" vertical="center"/>
    </xf>
    <xf numFmtId="0" fontId="62" fillId="0" borderId="5" xfId="0" applyFont="1" applyBorder="1" applyAlignment="1">
      <alignment horizontal="right" vertical="center"/>
    </xf>
    <xf numFmtId="0" fontId="62" fillId="0" borderId="7" xfId="0" applyFont="1" applyBorder="1" applyAlignment="1">
      <alignment horizontal="right" vertical="center"/>
    </xf>
    <xf numFmtId="0" fontId="62" fillId="0" borderId="4" xfId="0" applyFont="1" applyBorder="1" applyAlignment="1">
      <alignment horizontal="left" vertical="center" wrapText="1"/>
    </xf>
    <xf numFmtId="0" fontId="62" fillId="0" borderId="49" xfId="0" applyFont="1" applyBorder="1" applyAlignment="1">
      <alignment horizontal="left" vertical="center" wrapText="1"/>
    </xf>
    <xf numFmtId="0" fontId="81" fillId="0" borderId="49" xfId="0" applyFont="1" applyBorder="1" applyAlignment="1">
      <alignment horizontal="left" vertical="center" wrapText="1"/>
    </xf>
    <xf numFmtId="0" fontId="15" fillId="2" borderId="54" xfId="0" applyFont="1" applyFill="1" applyBorder="1" applyAlignment="1">
      <alignment vertical="center" wrapText="1"/>
    </xf>
    <xf numFmtId="10" fontId="180" fillId="0" borderId="56" xfId="7" applyNumberFormat="1" applyFont="1" applyFill="1" applyBorder="1" applyAlignment="1">
      <alignment horizontal="right" vertical="center" wrapText="1"/>
    </xf>
    <xf numFmtId="10" fontId="180" fillId="0" borderId="56" xfId="0" applyNumberFormat="1" applyFont="1" applyBorder="1" applyAlignment="1">
      <alignment horizontal="right" vertical="center" wrapText="1"/>
    </xf>
    <xf numFmtId="169" fontId="180" fillId="0" borderId="57" xfId="0" applyNumberFormat="1" applyFont="1" applyBorder="1" applyAlignment="1">
      <alignment horizontal="right" vertical="center" wrapText="1"/>
    </xf>
    <xf numFmtId="10" fontId="180" fillId="2" borderId="56" xfId="7" applyNumberFormat="1" applyFont="1" applyFill="1" applyBorder="1" applyAlignment="1">
      <alignment horizontal="right" vertical="center" wrapText="1"/>
    </xf>
    <xf numFmtId="169" fontId="180" fillId="2" borderId="56" xfId="7" applyNumberFormat="1" applyFont="1" applyFill="1" applyBorder="1" applyAlignment="1">
      <alignment horizontal="right" vertical="center" wrapText="1"/>
    </xf>
    <xf numFmtId="169" fontId="180" fillId="0" borderId="56" xfId="7" applyNumberFormat="1" applyFont="1" applyFill="1" applyBorder="1" applyAlignment="1">
      <alignment horizontal="right" vertical="center" wrapText="1"/>
    </xf>
    <xf numFmtId="169" fontId="180" fillId="0" borderId="56" xfId="0" applyNumberFormat="1" applyFont="1" applyBorder="1" applyAlignment="1">
      <alignment horizontal="right" vertical="center" wrapText="1"/>
    </xf>
    <xf numFmtId="3" fontId="15" fillId="2" borderId="54" xfId="0" applyNumberFormat="1" applyFont="1" applyFill="1" applyBorder="1" applyAlignment="1">
      <alignment vertical="center" wrapText="1"/>
    </xf>
    <xf numFmtId="3" fontId="180" fillId="0" borderId="56" xfId="7" applyNumberFormat="1" applyFont="1" applyFill="1" applyBorder="1" applyAlignment="1">
      <alignment horizontal="right" vertical="center" wrapText="1"/>
    </xf>
    <xf numFmtId="3" fontId="180" fillId="0" borderId="56" xfId="0" applyNumberFormat="1" applyFont="1" applyBorder="1" applyAlignment="1">
      <alignment horizontal="right" vertical="center" wrapText="1"/>
    </xf>
    <xf numFmtId="3" fontId="180" fillId="0" borderId="57" xfId="0" applyNumberFormat="1" applyFont="1" applyBorder="1" applyAlignment="1">
      <alignment horizontal="right" vertical="center" wrapText="1"/>
    </xf>
    <xf numFmtId="3" fontId="180" fillId="2" borderId="56" xfId="7" applyNumberFormat="1" applyFont="1" applyFill="1" applyBorder="1" applyAlignment="1">
      <alignment horizontal="right" vertical="center" wrapText="1"/>
    </xf>
    <xf numFmtId="0" fontId="211" fillId="2" borderId="0" xfId="0" applyFont="1" applyFill="1" applyAlignment="1">
      <alignment vertical="center"/>
    </xf>
    <xf numFmtId="0" fontId="81" fillId="0" borderId="0" xfId="0" applyFont="1"/>
    <xf numFmtId="0" fontId="81" fillId="0" borderId="0" xfId="0" applyFont="1" applyAlignment="1">
      <alignment horizontal="right"/>
    </xf>
    <xf numFmtId="0" fontId="115" fillId="0" borderId="0" xfId="0" applyFont="1"/>
    <xf numFmtId="0" fontId="115" fillId="0" borderId="0" xfId="0" applyFont="1" applyAlignment="1">
      <alignment horizontal="right"/>
    </xf>
    <xf numFmtId="168" fontId="12" fillId="0" borderId="0" xfId="0" applyNumberFormat="1" applyFont="1" applyAlignment="1">
      <alignment vertical="center"/>
    </xf>
    <xf numFmtId="168" fontId="12" fillId="0" borderId="3" xfId="0" applyNumberFormat="1" applyFont="1" applyBorder="1" applyAlignment="1">
      <alignment vertical="center"/>
    </xf>
    <xf numFmtId="0" fontId="191" fillId="83" borderId="3" xfId="0" applyFont="1" applyFill="1" applyBorder="1" applyAlignment="1">
      <alignment vertical="center" wrapText="1"/>
    </xf>
    <xf numFmtId="177" fontId="191" fillId="83" borderId="0" xfId="0" applyNumberFormat="1" applyFont="1" applyFill="1" applyAlignment="1">
      <alignment vertical="center"/>
    </xf>
    <xf numFmtId="0" fontId="22" fillId="0" borderId="65" xfId="0" applyFont="1" applyBorder="1" applyAlignment="1">
      <alignment vertical="center" wrapText="1"/>
    </xf>
    <xf numFmtId="182" fontId="23" fillId="0" borderId="66" xfId="0" applyNumberFormat="1" applyFont="1" applyBorder="1" applyAlignment="1">
      <alignment horizontal="right" vertical="center"/>
    </xf>
    <xf numFmtId="182" fontId="23" fillId="0" borderId="66" xfId="0" applyNumberFormat="1" applyFont="1" applyBorder="1" applyAlignment="1">
      <alignment vertical="center"/>
    </xf>
    <xf numFmtId="0" fontId="214" fillId="83" borderId="3" xfId="0" applyFont="1" applyFill="1" applyBorder="1" applyAlignment="1">
      <alignment vertical="center" wrapText="1"/>
    </xf>
    <xf numFmtId="177" fontId="214" fillId="83" borderId="3" xfId="0" applyNumberFormat="1" applyFont="1" applyFill="1" applyBorder="1" applyAlignment="1">
      <alignment vertical="center"/>
    </xf>
    <xf numFmtId="177" fontId="214" fillId="83" borderId="0" xfId="0" applyNumberFormat="1" applyFont="1" applyFill="1" applyAlignment="1">
      <alignment vertical="center"/>
    </xf>
    <xf numFmtId="177" fontId="214" fillId="83" borderId="9" xfId="0" applyNumberFormat="1" applyFont="1" applyFill="1" applyBorder="1" applyAlignment="1">
      <alignment vertical="center"/>
    </xf>
    <xf numFmtId="0" fontId="32" fillId="2" borderId="16" xfId="0" applyFont="1" applyFill="1" applyBorder="1" applyAlignment="1">
      <alignment horizontal="left" vertical="center" indent="2"/>
    </xf>
    <xf numFmtId="0" fontId="190" fillId="0" borderId="9" xfId="0" applyFont="1" applyBorder="1" applyAlignment="1">
      <alignment horizontal="left" vertical="center" indent="3"/>
    </xf>
    <xf numFmtId="0" fontId="201" fillId="75" borderId="0" xfId="0" applyFont="1" applyFill="1" applyAlignment="1">
      <alignment vertical="center" wrapText="1"/>
    </xf>
    <xf numFmtId="0" fontId="201" fillId="75" borderId="16" xfId="0" applyFont="1" applyFill="1" applyBorder="1" applyAlignment="1">
      <alignment vertical="center" wrapText="1"/>
    </xf>
    <xf numFmtId="0" fontId="202" fillId="0" borderId="0" xfId="0" applyFont="1"/>
    <xf numFmtId="0" fontId="46" fillId="0" borderId="65" xfId="0" applyFont="1" applyBorder="1" applyAlignment="1">
      <alignment vertical="center" wrapText="1"/>
    </xf>
    <xf numFmtId="177" fontId="187" fillId="0" borderId="65" xfId="0" applyNumberFormat="1" applyFont="1" applyBorder="1" applyAlignment="1">
      <alignment vertical="center"/>
    </xf>
    <xf numFmtId="177" fontId="187" fillId="0" borderId="66" xfId="0" applyNumberFormat="1" applyFont="1" applyBorder="1" applyAlignment="1">
      <alignment vertical="center"/>
    </xf>
    <xf numFmtId="177" fontId="187" fillId="0" borderId="67" xfId="0" applyNumberFormat="1" applyFont="1" applyBorder="1" applyAlignment="1">
      <alignment vertical="center"/>
    </xf>
    <xf numFmtId="0" fontId="46" fillId="0" borderId="64" xfId="0" applyFont="1" applyBorder="1" applyAlignment="1">
      <alignment vertical="center" wrapText="1"/>
    </xf>
    <xf numFmtId="0" fontId="210" fillId="78" borderId="0" xfId="0" applyFont="1" applyFill="1"/>
    <xf numFmtId="0" fontId="178" fillId="0" borderId="0" xfId="0" applyFont="1" applyAlignment="1">
      <alignment horizontal="right" vertical="center" wrapText="1"/>
    </xf>
    <xf numFmtId="0" fontId="191" fillId="75" borderId="68" xfId="0" applyFont="1" applyFill="1" applyBorder="1" applyAlignment="1">
      <alignment horizontal="left" vertical="center" wrapText="1"/>
    </xf>
    <xf numFmtId="185" fontId="22" fillId="2" borderId="68" xfId="0" applyNumberFormat="1" applyFont="1" applyFill="1" applyBorder="1" applyAlignment="1">
      <alignment vertical="center" wrapText="1"/>
    </xf>
    <xf numFmtId="0" fontId="191" fillId="75" borderId="69" xfId="0" applyFont="1" applyFill="1" applyBorder="1" applyAlignment="1">
      <alignment horizontal="left" vertical="center" wrapText="1"/>
    </xf>
    <xf numFmtId="185" fontId="22" fillId="2" borderId="69" xfId="0" applyNumberFormat="1" applyFont="1" applyFill="1" applyBorder="1" applyAlignment="1">
      <alignment vertical="center" wrapText="1"/>
    </xf>
    <xf numFmtId="0" fontId="191" fillId="75" borderId="70" xfId="0" applyFont="1" applyFill="1" applyBorder="1" applyAlignment="1">
      <alignment horizontal="left" vertical="center" wrapText="1"/>
    </xf>
    <xf numFmtId="185" fontId="22" fillId="2" borderId="70" xfId="0" applyNumberFormat="1" applyFont="1" applyFill="1" applyBorder="1" applyAlignment="1">
      <alignment vertical="center" wrapText="1"/>
    </xf>
    <xf numFmtId="0" fontId="192" fillId="75" borderId="70" xfId="0" applyFont="1" applyFill="1" applyBorder="1" applyAlignment="1">
      <alignment horizontal="right" vertical="center"/>
    </xf>
    <xf numFmtId="0" fontId="194" fillId="75" borderId="70" xfId="0" applyFont="1" applyFill="1" applyBorder="1" applyAlignment="1">
      <alignment horizontal="right" vertical="center"/>
    </xf>
    <xf numFmtId="0" fontId="191" fillId="76" borderId="70" xfId="0" applyFont="1" applyFill="1" applyBorder="1" applyAlignment="1">
      <alignment horizontal="right" vertical="center"/>
    </xf>
    <xf numFmtId="0" fontId="191" fillId="75" borderId="70" xfId="0" applyFont="1" applyFill="1" applyBorder="1" applyAlignment="1">
      <alignment horizontal="right" vertical="center"/>
    </xf>
    <xf numFmtId="0" fontId="62" fillId="75" borderId="70" xfId="0" applyFont="1" applyFill="1" applyBorder="1" applyAlignment="1">
      <alignment horizontal="right" vertical="center"/>
    </xf>
    <xf numFmtId="0" fontId="15" fillId="2" borderId="66" xfId="0" applyFont="1" applyFill="1" applyBorder="1" applyAlignment="1">
      <alignment vertical="center" wrapText="1"/>
    </xf>
    <xf numFmtId="170" fontId="15" fillId="2" borderId="66" xfId="0" applyNumberFormat="1" applyFont="1" applyFill="1" applyBorder="1" applyAlignment="1">
      <alignment vertical="center"/>
    </xf>
    <xf numFmtId="170" fontId="172" fillId="3" borderId="67" xfId="0" applyNumberFormat="1" applyFont="1" applyFill="1" applyBorder="1" applyAlignment="1">
      <alignment horizontal="right" vertical="center"/>
    </xf>
    <xf numFmtId="0" fontId="15" fillId="2" borderId="71" xfId="0" applyFont="1" applyFill="1" applyBorder="1" applyAlignment="1">
      <alignment vertical="center" wrapText="1"/>
    </xf>
    <xf numFmtId="170" fontId="15" fillId="2" borderId="71" xfId="0" applyNumberFormat="1" applyFont="1" applyFill="1" applyBorder="1" applyAlignment="1">
      <alignment vertical="center"/>
    </xf>
    <xf numFmtId="170" fontId="172" fillId="3" borderId="72" xfId="0" applyNumberFormat="1" applyFont="1" applyFill="1" applyBorder="1" applyAlignment="1">
      <alignment horizontal="right" vertical="center"/>
    </xf>
    <xf numFmtId="169" fontId="15" fillId="2" borderId="66" xfId="0" applyNumberFormat="1" applyFont="1" applyFill="1" applyBorder="1" applyAlignment="1">
      <alignment vertical="center" wrapText="1"/>
    </xf>
    <xf numFmtId="169" fontId="15" fillId="2" borderId="66" xfId="0" applyNumberFormat="1" applyFont="1" applyFill="1" applyBorder="1" applyAlignment="1">
      <alignment vertical="center"/>
    </xf>
    <xf numFmtId="169" fontId="172" fillId="3" borderId="67" xfId="0" applyNumberFormat="1" applyFont="1" applyFill="1" applyBorder="1" applyAlignment="1">
      <alignment horizontal="right" vertical="center"/>
    </xf>
    <xf numFmtId="0" fontId="201" fillId="75" borderId="0" xfId="0" applyFont="1" applyFill="1" applyAlignment="1">
      <alignment horizontal="right" vertical="center" wrapText="1"/>
    </xf>
    <xf numFmtId="0" fontId="201" fillId="75" borderId="0" xfId="0" applyFont="1" applyFill="1" applyAlignment="1">
      <alignment horizontal="right" vertical="center"/>
    </xf>
    <xf numFmtId="0" fontId="201" fillId="75" borderId="9" xfId="0" applyFont="1" applyFill="1" applyBorder="1" applyAlignment="1">
      <alignment horizontal="right" vertical="center"/>
    </xf>
    <xf numFmtId="0" fontId="62" fillId="75" borderId="74" xfId="0" applyFont="1" applyFill="1" applyBorder="1" applyAlignment="1">
      <alignment vertical="center" wrapText="1"/>
    </xf>
    <xf numFmtId="0" fontId="62" fillId="75" borderId="75" xfId="0" applyFont="1" applyFill="1" applyBorder="1" applyAlignment="1">
      <alignment vertical="center" wrapText="1"/>
    </xf>
    <xf numFmtId="0" fontId="28" fillId="2" borderId="68" xfId="0" applyFont="1" applyFill="1" applyBorder="1"/>
    <xf numFmtId="0" fontId="28" fillId="0" borderId="68" xfId="0" applyFont="1" applyBorder="1"/>
    <xf numFmtId="0" fontId="62" fillId="75" borderId="77" xfId="0" applyFont="1" applyFill="1" applyBorder="1" applyAlignment="1">
      <alignment vertical="center" wrapText="1"/>
    </xf>
    <xf numFmtId="0" fontId="192" fillId="75" borderId="77" xfId="0" applyFont="1" applyFill="1" applyBorder="1" applyAlignment="1">
      <alignment horizontal="right" vertical="center"/>
    </xf>
    <xf numFmtId="0" fontId="192" fillId="75" borderId="69" xfId="0" applyFont="1" applyFill="1" applyBorder="1" applyAlignment="1">
      <alignment horizontal="right" vertical="center"/>
    </xf>
    <xf numFmtId="0" fontId="192" fillId="75" borderId="78" xfId="0" applyFont="1" applyFill="1" applyBorder="1" applyAlignment="1">
      <alignment horizontal="right" vertical="center"/>
    </xf>
    <xf numFmtId="0" fontId="192" fillId="75" borderId="78" xfId="0" applyFont="1" applyFill="1" applyBorder="1" applyAlignment="1">
      <alignment horizontal="right" vertical="center" wrapText="1"/>
    </xf>
    <xf numFmtId="0" fontId="194" fillId="75" borderId="69" xfId="0" applyFont="1" applyFill="1" applyBorder="1" applyAlignment="1">
      <alignment horizontal="right" vertical="center"/>
    </xf>
    <xf numFmtId="0" fontId="12" fillId="0" borderId="69" xfId="0" applyFont="1" applyBorder="1"/>
    <xf numFmtId="0" fontId="194" fillId="75" borderId="70" xfId="0" applyFont="1" applyFill="1" applyBorder="1" applyAlignment="1">
      <alignment vertical="center" wrapText="1"/>
    </xf>
    <xf numFmtId="0" fontId="194" fillId="75" borderId="79" xfId="0" applyFont="1" applyFill="1" applyBorder="1" applyAlignment="1">
      <alignment vertical="center" wrapText="1"/>
    </xf>
    <xf numFmtId="0" fontId="194" fillId="75" borderId="70" xfId="0" applyFont="1" applyFill="1" applyBorder="1" applyAlignment="1">
      <alignment horizontal="right" vertical="center" wrapText="1"/>
    </xf>
    <xf numFmtId="0" fontId="194" fillId="75" borderId="80" xfId="0" applyFont="1" applyFill="1" applyBorder="1" applyAlignment="1">
      <alignment horizontal="right" vertical="center"/>
    </xf>
    <xf numFmtId="0" fontId="12" fillId="0" borderId="70" xfId="0" applyFont="1" applyBorder="1"/>
    <xf numFmtId="0" fontId="215" fillId="2" borderId="0" xfId="0" applyFont="1" applyFill="1" applyAlignment="1">
      <alignment vertical="center"/>
    </xf>
    <xf numFmtId="0" fontId="9" fillId="0" borderId="0" xfId="0" applyFont="1"/>
    <xf numFmtId="0" fontId="191" fillId="75" borderId="81" xfId="0" applyFont="1" applyFill="1" applyBorder="1" applyAlignment="1">
      <alignment horizontal="left" vertical="center" wrapText="1"/>
    </xf>
    <xf numFmtId="0" fontId="192" fillId="79" borderId="82" xfId="0" applyFont="1" applyFill="1" applyBorder="1" applyAlignment="1">
      <alignment horizontal="right" vertical="center" wrapText="1"/>
    </xf>
    <xf numFmtId="0" fontId="191" fillId="75" borderId="81" xfId="0" applyFont="1" applyFill="1" applyBorder="1" applyAlignment="1">
      <alignment horizontal="right" vertical="center" wrapText="1"/>
    </xf>
    <xf numFmtId="182" fontId="192" fillId="79" borderId="82" xfId="0" applyNumberFormat="1" applyFont="1" applyFill="1" applyBorder="1" applyAlignment="1">
      <alignment horizontal="right" vertical="center" wrapText="1"/>
    </xf>
    <xf numFmtId="0" fontId="12" fillId="0" borderId="81" xfId="0" applyFont="1" applyBorder="1" applyAlignment="1">
      <alignment horizontal="center" vertical="center"/>
    </xf>
    <xf numFmtId="0" fontId="191" fillId="75" borderId="83" xfId="0" applyFont="1" applyFill="1" applyBorder="1" applyAlignment="1">
      <alignment horizontal="left" vertical="center" wrapText="1"/>
    </xf>
    <xf numFmtId="0" fontId="192" fillId="79" borderId="83" xfId="0" applyFont="1" applyFill="1" applyBorder="1" applyAlignment="1">
      <alignment horizontal="right" vertical="center" wrapText="1"/>
    </xf>
    <xf numFmtId="0" fontId="191" fillId="75" borderId="83" xfId="0" applyFont="1" applyFill="1" applyBorder="1" applyAlignment="1">
      <alignment horizontal="right" vertical="center" wrapText="1"/>
    </xf>
    <xf numFmtId="182" fontId="192" fillId="79" borderId="83" xfId="0" applyNumberFormat="1" applyFont="1" applyFill="1" applyBorder="1" applyAlignment="1">
      <alignment horizontal="right" vertical="center" wrapText="1"/>
    </xf>
    <xf numFmtId="0" fontId="12" fillId="0" borderId="84" xfId="0" applyFont="1" applyBorder="1" applyAlignment="1">
      <alignment horizontal="center" vertical="center"/>
    </xf>
    <xf numFmtId="0" fontId="12" fillId="0" borderId="0" xfId="0" applyFont="1" applyAlignment="1">
      <alignment horizontal="left" vertical="center"/>
    </xf>
    <xf numFmtId="169" fontId="31" fillId="80" borderId="0" xfId="2" applyNumberFormat="1" applyFont="1" applyFill="1" applyBorder="1" applyAlignment="1">
      <alignment horizontal="right" vertical="center"/>
    </xf>
    <xf numFmtId="169" fontId="12" fillId="0" borderId="0" xfId="2" applyNumberFormat="1" applyFont="1" applyFill="1" applyBorder="1" applyAlignment="1">
      <alignment horizontal="right" vertical="center"/>
    </xf>
    <xf numFmtId="0" fontId="12" fillId="0" borderId="0" xfId="0" applyFont="1" applyAlignment="1">
      <alignment horizontal="center" vertical="center"/>
    </xf>
    <xf numFmtId="167" fontId="31" fillId="80" borderId="0" xfId="2" applyNumberFormat="1" applyFont="1" applyFill="1" applyBorder="1" applyAlignment="1">
      <alignment horizontal="right" vertical="center"/>
    </xf>
    <xf numFmtId="167" fontId="12" fillId="0" borderId="0" xfId="2" applyNumberFormat="1" applyFont="1" applyFill="1" applyBorder="1" applyAlignment="1">
      <alignment horizontal="right" vertical="center"/>
    </xf>
    <xf numFmtId="49" fontId="218" fillId="0" borderId="0" xfId="0" applyNumberFormat="1" applyFont="1"/>
    <xf numFmtId="0" fontId="218" fillId="0" borderId="0" xfId="0" applyFont="1"/>
    <xf numFmtId="173" fontId="33" fillId="2" borderId="9" xfId="0" applyNumberFormat="1" applyFont="1" applyFill="1" applyBorder="1" applyAlignment="1">
      <alignment horizontal="right" vertical="center"/>
    </xf>
    <xf numFmtId="0" fontId="192" fillId="75" borderId="0" xfId="0" applyFont="1" applyFill="1" applyAlignment="1">
      <alignment horizontal="center" vertical="center" wrapText="1"/>
    </xf>
    <xf numFmtId="0" fontId="22" fillId="0" borderId="3" xfId="0" applyFont="1" applyBorder="1" applyAlignment="1">
      <alignment vertical="center" wrapText="1"/>
    </xf>
    <xf numFmtId="0" fontId="194" fillId="75" borderId="74" xfId="0" applyFont="1" applyFill="1" applyBorder="1" applyAlignment="1">
      <alignment vertical="center" wrapText="1"/>
    </xf>
    <xf numFmtId="0" fontId="192" fillId="75" borderId="69" xfId="0" applyFont="1" applyFill="1" applyBorder="1" applyAlignment="1">
      <alignment horizontal="center" vertical="center" wrapText="1"/>
    </xf>
    <xf numFmtId="0" fontId="12" fillId="0" borderId="69" xfId="0" applyFont="1" applyBorder="1" applyAlignment="1">
      <alignment vertical="center"/>
    </xf>
    <xf numFmtId="0" fontId="12" fillId="0" borderId="85" xfId="0" applyFont="1" applyBorder="1" applyAlignment="1">
      <alignment vertical="center"/>
    </xf>
    <xf numFmtId="169" fontId="31" fillId="80" borderId="85" xfId="2" applyNumberFormat="1" applyFont="1" applyFill="1" applyBorder="1" applyAlignment="1">
      <alignment horizontal="right" vertical="center"/>
    </xf>
    <xf numFmtId="169" fontId="12" fillId="0" borderId="85" xfId="2" applyNumberFormat="1" applyFont="1" applyFill="1" applyBorder="1" applyAlignment="1">
      <alignment horizontal="right" vertical="center"/>
    </xf>
    <xf numFmtId="215" fontId="33" fillId="0" borderId="9" xfId="0" applyNumberFormat="1" applyFont="1" applyBorder="1" applyAlignment="1">
      <alignment horizontal="right" vertical="center"/>
    </xf>
    <xf numFmtId="0" fontId="191" fillId="75" borderId="86" xfId="0" applyFont="1" applyFill="1" applyBorder="1" applyAlignment="1">
      <alignment horizontal="left" vertical="center" wrapText="1"/>
    </xf>
    <xf numFmtId="0" fontId="191" fillId="0" borderId="83" xfId="0" applyFont="1" applyBorder="1" applyAlignment="1">
      <alignment horizontal="right" vertical="center" wrapText="1"/>
    </xf>
    <xf numFmtId="182" fontId="192" fillId="0" borderId="83" xfId="0" applyNumberFormat="1" applyFont="1" applyBorder="1" applyAlignment="1">
      <alignment horizontal="right" vertical="center" wrapText="1"/>
    </xf>
    <xf numFmtId="169" fontId="46" fillId="84" borderId="57" xfId="0" applyNumberFormat="1" applyFont="1" applyFill="1" applyBorder="1" applyAlignment="1">
      <alignment vertical="center" wrapText="1"/>
    </xf>
    <xf numFmtId="10" fontId="46" fillId="84" borderId="57" xfId="0" applyNumberFormat="1" applyFont="1" applyFill="1" applyBorder="1" applyAlignment="1">
      <alignment vertical="center" wrapText="1"/>
    </xf>
    <xf numFmtId="10" fontId="45" fillId="84" borderId="60" xfId="0" applyNumberFormat="1" applyFont="1" applyFill="1" applyBorder="1" applyAlignment="1">
      <alignment vertical="center" wrapText="1"/>
    </xf>
    <xf numFmtId="10" fontId="45" fillId="84" borderId="9" xfId="0" applyNumberFormat="1" applyFont="1" applyFill="1" applyBorder="1" applyAlignment="1">
      <alignment vertical="center" wrapText="1"/>
    </xf>
    <xf numFmtId="10" fontId="45" fillId="84" borderId="13" xfId="0" applyNumberFormat="1" applyFont="1" applyFill="1" applyBorder="1" applyAlignment="1">
      <alignment vertical="center" wrapText="1"/>
    </xf>
    <xf numFmtId="169" fontId="46" fillId="84" borderId="9" xfId="0" applyNumberFormat="1" applyFont="1" applyFill="1" applyBorder="1" applyAlignment="1">
      <alignment vertical="center" wrapText="1"/>
    </xf>
    <xf numFmtId="3" fontId="45" fillId="84" borderId="52" xfId="0" applyNumberFormat="1" applyFont="1" applyFill="1" applyBorder="1" applyAlignment="1">
      <alignment vertical="center" wrapText="1"/>
    </xf>
    <xf numFmtId="3" fontId="46" fillId="84" borderId="57" xfId="0" applyNumberFormat="1" applyFont="1" applyFill="1" applyBorder="1" applyAlignment="1">
      <alignment vertical="center" wrapText="1"/>
    </xf>
    <xf numFmtId="170" fontId="212" fillId="84" borderId="50" xfId="0" applyNumberFormat="1" applyFont="1" applyFill="1" applyBorder="1" applyAlignment="1">
      <alignment vertical="center" wrapText="1"/>
    </xf>
    <xf numFmtId="170" fontId="51" fillId="84" borderId="9" xfId="0" applyNumberFormat="1" applyFont="1" applyFill="1" applyBorder="1" applyAlignment="1">
      <alignment vertical="center" wrapText="1"/>
    </xf>
    <xf numFmtId="170" fontId="51" fillId="84" borderId="13" xfId="0" applyNumberFormat="1" applyFont="1" applyFill="1" applyBorder="1" applyAlignment="1">
      <alignment vertical="center" wrapText="1"/>
    </xf>
    <xf numFmtId="170" fontId="172" fillId="84" borderId="50" xfId="0" applyNumberFormat="1" applyFont="1" applyFill="1" applyBorder="1" applyAlignment="1">
      <alignment vertical="center" wrapText="1"/>
    </xf>
    <xf numFmtId="3" fontId="172" fillId="84" borderId="50" xfId="0" applyNumberFormat="1" applyFont="1" applyFill="1" applyBorder="1" applyAlignment="1">
      <alignment vertical="center" wrapText="1"/>
    </xf>
    <xf numFmtId="3" fontId="51" fillId="84" borderId="9" xfId="0" applyNumberFormat="1" applyFont="1" applyFill="1" applyBorder="1" applyAlignment="1">
      <alignment vertical="center" wrapText="1"/>
    </xf>
    <xf numFmtId="3" fontId="51" fillId="84" borderId="13" xfId="0" applyNumberFormat="1" applyFont="1" applyFill="1" applyBorder="1" applyAlignment="1">
      <alignment vertical="center" wrapText="1"/>
    </xf>
    <xf numFmtId="3" fontId="213" fillId="84" borderId="50" xfId="0" applyNumberFormat="1" applyFont="1" applyFill="1" applyBorder="1" applyAlignment="1">
      <alignment vertical="center" wrapText="1"/>
    </xf>
    <xf numFmtId="0" fontId="50" fillId="2" borderId="0" xfId="0" applyFont="1" applyFill="1" applyAlignment="1">
      <alignment horizontal="left" vertical="center" wrapText="1" indent="3"/>
    </xf>
    <xf numFmtId="170" fontId="50" fillId="2" borderId="0" xfId="0" applyNumberFormat="1" applyFont="1" applyFill="1" applyAlignment="1">
      <alignment vertical="center"/>
    </xf>
    <xf numFmtId="170" fontId="31" fillId="3" borderId="9" xfId="0" applyNumberFormat="1" applyFont="1" applyFill="1" applyBorder="1" applyAlignment="1">
      <alignment horizontal="right" vertical="center"/>
    </xf>
    <xf numFmtId="0" fontId="50" fillId="2" borderId="0" xfId="0" applyFont="1" applyFill="1"/>
    <xf numFmtId="0" fontId="50" fillId="2" borderId="0" xfId="0" applyFont="1" applyFill="1" applyAlignment="1">
      <alignment horizontal="right" vertical="center" wrapText="1"/>
    </xf>
    <xf numFmtId="170" fontId="50" fillId="2" borderId="0" xfId="0" applyNumberFormat="1" applyFont="1" applyFill="1" applyAlignment="1">
      <alignment horizontal="right" vertical="center"/>
    </xf>
    <xf numFmtId="0" fontId="27" fillId="2" borderId="0" xfId="0" applyFont="1" applyFill="1" applyAlignment="1">
      <alignment horizontal="left" vertical="center" wrapText="1" indent="3"/>
    </xf>
    <xf numFmtId="170" fontId="27" fillId="2" borderId="0" xfId="0" applyNumberFormat="1" applyFont="1" applyFill="1" applyAlignment="1">
      <alignment vertical="center"/>
    </xf>
    <xf numFmtId="0" fontId="24" fillId="2" borderId="0" xfId="0" applyFont="1" applyFill="1" applyAlignment="1">
      <alignment vertical="center"/>
    </xf>
    <xf numFmtId="0" fontId="24" fillId="0" borderId="0" xfId="0" applyFont="1" applyAlignment="1">
      <alignment vertical="center"/>
    </xf>
    <xf numFmtId="170" fontId="177" fillId="80" borderId="0" xfId="0" applyNumberFormat="1" applyFont="1" applyFill="1" applyAlignment="1">
      <alignment vertical="center" wrapText="1"/>
    </xf>
    <xf numFmtId="0" fontId="27" fillId="2" borderId="0" xfId="0" applyFont="1" applyFill="1" applyAlignment="1">
      <alignment vertical="center"/>
    </xf>
    <xf numFmtId="0" fontId="27" fillId="0" borderId="0" xfId="0" applyFont="1" applyAlignment="1">
      <alignment vertical="center"/>
    </xf>
    <xf numFmtId="184" fontId="27" fillId="2" borderId="0" xfId="0" applyNumberFormat="1" applyFont="1" applyFill="1" applyAlignment="1">
      <alignment vertical="center"/>
    </xf>
    <xf numFmtId="184" fontId="31" fillId="3" borderId="9" xfId="0" applyNumberFormat="1" applyFont="1" applyFill="1" applyBorder="1" applyAlignment="1">
      <alignment horizontal="right" vertical="center"/>
    </xf>
    <xf numFmtId="0" fontId="220" fillId="0" borderId="0" xfId="0" applyFont="1" applyAlignment="1">
      <alignment horizontal="right" vertical="center"/>
    </xf>
    <xf numFmtId="0" fontId="180" fillId="0" borderId="0" xfId="0" applyFont="1"/>
    <xf numFmtId="170" fontId="50" fillId="0" borderId="0" xfId="0" applyNumberFormat="1" applyFont="1" applyAlignment="1">
      <alignment vertical="center"/>
    </xf>
    <xf numFmtId="170" fontId="50" fillId="0" borderId="0" xfId="0" applyNumberFormat="1" applyFont="1" applyAlignment="1">
      <alignment horizontal="right" vertical="center"/>
    </xf>
    <xf numFmtId="0" fontId="191" fillId="75" borderId="88" xfId="0" applyFont="1" applyFill="1" applyBorder="1" applyAlignment="1">
      <alignment horizontal="left" vertical="center" wrapText="1"/>
    </xf>
    <xf numFmtId="0" fontId="15" fillId="2" borderId="89" xfId="0" applyFont="1" applyFill="1" applyBorder="1" applyAlignment="1">
      <alignment vertical="center" wrapText="1"/>
    </xf>
    <xf numFmtId="0" fontId="27" fillId="2" borderId="90" xfId="0" applyFont="1" applyFill="1" applyBorder="1" applyAlignment="1">
      <alignment horizontal="left" vertical="center" wrapText="1" indent="4"/>
    </xf>
    <xf numFmtId="0" fontId="15" fillId="2" borderId="91" xfId="0" applyFont="1" applyFill="1" applyBorder="1" applyAlignment="1">
      <alignment vertical="center" wrapText="1"/>
    </xf>
    <xf numFmtId="0" fontId="50" fillId="2" borderId="90" xfId="0" applyFont="1" applyFill="1" applyBorder="1" applyAlignment="1">
      <alignment horizontal="left" vertical="center" wrapText="1" indent="4"/>
    </xf>
    <xf numFmtId="169" fontId="15" fillId="2" borderId="91" xfId="0" applyNumberFormat="1" applyFont="1" applyFill="1" applyBorder="1" applyAlignment="1">
      <alignment vertical="center" wrapText="1"/>
    </xf>
    <xf numFmtId="170" fontId="46" fillId="80" borderId="71" xfId="0" applyNumberFormat="1" applyFont="1" applyFill="1" applyBorder="1" applyAlignment="1">
      <alignment vertical="center" wrapText="1"/>
    </xf>
    <xf numFmtId="170" fontId="46" fillId="80" borderId="66" xfId="0" applyNumberFormat="1" applyFont="1" applyFill="1" applyBorder="1" applyAlignment="1">
      <alignment vertical="center" wrapText="1"/>
    </xf>
    <xf numFmtId="169" fontId="46" fillId="80" borderId="66" xfId="0" applyNumberFormat="1" applyFont="1" applyFill="1" applyBorder="1" applyAlignment="1">
      <alignment vertical="center" wrapText="1"/>
    </xf>
    <xf numFmtId="0" fontId="192" fillId="75" borderId="94" xfId="0" applyFont="1" applyFill="1" applyBorder="1" applyAlignment="1">
      <alignment horizontal="right" vertical="center"/>
    </xf>
    <xf numFmtId="170" fontId="15" fillId="2" borderId="95" xfId="0" applyNumberFormat="1" applyFont="1" applyFill="1" applyBorder="1" applyAlignment="1">
      <alignment vertical="center"/>
    </xf>
    <xf numFmtId="170" fontId="46" fillId="80" borderId="96" xfId="0" applyNumberFormat="1" applyFont="1" applyFill="1" applyBorder="1" applyAlignment="1">
      <alignment vertical="center" wrapText="1"/>
    </xf>
    <xf numFmtId="170" fontId="27" fillId="2" borderId="97" xfId="0" applyNumberFormat="1" applyFont="1" applyFill="1" applyBorder="1" applyAlignment="1">
      <alignment vertical="center"/>
    </xf>
    <xf numFmtId="170" fontId="177" fillId="80" borderId="92" xfId="0" applyNumberFormat="1" applyFont="1" applyFill="1" applyBorder="1" applyAlignment="1">
      <alignment vertical="center" wrapText="1"/>
    </xf>
    <xf numFmtId="184" fontId="27" fillId="2" borderId="97" xfId="0" applyNumberFormat="1" applyFont="1" applyFill="1" applyBorder="1" applyAlignment="1">
      <alignment vertical="center"/>
    </xf>
    <xf numFmtId="170" fontId="15" fillId="2" borderId="98" xfId="0" applyNumberFormat="1" applyFont="1" applyFill="1" applyBorder="1" applyAlignment="1">
      <alignment vertical="center"/>
    </xf>
    <xf numFmtId="170" fontId="46" fillId="80" borderId="99" xfId="0" applyNumberFormat="1" applyFont="1" applyFill="1" applyBorder="1" applyAlignment="1">
      <alignment vertical="center" wrapText="1"/>
    </xf>
    <xf numFmtId="170" fontId="50" fillId="2" borderId="97" xfId="0" applyNumberFormat="1" applyFont="1" applyFill="1" applyBorder="1" applyAlignment="1">
      <alignment vertical="center"/>
    </xf>
    <xf numFmtId="170" fontId="50" fillId="2" borderId="97" xfId="0" applyNumberFormat="1" applyFont="1" applyFill="1" applyBorder="1" applyAlignment="1">
      <alignment horizontal="right" vertical="center"/>
    </xf>
    <xf numFmtId="169" fontId="15" fillId="2" borderId="98" xfId="0" applyNumberFormat="1" applyFont="1" applyFill="1" applyBorder="1" applyAlignment="1">
      <alignment vertical="center"/>
    </xf>
    <xf numFmtId="169" fontId="46" fillId="80" borderId="99" xfId="0" applyNumberFormat="1" applyFont="1" applyFill="1" applyBorder="1" applyAlignment="1">
      <alignment vertical="center" wrapText="1"/>
    </xf>
    <xf numFmtId="173" fontId="177" fillId="80" borderId="92" xfId="0" applyNumberFormat="1" applyFont="1" applyFill="1" applyBorder="1" applyAlignment="1">
      <alignment vertical="center" wrapText="1"/>
    </xf>
    <xf numFmtId="0" fontId="15" fillId="2" borderId="93" xfId="0" applyFont="1" applyFill="1" applyBorder="1" applyAlignment="1">
      <alignment vertical="center" wrapText="1"/>
    </xf>
    <xf numFmtId="0" fontId="27" fillId="2" borderId="100" xfId="0" applyFont="1" applyFill="1" applyBorder="1" applyAlignment="1">
      <alignment horizontal="left" vertical="center" wrapText="1" indent="3"/>
    </xf>
    <xf numFmtId="0" fontId="15" fillId="2" borderId="101" xfId="0" applyFont="1" applyFill="1" applyBorder="1" applyAlignment="1">
      <alignment vertical="center" wrapText="1"/>
    </xf>
    <xf numFmtId="0" fontId="50" fillId="2" borderId="100" xfId="0" applyFont="1" applyFill="1" applyBorder="1" applyAlignment="1">
      <alignment horizontal="left" vertical="center" wrapText="1" indent="3"/>
    </xf>
    <xf numFmtId="169" fontId="15" fillId="2" borderId="101" xfId="0" applyNumberFormat="1" applyFont="1" applyFill="1" applyBorder="1" applyAlignment="1">
      <alignment vertical="center" wrapText="1"/>
    </xf>
    <xf numFmtId="0" fontId="192" fillId="75" borderId="87" xfId="0" applyFont="1" applyFill="1" applyBorder="1" applyAlignment="1">
      <alignment horizontal="right" vertical="center"/>
    </xf>
    <xf numFmtId="182" fontId="177" fillId="80" borderId="92" xfId="0" applyNumberFormat="1" applyFont="1" applyFill="1" applyBorder="1" applyAlignment="1">
      <alignment vertical="center" wrapText="1"/>
    </xf>
    <xf numFmtId="169" fontId="46" fillId="80" borderId="99" xfId="7" applyNumberFormat="1" applyFont="1" applyFill="1" applyBorder="1" applyAlignment="1">
      <alignment vertical="center" wrapText="1"/>
    </xf>
    <xf numFmtId="0" fontId="21" fillId="2" borderId="0" xfId="20233" applyFont="1" applyFill="1" applyAlignment="1">
      <alignment vertical="center"/>
    </xf>
    <xf numFmtId="0" fontId="28" fillId="2" borderId="0" xfId="20233" applyFont="1" applyFill="1" applyAlignment="1">
      <alignment vertical="center"/>
    </xf>
    <xf numFmtId="0" fontId="28" fillId="0" borderId="0" xfId="20233" applyFont="1" applyAlignment="1">
      <alignment vertical="center"/>
    </xf>
    <xf numFmtId="4" fontId="9" fillId="2" borderId="0" xfId="20233" applyNumberFormat="1" applyFont="1" applyFill="1" applyAlignment="1">
      <alignment vertical="center"/>
    </xf>
    <xf numFmtId="0" fontId="9" fillId="2" borderId="0" xfId="20233" applyFont="1" applyFill="1" applyAlignment="1">
      <alignment vertical="center"/>
    </xf>
    <xf numFmtId="0" fontId="194" fillId="75" borderId="102" xfId="20233" applyFont="1" applyFill="1" applyBorder="1" applyAlignment="1">
      <alignment vertical="center" wrapText="1"/>
    </xf>
    <xf numFmtId="0" fontId="210" fillId="0" borderId="0" xfId="20233" applyFont="1" applyAlignment="1">
      <alignment vertical="center"/>
    </xf>
    <xf numFmtId="0" fontId="194" fillId="75" borderId="0" xfId="20233" applyFont="1" applyFill="1" applyAlignment="1">
      <alignment horizontal="center" vertical="center"/>
    </xf>
    <xf numFmtId="0" fontId="194" fillId="75" borderId="103" xfId="20233" applyFont="1" applyFill="1" applyBorder="1" applyAlignment="1">
      <alignment horizontal="center" vertical="center"/>
    </xf>
    <xf numFmtId="0" fontId="194" fillId="75" borderId="104" xfId="20233" applyFont="1" applyFill="1" applyBorder="1" applyAlignment="1">
      <alignment horizontal="center" vertical="center"/>
    </xf>
    <xf numFmtId="0" fontId="194" fillId="85" borderId="102" xfId="20233" applyFont="1" applyFill="1" applyBorder="1" applyAlignment="1">
      <alignment vertical="center" wrapText="1"/>
    </xf>
    <xf numFmtId="169" fontId="221" fillId="85" borderId="0" xfId="29659" applyNumberFormat="1" applyFont="1" applyFill="1" applyBorder="1" applyAlignment="1">
      <alignment horizontal="right" vertical="center" wrapText="1"/>
    </xf>
    <xf numFmtId="169" fontId="221" fillId="85" borderId="103" xfId="29659" applyNumberFormat="1" applyFont="1" applyFill="1" applyBorder="1" applyAlignment="1">
      <alignment horizontal="right" vertical="center" wrapText="1"/>
    </xf>
    <xf numFmtId="169" fontId="221" fillId="85" borderId="106" xfId="29659" applyNumberFormat="1" applyFont="1" applyFill="1" applyBorder="1" applyAlignment="1">
      <alignment horizontal="right" vertical="center" wrapText="1"/>
    </xf>
    <xf numFmtId="0" fontId="222" fillId="2" borderId="0" xfId="20233" applyFont="1" applyFill="1" applyAlignment="1">
      <alignment vertical="center"/>
    </xf>
    <xf numFmtId="0" fontId="18" fillId="0" borderId="102" xfId="20233" applyFont="1" applyBorder="1" applyAlignment="1">
      <alignment horizontal="left" vertical="center" wrapText="1"/>
    </xf>
    <xf numFmtId="0" fontId="18" fillId="0" borderId="102" xfId="20233" applyFont="1" applyBorder="1" applyAlignment="1">
      <alignment horizontal="left" vertical="center"/>
    </xf>
    <xf numFmtId="3" fontId="37" fillId="0" borderId="0" xfId="20233" applyNumberFormat="1" applyFont="1" applyAlignment="1">
      <alignment horizontal="right" vertical="center" wrapText="1"/>
    </xf>
    <xf numFmtId="3" fontId="37" fillId="0" borderId="103" xfId="20233" applyNumberFormat="1" applyFont="1" applyBorder="1" applyAlignment="1">
      <alignment horizontal="right" vertical="center" wrapText="1"/>
    </xf>
    <xf numFmtId="3" fontId="37" fillId="0" borderId="106" xfId="20233" applyNumberFormat="1" applyFont="1" applyBorder="1" applyAlignment="1">
      <alignment horizontal="right" vertical="center" wrapText="1"/>
    </xf>
    <xf numFmtId="3" fontId="9" fillId="0" borderId="0" xfId="20233" applyNumberFormat="1" applyFont="1" applyAlignment="1">
      <alignment vertical="center"/>
    </xf>
    <xf numFmtId="0" fontId="9" fillId="0" borderId="0" xfId="20233" applyFont="1" applyAlignment="1">
      <alignment vertical="center"/>
    </xf>
    <xf numFmtId="0" fontId="38" fillId="0" borderId="102" xfId="20233" applyFont="1" applyBorder="1" applyAlignment="1">
      <alignment horizontal="left" vertical="center" wrapText="1" indent="1"/>
    </xf>
    <xf numFmtId="216" fontId="9" fillId="0" borderId="0" xfId="42855" applyNumberFormat="1" applyFont="1" applyFill="1" applyBorder="1" applyAlignment="1">
      <alignment vertical="center"/>
    </xf>
    <xf numFmtId="216" fontId="9" fillId="0" borderId="106" xfId="42855" applyNumberFormat="1" applyFont="1" applyFill="1" applyBorder="1" applyAlignment="1">
      <alignment vertical="center"/>
    </xf>
    <xf numFmtId="216" fontId="9" fillId="0" borderId="105" xfId="42855" applyNumberFormat="1" applyFont="1" applyFill="1" applyBorder="1" applyAlignment="1">
      <alignment vertical="center"/>
    </xf>
    <xf numFmtId="0" fontId="223" fillId="0" borderId="0" xfId="20233" applyFont="1" applyAlignment="1">
      <alignment vertical="center"/>
    </xf>
    <xf numFmtId="170" fontId="38" fillId="0" borderId="102" xfId="20233" applyNumberFormat="1" applyFont="1" applyBorder="1" applyAlignment="1">
      <alignment horizontal="left" vertical="center" wrapText="1"/>
    </xf>
    <xf numFmtId="170" fontId="38" fillId="0" borderId="102" xfId="20233" applyNumberFormat="1" applyFont="1" applyBorder="1" applyAlignment="1">
      <alignment horizontal="left" vertical="center"/>
    </xf>
    <xf numFmtId="170" fontId="20" fillId="0" borderId="0" xfId="20233" applyNumberFormat="1" applyFont="1" applyAlignment="1">
      <alignment horizontal="right" vertical="center" wrapText="1"/>
    </xf>
    <xf numFmtId="170" fontId="20" fillId="0" borderId="103" xfId="20233" applyNumberFormat="1" applyFont="1" applyBorder="1" applyAlignment="1">
      <alignment horizontal="right" vertical="center" wrapText="1"/>
    </xf>
    <xf numFmtId="170" fontId="20" fillId="0" borderId="106" xfId="20233" applyNumberFormat="1" applyFont="1" applyBorder="1" applyAlignment="1">
      <alignment horizontal="right" vertical="center" wrapText="1"/>
    </xf>
    <xf numFmtId="170" fontId="9" fillId="0" borderId="0" xfId="20233" applyNumberFormat="1" applyFont="1" applyAlignment="1">
      <alignment vertical="center"/>
    </xf>
    <xf numFmtId="0" fontId="38" fillId="0" borderId="102" xfId="20233" applyFont="1" applyBorder="1" applyAlignment="1">
      <alignment horizontal="left" vertical="center" wrapText="1"/>
    </xf>
    <xf numFmtId="169" fontId="20" fillId="0" borderId="0" xfId="20233" applyNumberFormat="1" applyFont="1" applyAlignment="1">
      <alignment horizontal="right" vertical="center" wrapText="1"/>
    </xf>
    <xf numFmtId="169" fontId="20" fillId="0" borderId="103" xfId="20233" applyNumberFormat="1" applyFont="1" applyBorder="1" applyAlignment="1">
      <alignment horizontal="right" vertical="center" wrapText="1"/>
    </xf>
    <xf numFmtId="169" fontId="20" fillId="0" borderId="106" xfId="20233" applyNumberFormat="1" applyFont="1" applyBorder="1" applyAlignment="1">
      <alignment horizontal="right" vertical="center" wrapText="1"/>
    </xf>
    <xf numFmtId="2" fontId="20" fillId="0" borderId="0" xfId="20233" applyNumberFormat="1" applyFont="1" applyAlignment="1">
      <alignment horizontal="right" vertical="center" wrapText="1"/>
    </xf>
    <xf numFmtId="2" fontId="20" fillId="0" borderId="103" xfId="20233" applyNumberFormat="1" applyFont="1" applyBorder="1" applyAlignment="1">
      <alignment horizontal="right" vertical="center" wrapText="1"/>
    </xf>
    <xf numFmtId="2" fontId="20" fillId="0" borderId="106" xfId="20233" applyNumberFormat="1" applyFont="1" applyBorder="1" applyAlignment="1">
      <alignment horizontal="right" vertical="center" wrapText="1"/>
    </xf>
    <xf numFmtId="3" fontId="18" fillId="0" borderId="102" xfId="20233" applyNumberFormat="1" applyFont="1" applyBorder="1" applyAlignment="1">
      <alignment horizontal="left" vertical="center" wrapText="1"/>
    </xf>
    <xf numFmtId="3" fontId="18" fillId="0" borderId="102" xfId="20233" applyNumberFormat="1" applyFont="1" applyBorder="1" applyAlignment="1">
      <alignment horizontal="left" vertical="center"/>
    </xf>
    <xf numFmtId="3" fontId="38" fillId="0" borderId="102" xfId="20233" applyNumberFormat="1" applyFont="1" applyBorder="1" applyAlignment="1">
      <alignment horizontal="left" vertical="center" wrapText="1" indent="1"/>
    </xf>
    <xf numFmtId="3" fontId="20" fillId="0" borderId="0" xfId="20233" applyNumberFormat="1" applyFont="1" applyAlignment="1">
      <alignment horizontal="right" vertical="center" wrapText="1"/>
    </xf>
    <xf numFmtId="3" fontId="20" fillId="0" borderId="103" xfId="20233" applyNumberFormat="1" applyFont="1" applyBorder="1" applyAlignment="1">
      <alignment horizontal="right" vertical="center" wrapText="1"/>
    </xf>
    <xf numFmtId="3" fontId="20" fillId="0" borderId="106" xfId="20233" applyNumberFormat="1" applyFont="1" applyBorder="1" applyAlignment="1">
      <alignment horizontal="right" vertical="center" wrapText="1"/>
    </xf>
    <xf numFmtId="170" fontId="20" fillId="0" borderId="107" xfId="20233" applyNumberFormat="1" applyFont="1" applyBorder="1" applyAlignment="1">
      <alignment horizontal="left" vertical="center" wrapText="1"/>
    </xf>
    <xf numFmtId="170" fontId="38" fillId="0" borderId="107" xfId="20233" applyNumberFormat="1" applyFont="1" applyBorder="1" applyAlignment="1">
      <alignment horizontal="left" vertical="center"/>
    </xf>
    <xf numFmtId="170" fontId="20" fillId="0" borderId="108" xfId="20233" applyNumberFormat="1" applyFont="1" applyBorder="1" applyAlignment="1">
      <alignment horizontal="right" vertical="center" wrapText="1"/>
    </xf>
    <xf numFmtId="170" fontId="20" fillId="0" borderId="109" xfId="20233" applyNumberFormat="1" applyFont="1" applyBorder="1" applyAlignment="1">
      <alignment horizontal="right" vertical="center" wrapText="1"/>
    </xf>
    <xf numFmtId="170" fontId="20" fillId="0" borderId="110" xfId="20233" applyNumberFormat="1" applyFont="1" applyBorder="1" applyAlignment="1">
      <alignment horizontal="right" vertical="center" wrapText="1"/>
    </xf>
    <xf numFmtId="170" fontId="38" fillId="0" borderId="111" xfId="20233" applyNumberFormat="1" applyFont="1" applyBorder="1" applyAlignment="1">
      <alignment horizontal="left" vertical="center" wrapText="1"/>
    </xf>
    <xf numFmtId="170" fontId="38" fillId="0" borderId="111" xfId="20233" applyNumberFormat="1" applyFont="1" applyBorder="1" applyAlignment="1">
      <alignment horizontal="left" vertical="center"/>
    </xf>
    <xf numFmtId="3" fontId="20" fillId="0" borderId="112" xfId="20233" applyNumberFormat="1" applyFont="1" applyBorder="1" applyAlignment="1">
      <alignment horizontal="right" vertical="center" wrapText="1"/>
    </xf>
    <xf numFmtId="3" fontId="20" fillId="0" borderId="113" xfId="20233" applyNumberFormat="1" applyFont="1" applyBorder="1" applyAlignment="1">
      <alignment horizontal="right" vertical="center" wrapText="1"/>
    </xf>
    <xf numFmtId="3" fontId="20" fillId="0" borderId="114" xfId="20233" applyNumberFormat="1" applyFont="1" applyBorder="1" applyAlignment="1">
      <alignment horizontal="right" vertical="center" wrapText="1"/>
    </xf>
    <xf numFmtId="0" fontId="48" fillId="0" borderId="0" xfId="20233" applyFont="1" applyAlignment="1">
      <alignment horizontal="left" vertical="top" wrapText="1"/>
    </xf>
    <xf numFmtId="0" fontId="9" fillId="0" borderId="0" xfId="20233" applyFont="1" applyAlignment="1">
      <alignment horizontal="left" vertical="top" wrapText="1"/>
    </xf>
    <xf numFmtId="170" fontId="9" fillId="0" borderId="0" xfId="20233" applyNumberFormat="1" applyFont="1" applyAlignment="1">
      <alignment vertical="top"/>
    </xf>
    <xf numFmtId="0" fontId="9" fillId="0" borderId="0" xfId="20233" applyFont="1" applyAlignment="1">
      <alignment vertical="top"/>
    </xf>
    <xf numFmtId="3" fontId="9" fillId="0" borderId="0" xfId="26619" applyNumberFormat="1" applyFont="1" applyFill="1" applyBorder="1" applyAlignment="1">
      <alignment vertical="center"/>
    </xf>
    <xf numFmtId="0" fontId="48" fillId="0" borderId="0" xfId="20233" applyFont="1" applyAlignment="1">
      <alignment vertical="top" wrapText="1"/>
    </xf>
    <xf numFmtId="0" fontId="225" fillId="0" borderId="0" xfId="20233" applyFont="1" applyAlignment="1">
      <alignment horizontal="left" vertical="top" wrapText="1"/>
    </xf>
    <xf numFmtId="0" fontId="182" fillId="2" borderId="51" xfId="0" applyFont="1" applyFill="1" applyBorder="1" applyAlignment="1">
      <alignment vertical="center" wrapText="1"/>
    </xf>
    <xf numFmtId="3" fontId="49" fillId="0" borderId="52" xfId="0" applyNumberFormat="1" applyFont="1" applyBorder="1" applyAlignment="1">
      <alignment horizontal="right" vertical="center" wrapText="1"/>
    </xf>
    <xf numFmtId="217" fontId="31" fillId="2" borderId="9" xfId="0" applyNumberFormat="1" applyFont="1" applyFill="1" applyBorder="1" applyAlignment="1">
      <alignment horizontal="right" vertical="center"/>
    </xf>
    <xf numFmtId="181" fontId="33" fillId="2" borderId="9" xfId="0" applyNumberFormat="1" applyFont="1" applyFill="1" applyBorder="1" applyAlignment="1">
      <alignment vertical="center"/>
    </xf>
    <xf numFmtId="181" fontId="33" fillId="0" borderId="9" xfId="0" applyNumberFormat="1" applyFont="1" applyBorder="1" applyAlignment="1">
      <alignment vertical="center"/>
    </xf>
    <xf numFmtId="0" fontId="192" fillId="75" borderId="97" xfId="0" applyFont="1" applyFill="1" applyBorder="1" applyAlignment="1">
      <alignment horizontal="center" vertical="center" wrapText="1"/>
    </xf>
    <xf numFmtId="0" fontId="192" fillId="75" borderId="92" xfId="0" applyFont="1" applyFill="1" applyBorder="1" applyAlignment="1">
      <alignment horizontal="center" vertical="center" wrapText="1"/>
    </xf>
    <xf numFmtId="0" fontId="192" fillId="75" borderId="115" xfId="0" applyFont="1" applyFill="1" applyBorder="1" applyAlignment="1">
      <alignment horizontal="center" vertical="center" wrapText="1"/>
    </xf>
    <xf numFmtId="0" fontId="192" fillId="75" borderId="116" xfId="0" applyFont="1" applyFill="1" applyBorder="1" applyAlignment="1">
      <alignment horizontal="center" vertical="center" wrapText="1"/>
    </xf>
    <xf numFmtId="182" fontId="23" fillId="0" borderId="97" xfId="0" applyNumberFormat="1" applyFont="1" applyBorder="1" applyAlignment="1">
      <alignment vertical="center"/>
    </xf>
    <xf numFmtId="182" fontId="23" fillId="0" borderId="92" xfId="0" applyNumberFormat="1" applyFont="1" applyBorder="1" applyAlignment="1">
      <alignment vertical="center"/>
    </xf>
    <xf numFmtId="182" fontId="23" fillId="0" borderId="98" xfId="0" applyNumberFormat="1" applyFont="1" applyBorder="1" applyAlignment="1">
      <alignment vertical="center"/>
    </xf>
    <xf numFmtId="182" fontId="23" fillId="0" borderId="99" xfId="0" applyNumberFormat="1" applyFont="1" applyBorder="1" applyAlignment="1">
      <alignment vertical="center"/>
    </xf>
    <xf numFmtId="182" fontId="12" fillId="0" borderId="97" xfId="0" applyNumberFormat="1" applyFont="1" applyBorder="1" applyAlignment="1">
      <alignment vertical="center"/>
    </xf>
    <xf numFmtId="182" fontId="12" fillId="0" borderId="92" xfId="0" applyNumberFormat="1" applyFont="1" applyBorder="1" applyAlignment="1">
      <alignment vertical="center"/>
    </xf>
    <xf numFmtId="182" fontId="25" fillId="0" borderId="97" xfId="0" applyNumberFormat="1" applyFont="1" applyBorder="1" applyAlignment="1">
      <alignment horizontal="right" vertical="center"/>
    </xf>
    <xf numFmtId="182" fontId="25" fillId="0" borderId="92" xfId="0" applyNumberFormat="1" applyFont="1" applyBorder="1" applyAlignment="1">
      <alignment horizontal="right" vertical="center"/>
    </xf>
    <xf numFmtId="182" fontId="12" fillId="0" borderId="92" xfId="0" applyNumberFormat="1" applyFont="1" applyBorder="1" applyAlignment="1">
      <alignment horizontal="right" vertical="center"/>
    </xf>
    <xf numFmtId="177" fontId="191" fillId="83" borderId="97" xfId="0" applyNumberFormat="1" applyFont="1" applyFill="1" applyBorder="1" applyAlignment="1">
      <alignment vertical="center"/>
    </xf>
    <xf numFmtId="177" fontId="191" fillId="83" borderId="92" xfId="0" applyNumberFormat="1" applyFont="1" applyFill="1" applyBorder="1" applyAlignment="1">
      <alignment vertical="center"/>
    </xf>
    <xf numFmtId="182" fontId="31" fillId="0" borderId="97" xfId="0" applyNumberFormat="1" applyFont="1" applyBorder="1" applyAlignment="1">
      <alignment vertical="center"/>
    </xf>
    <xf numFmtId="182" fontId="31" fillId="0" borderId="92" xfId="0" applyNumberFormat="1" applyFont="1" applyBorder="1" applyAlignment="1">
      <alignment vertical="center"/>
    </xf>
    <xf numFmtId="0" fontId="174" fillId="0" borderId="0" xfId="0" applyFont="1"/>
    <xf numFmtId="167" fontId="174" fillId="0" borderId="0" xfId="0" applyNumberFormat="1" applyFont="1"/>
    <xf numFmtId="182" fontId="23" fillId="0" borderId="117" xfId="0" applyNumberFormat="1" applyFont="1" applyBorder="1" applyAlignment="1">
      <alignment vertical="center"/>
    </xf>
    <xf numFmtId="182" fontId="23" fillId="0" borderId="118" xfId="0" applyNumberFormat="1" applyFont="1" applyBorder="1" applyAlignment="1">
      <alignment vertical="center"/>
    </xf>
    <xf numFmtId="0" fontId="194" fillId="75" borderId="100" xfId="0" applyFont="1" applyFill="1" applyBorder="1" applyAlignment="1">
      <alignment vertical="center" wrapText="1"/>
    </xf>
    <xf numFmtId="0" fontId="194" fillId="75" borderId="119" xfId="0" applyFont="1" applyFill="1" applyBorder="1" applyAlignment="1">
      <alignment vertical="center" wrapText="1"/>
    </xf>
    <xf numFmtId="0" fontId="22" fillId="0" borderId="100" xfId="0" applyFont="1" applyBorder="1" applyAlignment="1">
      <alignment vertical="center" wrapText="1"/>
    </xf>
    <xf numFmtId="0" fontId="22" fillId="0" borderId="101" xfId="0" applyFont="1" applyBorder="1" applyAlignment="1">
      <alignment vertical="center" wrapText="1"/>
    </xf>
    <xf numFmtId="0" fontId="12" fillId="0" borderId="100" xfId="0" applyFont="1" applyBorder="1" applyAlignment="1">
      <alignment vertical="center" wrapText="1"/>
    </xf>
    <xf numFmtId="0" fontId="31" fillId="0" borderId="100" xfId="0" applyFont="1" applyBorder="1" applyAlignment="1">
      <alignment vertical="center" wrapText="1"/>
    </xf>
    <xf numFmtId="0" fontId="191" fillId="83" borderId="100" xfId="0" applyFont="1" applyFill="1" applyBorder="1" applyAlignment="1">
      <alignment vertical="center" wrapText="1"/>
    </xf>
    <xf numFmtId="0" fontId="23" fillId="0" borderId="120" xfId="0" applyFont="1" applyBorder="1" applyAlignment="1">
      <alignment vertical="center" wrapText="1"/>
    </xf>
    <xf numFmtId="183" fontId="12" fillId="0" borderId="97" xfId="0" applyNumberFormat="1" applyFont="1" applyBorder="1" applyAlignment="1">
      <alignment vertical="center"/>
    </xf>
    <xf numFmtId="183" fontId="12" fillId="0" borderId="92" xfId="0" applyNumberFormat="1" applyFont="1" applyBorder="1" applyAlignment="1">
      <alignment vertical="center"/>
    </xf>
    <xf numFmtId="183" fontId="31" fillId="0" borderId="97" xfId="0" applyNumberFormat="1" applyFont="1" applyBorder="1" applyAlignment="1">
      <alignment vertical="center"/>
    </xf>
    <xf numFmtId="183" fontId="31" fillId="0" borderId="92" xfId="0" applyNumberFormat="1" applyFont="1" applyBorder="1" applyAlignment="1">
      <alignment vertical="center"/>
    </xf>
    <xf numFmtId="169" fontId="221" fillId="85" borderId="104" xfId="29659" applyNumberFormat="1" applyFont="1" applyFill="1" applyBorder="1" applyAlignment="1">
      <alignment horizontal="right" vertical="center" wrapText="1"/>
    </xf>
    <xf numFmtId="3" fontId="37" fillId="0" borderId="104" xfId="20233" applyNumberFormat="1" applyFont="1" applyBorder="1" applyAlignment="1">
      <alignment horizontal="right" vertical="center" wrapText="1"/>
    </xf>
    <xf numFmtId="216" fontId="9" fillId="0" borderId="104" xfId="42855" applyNumberFormat="1" applyFont="1" applyFill="1" applyBorder="1" applyAlignment="1">
      <alignment vertical="center"/>
    </xf>
    <xf numFmtId="170" fontId="20" fillId="0" borderId="104" xfId="20233" applyNumberFormat="1" applyFont="1" applyBorder="1" applyAlignment="1">
      <alignment horizontal="right" vertical="center" wrapText="1"/>
    </xf>
    <xf numFmtId="169" fontId="20" fillId="0" borderId="104" xfId="20233" applyNumberFormat="1" applyFont="1" applyBorder="1" applyAlignment="1">
      <alignment horizontal="right" vertical="center" wrapText="1"/>
    </xf>
    <xf numFmtId="2" fontId="20" fillId="0" borderId="104" xfId="20233" applyNumberFormat="1" applyFont="1" applyBorder="1" applyAlignment="1">
      <alignment horizontal="right" vertical="center" wrapText="1"/>
    </xf>
    <xf numFmtId="3" fontId="20" fillId="0" borderId="104" xfId="20233" applyNumberFormat="1" applyFont="1" applyBorder="1" applyAlignment="1">
      <alignment horizontal="right" vertical="center" wrapText="1"/>
    </xf>
    <xf numFmtId="170" fontId="20" fillId="0" borderId="122" xfId="20233" applyNumberFormat="1" applyFont="1" applyBorder="1" applyAlignment="1">
      <alignment horizontal="right" vertical="center" wrapText="1"/>
    </xf>
    <xf numFmtId="3" fontId="20" fillId="0" borderId="121" xfId="20233" applyNumberFormat="1" applyFont="1" applyBorder="1" applyAlignment="1">
      <alignment horizontal="right" vertical="center" wrapText="1"/>
    </xf>
    <xf numFmtId="0" fontId="46" fillId="2" borderId="0" xfId="0" applyFont="1" applyFill="1"/>
    <xf numFmtId="169" fontId="23" fillId="2" borderId="0" xfId="7" applyNumberFormat="1"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vertical="center"/>
    </xf>
    <xf numFmtId="0" fontId="23" fillId="0" borderId="0" xfId="0" applyFont="1" applyAlignment="1">
      <alignment vertical="center"/>
    </xf>
    <xf numFmtId="0" fontId="172" fillId="2" borderId="0" xfId="0" applyFont="1" applyFill="1"/>
    <xf numFmtId="169" fontId="34" fillId="2" borderId="0" xfId="7" applyNumberFormat="1" applyFont="1" applyFill="1" applyAlignment="1">
      <alignment vertical="center"/>
    </xf>
    <xf numFmtId="0" fontId="34" fillId="2" borderId="0" xfId="0" applyFont="1" applyFill="1" applyAlignment="1">
      <alignment horizontal="left" vertical="center" wrapText="1"/>
    </xf>
    <xf numFmtId="0" fontId="34" fillId="2" borderId="0" xfId="0" applyFont="1" applyFill="1" applyAlignment="1">
      <alignment vertical="center"/>
    </xf>
    <xf numFmtId="0" fontId="34" fillId="2" borderId="0" xfId="0" applyFont="1" applyFill="1"/>
    <xf numFmtId="0" fontId="34" fillId="0" borderId="0" xfId="0" applyFont="1" applyAlignment="1">
      <alignment vertical="center"/>
    </xf>
    <xf numFmtId="0" fontId="12" fillId="0" borderId="3" xfId="0" applyFont="1" applyBorder="1" applyAlignment="1">
      <alignment horizontal="left" vertical="center"/>
    </xf>
    <xf numFmtId="0" fontId="29" fillId="0" borderId="53" xfId="0" applyFont="1" applyBorder="1" applyAlignment="1">
      <alignment horizontal="left" vertical="center" wrapText="1"/>
    </xf>
    <xf numFmtId="170" fontId="49" fillId="2" borderId="53" xfId="0" applyNumberFormat="1" applyFont="1" applyFill="1" applyBorder="1" applyAlignment="1">
      <alignment horizontal="right" vertical="center" wrapText="1"/>
    </xf>
    <xf numFmtId="3" fontId="49" fillId="2" borderId="53" xfId="0" applyNumberFormat="1" applyFont="1" applyFill="1" applyBorder="1" applyAlignment="1">
      <alignment horizontal="right" vertical="center" wrapText="1"/>
    </xf>
    <xf numFmtId="3" fontId="49" fillId="0" borderId="53" xfId="0" applyNumberFormat="1" applyFont="1" applyBorder="1" applyAlignment="1">
      <alignment horizontal="right" vertical="center" wrapText="1"/>
    </xf>
    <xf numFmtId="3" fontId="20" fillId="0" borderId="53" xfId="0" applyNumberFormat="1" applyFont="1" applyBorder="1" applyAlignment="1">
      <alignment horizontal="right" vertical="center" wrapText="1"/>
    </xf>
    <xf numFmtId="3" fontId="30" fillId="0" borderId="53" xfId="0" applyNumberFormat="1" applyFont="1" applyBorder="1" applyAlignment="1">
      <alignment horizontal="right" vertical="center" wrapText="1"/>
    </xf>
    <xf numFmtId="170" fontId="49" fillId="2" borderId="123" xfId="0" applyNumberFormat="1" applyFont="1" applyFill="1" applyBorder="1" applyAlignment="1">
      <alignment horizontal="right" vertical="center" wrapText="1"/>
    </xf>
    <xf numFmtId="3" fontId="49" fillId="2" borderId="123" xfId="0" applyNumberFormat="1" applyFont="1" applyFill="1" applyBorder="1" applyAlignment="1">
      <alignment horizontal="right" vertical="center" wrapText="1"/>
    </xf>
    <xf numFmtId="170" fontId="51" fillId="84" borderId="124" xfId="0" applyNumberFormat="1" applyFont="1" applyFill="1" applyBorder="1" applyAlignment="1">
      <alignment vertical="center" wrapText="1"/>
    </xf>
    <xf numFmtId="3" fontId="51" fillId="84" borderId="124" xfId="0" applyNumberFormat="1" applyFont="1" applyFill="1" applyBorder="1" applyAlignment="1">
      <alignment vertical="center" wrapText="1"/>
    </xf>
    <xf numFmtId="0" fontId="227" fillId="0" borderId="0" xfId="0" applyFont="1"/>
    <xf numFmtId="170" fontId="9" fillId="0" borderId="0" xfId="26619" applyNumberFormat="1" applyFont="1" applyFill="1" applyBorder="1" applyAlignment="1">
      <alignment vertical="center"/>
    </xf>
    <xf numFmtId="169" fontId="9" fillId="0" borderId="0" xfId="7" applyNumberFormat="1" applyFont="1" applyFill="1" applyBorder="1" applyAlignment="1">
      <alignment vertical="center"/>
    </xf>
    <xf numFmtId="180" fontId="48" fillId="0" borderId="0" xfId="0" applyNumberFormat="1" applyFont="1" applyAlignment="1">
      <alignment horizontal="right" vertical="center"/>
    </xf>
    <xf numFmtId="171" fontId="12" fillId="2" borderId="0" xfId="0" applyNumberFormat="1" applyFont="1" applyFill="1" applyAlignment="1">
      <alignment horizontal="right" vertical="center"/>
    </xf>
    <xf numFmtId="171" fontId="43" fillId="2" borderId="0" xfId="0" applyNumberFormat="1" applyFont="1" applyFill="1" applyAlignment="1">
      <alignment horizontal="right" vertical="center"/>
    </xf>
    <xf numFmtId="215" fontId="210" fillId="78" borderId="0" xfId="0" applyNumberFormat="1" applyFont="1" applyFill="1"/>
    <xf numFmtId="171" fontId="192" fillId="83" borderId="125" xfId="0" applyNumberFormat="1" applyFont="1" applyFill="1" applyBorder="1" applyAlignment="1">
      <alignment vertical="center"/>
    </xf>
    <xf numFmtId="171" fontId="194" fillId="83" borderId="125" xfId="0" applyNumberFormat="1" applyFont="1" applyFill="1" applyBorder="1" applyAlignment="1">
      <alignment vertical="center"/>
    </xf>
    <xf numFmtId="182" fontId="192" fillId="83" borderId="125" xfId="0" applyNumberFormat="1" applyFont="1" applyFill="1" applyBorder="1" applyAlignment="1">
      <alignment vertical="center"/>
    </xf>
    <xf numFmtId="215" fontId="192" fillId="83" borderId="125" xfId="0" applyNumberFormat="1" applyFont="1" applyFill="1" applyBorder="1" applyAlignment="1">
      <alignment vertical="center"/>
    </xf>
    <xf numFmtId="215" fontId="194" fillId="83" borderId="125" xfId="0" applyNumberFormat="1" applyFont="1" applyFill="1" applyBorder="1" applyAlignment="1">
      <alignment vertical="center"/>
    </xf>
    <xf numFmtId="170" fontId="12" fillId="0" borderId="0" xfId="0" applyNumberFormat="1" applyFont="1"/>
    <xf numFmtId="182" fontId="23" fillId="0" borderId="126" xfId="0" applyNumberFormat="1" applyFont="1" applyBorder="1" applyAlignment="1">
      <alignment vertical="center"/>
    </xf>
    <xf numFmtId="182" fontId="47" fillId="0" borderId="66" xfId="0" applyNumberFormat="1" applyFont="1" applyBorder="1" applyAlignment="1">
      <alignment vertical="center"/>
    </xf>
    <xf numFmtId="181" fontId="31" fillId="2" borderId="0" xfId="0" applyNumberFormat="1" applyFont="1" applyFill="1" applyAlignment="1">
      <alignment vertical="center"/>
    </xf>
    <xf numFmtId="181" fontId="228" fillId="0" borderId="0" xfId="0" applyNumberFormat="1" applyFont="1" applyAlignment="1">
      <alignment vertical="center"/>
    </xf>
    <xf numFmtId="177" fontId="172" fillId="0" borderId="66" xfId="0" applyNumberFormat="1" applyFont="1" applyBorder="1" applyAlignment="1">
      <alignment vertical="center"/>
    </xf>
    <xf numFmtId="181" fontId="228" fillId="2" borderId="0" xfId="0" applyNumberFormat="1" applyFont="1" applyFill="1" applyAlignment="1">
      <alignment vertical="center"/>
    </xf>
    <xf numFmtId="181" fontId="31" fillId="0" borderId="0" xfId="0" applyNumberFormat="1" applyFont="1" applyAlignment="1">
      <alignment vertical="center"/>
    </xf>
    <xf numFmtId="181" fontId="228" fillId="0" borderId="0" xfId="0" applyNumberFormat="1" applyFont="1" applyAlignment="1">
      <alignment horizontal="right" vertical="center"/>
    </xf>
    <xf numFmtId="181" fontId="35" fillId="0" borderId="0" xfId="0" applyNumberFormat="1" applyFont="1" applyAlignment="1">
      <alignment horizontal="right" vertical="center"/>
    </xf>
    <xf numFmtId="184" fontId="50" fillId="2" borderId="0" xfId="0" applyNumberFormat="1" applyFont="1" applyFill="1" applyAlignment="1">
      <alignment vertical="center"/>
    </xf>
    <xf numFmtId="170" fontId="180" fillId="2" borderId="66" xfId="0" applyNumberFormat="1" applyFont="1" applyFill="1" applyBorder="1" applyAlignment="1">
      <alignment vertical="center"/>
    </xf>
    <xf numFmtId="171" fontId="31" fillId="0" borderId="0" xfId="0" applyNumberFormat="1" applyFont="1" applyAlignment="1">
      <alignment horizontal="right" vertical="center"/>
    </xf>
    <xf numFmtId="186" fontId="204" fillId="2" borderId="0" xfId="0" applyNumberFormat="1" applyFont="1" applyFill="1" applyAlignment="1">
      <alignment horizontal="right" vertical="center"/>
    </xf>
    <xf numFmtId="182" fontId="34" fillId="0" borderId="0" xfId="0" applyNumberFormat="1" applyFont="1" applyAlignment="1">
      <alignment vertical="center"/>
    </xf>
    <xf numFmtId="182" fontId="34" fillId="0" borderId="66" xfId="0" applyNumberFormat="1" applyFont="1" applyBorder="1" applyAlignment="1">
      <alignment vertical="center"/>
    </xf>
    <xf numFmtId="0" fontId="229" fillId="0" borderId="0" xfId="0" applyFont="1" applyAlignment="1">
      <alignment horizontal="right" vertical="center"/>
    </xf>
    <xf numFmtId="170" fontId="229" fillId="0" borderId="0" xfId="0" applyNumberFormat="1" applyFont="1" applyAlignment="1">
      <alignment horizontal="right" vertical="center"/>
    </xf>
    <xf numFmtId="0" fontId="231" fillId="0" borderId="0" xfId="0" applyFont="1" applyAlignment="1">
      <alignment horizontal="right" vertical="center"/>
    </xf>
    <xf numFmtId="170" fontId="231" fillId="0" borderId="0" xfId="0" applyNumberFormat="1" applyFont="1"/>
    <xf numFmtId="170" fontId="220" fillId="0" borderId="127" xfId="0" applyNumberFormat="1" applyFont="1" applyBorder="1" applyAlignment="1">
      <alignment horizontal="right" vertical="center"/>
    </xf>
    <xf numFmtId="186" fontId="204" fillId="0" borderId="0" xfId="0" applyNumberFormat="1" applyFont="1" applyAlignment="1">
      <alignment horizontal="right" vertical="center"/>
    </xf>
    <xf numFmtId="0" fontId="230" fillId="0" borderId="0" xfId="0" applyFont="1" applyAlignment="1">
      <alignment horizontal="right" vertical="center"/>
    </xf>
    <xf numFmtId="0" fontId="233" fillId="0" borderId="0" xfId="0" applyFont="1" applyAlignment="1">
      <alignment vertical="top"/>
    </xf>
    <xf numFmtId="167" fontId="174" fillId="0" borderId="0" xfId="0" applyNumberFormat="1" applyFont="1" applyAlignment="1">
      <alignment vertical="center"/>
    </xf>
    <xf numFmtId="0" fontId="232" fillId="0" borderId="0" xfId="20233" applyFont="1" applyAlignment="1">
      <alignment vertical="center"/>
    </xf>
    <xf numFmtId="182" fontId="228" fillId="0" borderId="9" xfId="0" applyNumberFormat="1" applyFont="1" applyBorder="1" applyAlignment="1">
      <alignment vertical="center"/>
    </xf>
    <xf numFmtId="177" fontId="172" fillId="0" borderId="67" xfId="0" applyNumberFormat="1" applyFont="1" applyBorder="1" applyAlignment="1">
      <alignment vertical="center"/>
    </xf>
    <xf numFmtId="182" fontId="31" fillId="0" borderId="9" xfId="0" applyNumberFormat="1" applyFont="1" applyBorder="1" applyAlignment="1">
      <alignment vertical="center"/>
    </xf>
    <xf numFmtId="181" fontId="31" fillId="0" borderId="9" xfId="0" applyNumberFormat="1" applyFont="1" applyBorder="1" applyAlignment="1">
      <alignment vertical="center"/>
    </xf>
    <xf numFmtId="173" fontId="31" fillId="2" borderId="9" xfId="0" applyNumberFormat="1" applyFont="1" applyFill="1" applyBorder="1" applyAlignment="1">
      <alignment horizontal="right" vertical="center"/>
    </xf>
    <xf numFmtId="181" fontId="228" fillId="2" borderId="9" xfId="0" applyNumberFormat="1" applyFont="1" applyFill="1" applyBorder="1" applyAlignment="1">
      <alignment vertical="center"/>
    </xf>
    <xf numFmtId="182" fontId="34" fillId="0" borderId="99" xfId="0" applyNumberFormat="1" applyFont="1" applyBorder="1" applyAlignment="1">
      <alignment vertical="center"/>
    </xf>
    <xf numFmtId="217" fontId="31" fillId="0" borderId="9" xfId="0" applyNumberFormat="1" applyFont="1" applyBorder="1" applyAlignment="1">
      <alignment horizontal="right" vertical="center"/>
    </xf>
    <xf numFmtId="172" fontId="12" fillId="0" borderId="0" xfId="0" applyNumberFormat="1" applyFont="1" applyAlignment="1">
      <alignment vertical="center"/>
    </xf>
    <xf numFmtId="173" fontId="31" fillId="0" borderId="9" xfId="0" applyNumberFormat="1" applyFont="1" applyBorder="1" applyAlignment="1">
      <alignment horizontal="right" vertical="center"/>
    </xf>
    <xf numFmtId="0" fontId="234" fillId="0" borderId="3" xfId="0" applyFont="1" applyBorder="1" applyAlignment="1">
      <alignment horizontal="left" vertical="center" wrapText="1" indent="2"/>
    </xf>
    <xf numFmtId="173" fontId="33" fillId="0" borderId="9" xfId="0" applyNumberFormat="1" applyFont="1" applyBorder="1" applyAlignment="1">
      <alignment horizontal="right" vertical="center"/>
    </xf>
    <xf numFmtId="181" fontId="228" fillId="0" borderId="9" xfId="0" applyNumberFormat="1" applyFont="1" applyBorder="1" applyAlignment="1">
      <alignment vertical="center"/>
    </xf>
    <xf numFmtId="170" fontId="229" fillId="0" borderId="0" xfId="1" applyNumberFormat="1" applyFont="1" applyFill="1" applyAlignment="1">
      <alignment horizontal="right" vertical="center"/>
    </xf>
    <xf numFmtId="181" fontId="31" fillId="0" borderId="0" xfId="1" applyNumberFormat="1" applyFont="1" applyFill="1" applyBorder="1" applyAlignment="1">
      <alignment horizontal="right" vertical="center"/>
    </xf>
    <xf numFmtId="181" fontId="31" fillId="0" borderId="0" xfId="8" applyNumberFormat="1" applyFont="1" applyFill="1" applyBorder="1" applyAlignment="1">
      <alignment horizontal="right" vertical="center"/>
    </xf>
    <xf numFmtId="218" fontId="12" fillId="0" borderId="0" xfId="1" applyNumberFormat="1" applyFont="1" applyFill="1" applyAlignment="1">
      <alignment vertical="center"/>
    </xf>
    <xf numFmtId="218" fontId="31" fillId="0" borderId="0" xfId="1" applyNumberFormat="1" applyFont="1" applyFill="1" applyAlignment="1">
      <alignment vertical="center"/>
    </xf>
    <xf numFmtId="170" fontId="172" fillId="84" borderId="9" xfId="0" applyNumberFormat="1" applyFont="1" applyFill="1" applyBorder="1" applyAlignment="1">
      <alignment vertical="center" wrapText="1"/>
    </xf>
    <xf numFmtId="185" fontId="43" fillId="2" borderId="0" xfId="0" applyNumberFormat="1" applyFont="1" applyFill="1" applyAlignment="1">
      <alignment vertical="center"/>
    </xf>
    <xf numFmtId="171" fontId="192" fillId="83" borderId="129" xfId="0" applyNumberFormat="1" applyFont="1" applyFill="1" applyBorder="1" applyAlignment="1">
      <alignment vertical="center"/>
    </xf>
    <xf numFmtId="171" fontId="43" fillId="2" borderId="130" xfId="0" applyNumberFormat="1" applyFont="1" applyFill="1" applyBorder="1" applyAlignment="1">
      <alignment horizontal="right" vertical="center"/>
    </xf>
    <xf numFmtId="215" fontId="192" fillId="83" borderId="129" xfId="0" applyNumberFormat="1" applyFont="1" applyFill="1" applyBorder="1" applyAlignment="1">
      <alignment vertical="center"/>
    </xf>
    <xf numFmtId="177" fontId="12" fillId="2" borderId="130" xfId="0" applyNumberFormat="1" applyFont="1" applyFill="1" applyBorder="1" applyAlignment="1">
      <alignment horizontal="right" vertical="center"/>
    </xf>
    <xf numFmtId="214" fontId="192" fillId="83" borderId="130" xfId="0" applyNumberFormat="1" applyFont="1" applyFill="1" applyBorder="1" applyAlignment="1">
      <alignment vertical="center"/>
    </xf>
    <xf numFmtId="182" fontId="43" fillId="2" borderId="130" xfId="0" applyNumberFormat="1" applyFont="1" applyFill="1" applyBorder="1" applyAlignment="1">
      <alignment horizontal="right" vertical="center"/>
    </xf>
    <xf numFmtId="177" fontId="43" fillId="2" borderId="130" xfId="0" applyNumberFormat="1" applyFont="1" applyFill="1" applyBorder="1" applyAlignment="1">
      <alignment horizontal="right" vertical="center"/>
    </xf>
    <xf numFmtId="219" fontId="31" fillId="78" borderId="0" xfId="0" applyNumberFormat="1" applyFont="1" applyFill="1"/>
    <xf numFmtId="170" fontId="12" fillId="2" borderId="0" xfId="0" applyNumberFormat="1" applyFont="1" applyFill="1"/>
    <xf numFmtId="169" fontId="12" fillId="2" borderId="0" xfId="7" applyNumberFormat="1" applyFont="1" applyFill="1"/>
    <xf numFmtId="167" fontId="12" fillId="2" borderId="0" xfId="0" applyNumberFormat="1" applyFont="1" applyFill="1"/>
    <xf numFmtId="0" fontId="4" fillId="0" borderId="0" xfId="0" applyFont="1"/>
    <xf numFmtId="4" fontId="235" fillId="0" borderId="0" xfId="20233" applyNumberFormat="1" applyFont="1" applyAlignment="1">
      <alignment vertical="center"/>
    </xf>
    <xf numFmtId="186" fontId="26" fillId="2" borderId="130" xfId="0" applyNumberFormat="1" applyFont="1" applyFill="1" applyBorder="1" applyAlignment="1">
      <alignment horizontal="right" vertical="center"/>
    </xf>
    <xf numFmtId="0" fontId="220" fillId="0" borderId="127" xfId="0" applyFont="1" applyBorder="1" applyAlignment="1">
      <alignment horizontal="right" vertical="center"/>
    </xf>
    <xf numFmtId="184" fontId="50" fillId="0" borderId="0" xfId="0" applyNumberFormat="1" applyFont="1" applyAlignment="1">
      <alignment vertical="center"/>
    </xf>
    <xf numFmtId="170" fontId="172" fillId="80" borderId="99" xfId="0" applyNumberFormat="1" applyFont="1" applyFill="1" applyBorder="1" applyAlignment="1">
      <alignment vertical="center" wrapText="1"/>
    </xf>
    <xf numFmtId="171" fontId="43" fillId="2" borderId="131" xfId="0" applyNumberFormat="1" applyFont="1" applyFill="1" applyBorder="1" applyAlignment="1">
      <alignment horizontal="right" vertical="center"/>
    </xf>
    <xf numFmtId="171" fontId="43" fillId="2" borderId="132" xfId="0" applyNumberFormat="1" applyFont="1" applyFill="1" applyBorder="1" applyAlignment="1">
      <alignment horizontal="right" vertical="center"/>
    </xf>
    <xf numFmtId="0" fontId="194" fillId="75" borderId="0" xfId="0" applyFont="1" applyFill="1" applyAlignment="1">
      <alignment horizontal="right" vertical="center" wrapText="1"/>
    </xf>
    <xf numFmtId="167" fontId="229" fillId="0" borderId="0" xfId="0" applyNumberFormat="1" applyFont="1" applyAlignment="1">
      <alignment horizontal="right" vertical="center"/>
    </xf>
    <xf numFmtId="170" fontId="230" fillId="0" borderId="0" xfId="0" applyNumberFormat="1" applyFont="1" applyAlignment="1">
      <alignment horizontal="right" vertical="center"/>
    </xf>
    <xf numFmtId="0" fontId="229" fillId="0" borderId="71" xfId="0" applyFont="1" applyBorder="1" applyAlignment="1">
      <alignment horizontal="right" vertical="center"/>
    </xf>
    <xf numFmtId="181" fontId="12" fillId="0" borderId="3" xfId="0" applyNumberFormat="1" applyFont="1" applyBorder="1" applyAlignment="1">
      <alignment vertical="center"/>
    </xf>
    <xf numFmtId="181" fontId="33" fillId="0" borderId="3" xfId="0" applyNumberFormat="1" applyFont="1" applyBorder="1" applyAlignment="1">
      <alignment vertical="center"/>
    </xf>
    <xf numFmtId="170" fontId="187" fillId="0" borderId="0" xfId="0" applyNumberFormat="1" applyFont="1"/>
    <xf numFmtId="181" fontId="12" fillId="2" borderId="130" xfId="0" applyNumberFormat="1" applyFont="1" applyFill="1" applyBorder="1" applyAlignment="1">
      <alignment horizontal="right" vertical="center"/>
    </xf>
    <xf numFmtId="170" fontId="221" fillId="85" borderId="0" xfId="29659" applyNumberFormat="1" applyFont="1" applyFill="1" applyBorder="1" applyAlignment="1">
      <alignment horizontal="right" vertical="center" wrapText="1"/>
    </xf>
    <xf numFmtId="4" fontId="20" fillId="0" borderId="0" xfId="20233" applyNumberFormat="1" applyFont="1" applyAlignment="1">
      <alignment horizontal="right" vertical="center" wrapText="1"/>
    </xf>
    <xf numFmtId="169" fontId="20" fillId="0" borderId="0" xfId="7" applyNumberFormat="1" applyFont="1" applyAlignment="1">
      <alignment horizontal="right" vertical="center" wrapText="1"/>
    </xf>
    <xf numFmtId="3" fontId="221" fillId="85" borderId="0" xfId="29659" applyNumberFormat="1" applyFont="1" applyFill="1" applyBorder="1" applyAlignment="1">
      <alignment horizontal="right" vertical="center" wrapText="1"/>
    </xf>
    <xf numFmtId="3" fontId="9" fillId="0" borderId="0" xfId="42855" applyNumberFormat="1" applyFont="1" applyFill="1" applyBorder="1" applyAlignment="1">
      <alignment vertical="center"/>
    </xf>
    <xf numFmtId="2" fontId="63" fillId="0" borderId="0" xfId="0" applyNumberFormat="1" applyFont="1"/>
    <xf numFmtId="177" fontId="33" fillId="0" borderId="0" xfId="0" applyNumberFormat="1" applyFont="1" applyAlignment="1">
      <alignment horizontal="right" vertical="center"/>
    </xf>
    <xf numFmtId="176" fontId="236" fillId="0" borderId="0" xfId="0" applyNumberFormat="1" applyFont="1" applyAlignment="1">
      <alignment horizontal="right" vertical="center"/>
    </xf>
    <xf numFmtId="177" fontId="33" fillId="2" borderId="0" xfId="0" applyNumberFormat="1" applyFont="1" applyFill="1" applyAlignment="1">
      <alignment horizontal="right" vertical="center"/>
    </xf>
    <xf numFmtId="177" fontId="237" fillId="2" borderId="0" xfId="0" applyNumberFormat="1" applyFont="1" applyFill="1" applyAlignment="1">
      <alignment horizontal="right" vertical="center"/>
    </xf>
    <xf numFmtId="177" fontId="33" fillId="2" borderId="130" xfId="0" applyNumberFormat="1" applyFont="1" applyFill="1" applyBorder="1" applyAlignment="1">
      <alignment horizontal="right" vertical="center"/>
    </xf>
    <xf numFmtId="0" fontId="33" fillId="0" borderId="0" xfId="0" applyFont="1"/>
    <xf numFmtId="177" fontId="228" fillId="0" borderId="0" xfId="0" applyNumberFormat="1" applyFont="1" applyAlignment="1">
      <alignment horizontal="right" vertical="center"/>
    </xf>
    <xf numFmtId="177" fontId="228" fillId="2" borderId="0" xfId="0" applyNumberFormat="1" applyFont="1" applyFill="1" applyAlignment="1">
      <alignment horizontal="right" vertical="center"/>
    </xf>
    <xf numFmtId="177" fontId="234" fillId="2" borderId="0" xfId="0" applyNumberFormat="1" applyFont="1" applyFill="1" applyAlignment="1">
      <alignment horizontal="right" vertical="center"/>
    </xf>
    <xf numFmtId="221" fontId="31" fillId="78" borderId="0" xfId="0" applyNumberFormat="1" applyFont="1" applyFill="1"/>
    <xf numFmtId="221" fontId="210" fillId="78" borderId="0" xfId="0" applyNumberFormat="1" applyFont="1" applyFill="1"/>
    <xf numFmtId="167" fontId="230" fillId="0" borderId="0" xfId="0" applyNumberFormat="1" applyFont="1" applyAlignment="1">
      <alignment horizontal="right" vertical="center"/>
    </xf>
    <xf numFmtId="170" fontId="15" fillId="2" borderId="66" xfId="0" applyNumberFormat="1" applyFont="1" applyFill="1" applyBorder="1" applyAlignment="1">
      <alignment horizontal="right" vertical="center"/>
    </xf>
    <xf numFmtId="0" fontId="79" fillId="0" borderId="0" xfId="0" applyFont="1"/>
    <xf numFmtId="170" fontId="49" fillId="2" borderId="0" xfId="0" applyNumberFormat="1" applyFont="1" applyFill="1" applyAlignment="1">
      <alignment vertical="center"/>
    </xf>
    <xf numFmtId="170" fontId="45" fillId="80" borderId="92" xfId="0" applyNumberFormat="1" applyFont="1" applyFill="1" applyBorder="1" applyAlignment="1">
      <alignment vertical="center" wrapText="1"/>
    </xf>
    <xf numFmtId="0" fontId="3" fillId="0" borderId="0" xfId="0" applyFont="1" applyAlignment="1">
      <alignment vertical="center"/>
    </xf>
    <xf numFmtId="0" fontId="32" fillId="0" borderId="16" xfId="0" applyFont="1" applyBorder="1" applyAlignment="1">
      <alignment horizontal="left" vertical="center" indent="3"/>
    </xf>
    <xf numFmtId="216" fontId="223" fillId="0" borderId="106" xfId="42855" applyNumberFormat="1" applyFont="1" applyFill="1" applyBorder="1" applyAlignment="1">
      <alignment vertical="center"/>
    </xf>
    <xf numFmtId="216" fontId="223" fillId="0" borderId="0" xfId="42855" applyNumberFormat="1" applyFont="1" applyFill="1" applyBorder="1" applyAlignment="1">
      <alignment vertical="center"/>
    </xf>
    <xf numFmtId="3" fontId="223" fillId="0" borderId="0" xfId="42855" applyNumberFormat="1" applyFont="1" applyFill="1" applyBorder="1" applyAlignment="1">
      <alignment vertical="center"/>
    </xf>
    <xf numFmtId="9" fontId="43" fillId="2" borderId="0" xfId="7" applyFont="1" applyFill="1" applyAlignment="1">
      <alignment vertical="center"/>
    </xf>
    <xf numFmtId="169" fontId="12" fillId="0" borderId="0" xfId="7" applyNumberFormat="1" applyFont="1" applyAlignment="1">
      <alignment horizontal="right" vertical="center"/>
    </xf>
    <xf numFmtId="0" fontId="9" fillId="0" borderId="0" xfId="7" applyNumberFormat="1" applyFont="1" applyAlignment="1">
      <alignment vertical="center"/>
    </xf>
    <xf numFmtId="170" fontId="220" fillId="0" borderId="0" xfId="0" applyNumberFormat="1" applyFont="1" applyAlignment="1">
      <alignment horizontal="right" vertical="center" wrapText="1"/>
    </xf>
    <xf numFmtId="181" fontId="12" fillId="0" borderId="9" xfId="0" applyNumberFormat="1" applyFont="1" applyBorder="1" applyAlignment="1">
      <alignment horizontal="right" vertical="center"/>
    </xf>
    <xf numFmtId="170" fontId="20" fillId="2" borderId="104" xfId="20233" applyNumberFormat="1" applyFont="1" applyFill="1" applyBorder="1" applyAlignment="1">
      <alignment horizontal="right" vertical="center" wrapText="1"/>
    </xf>
    <xf numFmtId="9" fontId="240" fillId="0" borderId="0" xfId="7" applyFont="1" applyAlignment="1">
      <alignment vertical="center"/>
    </xf>
    <xf numFmtId="173" fontId="228" fillId="0" borderId="9" xfId="0" applyNumberFormat="1" applyFont="1" applyBorder="1" applyAlignment="1">
      <alignment vertical="center"/>
    </xf>
    <xf numFmtId="169" fontId="31" fillId="78" borderId="0" xfId="7" applyNumberFormat="1" applyFont="1" applyFill="1" applyAlignment="1">
      <alignment vertical="center"/>
    </xf>
    <xf numFmtId="2" fontId="231" fillId="0" borderId="0" xfId="0" applyNumberFormat="1" applyFont="1" applyAlignment="1">
      <alignment horizontal="right" vertical="center" wrapText="1"/>
    </xf>
    <xf numFmtId="0" fontId="231" fillId="0" borderId="0" xfId="0" applyFont="1" applyAlignment="1">
      <alignment horizontal="right" vertical="center" wrapText="1"/>
    </xf>
    <xf numFmtId="0" fontId="241" fillId="0" borderId="0" xfId="0" applyFont="1" applyAlignment="1">
      <alignment vertical="center"/>
    </xf>
    <xf numFmtId="169" fontId="79" fillId="0" borderId="0" xfId="7" applyNumberFormat="1" applyFont="1" applyFill="1" applyBorder="1" applyAlignment="1">
      <alignment vertical="center"/>
    </xf>
    <xf numFmtId="169" fontId="9" fillId="0" borderId="0" xfId="7" applyNumberFormat="1" applyFont="1" applyAlignment="1">
      <alignment vertical="center"/>
    </xf>
    <xf numFmtId="170" fontId="27" fillId="0" borderId="0" xfId="0" applyNumberFormat="1" applyFont="1" applyAlignment="1">
      <alignment vertical="center"/>
    </xf>
    <xf numFmtId="169" fontId="187" fillId="0" borderId="0" xfId="7" applyNumberFormat="1" applyFont="1"/>
    <xf numFmtId="165" fontId="228" fillId="0" borderId="9" xfId="0" applyNumberFormat="1" applyFont="1" applyBorder="1" applyAlignment="1">
      <alignment horizontal="right" vertical="center"/>
    </xf>
    <xf numFmtId="165" fontId="228" fillId="2" borderId="9" xfId="0" applyNumberFormat="1" applyFont="1" applyFill="1" applyBorder="1" applyAlignment="1">
      <alignment horizontal="right" vertical="center"/>
    </xf>
    <xf numFmtId="217" fontId="228" fillId="2" borderId="9" xfId="0" applyNumberFormat="1" applyFont="1" applyFill="1" applyBorder="1" applyAlignment="1">
      <alignment horizontal="right" vertical="center"/>
    </xf>
    <xf numFmtId="181" fontId="25" fillId="0" borderId="3" xfId="0" applyNumberFormat="1" applyFont="1" applyBorder="1" applyAlignment="1">
      <alignment horizontal="right" vertical="center"/>
    </xf>
    <xf numFmtId="0" fontId="2" fillId="2" borderId="0" xfId="0" applyFont="1" applyFill="1" applyAlignment="1">
      <alignment wrapText="1"/>
    </xf>
    <xf numFmtId="0" fontId="2" fillId="2" borderId="0" xfId="0" applyFont="1" applyFill="1"/>
    <xf numFmtId="0" fontId="2" fillId="2" borderId="0" xfId="0" applyFont="1" applyFill="1" applyAlignment="1">
      <alignment vertical="center" wrapText="1"/>
    </xf>
    <xf numFmtId="169" fontId="2" fillId="0" borderId="0" xfId="0" applyNumberFormat="1" applyFont="1"/>
    <xf numFmtId="0" fontId="2" fillId="0" borderId="0" xfId="0" applyFont="1"/>
    <xf numFmtId="170" fontId="2" fillId="0" borderId="0" xfId="0" applyNumberFormat="1" applyFont="1" applyAlignment="1">
      <alignment vertical="center"/>
    </xf>
    <xf numFmtId="169" fontId="2" fillId="0" borderId="0" xfId="0" applyNumberFormat="1" applyFont="1" applyAlignment="1">
      <alignment vertical="center"/>
    </xf>
    <xf numFmtId="0" fontId="2" fillId="0" borderId="0" xfId="0" applyFont="1" applyAlignment="1">
      <alignment vertical="center"/>
    </xf>
    <xf numFmtId="0" fontId="2" fillId="2" borderId="0" xfId="0" applyFont="1" applyFill="1" applyAlignment="1">
      <alignment vertical="center"/>
    </xf>
    <xf numFmtId="170" fontId="2" fillId="0" borderId="0" xfId="0" applyNumberFormat="1" applyFont="1"/>
    <xf numFmtId="0" fontId="2" fillId="0" borderId="0" xfId="0" quotePrefix="1" applyFont="1"/>
    <xf numFmtId="0" fontId="2" fillId="0" borderId="16" xfId="0" applyFont="1" applyBorder="1" applyAlignment="1">
      <alignment vertical="center"/>
    </xf>
    <xf numFmtId="170" fontId="2" fillId="2" borderId="0" xfId="0" applyNumberFormat="1" applyFont="1" applyFill="1" applyAlignment="1">
      <alignment vertical="center"/>
    </xf>
    <xf numFmtId="0" fontId="2" fillId="0" borderId="17" xfId="0" applyFont="1" applyBorder="1" applyAlignment="1">
      <alignment vertical="center"/>
    </xf>
    <xf numFmtId="0" fontId="2" fillId="0" borderId="53" xfId="0" applyFont="1" applyBorder="1" applyAlignment="1">
      <alignment vertical="center"/>
    </xf>
    <xf numFmtId="170" fontId="2" fillId="2" borderId="53" xfId="0" applyNumberFormat="1" applyFont="1" applyFill="1" applyBorder="1" applyAlignment="1">
      <alignment vertical="center"/>
    </xf>
    <xf numFmtId="3" fontId="2" fillId="2" borderId="0" xfId="0" applyNumberFormat="1" applyFont="1" applyFill="1" applyAlignment="1">
      <alignment vertical="center"/>
    </xf>
    <xf numFmtId="3" fontId="2" fillId="2" borderId="53" xfId="0" applyNumberFormat="1" applyFont="1" applyFill="1" applyBorder="1" applyAlignment="1">
      <alignment vertical="center"/>
    </xf>
    <xf numFmtId="0" fontId="2" fillId="2" borderId="90" xfId="0" applyFont="1" applyFill="1" applyBorder="1" applyAlignment="1">
      <alignment horizontal="left" vertical="center" wrapText="1" indent="4"/>
    </xf>
    <xf numFmtId="0" fontId="2" fillId="2" borderId="100" xfId="0" applyFont="1" applyFill="1" applyBorder="1" applyAlignment="1">
      <alignment horizontal="left" vertical="center" wrapText="1" indent="3"/>
    </xf>
    <xf numFmtId="169" fontId="23" fillId="2" borderId="0" xfId="7" applyNumberFormat="1" applyFont="1" applyFill="1"/>
    <xf numFmtId="170" fontId="177" fillId="86" borderId="92" xfId="0" applyNumberFormat="1" applyFont="1" applyFill="1" applyBorder="1" applyAlignment="1">
      <alignment horizontal="left" vertical="center" wrapText="1" indent="4"/>
    </xf>
    <xf numFmtId="170" fontId="177" fillId="86" borderId="100" xfId="0" applyNumberFormat="1" applyFont="1" applyFill="1" applyBorder="1" applyAlignment="1">
      <alignment horizontal="left" vertical="center" wrapText="1" indent="4"/>
    </xf>
    <xf numFmtId="0" fontId="27" fillId="87" borderId="0" xfId="0" applyFont="1" applyFill="1" applyAlignment="1">
      <alignment horizontal="left" vertical="center" wrapText="1" indent="2"/>
    </xf>
    <xf numFmtId="170" fontId="47" fillId="86" borderId="97" xfId="0" applyNumberFormat="1" applyFont="1" applyFill="1" applyBorder="1" applyAlignment="1">
      <alignment vertical="center" wrapText="1"/>
    </xf>
    <xf numFmtId="170" fontId="47" fillId="86" borderId="0" xfId="0" applyNumberFormat="1" applyFont="1" applyFill="1" applyAlignment="1">
      <alignment vertical="center" wrapText="1"/>
    </xf>
    <xf numFmtId="170" fontId="47" fillId="86" borderId="92" xfId="0" applyNumberFormat="1" applyFont="1" applyFill="1" applyBorder="1" applyAlignment="1">
      <alignment vertical="center" wrapText="1"/>
    </xf>
    <xf numFmtId="170" fontId="47" fillId="86" borderId="9" xfId="0" applyNumberFormat="1" applyFont="1" applyFill="1" applyBorder="1" applyAlignment="1">
      <alignment vertical="center" wrapText="1"/>
    </xf>
    <xf numFmtId="170" fontId="177" fillId="86" borderId="97" xfId="0" applyNumberFormat="1" applyFont="1" applyFill="1" applyBorder="1" applyAlignment="1">
      <alignment vertical="center" wrapText="1"/>
    </xf>
    <xf numFmtId="170" fontId="177" fillId="86" borderId="0" xfId="0" applyNumberFormat="1" applyFont="1" applyFill="1" applyAlignment="1">
      <alignment vertical="center" wrapText="1"/>
    </xf>
    <xf numFmtId="170" fontId="177" fillId="86" borderId="92" xfId="0" applyNumberFormat="1" applyFont="1" applyFill="1" applyBorder="1" applyAlignment="1">
      <alignment vertical="center" wrapText="1"/>
    </xf>
    <xf numFmtId="182" fontId="177" fillId="86" borderId="92" xfId="0" applyNumberFormat="1" applyFont="1" applyFill="1" applyBorder="1" applyAlignment="1">
      <alignment vertical="center" wrapText="1"/>
    </xf>
    <xf numFmtId="170" fontId="31" fillId="86" borderId="0" xfId="0" applyNumberFormat="1" applyFont="1" applyFill="1" applyAlignment="1">
      <alignment vertical="center" wrapText="1"/>
    </xf>
    <xf numFmtId="0" fontId="24" fillId="87" borderId="0" xfId="0" applyFont="1" applyFill="1" applyAlignment="1">
      <alignment vertical="center"/>
    </xf>
    <xf numFmtId="0" fontId="24" fillId="88" borderId="0" xfId="0" applyFont="1" applyFill="1" applyAlignment="1">
      <alignment vertical="center"/>
    </xf>
    <xf numFmtId="182" fontId="177" fillId="86" borderId="0" xfId="0" applyNumberFormat="1" applyFont="1" applyFill="1" applyAlignment="1">
      <alignment vertical="center" wrapText="1"/>
    </xf>
    <xf numFmtId="182" fontId="31" fillId="86" borderId="0" xfId="0" applyNumberFormat="1" applyFont="1" applyFill="1" applyAlignment="1">
      <alignment vertical="center" wrapText="1"/>
    </xf>
    <xf numFmtId="0" fontId="27" fillId="88" borderId="0" xfId="0" applyFont="1" applyFill="1" applyAlignment="1">
      <alignment vertical="center" wrapText="1"/>
    </xf>
    <xf numFmtId="173" fontId="177" fillId="86" borderId="92" xfId="0" applyNumberFormat="1" applyFont="1" applyFill="1" applyBorder="1" applyAlignment="1">
      <alignment vertical="center" wrapText="1"/>
    </xf>
    <xf numFmtId="181" fontId="177" fillId="86" borderId="0" xfId="0" applyNumberFormat="1" applyFont="1" applyFill="1" applyAlignment="1">
      <alignment vertical="center" wrapText="1"/>
    </xf>
    <xf numFmtId="182" fontId="34" fillId="86" borderId="0" xfId="0" applyNumberFormat="1" applyFont="1" applyFill="1" applyAlignment="1">
      <alignment vertical="center" wrapText="1"/>
    </xf>
    <xf numFmtId="170" fontId="46" fillId="89" borderId="96" xfId="0" applyNumberFormat="1" applyFont="1" applyFill="1" applyBorder="1" applyAlignment="1">
      <alignment vertical="center" wrapText="1"/>
    </xf>
    <xf numFmtId="170" fontId="177" fillId="89" borderId="92" xfId="0" applyNumberFormat="1" applyFont="1" applyFill="1" applyBorder="1" applyAlignment="1">
      <alignment vertical="center" wrapText="1"/>
    </xf>
    <xf numFmtId="173" fontId="177" fillId="89" borderId="92" xfId="0" applyNumberFormat="1" applyFont="1" applyFill="1" applyBorder="1" applyAlignment="1">
      <alignment vertical="center" wrapText="1"/>
    </xf>
    <xf numFmtId="170" fontId="46" fillId="89" borderId="99" xfId="0" applyNumberFormat="1" applyFont="1" applyFill="1" applyBorder="1" applyAlignment="1">
      <alignment vertical="center" wrapText="1"/>
    </xf>
    <xf numFmtId="182" fontId="177" fillId="89" borderId="92" xfId="0" applyNumberFormat="1" applyFont="1" applyFill="1" applyBorder="1" applyAlignment="1">
      <alignment vertical="center" wrapText="1"/>
    </xf>
    <xf numFmtId="169" fontId="46" fillId="89" borderId="99" xfId="7" applyNumberFormat="1" applyFont="1" applyFill="1" applyBorder="1" applyAlignment="1">
      <alignment vertical="center" wrapText="1"/>
    </xf>
    <xf numFmtId="0" fontId="192" fillId="90" borderId="70" xfId="0" applyFont="1" applyFill="1" applyBorder="1" applyAlignment="1">
      <alignment horizontal="right" vertical="center"/>
    </xf>
    <xf numFmtId="0" fontId="192" fillId="90" borderId="128" xfId="0" applyFont="1" applyFill="1" applyBorder="1" applyAlignment="1">
      <alignment horizontal="right" vertical="center"/>
    </xf>
    <xf numFmtId="181" fontId="192" fillId="83" borderId="0" xfId="0" applyNumberFormat="1" applyFont="1" applyFill="1" applyAlignment="1">
      <alignment vertical="center"/>
    </xf>
    <xf numFmtId="171" fontId="192" fillId="83" borderId="0" xfId="0" applyNumberFormat="1" applyFont="1" applyFill="1" applyAlignment="1">
      <alignment vertical="center"/>
    </xf>
    <xf numFmtId="170" fontId="192" fillId="91" borderId="134" xfId="0" applyNumberFormat="1" applyFont="1" applyFill="1" applyBorder="1" applyAlignment="1">
      <alignment vertical="center" wrapText="1"/>
    </xf>
    <xf numFmtId="215" fontId="192" fillId="91" borderId="134" xfId="0" applyNumberFormat="1" applyFont="1" applyFill="1" applyBorder="1" applyAlignment="1">
      <alignment vertical="center" wrapText="1"/>
    </xf>
    <xf numFmtId="181" fontId="192" fillId="91" borderId="135" xfId="0" applyNumberFormat="1" applyFont="1" applyFill="1" applyBorder="1" applyAlignment="1">
      <alignment vertical="center" wrapText="1"/>
    </xf>
    <xf numFmtId="170" fontId="47" fillId="92" borderId="135" xfId="0" applyNumberFormat="1" applyFont="1" applyFill="1" applyBorder="1" applyAlignment="1">
      <alignment vertical="center" wrapText="1"/>
    </xf>
    <xf numFmtId="182" fontId="47" fillId="92" borderId="135" xfId="0" applyNumberFormat="1" applyFont="1" applyFill="1" applyBorder="1" applyAlignment="1">
      <alignment vertical="center" wrapText="1"/>
    </xf>
    <xf numFmtId="182" fontId="238" fillId="92" borderId="135" xfId="0" applyNumberFormat="1" applyFont="1" applyFill="1" applyBorder="1" applyAlignment="1">
      <alignment vertical="center" wrapText="1"/>
    </xf>
    <xf numFmtId="186" fontId="47" fillId="92" borderId="135" xfId="0" applyNumberFormat="1" applyFont="1" applyFill="1" applyBorder="1" applyAlignment="1">
      <alignment vertical="center" wrapText="1"/>
    </xf>
    <xf numFmtId="0" fontId="192" fillId="90" borderId="137" xfId="0" applyFont="1" applyFill="1" applyBorder="1" applyAlignment="1">
      <alignment horizontal="right" vertical="center"/>
    </xf>
    <xf numFmtId="0" fontId="192" fillId="75" borderId="136" xfId="0" applyFont="1" applyFill="1" applyBorder="1" applyAlignment="1">
      <alignment horizontal="right" vertical="center"/>
    </xf>
    <xf numFmtId="0" fontId="194" fillId="75" borderId="136" xfId="0" applyFont="1" applyFill="1" applyBorder="1" applyAlignment="1">
      <alignment horizontal="right" vertical="center"/>
    </xf>
    <xf numFmtId="0" fontId="192" fillId="90" borderId="139" xfId="0" applyFont="1" applyFill="1" applyBorder="1" applyAlignment="1">
      <alignment horizontal="right" vertical="center"/>
    </xf>
    <xf numFmtId="0" fontId="191" fillId="75" borderId="140" xfId="0" applyFont="1" applyFill="1" applyBorder="1" applyAlignment="1">
      <alignment horizontal="left" vertical="center" wrapText="1"/>
    </xf>
    <xf numFmtId="0" fontId="0" fillId="0" borderId="135" xfId="0" applyBorder="1"/>
    <xf numFmtId="0" fontId="12" fillId="0" borderId="135" xfId="0" applyFont="1" applyBorder="1"/>
    <xf numFmtId="171" fontId="210" fillId="0" borderId="135" xfId="0" applyNumberFormat="1" applyFont="1" applyBorder="1"/>
    <xf numFmtId="171" fontId="12" fillId="0" borderId="135" xfId="0" applyNumberFormat="1" applyFont="1" applyBorder="1"/>
    <xf numFmtId="185" fontId="12" fillId="0" borderId="135" xfId="0" applyNumberFormat="1" applyFont="1" applyBorder="1"/>
    <xf numFmtId="215" fontId="210" fillId="0" borderId="135" xfId="0" applyNumberFormat="1" applyFont="1" applyBorder="1"/>
    <xf numFmtId="185" fontId="33" fillId="0" borderId="135" xfId="0" applyNumberFormat="1" applyFont="1" applyBorder="1"/>
    <xf numFmtId="177" fontId="12" fillId="0" borderId="135" xfId="0" applyNumberFormat="1" applyFont="1" applyBorder="1"/>
    <xf numFmtId="182" fontId="12" fillId="0" borderId="135" xfId="0" applyNumberFormat="1" applyFont="1" applyBorder="1"/>
    <xf numFmtId="185" fontId="23" fillId="0" borderId="135" xfId="0" applyNumberFormat="1" applyFont="1" applyBorder="1"/>
    <xf numFmtId="169" fontId="210" fillId="0" borderId="135" xfId="0" applyNumberFormat="1" applyFont="1" applyBorder="1"/>
    <xf numFmtId="169" fontId="23" fillId="0" borderId="135" xfId="0" applyNumberFormat="1" applyFont="1" applyBorder="1"/>
    <xf numFmtId="0" fontId="191" fillId="75" borderId="87" xfId="0" applyFont="1" applyFill="1" applyBorder="1" applyAlignment="1">
      <alignment horizontal="center" vertical="center" wrapText="1"/>
    </xf>
    <xf numFmtId="0" fontId="191" fillId="75" borderId="0" xfId="0" applyFont="1" applyFill="1" applyAlignment="1">
      <alignment horizontal="left" vertical="center" wrapText="1"/>
    </xf>
    <xf numFmtId="0" fontId="192" fillId="83" borderId="0" xfId="0" applyFont="1" applyFill="1" applyAlignment="1">
      <alignment vertical="center" wrapText="1"/>
    </xf>
    <xf numFmtId="185" fontId="27" fillId="2" borderId="0" xfId="0" applyNumberFormat="1" applyFont="1" applyFill="1" applyAlignment="1">
      <alignment vertical="center" wrapText="1"/>
    </xf>
    <xf numFmtId="215" fontId="192" fillId="83" borderId="0" xfId="0" applyNumberFormat="1" applyFont="1" applyFill="1" applyAlignment="1">
      <alignment vertical="center" wrapText="1"/>
    </xf>
    <xf numFmtId="185" fontId="27" fillId="2" borderId="0" xfId="0" applyNumberFormat="1" applyFont="1" applyFill="1" applyAlignment="1">
      <alignment wrapText="1"/>
    </xf>
    <xf numFmtId="0" fontId="33" fillId="0" borderId="0" xfId="0" applyFont="1" applyAlignment="1">
      <alignment horizontal="left" vertical="center" wrapText="1" indent="1"/>
    </xf>
    <xf numFmtId="185" fontId="50" fillId="2" borderId="0" xfId="0" applyNumberFormat="1" applyFont="1" applyFill="1" applyAlignment="1">
      <alignment vertical="center" wrapText="1"/>
    </xf>
    <xf numFmtId="185" fontId="174" fillId="2" borderId="0" xfId="0" applyNumberFormat="1" applyFont="1" applyFill="1" applyAlignment="1">
      <alignment vertical="center" wrapText="1"/>
    </xf>
    <xf numFmtId="185" fontId="27" fillId="0" borderId="0" xfId="0" applyNumberFormat="1" applyFont="1" applyAlignment="1">
      <alignment vertical="center" wrapText="1"/>
    </xf>
    <xf numFmtId="185" fontId="24" fillId="2" borderId="0" xfId="0" applyNumberFormat="1" applyFont="1" applyFill="1" applyAlignment="1">
      <alignment vertical="center"/>
    </xf>
    <xf numFmtId="0" fontId="177" fillId="0" borderId="0" xfId="0" applyFont="1" applyAlignment="1">
      <alignment vertical="center" wrapText="1"/>
    </xf>
    <xf numFmtId="0" fontId="12" fillId="0" borderId="0" xfId="0" applyFont="1" applyAlignment="1">
      <alignment horizontal="left" vertical="center" wrapText="1"/>
    </xf>
    <xf numFmtId="0" fontId="47" fillId="0" borderId="0" xfId="0" applyFont="1" applyAlignment="1">
      <alignment vertical="center"/>
    </xf>
    <xf numFmtId="182" fontId="192" fillId="83" borderId="0" xfId="0" applyNumberFormat="1" applyFont="1" applyFill="1" applyAlignment="1">
      <alignment vertical="center"/>
    </xf>
    <xf numFmtId="0" fontId="192" fillId="83" borderId="125" xfId="0" applyFont="1" applyFill="1" applyBorder="1" applyAlignment="1">
      <alignment vertical="center" wrapText="1"/>
    </xf>
    <xf numFmtId="0" fontId="192" fillId="83" borderId="132" xfId="0" applyFont="1" applyFill="1" applyBorder="1" applyAlignment="1">
      <alignment vertical="center" wrapText="1"/>
    </xf>
    <xf numFmtId="181" fontId="192" fillId="83" borderId="132" xfId="0" applyNumberFormat="1" applyFont="1" applyFill="1" applyBorder="1" applyAlignment="1">
      <alignment vertical="center"/>
    </xf>
    <xf numFmtId="182" fontId="192" fillId="83" borderId="132" xfId="0" applyNumberFormat="1" applyFont="1" applyFill="1" applyBorder="1" applyAlignment="1">
      <alignment vertical="center"/>
    </xf>
    <xf numFmtId="181" fontId="192" fillId="91" borderId="142" xfId="0" applyNumberFormat="1" applyFont="1" applyFill="1" applyBorder="1" applyAlignment="1">
      <alignment vertical="center" wrapText="1"/>
    </xf>
    <xf numFmtId="171" fontId="192" fillId="83" borderId="132" xfId="0" applyNumberFormat="1" applyFont="1" applyFill="1" applyBorder="1" applyAlignment="1">
      <alignment vertical="center"/>
    </xf>
    <xf numFmtId="214" fontId="192" fillId="83" borderId="132" xfId="0" applyNumberFormat="1" applyFont="1" applyFill="1" applyBorder="1" applyAlignment="1">
      <alignment vertical="center"/>
    </xf>
    <xf numFmtId="214" fontId="192" fillId="83" borderId="0" xfId="0" applyNumberFormat="1" applyFont="1" applyFill="1" applyAlignment="1">
      <alignment vertical="center"/>
    </xf>
    <xf numFmtId="0" fontId="192" fillId="83" borderId="73" xfId="0" applyFont="1" applyFill="1" applyBorder="1" applyAlignment="1">
      <alignment vertical="center" wrapText="1"/>
    </xf>
    <xf numFmtId="171" fontId="192" fillId="83" borderId="73" xfId="0" applyNumberFormat="1" applyFont="1" applyFill="1" applyBorder="1" applyAlignment="1">
      <alignment vertical="center"/>
    </xf>
    <xf numFmtId="181" fontId="192" fillId="91" borderId="143" xfId="0" applyNumberFormat="1" applyFont="1" applyFill="1" applyBorder="1" applyAlignment="1">
      <alignment vertical="center" wrapText="1"/>
    </xf>
    <xf numFmtId="171" fontId="194" fillId="83" borderId="73" xfId="0" applyNumberFormat="1" applyFont="1" applyFill="1" applyBorder="1" applyAlignment="1">
      <alignment vertical="center"/>
    </xf>
    <xf numFmtId="182" fontId="192" fillId="83" borderId="73" xfId="0" applyNumberFormat="1" applyFont="1" applyFill="1" applyBorder="1" applyAlignment="1">
      <alignment vertical="center"/>
    </xf>
    <xf numFmtId="181" fontId="192" fillId="83" borderId="131" xfId="0" applyNumberFormat="1" applyFont="1" applyFill="1" applyBorder="1" applyAlignment="1">
      <alignment vertical="center"/>
    </xf>
    <xf numFmtId="214" fontId="192" fillId="83" borderId="133" xfId="0" applyNumberFormat="1" applyFont="1" applyFill="1" applyBorder="1" applyAlignment="1">
      <alignment vertical="center"/>
    </xf>
    <xf numFmtId="220" fontId="192" fillId="83" borderId="133" xfId="0" applyNumberFormat="1" applyFont="1" applyFill="1" applyBorder="1" applyAlignment="1">
      <alignment vertical="center"/>
    </xf>
    <xf numFmtId="171" fontId="192" fillId="83" borderId="138" xfId="0" applyNumberFormat="1" applyFont="1" applyFill="1" applyBorder="1" applyAlignment="1">
      <alignment vertical="center"/>
    </xf>
    <xf numFmtId="171" fontId="192" fillId="83" borderId="144" xfId="0" applyNumberFormat="1" applyFont="1" applyFill="1" applyBorder="1" applyAlignment="1">
      <alignment vertical="center"/>
    </xf>
    <xf numFmtId="170" fontId="192" fillId="91" borderId="142" xfId="0" applyNumberFormat="1" applyFont="1" applyFill="1" applyBorder="1" applyAlignment="1">
      <alignment vertical="center" wrapText="1"/>
    </xf>
    <xf numFmtId="171" fontId="192" fillId="83" borderId="131" xfId="0" applyNumberFormat="1" applyFont="1" applyFill="1" applyBorder="1" applyAlignment="1">
      <alignment vertical="center"/>
    </xf>
    <xf numFmtId="169" fontId="192" fillId="83" borderId="145" xfId="0" applyNumberFormat="1" applyFont="1" applyFill="1" applyBorder="1" applyAlignment="1">
      <alignment vertical="center"/>
    </xf>
    <xf numFmtId="169" fontId="192" fillId="83" borderId="73" xfId="0" applyNumberFormat="1" applyFont="1" applyFill="1" applyBorder="1" applyAlignment="1">
      <alignment vertical="center"/>
    </xf>
    <xf numFmtId="169" fontId="192" fillId="91" borderId="143" xfId="0" applyNumberFormat="1" applyFont="1" applyFill="1" applyBorder="1" applyAlignment="1">
      <alignment vertical="center" wrapText="1"/>
    </xf>
    <xf numFmtId="169" fontId="192" fillId="83" borderId="133" xfId="0" applyNumberFormat="1" applyFont="1" applyFill="1" applyBorder="1" applyAlignment="1">
      <alignment vertical="center"/>
    </xf>
    <xf numFmtId="171" fontId="194" fillId="83" borderId="132" xfId="0" applyNumberFormat="1" applyFont="1" applyFill="1" applyBorder="1" applyAlignment="1">
      <alignment vertical="center"/>
    </xf>
    <xf numFmtId="169" fontId="192" fillId="83" borderId="73" xfId="0" applyNumberFormat="1" applyFont="1" applyFill="1" applyBorder="1" applyAlignment="1">
      <alignment vertical="center" wrapText="1"/>
    </xf>
    <xf numFmtId="169" fontId="194" fillId="83" borderId="73" xfId="0" applyNumberFormat="1" applyFont="1" applyFill="1" applyBorder="1" applyAlignment="1">
      <alignment vertical="center"/>
    </xf>
    <xf numFmtId="170" fontId="2" fillId="2" borderId="0" xfId="0" applyNumberFormat="1" applyFont="1" applyFill="1"/>
    <xf numFmtId="169" fontId="2" fillId="2" borderId="0" xfId="7" applyNumberFormat="1" applyFont="1" applyFill="1"/>
    <xf numFmtId="169" fontId="50" fillId="2" borderId="0" xfId="7" applyNumberFormat="1" applyFont="1" applyFill="1" applyAlignment="1">
      <alignment vertical="center"/>
    </xf>
    <xf numFmtId="0" fontId="12" fillId="93" borderId="0" xfId="0" applyFont="1" applyFill="1" applyAlignment="1">
      <alignment horizontal="left" vertical="center" wrapText="1"/>
    </xf>
    <xf numFmtId="185" fontId="174" fillId="93" borderId="0" xfId="0" applyNumberFormat="1" applyFont="1" applyFill="1" applyAlignment="1">
      <alignment vertical="center" wrapText="1"/>
    </xf>
    <xf numFmtId="177" fontId="12" fillId="93" borderId="0" xfId="0" applyNumberFormat="1" applyFont="1" applyFill="1" applyAlignment="1">
      <alignment horizontal="right" vertical="center"/>
    </xf>
    <xf numFmtId="182" fontId="47" fillId="93" borderId="135" xfId="0" applyNumberFormat="1" applyFont="1" applyFill="1" applyBorder="1" applyAlignment="1">
      <alignment vertical="center" wrapText="1"/>
    </xf>
    <xf numFmtId="176" fontId="48" fillId="93" borderId="0" xfId="0" applyNumberFormat="1" applyFont="1" applyFill="1" applyAlignment="1">
      <alignment horizontal="right" vertical="center"/>
    </xf>
    <xf numFmtId="177" fontId="43" fillId="93" borderId="0" xfId="0" applyNumberFormat="1" applyFont="1" applyFill="1" applyAlignment="1">
      <alignment horizontal="right" vertical="center"/>
    </xf>
    <xf numFmtId="185" fontId="12" fillId="93" borderId="135" xfId="0" applyNumberFormat="1" applyFont="1" applyFill="1" applyBorder="1"/>
    <xf numFmtId="177" fontId="12" fillId="93" borderId="130" xfId="0" applyNumberFormat="1" applyFont="1" applyFill="1" applyBorder="1" applyAlignment="1">
      <alignment horizontal="right" vertical="center"/>
    </xf>
    <xf numFmtId="177" fontId="243" fillId="93" borderId="0" xfId="0" applyNumberFormat="1" applyFont="1" applyFill="1" applyAlignment="1">
      <alignment horizontal="right" vertical="center"/>
    </xf>
    <xf numFmtId="182" fontId="244" fillId="93" borderId="135" xfId="0" applyNumberFormat="1" applyFont="1" applyFill="1" applyBorder="1" applyAlignment="1">
      <alignment vertical="center" wrapText="1"/>
    </xf>
    <xf numFmtId="0" fontId="31" fillId="93" borderId="0" xfId="0" applyFont="1" applyFill="1" applyAlignment="1">
      <alignment horizontal="left" vertical="center" wrapText="1"/>
    </xf>
    <xf numFmtId="185" fontId="50" fillId="93" borderId="0" xfId="0" applyNumberFormat="1" applyFont="1" applyFill="1" applyAlignment="1">
      <alignment vertical="center" wrapText="1"/>
    </xf>
    <xf numFmtId="177" fontId="31" fillId="93" borderId="0" xfId="0" applyNumberFormat="1" applyFont="1" applyFill="1" applyAlignment="1">
      <alignment horizontal="right" vertical="center"/>
    </xf>
    <xf numFmtId="177" fontId="50" fillId="93" borderId="0" xfId="0" applyNumberFormat="1" applyFont="1" applyFill="1" applyAlignment="1">
      <alignment horizontal="right" vertical="center"/>
    </xf>
    <xf numFmtId="185" fontId="31" fillId="93" borderId="135" xfId="0" applyNumberFormat="1" applyFont="1" applyFill="1" applyBorder="1"/>
    <xf numFmtId="181" fontId="25" fillId="93" borderId="146" xfId="0" applyNumberFormat="1" applyFont="1" applyFill="1" applyBorder="1" applyAlignment="1">
      <alignment horizontal="right" vertical="center"/>
    </xf>
    <xf numFmtId="181" fontId="242" fillId="93" borderId="142" xfId="0" applyNumberFormat="1" applyFont="1" applyFill="1" applyBorder="1" applyAlignment="1">
      <alignment horizontal="right" vertical="center"/>
    </xf>
    <xf numFmtId="181" fontId="25" fillId="93" borderId="147" xfId="0" applyNumberFormat="1" applyFont="1" applyFill="1" applyBorder="1" applyAlignment="1">
      <alignment horizontal="right" vertical="center"/>
    </xf>
    <xf numFmtId="181" fontId="242" fillId="93" borderId="135" xfId="0" applyNumberFormat="1" applyFont="1" applyFill="1" applyBorder="1" applyAlignment="1">
      <alignment horizontal="right" vertical="center"/>
    </xf>
    <xf numFmtId="0" fontId="31" fillId="0" borderId="0" xfId="0" applyFont="1" applyAlignment="1">
      <alignment horizontal="left" vertical="center" wrapText="1"/>
    </xf>
    <xf numFmtId="185" fontId="50" fillId="0" borderId="0" xfId="0" applyNumberFormat="1" applyFont="1" applyAlignment="1">
      <alignment vertical="center" wrapText="1"/>
    </xf>
    <xf numFmtId="182" fontId="47" fillId="0" borderId="135" xfId="0" applyNumberFormat="1" applyFont="1" applyBorder="1" applyAlignment="1">
      <alignment vertical="center" wrapText="1"/>
    </xf>
    <xf numFmtId="177" fontId="50" fillId="0" borderId="0" xfId="0" applyNumberFormat="1" applyFont="1" applyAlignment="1">
      <alignment horizontal="right" vertical="center"/>
    </xf>
    <xf numFmtId="185" fontId="31" fillId="0" borderId="135" xfId="0" applyNumberFormat="1" applyFont="1" applyBorder="1"/>
    <xf numFmtId="177" fontId="12" fillId="0" borderId="130" xfId="0" applyNumberFormat="1" applyFont="1" applyBorder="1" applyAlignment="1">
      <alignment horizontal="right" vertical="center"/>
    </xf>
    <xf numFmtId="219" fontId="31" fillId="0" borderId="0" xfId="0" applyNumberFormat="1" applyFont="1"/>
    <xf numFmtId="169" fontId="12" fillId="0" borderId="0" xfId="7" applyNumberFormat="1" applyFont="1" applyAlignment="1">
      <alignment vertical="center"/>
    </xf>
    <xf numFmtId="169" fontId="28" fillId="2" borderId="0" xfId="7" applyNumberFormat="1" applyFont="1" applyFill="1"/>
    <xf numFmtId="0" fontId="1" fillId="2" borderId="89" xfId="0" applyFont="1" applyFill="1" applyBorder="1" applyAlignment="1">
      <alignment horizontal="left" vertical="center" wrapText="1" indent="4"/>
    </xf>
    <xf numFmtId="0" fontId="1" fillId="2" borderId="93" xfId="0" applyFont="1" applyFill="1" applyBorder="1" applyAlignment="1">
      <alignment horizontal="left" vertical="center" wrapText="1" indent="3"/>
    </xf>
    <xf numFmtId="170" fontId="1" fillId="2" borderId="71" xfId="0" applyNumberFormat="1" applyFont="1" applyFill="1" applyBorder="1" applyAlignment="1">
      <alignment horizontal="right" vertical="center"/>
    </xf>
    <xf numFmtId="170" fontId="49" fillId="2" borderId="71" xfId="0" applyNumberFormat="1" applyFont="1" applyFill="1" applyBorder="1" applyAlignment="1">
      <alignment horizontal="right" vertical="center"/>
    </xf>
    <xf numFmtId="170" fontId="45" fillId="80" borderId="96" xfId="0" applyNumberFormat="1" applyFont="1" applyFill="1" applyBorder="1" applyAlignment="1">
      <alignment vertical="center" wrapText="1"/>
    </xf>
    <xf numFmtId="181" fontId="31" fillId="0" borderId="71" xfId="0" applyNumberFormat="1" applyFont="1" applyBorder="1" applyAlignment="1">
      <alignment horizontal="right" vertical="center"/>
    </xf>
    <xf numFmtId="170" fontId="1" fillId="2" borderId="71" xfId="0" applyNumberFormat="1" applyFont="1" applyFill="1" applyBorder="1" applyAlignment="1">
      <alignment vertical="center"/>
    </xf>
    <xf numFmtId="170" fontId="49" fillId="2" borderId="71" xfId="0" applyNumberFormat="1" applyFont="1" applyFill="1" applyBorder="1" applyAlignment="1">
      <alignment vertical="center"/>
    </xf>
    <xf numFmtId="170" fontId="49" fillId="0" borderId="71" xfId="0" applyNumberFormat="1" applyFont="1" applyBorder="1" applyAlignment="1">
      <alignment vertical="center"/>
    </xf>
    <xf numFmtId="0" fontId="1" fillId="2" borderId="0" xfId="0" applyFont="1" applyFill="1" applyAlignment="1">
      <alignment vertical="center"/>
    </xf>
    <xf numFmtId="0" fontId="1" fillId="0" borderId="0" xfId="0" applyFont="1" applyAlignment="1">
      <alignment vertical="center"/>
    </xf>
    <xf numFmtId="181" fontId="25" fillId="93" borderId="0" xfId="0" applyNumberFormat="1" applyFont="1" applyFill="1" applyAlignment="1">
      <alignment horizontal="right" vertical="center"/>
    </xf>
    <xf numFmtId="177" fontId="31" fillId="78" borderId="0" xfId="0" applyNumberFormat="1" applyFont="1" applyFill="1"/>
    <xf numFmtId="170" fontId="15" fillId="2" borderId="0" xfId="0" applyNumberFormat="1" applyFont="1" applyFill="1" applyAlignment="1">
      <alignment vertical="center"/>
    </xf>
    <xf numFmtId="169" fontId="15" fillId="2" borderId="0" xfId="7" applyNumberFormat="1" applyFont="1" applyFill="1" applyAlignment="1">
      <alignment vertical="center"/>
    </xf>
    <xf numFmtId="182" fontId="12" fillId="0" borderId="0" xfId="42858" applyNumberFormat="1" applyFont="1" applyAlignment="1">
      <alignment vertical="center"/>
    </xf>
    <xf numFmtId="170" fontId="24" fillId="87" borderId="0" xfId="0" applyNumberFormat="1" applyFont="1" applyFill="1" applyAlignment="1">
      <alignment vertical="center"/>
    </xf>
    <xf numFmtId="170" fontId="50" fillId="2" borderId="0" xfId="0" applyNumberFormat="1" applyFont="1" applyFill="1"/>
    <xf numFmtId="169" fontId="50" fillId="2" borderId="0" xfId="7" applyNumberFormat="1" applyFont="1" applyFill="1"/>
    <xf numFmtId="170" fontId="31" fillId="0" borderId="0" xfId="0" applyNumberFormat="1" applyFont="1" applyAlignment="1">
      <alignment vertical="center"/>
    </xf>
    <xf numFmtId="169" fontId="0" fillId="2" borderId="0" xfId="7" applyNumberFormat="1" applyFont="1" applyFill="1" applyAlignment="1">
      <alignment wrapText="1"/>
    </xf>
    <xf numFmtId="169" fontId="0" fillId="0" borderId="0" xfId="7" applyNumberFormat="1" applyFont="1"/>
    <xf numFmtId="169" fontId="31" fillId="78" borderId="0" xfId="7" applyNumberFormat="1" applyFont="1" applyFill="1"/>
    <xf numFmtId="0" fontId="12" fillId="2" borderId="0" xfId="0" applyFont="1" applyFill="1" applyAlignment="1">
      <alignment horizontal="left" vertical="center" wrapText="1"/>
    </xf>
    <xf numFmtId="0" fontId="12" fillId="0" borderId="0" xfId="0" applyFont="1" applyAlignment="1">
      <alignment horizontal="left" vertical="center" wrapText="1"/>
    </xf>
    <xf numFmtId="0" fontId="191" fillId="75" borderId="69" xfId="0" applyFont="1" applyFill="1" applyBorder="1" applyAlignment="1">
      <alignment horizontal="center" vertical="center" wrapText="1"/>
    </xf>
    <xf numFmtId="0" fontId="191" fillId="75" borderId="141" xfId="0" applyFont="1" applyFill="1" applyBorder="1" applyAlignment="1">
      <alignment horizontal="center" vertical="center" wrapText="1"/>
    </xf>
    <xf numFmtId="0" fontId="191" fillId="75" borderId="140" xfId="0" applyFont="1" applyFill="1" applyBorder="1" applyAlignment="1">
      <alignment horizontal="center" vertical="center" wrapText="1"/>
    </xf>
    <xf numFmtId="0" fontId="194" fillId="75" borderId="74" xfId="0" applyFont="1" applyFill="1" applyBorder="1" applyAlignment="1">
      <alignment horizontal="center" vertical="center" wrapText="1"/>
    </xf>
    <xf numFmtId="0" fontId="194" fillId="75" borderId="68" xfId="0" applyFont="1" applyFill="1" applyBorder="1" applyAlignment="1">
      <alignment horizontal="center" vertical="center"/>
    </xf>
    <xf numFmtId="0" fontId="194" fillId="75" borderId="76" xfId="0" applyFont="1" applyFill="1" applyBorder="1" applyAlignment="1">
      <alignment horizontal="center" vertical="center"/>
    </xf>
    <xf numFmtId="0" fontId="194" fillId="75" borderId="68" xfId="0" applyFont="1" applyFill="1" applyBorder="1" applyAlignment="1">
      <alignment horizontal="center" vertical="center" wrapText="1"/>
    </xf>
    <xf numFmtId="0" fontId="194" fillId="75" borderId="76" xfId="0" applyFont="1" applyFill="1" applyBorder="1" applyAlignment="1">
      <alignment horizontal="center" vertical="center" wrapText="1"/>
    </xf>
    <xf numFmtId="0" fontId="194" fillId="75" borderId="0" xfId="0" applyFont="1" applyFill="1" applyAlignment="1">
      <alignment horizontal="center" vertical="center" wrapText="1"/>
    </xf>
    <xf numFmtId="0" fontId="194" fillId="75" borderId="0" xfId="0" applyFont="1" applyFill="1" applyAlignment="1">
      <alignment horizontal="center" vertical="center"/>
    </xf>
    <xf numFmtId="0" fontId="194" fillId="75" borderId="92" xfId="0" applyFont="1" applyFill="1" applyBorder="1" applyAlignment="1">
      <alignment horizontal="center" vertical="center"/>
    </xf>
    <xf numFmtId="0" fontId="194" fillId="75" borderId="97" xfId="0" applyFont="1" applyFill="1" applyBorder="1" applyAlignment="1">
      <alignment horizontal="center" vertical="center" wrapText="1"/>
    </xf>
    <xf numFmtId="0" fontId="194" fillId="75" borderId="92" xfId="0" applyFont="1" applyFill="1" applyBorder="1" applyAlignment="1">
      <alignment horizontal="center" vertical="center" wrapText="1"/>
    </xf>
    <xf numFmtId="0" fontId="191" fillId="75" borderId="68" xfId="0" applyFont="1" applyFill="1" applyBorder="1" applyAlignment="1">
      <alignment horizontal="center" vertical="center" wrapText="1"/>
    </xf>
    <xf numFmtId="0" fontId="194" fillId="75" borderId="103" xfId="20233" applyFont="1" applyFill="1" applyBorder="1" applyAlignment="1">
      <alignment horizontal="center" vertical="center" wrapText="1"/>
    </xf>
    <xf numFmtId="0" fontId="194" fillId="75" borderId="0" xfId="20233" applyFont="1" applyFill="1" applyAlignment="1">
      <alignment horizontal="center" vertical="center" wrapText="1"/>
    </xf>
    <xf numFmtId="0" fontId="194" fillId="75" borderId="104" xfId="20233" applyFont="1" applyFill="1" applyBorder="1" applyAlignment="1">
      <alignment horizontal="center" vertical="center" wrapText="1"/>
    </xf>
    <xf numFmtId="0" fontId="19" fillId="0" borderId="0" xfId="20233" applyFont="1" applyAlignment="1">
      <alignment horizontal="left" vertical="top" wrapText="1"/>
    </xf>
    <xf numFmtId="0" fontId="62" fillId="81" borderId="4" xfId="0" applyFont="1" applyFill="1" applyBorder="1" applyAlignment="1">
      <alignment horizontal="center" vertical="center" wrapText="1"/>
    </xf>
    <xf numFmtId="0" fontId="62" fillId="81" borderId="49" xfId="0" applyFont="1" applyFill="1" applyBorder="1" applyAlignment="1">
      <alignment horizontal="center" vertical="center" wrapText="1"/>
    </xf>
    <xf numFmtId="0" fontId="62" fillId="81" borderId="50" xfId="0" applyFont="1" applyFill="1" applyBorder="1" applyAlignment="1">
      <alignment horizontal="center" vertical="center" wrapText="1"/>
    </xf>
    <xf numFmtId="0" fontId="62" fillId="81" borderId="13" xfId="0" applyFont="1" applyFill="1" applyBorder="1" applyAlignment="1">
      <alignment horizontal="center" vertical="center" wrapText="1"/>
    </xf>
    <xf numFmtId="0" fontId="62" fillId="81" borderId="15" xfId="0" applyFont="1" applyFill="1" applyBorder="1" applyAlignment="1">
      <alignment horizontal="center" vertical="center" wrapText="1"/>
    </xf>
    <xf numFmtId="0" fontId="62" fillId="81" borderId="17" xfId="0" applyFont="1" applyFill="1" applyBorder="1" applyAlignment="1">
      <alignment horizontal="center" vertical="center" wrapText="1"/>
    </xf>
    <xf numFmtId="0" fontId="62" fillId="0" borderId="6"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50" xfId="0" applyFont="1" applyBorder="1" applyAlignment="1">
      <alignment horizontal="center" vertical="center" wrapText="1"/>
    </xf>
    <xf numFmtId="0" fontId="62" fillId="0" borderId="13" xfId="0" applyFont="1" applyBorder="1" applyAlignment="1">
      <alignment horizontal="center" vertical="center" wrapText="1"/>
    </xf>
    <xf numFmtId="0" fontId="65" fillId="81" borderId="15" xfId="0" applyFont="1" applyFill="1" applyBorder="1" applyAlignment="1">
      <alignment horizontal="center" vertical="center" wrapText="1"/>
    </xf>
    <xf numFmtId="0" fontId="65" fillId="81" borderId="17"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13" xfId="0" applyFont="1" applyBorder="1" applyAlignment="1">
      <alignment horizontal="center" vertical="center" wrapText="1"/>
    </xf>
    <xf numFmtId="0" fontId="65" fillId="81" borderId="50" xfId="0" applyFont="1" applyFill="1" applyBorder="1" applyAlignment="1">
      <alignment horizontal="center" vertical="center" wrapText="1"/>
    </xf>
    <xf numFmtId="0" fontId="65" fillId="81" borderId="13" xfId="0" applyFont="1" applyFill="1" applyBorder="1" applyAlignment="1">
      <alignment horizontal="center" vertical="center" wrapText="1"/>
    </xf>
    <xf numFmtId="0" fontId="17" fillId="81" borderId="15" xfId="0" applyFont="1" applyFill="1" applyBorder="1" applyAlignment="1">
      <alignment horizontal="center" vertical="center" wrapText="1"/>
    </xf>
    <xf numFmtId="0" fontId="17" fillId="81" borderId="17" xfId="0" applyFont="1" applyFill="1" applyBorder="1" applyAlignment="1">
      <alignment horizontal="center" vertical="center" wrapText="1"/>
    </xf>
    <xf numFmtId="0" fontId="239" fillId="75" borderId="68" xfId="0" applyFont="1" applyFill="1" applyBorder="1" applyAlignment="1">
      <alignment horizontal="center" vertical="center" wrapText="1"/>
    </xf>
    <xf numFmtId="0" fontId="194" fillId="75" borderId="4" xfId="0" applyFont="1" applyFill="1" applyBorder="1" applyAlignment="1">
      <alignment horizontal="center" vertical="center" wrapText="1"/>
    </xf>
    <xf numFmtId="0" fontId="194" fillId="75" borderId="49" xfId="0" applyFont="1" applyFill="1" applyBorder="1" applyAlignment="1">
      <alignment horizontal="center" vertical="center" wrapText="1"/>
    </xf>
    <xf numFmtId="0" fontId="19" fillId="0" borderId="0" xfId="0" applyFont="1" applyAlignment="1">
      <alignment horizontal="left" vertical="top" wrapText="1"/>
    </xf>
    <xf numFmtId="0" fontId="194" fillId="75" borderId="50" xfId="0" applyFont="1" applyFill="1" applyBorder="1" applyAlignment="1">
      <alignment horizontal="center" vertical="center" wrapText="1"/>
    </xf>
    <xf numFmtId="0" fontId="194" fillId="75" borderId="13" xfId="0" applyFont="1" applyFill="1" applyBorder="1" applyAlignment="1">
      <alignment horizontal="center" vertical="center" wrapText="1"/>
    </xf>
  </cellXfs>
  <cellStyles count="42859">
    <cellStyle name="%" xfId="21" xr:uid="{00000000-0005-0000-0000-000000000000}"/>
    <cellStyle name="% 2" xfId="22" xr:uid="{00000000-0005-0000-0000-000001000000}"/>
    <cellStyle name=",000" xfId="23" xr:uid="{00000000-0005-0000-0000-000002000000}"/>
    <cellStyle name="_6440_Tax" xfId="24" xr:uid="{00000000-0005-0000-0000-000003000000}"/>
    <cellStyle name="=D:\WINNT\SYSTEM32\COMMAND.COM" xfId="25" xr:uid="{00000000-0005-0000-0000-000004000000}"/>
    <cellStyle name="0" xfId="26" xr:uid="{00000000-0005-0000-0000-000005000000}"/>
    <cellStyle name="0,0" xfId="27" xr:uid="{00000000-0005-0000-0000-000006000000}"/>
    <cellStyle name="0,00" xfId="28" xr:uid="{00000000-0005-0000-0000-000007000000}"/>
    <cellStyle name="0_BP2" xfId="29" xr:uid="{00000000-0005-0000-0000-000008000000}"/>
    <cellStyle name="0_BP3" xfId="30" xr:uid="{00000000-0005-0000-0000-000009000000}"/>
    <cellStyle name="0_BP3_Financial Statements_01_2010" xfId="31" xr:uid="{00000000-0005-0000-0000-00000A000000}"/>
    <cellStyle name="0_BP3_Financial Statements_02_2010" xfId="32" xr:uid="{00000000-0005-0000-0000-00000B000000}"/>
    <cellStyle name="0_BP3_Financial Statements_12_2009_NewBud" xfId="33" xr:uid="{00000000-0005-0000-0000-00000C000000}"/>
    <cellStyle name="1000-sep_Ark1" xfId="34" xr:uid="{00000000-0005-0000-0000-00000D000000}"/>
    <cellStyle name="1000-sep+,00_Slideshow" xfId="35" xr:uid="{00000000-0005-0000-0000-00000E000000}"/>
    <cellStyle name="20% - 1. jelölőszín" xfId="36" xr:uid="{00000000-0005-0000-0000-00000F000000}"/>
    <cellStyle name="20% - 2. jelölőszín" xfId="37" xr:uid="{00000000-0005-0000-0000-000010000000}"/>
    <cellStyle name="20% - 3. jelölőszín" xfId="38" xr:uid="{00000000-0005-0000-0000-000011000000}"/>
    <cellStyle name="20% - 4. jelölőszín" xfId="39" xr:uid="{00000000-0005-0000-0000-000012000000}"/>
    <cellStyle name="20% - 5. jelölőszín" xfId="40" xr:uid="{00000000-0005-0000-0000-000013000000}"/>
    <cellStyle name="20% - akcent 1 10" xfId="41" xr:uid="{00000000-0005-0000-0000-000014000000}"/>
    <cellStyle name="20% - akcent 1 100" xfId="42" xr:uid="{00000000-0005-0000-0000-000015000000}"/>
    <cellStyle name="20% - akcent 1 100 2" xfId="43" xr:uid="{00000000-0005-0000-0000-000016000000}"/>
    <cellStyle name="20% - akcent 1 101" xfId="44" xr:uid="{00000000-0005-0000-0000-000017000000}"/>
    <cellStyle name="20% - akcent 1 101 2" xfId="45" xr:uid="{00000000-0005-0000-0000-000018000000}"/>
    <cellStyle name="20% - akcent 1 102" xfId="46" xr:uid="{00000000-0005-0000-0000-000019000000}"/>
    <cellStyle name="20% - akcent 1 102 2" xfId="47" xr:uid="{00000000-0005-0000-0000-00001A000000}"/>
    <cellStyle name="20% - akcent 1 103" xfId="48" xr:uid="{00000000-0005-0000-0000-00001B000000}"/>
    <cellStyle name="20% - akcent 1 103 2" xfId="49" xr:uid="{00000000-0005-0000-0000-00001C000000}"/>
    <cellStyle name="20% - akcent 1 104" xfId="50" xr:uid="{00000000-0005-0000-0000-00001D000000}"/>
    <cellStyle name="20% - akcent 1 104 2" xfId="51" xr:uid="{00000000-0005-0000-0000-00001E000000}"/>
    <cellStyle name="20% - akcent 1 105" xfId="52" xr:uid="{00000000-0005-0000-0000-00001F000000}"/>
    <cellStyle name="20% - akcent 1 105 2" xfId="53" xr:uid="{00000000-0005-0000-0000-000020000000}"/>
    <cellStyle name="20% - akcent 1 106" xfId="54" xr:uid="{00000000-0005-0000-0000-000021000000}"/>
    <cellStyle name="20% - akcent 1 106 2" xfId="55" xr:uid="{00000000-0005-0000-0000-000022000000}"/>
    <cellStyle name="20% - akcent 1 107" xfId="56" xr:uid="{00000000-0005-0000-0000-000023000000}"/>
    <cellStyle name="20% - akcent 1 107 2" xfId="57" xr:uid="{00000000-0005-0000-0000-000024000000}"/>
    <cellStyle name="20% - akcent 1 108" xfId="58" xr:uid="{00000000-0005-0000-0000-000025000000}"/>
    <cellStyle name="20% - akcent 1 108 2" xfId="59" xr:uid="{00000000-0005-0000-0000-000026000000}"/>
    <cellStyle name="20% - akcent 1 109" xfId="60" xr:uid="{00000000-0005-0000-0000-000027000000}"/>
    <cellStyle name="20% - akcent 1 109 2" xfId="61" xr:uid="{00000000-0005-0000-0000-000028000000}"/>
    <cellStyle name="20% - akcent 1 11" xfId="62" xr:uid="{00000000-0005-0000-0000-000029000000}"/>
    <cellStyle name="20% - akcent 1 110" xfId="63" xr:uid="{00000000-0005-0000-0000-00002A000000}"/>
    <cellStyle name="20% - akcent 1 110 2" xfId="64" xr:uid="{00000000-0005-0000-0000-00002B000000}"/>
    <cellStyle name="20% - akcent 1 111" xfId="65" xr:uid="{00000000-0005-0000-0000-00002C000000}"/>
    <cellStyle name="20% - akcent 1 111 2" xfId="66" xr:uid="{00000000-0005-0000-0000-00002D000000}"/>
    <cellStyle name="20% - akcent 1 112" xfId="67" xr:uid="{00000000-0005-0000-0000-00002E000000}"/>
    <cellStyle name="20% - akcent 1 112 2" xfId="68" xr:uid="{00000000-0005-0000-0000-00002F000000}"/>
    <cellStyle name="20% - akcent 1 113" xfId="69" xr:uid="{00000000-0005-0000-0000-000030000000}"/>
    <cellStyle name="20% - akcent 1 113 2" xfId="70" xr:uid="{00000000-0005-0000-0000-000031000000}"/>
    <cellStyle name="20% - akcent 1 114" xfId="71" xr:uid="{00000000-0005-0000-0000-000032000000}"/>
    <cellStyle name="20% - akcent 1 114 2" xfId="72" xr:uid="{00000000-0005-0000-0000-000033000000}"/>
    <cellStyle name="20% - akcent 1 115" xfId="73" xr:uid="{00000000-0005-0000-0000-000034000000}"/>
    <cellStyle name="20% - akcent 1 115 2" xfId="74" xr:uid="{00000000-0005-0000-0000-000035000000}"/>
    <cellStyle name="20% - akcent 1 116" xfId="75" xr:uid="{00000000-0005-0000-0000-000036000000}"/>
    <cellStyle name="20% - akcent 1 116 2" xfId="76" xr:uid="{00000000-0005-0000-0000-000037000000}"/>
    <cellStyle name="20% - akcent 1 117" xfId="77" xr:uid="{00000000-0005-0000-0000-000038000000}"/>
    <cellStyle name="20% - akcent 1 117 2" xfId="78" xr:uid="{00000000-0005-0000-0000-000039000000}"/>
    <cellStyle name="20% - akcent 1 118" xfId="79" xr:uid="{00000000-0005-0000-0000-00003A000000}"/>
    <cellStyle name="20% - akcent 1 118 2" xfId="80" xr:uid="{00000000-0005-0000-0000-00003B000000}"/>
    <cellStyle name="20% - akcent 1 119" xfId="81" xr:uid="{00000000-0005-0000-0000-00003C000000}"/>
    <cellStyle name="20% - akcent 1 119 2" xfId="82" xr:uid="{00000000-0005-0000-0000-00003D000000}"/>
    <cellStyle name="20% - akcent 1 12" xfId="83" xr:uid="{00000000-0005-0000-0000-00003E000000}"/>
    <cellStyle name="20% - akcent 1 120" xfId="84" xr:uid="{00000000-0005-0000-0000-00003F000000}"/>
    <cellStyle name="20% - akcent 1 121" xfId="85" xr:uid="{00000000-0005-0000-0000-000040000000}"/>
    <cellStyle name="20% - akcent 1 13" xfId="86" xr:uid="{00000000-0005-0000-0000-000041000000}"/>
    <cellStyle name="20% - akcent 1 14" xfId="87" xr:uid="{00000000-0005-0000-0000-000042000000}"/>
    <cellStyle name="20% - akcent 1 15" xfId="88" xr:uid="{00000000-0005-0000-0000-000043000000}"/>
    <cellStyle name="20% - akcent 1 16" xfId="89" xr:uid="{00000000-0005-0000-0000-000044000000}"/>
    <cellStyle name="20% - akcent 1 17" xfId="90" xr:uid="{00000000-0005-0000-0000-000045000000}"/>
    <cellStyle name="20% - akcent 1 18" xfId="91" xr:uid="{00000000-0005-0000-0000-000046000000}"/>
    <cellStyle name="20% - akcent 1 19" xfId="92" xr:uid="{00000000-0005-0000-0000-000047000000}"/>
    <cellStyle name="20% - akcent 1 2" xfId="93" xr:uid="{00000000-0005-0000-0000-000048000000}"/>
    <cellStyle name="20% - akcent 1 2 2" xfId="94" xr:uid="{00000000-0005-0000-0000-000049000000}"/>
    <cellStyle name="20% - akcent 1 2 22" xfId="95" xr:uid="{00000000-0005-0000-0000-00004A000000}"/>
    <cellStyle name="20% - akcent 1 2 22 2" xfId="96" xr:uid="{00000000-0005-0000-0000-00004B000000}"/>
    <cellStyle name="20% - akcent 1 2 22 3" xfId="97" xr:uid="{00000000-0005-0000-0000-00004C000000}"/>
    <cellStyle name="20% - akcent 1 2 22 4" xfId="98" xr:uid="{00000000-0005-0000-0000-00004D000000}"/>
    <cellStyle name="20% - akcent 1 2 22 5" xfId="99" xr:uid="{00000000-0005-0000-0000-00004E000000}"/>
    <cellStyle name="20% - akcent 1 2 22 6" xfId="100" xr:uid="{00000000-0005-0000-0000-00004F000000}"/>
    <cellStyle name="20% - akcent 1 2 23" xfId="101" xr:uid="{00000000-0005-0000-0000-000050000000}"/>
    <cellStyle name="20% - akcent 1 2 23 2" xfId="102" xr:uid="{00000000-0005-0000-0000-000051000000}"/>
    <cellStyle name="20% - akcent 1 2 23 3" xfId="103" xr:uid="{00000000-0005-0000-0000-000052000000}"/>
    <cellStyle name="20% - akcent 1 2 23 4" xfId="104" xr:uid="{00000000-0005-0000-0000-000053000000}"/>
    <cellStyle name="20% - akcent 1 2 23 5" xfId="105" xr:uid="{00000000-0005-0000-0000-000054000000}"/>
    <cellStyle name="20% - akcent 1 2 23 6" xfId="106" xr:uid="{00000000-0005-0000-0000-000055000000}"/>
    <cellStyle name="20% - akcent 1 2 24" xfId="107" xr:uid="{00000000-0005-0000-0000-000056000000}"/>
    <cellStyle name="20% - akcent 1 2 24 2" xfId="108" xr:uid="{00000000-0005-0000-0000-000057000000}"/>
    <cellStyle name="20% - akcent 1 2 24 3" xfId="109" xr:uid="{00000000-0005-0000-0000-000058000000}"/>
    <cellStyle name="20% - akcent 1 2 24 4" xfId="110" xr:uid="{00000000-0005-0000-0000-000059000000}"/>
    <cellStyle name="20% - akcent 1 2 24 5" xfId="111" xr:uid="{00000000-0005-0000-0000-00005A000000}"/>
    <cellStyle name="20% - akcent 1 2 24 6" xfId="112" xr:uid="{00000000-0005-0000-0000-00005B000000}"/>
    <cellStyle name="20% - akcent 1 2 25" xfId="113" xr:uid="{00000000-0005-0000-0000-00005C000000}"/>
    <cellStyle name="20% - akcent 1 2 25 2" xfId="114" xr:uid="{00000000-0005-0000-0000-00005D000000}"/>
    <cellStyle name="20% - akcent 1 2 25 3" xfId="115" xr:uid="{00000000-0005-0000-0000-00005E000000}"/>
    <cellStyle name="20% - akcent 1 2 25 4" xfId="116" xr:uid="{00000000-0005-0000-0000-00005F000000}"/>
    <cellStyle name="20% - akcent 1 2 25 5" xfId="117" xr:uid="{00000000-0005-0000-0000-000060000000}"/>
    <cellStyle name="20% - akcent 1 2 25 6" xfId="118" xr:uid="{00000000-0005-0000-0000-000061000000}"/>
    <cellStyle name="20% - akcent 1 2 26" xfId="119" xr:uid="{00000000-0005-0000-0000-000062000000}"/>
    <cellStyle name="20% - akcent 1 2 26 2" xfId="120" xr:uid="{00000000-0005-0000-0000-000063000000}"/>
    <cellStyle name="20% - akcent 1 2 26 3" xfId="121" xr:uid="{00000000-0005-0000-0000-000064000000}"/>
    <cellStyle name="20% - akcent 1 2 26 4" xfId="122" xr:uid="{00000000-0005-0000-0000-000065000000}"/>
    <cellStyle name="20% - akcent 1 2 26 5" xfId="123" xr:uid="{00000000-0005-0000-0000-000066000000}"/>
    <cellStyle name="20% - akcent 1 2 26 6" xfId="124" xr:uid="{00000000-0005-0000-0000-000067000000}"/>
    <cellStyle name="20% - akcent 1 2 27" xfId="125" xr:uid="{00000000-0005-0000-0000-000068000000}"/>
    <cellStyle name="20% - akcent 1 2 27 2" xfId="126" xr:uid="{00000000-0005-0000-0000-000069000000}"/>
    <cellStyle name="20% - akcent 1 2 27 3" xfId="127" xr:uid="{00000000-0005-0000-0000-00006A000000}"/>
    <cellStyle name="20% - akcent 1 2 27 4" xfId="128" xr:uid="{00000000-0005-0000-0000-00006B000000}"/>
    <cellStyle name="20% - akcent 1 2 27 5" xfId="129" xr:uid="{00000000-0005-0000-0000-00006C000000}"/>
    <cellStyle name="20% - akcent 1 2 27 6" xfId="130" xr:uid="{00000000-0005-0000-0000-00006D000000}"/>
    <cellStyle name="20% - akcent 1 2 28" xfId="131" xr:uid="{00000000-0005-0000-0000-00006E000000}"/>
    <cellStyle name="20% - akcent 1 2 28 2" xfId="132" xr:uid="{00000000-0005-0000-0000-00006F000000}"/>
    <cellStyle name="20% - akcent 1 2 28 3" xfId="133" xr:uid="{00000000-0005-0000-0000-000070000000}"/>
    <cellStyle name="20% - akcent 1 2 28 4" xfId="134" xr:uid="{00000000-0005-0000-0000-000071000000}"/>
    <cellStyle name="20% - akcent 1 2 28 5" xfId="135" xr:uid="{00000000-0005-0000-0000-000072000000}"/>
    <cellStyle name="20% - akcent 1 2 28 6" xfId="136" xr:uid="{00000000-0005-0000-0000-000073000000}"/>
    <cellStyle name="20% - akcent 1 2 29" xfId="137" xr:uid="{00000000-0005-0000-0000-000074000000}"/>
    <cellStyle name="20% - akcent 1 2 29 2" xfId="138" xr:uid="{00000000-0005-0000-0000-000075000000}"/>
    <cellStyle name="20% - akcent 1 2 3" xfId="139" xr:uid="{00000000-0005-0000-0000-000076000000}"/>
    <cellStyle name="20% - akcent 1 2 3 2" xfId="140" xr:uid="{00000000-0005-0000-0000-000077000000}"/>
    <cellStyle name="20% - akcent 1 2 3 3" xfId="141" xr:uid="{00000000-0005-0000-0000-000078000000}"/>
    <cellStyle name="20% - akcent 1 2 3 4" xfId="142" xr:uid="{00000000-0005-0000-0000-000079000000}"/>
    <cellStyle name="20% - akcent 1 2 3 5" xfId="143" xr:uid="{00000000-0005-0000-0000-00007A000000}"/>
    <cellStyle name="20% - akcent 1 2 3 6" xfId="144" xr:uid="{00000000-0005-0000-0000-00007B000000}"/>
    <cellStyle name="20% - akcent 1 2 3 7" xfId="145" xr:uid="{00000000-0005-0000-0000-00007C000000}"/>
    <cellStyle name="20% - akcent 1 2 30" xfId="146" xr:uid="{00000000-0005-0000-0000-00007D000000}"/>
    <cellStyle name="20% - akcent 1 2 30 2" xfId="147" xr:uid="{00000000-0005-0000-0000-00007E000000}"/>
    <cellStyle name="20% - akcent 1 2 31" xfId="148" xr:uid="{00000000-0005-0000-0000-00007F000000}"/>
    <cellStyle name="20% - akcent 1 2 31 2" xfId="149" xr:uid="{00000000-0005-0000-0000-000080000000}"/>
    <cellStyle name="20% - akcent 1 2 32" xfId="150" xr:uid="{00000000-0005-0000-0000-000081000000}"/>
    <cellStyle name="20% - akcent 1 2 32 2" xfId="151" xr:uid="{00000000-0005-0000-0000-000082000000}"/>
    <cellStyle name="20% - akcent 1 2 33" xfId="152" xr:uid="{00000000-0005-0000-0000-000083000000}"/>
    <cellStyle name="20% - akcent 1 2 34" xfId="153" xr:uid="{00000000-0005-0000-0000-000084000000}"/>
    <cellStyle name="20% - akcent 1 2 35" xfId="154" xr:uid="{00000000-0005-0000-0000-000085000000}"/>
    <cellStyle name="20% - akcent 1 2 36" xfId="155" xr:uid="{00000000-0005-0000-0000-000086000000}"/>
    <cellStyle name="20% - akcent 1 2 37" xfId="156" xr:uid="{00000000-0005-0000-0000-000087000000}"/>
    <cellStyle name="20% - akcent 1 2 38" xfId="157" xr:uid="{00000000-0005-0000-0000-000088000000}"/>
    <cellStyle name="20% - akcent 1 2 39" xfId="158" xr:uid="{00000000-0005-0000-0000-000089000000}"/>
    <cellStyle name="20% - akcent 1 2 4" xfId="159" xr:uid="{00000000-0005-0000-0000-00008A000000}"/>
    <cellStyle name="20% - akcent 1 2 4 2" xfId="160" xr:uid="{00000000-0005-0000-0000-00008B000000}"/>
    <cellStyle name="20% - akcent 1 2 4 3" xfId="161" xr:uid="{00000000-0005-0000-0000-00008C000000}"/>
    <cellStyle name="20% - akcent 1 2 4 4" xfId="162" xr:uid="{00000000-0005-0000-0000-00008D000000}"/>
    <cellStyle name="20% - akcent 1 2 4 5" xfId="163" xr:uid="{00000000-0005-0000-0000-00008E000000}"/>
    <cellStyle name="20% - akcent 1 2 4 6" xfId="164" xr:uid="{00000000-0005-0000-0000-00008F000000}"/>
    <cellStyle name="20% - akcent 1 2 4 7" xfId="165" xr:uid="{00000000-0005-0000-0000-000090000000}"/>
    <cellStyle name="20% - akcent 1 2 48" xfId="166" xr:uid="{00000000-0005-0000-0000-000091000000}"/>
    <cellStyle name="20% - akcent 1 2 49" xfId="167" xr:uid="{00000000-0005-0000-0000-000092000000}"/>
    <cellStyle name="20% - akcent 1 2 5" xfId="168" xr:uid="{00000000-0005-0000-0000-000093000000}"/>
    <cellStyle name="20% - akcent 1 2 5 3" xfId="169" xr:uid="{00000000-0005-0000-0000-000094000000}"/>
    <cellStyle name="20% - akcent 1 2 5 4" xfId="170" xr:uid="{00000000-0005-0000-0000-000095000000}"/>
    <cellStyle name="20% - akcent 1 2 5 5" xfId="171" xr:uid="{00000000-0005-0000-0000-000096000000}"/>
    <cellStyle name="20% - akcent 1 2 5 6" xfId="172" xr:uid="{00000000-0005-0000-0000-000097000000}"/>
    <cellStyle name="20% - akcent 1 2 50" xfId="173" xr:uid="{00000000-0005-0000-0000-000098000000}"/>
    <cellStyle name="20% - akcent 1 2 51" xfId="174" xr:uid="{00000000-0005-0000-0000-000099000000}"/>
    <cellStyle name="20% - akcent 1 2 6" xfId="175" xr:uid="{00000000-0005-0000-0000-00009A000000}"/>
    <cellStyle name="20% - akcent 1 2 6 2" xfId="176" xr:uid="{00000000-0005-0000-0000-00009B000000}"/>
    <cellStyle name="20% - akcent 1 2 6 3" xfId="177" xr:uid="{00000000-0005-0000-0000-00009C000000}"/>
    <cellStyle name="20% - akcent 1 2 6 4" xfId="178" xr:uid="{00000000-0005-0000-0000-00009D000000}"/>
    <cellStyle name="20% - akcent 1 2 6 5" xfId="179" xr:uid="{00000000-0005-0000-0000-00009E000000}"/>
    <cellStyle name="20% - akcent 1 2 6 6" xfId="180" xr:uid="{00000000-0005-0000-0000-00009F000000}"/>
    <cellStyle name="20% - akcent 1 2 7" xfId="181" xr:uid="{00000000-0005-0000-0000-0000A0000000}"/>
    <cellStyle name="20% - akcent 1 2 7 2" xfId="182" xr:uid="{00000000-0005-0000-0000-0000A1000000}"/>
    <cellStyle name="20% - akcent 1 2 7 3" xfId="183" xr:uid="{00000000-0005-0000-0000-0000A2000000}"/>
    <cellStyle name="20% - akcent 1 2 7 4" xfId="184" xr:uid="{00000000-0005-0000-0000-0000A3000000}"/>
    <cellStyle name="20% - akcent 1 2 7 5" xfId="185" xr:uid="{00000000-0005-0000-0000-0000A4000000}"/>
    <cellStyle name="20% - akcent 1 2 7 6" xfId="186" xr:uid="{00000000-0005-0000-0000-0000A5000000}"/>
    <cellStyle name="20% - akcent 1 2 8" xfId="187" xr:uid="{00000000-0005-0000-0000-0000A6000000}"/>
    <cellStyle name="20% - akcent 1 2 8 2" xfId="188" xr:uid="{00000000-0005-0000-0000-0000A7000000}"/>
    <cellStyle name="20% - akcent 1 2 8 3" xfId="189" xr:uid="{00000000-0005-0000-0000-0000A8000000}"/>
    <cellStyle name="20% - akcent 1 2 8 4" xfId="190" xr:uid="{00000000-0005-0000-0000-0000A9000000}"/>
    <cellStyle name="20% - akcent 1 2 8 5" xfId="191" xr:uid="{00000000-0005-0000-0000-0000AA000000}"/>
    <cellStyle name="20% - akcent 1 2 8 6" xfId="192" xr:uid="{00000000-0005-0000-0000-0000AB000000}"/>
    <cellStyle name="20% - akcent 1 2 9" xfId="193" xr:uid="{00000000-0005-0000-0000-0000AC000000}"/>
    <cellStyle name="20% - akcent 1 2 9 2" xfId="194" xr:uid="{00000000-0005-0000-0000-0000AD000000}"/>
    <cellStyle name="20% - akcent 1 2 9 3" xfId="195" xr:uid="{00000000-0005-0000-0000-0000AE000000}"/>
    <cellStyle name="20% - akcent 1 2 9 4" xfId="196" xr:uid="{00000000-0005-0000-0000-0000AF000000}"/>
    <cellStyle name="20% - akcent 1 2 9 5" xfId="197" xr:uid="{00000000-0005-0000-0000-0000B0000000}"/>
    <cellStyle name="20% - akcent 1 2 9 6" xfId="198" xr:uid="{00000000-0005-0000-0000-0000B1000000}"/>
    <cellStyle name="20% - akcent 1 20" xfId="199" xr:uid="{00000000-0005-0000-0000-0000B2000000}"/>
    <cellStyle name="20% - akcent 1 21" xfId="200" xr:uid="{00000000-0005-0000-0000-0000B3000000}"/>
    <cellStyle name="20% - akcent 1 22" xfId="201" xr:uid="{00000000-0005-0000-0000-0000B4000000}"/>
    <cellStyle name="20% - akcent 1 23" xfId="202" xr:uid="{00000000-0005-0000-0000-0000B5000000}"/>
    <cellStyle name="20% - akcent 1 24" xfId="203" xr:uid="{00000000-0005-0000-0000-0000B6000000}"/>
    <cellStyle name="20% - akcent 1 25" xfId="204" xr:uid="{00000000-0005-0000-0000-0000B7000000}"/>
    <cellStyle name="20% - akcent 1 26" xfId="205" xr:uid="{00000000-0005-0000-0000-0000B8000000}"/>
    <cellStyle name="20% - akcent 1 27" xfId="206" xr:uid="{00000000-0005-0000-0000-0000B9000000}"/>
    <cellStyle name="20% - akcent 1 28" xfId="207" xr:uid="{00000000-0005-0000-0000-0000BA000000}"/>
    <cellStyle name="20% - akcent 1 29" xfId="208" xr:uid="{00000000-0005-0000-0000-0000BB000000}"/>
    <cellStyle name="20% - akcent 1 3" xfId="209" xr:uid="{00000000-0005-0000-0000-0000BC000000}"/>
    <cellStyle name="20% - akcent 1 3 2" xfId="210" xr:uid="{00000000-0005-0000-0000-0000BD000000}"/>
    <cellStyle name="20% - akcent 1 3 2 2" xfId="211" xr:uid="{00000000-0005-0000-0000-0000BE000000}"/>
    <cellStyle name="20% - akcent 1 3 3" xfId="212" xr:uid="{00000000-0005-0000-0000-0000BF000000}"/>
    <cellStyle name="20% - akcent 1 3 3 2" xfId="213" xr:uid="{00000000-0005-0000-0000-0000C0000000}"/>
    <cellStyle name="20% - akcent 1 3 4" xfId="214" xr:uid="{00000000-0005-0000-0000-0000C1000000}"/>
    <cellStyle name="20% - akcent 1 3 4 2" xfId="215" xr:uid="{00000000-0005-0000-0000-0000C2000000}"/>
    <cellStyle name="20% - akcent 1 3 5" xfId="216" xr:uid="{00000000-0005-0000-0000-0000C3000000}"/>
    <cellStyle name="20% - akcent 1 3 6" xfId="217" xr:uid="{00000000-0005-0000-0000-0000C4000000}"/>
    <cellStyle name="20% - akcent 1 3 7" xfId="218" xr:uid="{00000000-0005-0000-0000-0000C5000000}"/>
    <cellStyle name="20% - akcent 1 3 8" xfId="219" xr:uid="{00000000-0005-0000-0000-0000C6000000}"/>
    <cellStyle name="20% - akcent 1 30" xfId="220" xr:uid="{00000000-0005-0000-0000-0000C7000000}"/>
    <cellStyle name="20% - akcent 1 30 2" xfId="221" xr:uid="{00000000-0005-0000-0000-0000C8000000}"/>
    <cellStyle name="20% - akcent 1 31" xfId="222" xr:uid="{00000000-0005-0000-0000-0000C9000000}"/>
    <cellStyle name="20% - akcent 1 31 2" xfId="223" xr:uid="{00000000-0005-0000-0000-0000CA000000}"/>
    <cellStyle name="20% - akcent 1 32" xfId="224" xr:uid="{00000000-0005-0000-0000-0000CB000000}"/>
    <cellStyle name="20% - akcent 1 32 2" xfId="225" xr:uid="{00000000-0005-0000-0000-0000CC000000}"/>
    <cellStyle name="20% - akcent 1 33" xfId="226" xr:uid="{00000000-0005-0000-0000-0000CD000000}"/>
    <cellStyle name="20% - akcent 1 33 2" xfId="227" xr:uid="{00000000-0005-0000-0000-0000CE000000}"/>
    <cellStyle name="20% - akcent 1 34" xfId="228" xr:uid="{00000000-0005-0000-0000-0000CF000000}"/>
    <cellStyle name="20% - akcent 1 34 2" xfId="229" xr:uid="{00000000-0005-0000-0000-0000D0000000}"/>
    <cellStyle name="20% - akcent 1 35" xfId="230" xr:uid="{00000000-0005-0000-0000-0000D1000000}"/>
    <cellStyle name="20% - akcent 1 35 2" xfId="231" xr:uid="{00000000-0005-0000-0000-0000D2000000}"/>
    <cellStyle name="20% - akcent 1 36" xfId="232" xr:uid="{00000000-0005-0000-0000-0000D3000000}"/>
    <cellStyle name="20% - akcent 1 36 2" xfId="233" xr:uid="{00000000-0005-0000-0000-0000D4000000}"/>
    <cellStyle name="20% - akcent 1 37" xfId="234" xr:uid="{00000000-0005-0000-0000-0000D5000000}"/>
    <cellStyle name="20% - akcent 1 37 2" xfId="235" xr:uid="{00000000-0005-0000-0000-0000D6000000}"/>
    <cellStyle name="20% - akcent 1 38" xfId="236" xr:uid="{00000000-0005-0000-0000-0000D7000000}"/>
    <cellStyle name="20% - akcent 1 38 2" xfId="237" xr:uid="{00000000-0005-0000-0000-0000D8000000}"/>
    <cellStyle name="20% - akcent 1 39" xfId="238" xr:uid="{00000000-0005-0000-0000-0000D9000000}"/>
    <cellStyle name="20% - akcent 1 39 2" xfId="239" xr:uid="{00000000-0005-0000-0000-0000DA000000}"/>
    <cellStyle name="20% - akcent 1 4" xfId="240" xr:uid="{00000000-0005-0000-0000-0000DB000000}"/>
    <cellStyle name="20% - akcent 1 4 2" xfId="241" xr:uid="{00000000-0005-0000-0000-0000DC000000}"/>
    <cellStyle name="20% - akcent 1 4 2 2" xfId="242" xr:uid="{00000000-0005-0000-0000-0000DD000000}"/>
    <cellStyle name="20% - akcent 1 4 3" xfId="243" xr:uid="{00000000-0005-0000-0000-0000DE000000}"/>
    <cellStyle name="20% - akcent 1 4 3 2" xfId="244" xr:uid="{00000000-0005-0000-0000-0000DF000000}"/>
    <cellStyle name="20% - akcent 1 4 4" xfId="245" xr:uid="{00000000-0005-0000-0000-0000E0000000}"/>
    <cellStyle name="20% - akcent 1 4 4 2" xfId="246" xr:uid="{00000000-0005-0000-0000-0000E1000000}"/>
    <cellStyle name="20% - akcent 1 4 5" xfId="247" xr:uid="{00000000-0005-0000-0000-0000E2000000}"/>
    <cellStyle name="20% - akcent 1 4 6" xfId="248" xr:uid="{00000000-0005-0000-0000-0000E3000000}"/>
    <cellStyle name="20% - akcent 1 4 7" xfId="249" xr:uid="{00000000-0005-0000-0000-0000E4000000}"/>
    <cellStyle name="20% - akcent 1 4 8" xfId="250" xr:uid="{00000000-0005-0000-0000-0000E5000000}"/>
    <cellStyle name="20% - akcent 1 40" xfId="251" xr:uid="{00000000-0005-0000-0000-0000E6000000}"/>
    <cellStyle name="20% - akcent 1 40 2" xfId="252" xr:uid="{00000000-0005-0000-0000-0000E7000000}"/>
    <cellStyle name="20% - akcent 1 41" xfId="253" xr:uid="{00000000-0005-0000-0000-0000E8000000}"/>
    <cellStyle name="20% - akcent 1 41 2" xfId="254" xr:uid="{00000000-0005-0000-0000-0000E9000000}"/>
    <cellStyle name="20% - akcent 1 42" xfId="255" xr:uid="{00000000-0005-0000-0000-0000EA000000}"/>
    <cellStyle name="20% - akcent 1 42 2" xfId="256" xr:uid="{00000000-0005-0000-0000-0000EB000000}"/>
    <cellStyle name="20% - akcent 1 43" xfId="257" xr:uid="{00000000-0005-0000-0000-0000EC000000}"/>
    <cellStyle name="20% - akcent 1 43 2" xfId="258" xr:uid="{00000000-0005-0000-0000-0000ED000000}"/>
    <cellStyle name="20% - akcent 1 44" xfId="259" xr:uid="{00000000-0005-0000-0000-0000EE000000}"/>
    <cellStyle name="20% - akcent 1 44 2" xfId="260" xr:uid="{00000000-0005-0000-0000-0000EF000000}"/>
    <cellStyle name="20% - akcent 1 45" xfId="261" xr:uid="{00000000-0005-0000-0000-0000F0000000}"/>
    <cellStyle name="20% - akcent 1 45 2" xfId="262" xr:uid="{00000000-0005-0000-0000-0000F1000000}"/>
    <cellStyle name="20% - akcent 1 46" xfId="263" xr:uid="{00000000-0005-0000-0000-0000F2000000}"/>
    <cellStyle name="20% - akcent 1 46 2" xfId="264" xr:uid="{00000000-0005-0000-0000-0000F3000000}"/>
    <cellStyle name="20% - akcent 1 47" xfId="265" xr:uid="{00000000-0005-0000-0000-0000F4000000}"/>
    <cellStyle name="20% - akcent 1 47 2" xfId="266" xr:uid="{00000000-0005-0000-0000-0000F5000000}"/>
    <cellStyle name="20% - akcent 1 48" xfId="267" xr:uid="{00000000-0005-0000-0000-0000F6000000}"/>
    <cellStyle name="20% - akcent 1 48 2" xfId="268" xr:uid="{00000000-0005-0000-0000-0000F7000000}"/>
    <cellStyle name="20% - akcent 1 49" xfId="269" xr:uid="{00000000-0005-0000-0000-0000F8000000}"/>
    <cellStyle name="20% - akcent 1 49 2" xfId="270" xr:uid="{00000000-0005-0000-0000-0000F9000000}"/>
    <cellStyle name="20% - akcent 1 5" xfId="271" xr:uid="{00000000-0005-0000-0000-0000FA000000}"/>
    <cellStyle name="20% - akcent 1 5 2" xfId="272" xr:uid="{00000000-0005-0000-0000-0000FB000000}"/>
    <cellStyle name="20% - akcent 1 5 3" xfId="273" xr:uid="{00000000-0005-0000-0000-0000FC000000}"/>
    <cellStyle name="20% - akcent 1 50" xfId="274" xr:uid="{00000000-0005-0000-0000-0000FD000000}"/>
    <cellStyle name="20% - akcent 1 50 2" xfId="275" xr:uid="{00000000-0005-0000-0000-0000FE000000}"/>
    <cellStyle name="20% - akcent 1 51" xfId="276" xr:uid="{00000000-0005-0000-0000-0000FF000000}"/>
    <cellStyle name="20% - akcent 1 51 2" xfId="277" xr:uid="{00000000-0005-0000-0000-000000010000}"/>
    <cellStyle name="20% - akcent 1 52" xfId="278" xr:uid="{00000000-0005-0000-0000-000001010000}"/>
    <cellStyle name="20% - akcent 1 52 2" xfId="279" xr:uid="{00000000-0005-0000-0000-000002010000}"/>
    <cellStyle name="20% - akcent 1 53" xfId="280" xr:uid="{00000000-0005-0000-0000-000003010000}"/>
    <cellStyle name="20% - akcent 1 53 2" xfId="281" xr:uid="{00000000-0005-0000-0000-000004010000}"/>
    <cellStyle name="20% - akcent 1 54" xfId="282" xr:uid="{00000000-0005-0000-0000-000005010000}"/>
    <cellStyle name="20% - akcent 1 54 2" xfId="283" xr:uid="{00000000-0005-0000-0000-000006010000}"/>
    <cellStyle name="20% - akcent 1 55" xfId="284" xr:uid="{00000000-0005-0000-0000-000007010000}"/>
    <cellStyle name="20% - akcent 1 55 2" xfId="285" xr:uid="{00000000-0005-0000-0000-000008010000}"/>
    <cellStyle name="20% - akcent 1 56" xfId="286" xr:uid="{00000000-0005-0000-0000-000009010000}"/>
    <cellStyle name="20% - akcent 1 56 2" xfId="287" xr:uid="{00000000-0005-0000-0000-00000A010000}"/>
    <cellStyle name="20% - akcent 1 57" xfId="288" xr:uid="{00000000-0005-0000-0000-00000B010000}"/>
    <cellStyle name="20% - akcent 1 57 2" xfId="289" xr:uid="{00000000-0005-0000-0000-00000C010000}"/>
    <cellStyle name="20% - akcent 1 58" xfId="290" xr:uid="{00000000-0005-0000-0000-00000D010000}"/>
    <cellStyle name="20% - akcent 1 58 2" xfId="291" xr:uid="{00000000-0005-0000-0000-00000E010000}"/>
    <cellStyle name="20% - akcent 1 59" xfId="292" xr:uid="{00000000-0005-0000-0000-00000F010000}"/>
    <cellStyle name="20% - akcent 1 59 2" xfId="293" xr:uid="{00000000-0005-0000-0000-000010010000}"/>
    <cellStyle name="20% - akcent 1 6" xfId="294" xr:uid="{00000000-0005-0000-0000-000011010000}"/>
    <cellStyle name="20% - akcent 1 60" xfId="295" xr:uid="{00000000-0005-0000-0000-000012010000}"/>
    <cellStyle name="20% - akcent 1 60 2" xfId="296" xr:uid="{00000000-0005-0000-0000-000013010000}"/>
    <cellStyle name="20% - akcent 1 61" xfId="297" xr:uid="{00000000-0005-0000-0000-000014010000}"/>
    <cellStyle name="20% - akcent 1 61 2" xfId="298" xr:uid="{00000000-0005-0000-0000-000015010000}"/>
    <cellStyle name="20% - akcent 1 62" xfId="299" xr:uid="{00000000-0005-0000-0000-000016010000}"/>
    <cellStyle name="20% - akcent 1 62 2" xfId="300" xr:uid="{00000000-0005-0000-0000-000017010000}"/>
    <cellStyle name="20% - akcent 1 63" xfId="301" xr:uid="{00000000-0005-0000-0000-000018010000}"/>
    <cellStyle name="20% - akcent 1 63 2" xfId="302" xr:uid="{00000000-0005-0000-0000-000019010000}"/>
    <cellStyle name="20% - akcent 1 64" xfId="303" xr:uid="{00000000-0005-0000-0000-00001A010000}"/>
    <cellStyle name="20% - akcent 1 64 2" xfId="304" xr:uid="{00000000-0005-0000-0000-00001B010000}"/>
    <cellStyle name="20% - akcent 1 65" xfId="305" xr:uid="{00000000-0005-0000-0000-00001C010000}"/>
    <cellStyle name="20% - akcent 1 65 2" xfId="306" xr:uid="{00000000-0005-0000-0000-00001D010000}"/>
    <cellStyle name="20% - akcent 1 66" xfId="307" xr:uid="{00000000-0005-0000-0000-00001E010000}"/>
    <cellStyle name="20% - akcent 1 66 2" xfId="308" xr:uid="{00000000-0005-0000-0000-00001F010000}"/>
    <cellStyle name="20% - akcent 1 67" xfId="309" xr:uid="{00000000-0005-0000-0000-000020010000}"/>
    <cellStyle name="20% - akcent 1 67 2" xfId="310" xr:uid="{00000000-0005-0000-0000-000021010000}"/>
    <cellStyle name="20% - akcent 1 68" xfId="311" xr:uid="{00000000-0005-0000-0000-000022010000}"/>
    <cellStyle name="20% - akcent 1 68 2" xfId="312" xr:uid="{00000000-0005-0000-0000-000023010000}"/>
    <cellStyle name="20% - akcent 1 69" xfId="313" xr:uid="{00000000-0005-0000-0000-000024010000}"/>
    <cellStyle name="20% - akcent 1 69 2" xfId="314" xr:uid="{00000000-0005-0000-0000-000025010000}"/>
    <cellStyle name="20% - akcent 1 7" xfId="315" xr:uid="{00000000-0005-0000-0000-000026010000}"/>
    <cellStyle name="20% - akcent 1 70" xfId="316" xr:uid="{00000000-0005-0000-0000-000027010000}"/>
    <cellStyle name="20% - akcent 1 70 2" xfId="317" xr:uid="{00000000-0005-0000-0000-000028010000}"/>
    <cellStyle name="20% - akcent 1 71" xfId="318" xr:uid="{00000000-0005-0000-0000-000029010000}"/>
    <cellStyle name="20% - akcent 1 71 2" xfId="319" xr:uid="{00000000-0005-0000-0000-00002A010000}"/>
    <cellStyle name="20% - akcent 1 72" xfId="320" xr:uid="{00000000-0005-0000-0000-00002B010000}"/>
    <cellStyle name="20% - akcent 1 72 2" xfId="321" xr:uid="{00000000-0005-0000-0000-00002C010000}"/>
    <cellStyle name="20% - akcent 1 73" xfId="322" xr:uid="{00000000-0005-0000-0000-00002D010000}"/>
    <cellStyle name="20% - akcent 1 73 2" xfId="323" xr:uid="{00000000-0005-0000-0000-00002E010000}"/>
    <cellStyle name="20% - akcent 1 74" xfId="324" xr:uid="{00000000-0005-0000-0000-00002F010000}"/>
    <cellStyle name="20% - akcent 1 74 2" xfId="325" xr:uid="{00000000-0005-0000-0000-000030010000}"/>
    <cellStyle name="20% - akcent 1 75" xfId="326" xr:uid="{00000000-0005-0000-0000-000031010000}"/>
    <cellStyle name="20% - akcent 1 75 2" xfId="327" xr:uid="{00000000-0005-0000-0000-000032010000}"/>
    <cellStyle name="20% - akcent 1 76" xfId="328" xr:uid="{00000000-0005-0000-0000-000033010000}"/>
    <cellStyle name="20% - akcent 1 76 2" xfId="329" xr:uid="{00000000-0005-0000-0000-000034010000}"/>
    <cellStyle name="20% - akcent 1 77" xfId="330" xr:uid="{00000000-0005-0000-0000-000035010000}"/>
    <cellStyle name="20% - akcent 1 77 2" xfId="331" xr:uid="{00000000-0005-0000-0000-000036010000}"/>
    <cellStyle name="20% - akcent 1 78" xfId="332" xr:uid="{00000000-0005-0000-0000-000037010000}"/>
    <cellStyle name="20% - akcent 1 78 2" xfId="333" xr:uid="{00000000-0005-0000-0000-000038010000}"/>
    <cellStyle name="20% - akcent 1 79" xfId="334" xr:uid="{00000000-0005-0000-0000-000039010000}"/>
    <cellStyle name="20% - akcent 1 79 2" xfId="335" xr:uid="{00000000-0005-0000-0000-00003A010000}"/>
    <cellStyle name="20% - akcent 1 8" xfId="336" xr:uid="{00000000-0005-0000-0000-00003B010000}"/>
    <cellStyle name="20% - akcent 1 80" xfId="337" xr:uid="{00000000-0005-0000-0000-00003C010000}"/>
    <cellStyle name="20% - akcent 1 80 2" xfId="338" xr:uid="{00000000-0005-0000-0000-00003D010000}"/>
    <cellStyle name="20% - akcent 1 81" xfId="339" xr:uid="{00000000-0005-0000-0000-00003E010000}"/>
    <cellStyle name="20% - akcent 1 81 2" xfId="340" xr:uid="{00000000-0005-0000-0000-00003F010000}"/>
    <cellStyle name="20% - akcent 1 82" xfId="341" xr:uid="{00000000-0005-0000-0000-000040010000}"/>
    <cellStyle name="20% - akcent 1 82 2" xfId="342" xr:uid="{00000000-0005-0000-0000-000041010000}"/>
    <cellStyle name="20% - akcent 1 83" xfId="343" xr:uid="{00000000-0005-0000-0000-000042010000}"/>
    <cellStyle name="20% - akcent 1 83 2" xfId="344" xr:uid="{00000000-0005-0000-0000-000043010000}"/>
    <cellStyle name="20% - akcent 1 84" xfId="345" xr:uid="{00000000-0005-0000-0000-000044010000}"/>
    <cellStyle name="20% - akcent 1 84 2" xfId="346" xr:uid="{00000000-0005-0000-0000-000045010000}"/>
    <cellStyle name="20% - akcent 1 85" xfId="347" xr:uid="{00000000-0005-0000-0000-000046010000}"/>
    <cellStyle name="20% - akcent 1 85 2" xfId="348" xr:uid="{00000000-0005-0000-0000-000047010000}"/>
    <cellStyle name="20% - akcent 1 86" xfId="349" xr:uid="{00000000-0005-0000-0000-000048010000}"/>
    <cellStyle name="20% - akcent 1 86 2" xfId="350" xr:uid="{00000000-0005-0000-0000-000049010000}"/>
    <cellStyle name="20% - akcent 1 87" xfId="351" xr:uid="{00000000-0005-0000-0000-00004A010000}"/>
    <cellStyle name="20% - akcent 1 87 2" xfId="352" xr:uid="{00000000-0005-0000-0000-00004B010000}"/>
    <cellStyle name="20% - akcent 1 88" xfId="353" xr:uid="{00000000-0005-0000-0000-00004C010000}"/>
    <cellStyle name="20% - akcent 1 88 2" xfId="354" xr:uid="{00000000-0005-0000-0000-00004D010000}"/>
    <cellStyle name="20% - akcent 1 89" xfId="355" xr:uid="{00000000-0005-0000-0000-00004E010000}"/>
    <cellStyle name="20% - akcent 1 89 2" xfId="356" xr:uid="{00000000-0005-0000-0000-00004F010000}"/>
    <cellStyle name="20% - akcent 1 9" xfId="357" xr:uid="{00000000-0005-0000-0000-000050010000}"/>
    <cellStyle name="20% - akcent 1 90" xfId="358" xr:uid="{00000000-0005-0000-0000-000051010000}"/>
    <cellStyle name="20% - akcent 1 90 2" xfId="359" xr:uid="{00000000-0005-0000-0000-000052010000}"/>
    <cellStyle name="20% - akcent 1 91" xfId="360" xr:uid="{00000000-0005-0000-0000-000053010000}"/>
    <cellStyle name="20% - akcent 1 91 2" xfId="361" xr:uid="{00000000-0005-0000-0000-000054010000}"/>
    <cellStyle name="20% - akcent 1 92" xfId="362" xr:uid="{00000000-0005-0000-0000-000055010000}"/>
    <cellStyle name="20% - akcent 1 92 2" xfId="363" xr:uid="{00000000-0005-0000-0000-000056010000}"/>
    <cellStyle name="20% - akcent 1 93" xfId="364" xr:uid="{00000000-0005-0000-0000-000057010000}"/>
    <cellStyle name="20% - akcent 1 93 2" xfId="365" xr:uid="{00000000-0005-0000-0000-000058010000}"/>
    <cellStyle name="20% - akcent 1 94" xfId="366" xr:uid="{00000000-0005-0000-0000-000059010000}"/>
    <cellStyle name="20% - akcent 1 94 2" xfId="367" xr:uid="{00000000-0005-0000-0000-00005A010000}"/>
    <cellStyle name="20% - akcent 1 95" xfId="368" xr:uid="{00000000-0005-0000-0000-00005B010000}"/>
    <cellStyle name="20% - akcent 1 95 2" xfId="369" xr:uid="{00000000-0005-0000-0000-00005C010000}"/>
    <cellStyle name="20% - akcent 1 96" xfId="370" xr:uid="{00000000-0005-0000-0000-00005D010000}"/>
    <cellStyle name="20% - akcent 1 96 2" xfId="371" xr:uid="{00000000-0005-0000-0000-00005E010000}"/>
    <cellStyle name="20% - akcent 1 97" xfId="372" xr:uid="{00000000-0005-0000-0000-00005F010000}"/>
    <cellStyle name="20% - akcent 1 97 2" xfId="373" xr:uid="{00000000-0005-0000-0000-000060010000}"/>
    <cellStyle name="20% - akcent 1 98" xfId="374" xr:uid="{00000000-0005-0000-0000-000061010000}"/>
    <cellStyle name="20% - akcent 1 98 2" xfId="375" xr:uid="{00000000-0005-0000-0000-000062010000}"/>
    <cellStyle name="20% - akcent 1 99" xfId="376" xr:uid="{00000000-0005-0000-0000-000063010000}"/>
    <cellStyle name="20% - akcent 1 99 2" xfId="377" xr:uid="{00000000-0005-0000-0000-000064010000}"/>
    <cellStyle name="20% - akcent 2 10" xfId="378" xr:uid="{00000000-0005-0000-0000-000065010000}"/>
    <cellStyle name="20% - akcent 2 100" xfId="379" xr:uid="{00000000-0005-0000-0000-000066010000}"/>
    <cellStyle name="20% - akcent 2 100 2" xfId="380" xr:uid="{00000000-0005-0000-0000-000067010000}"/>
    <cellStyle name="20% - akcent 2 101" xfId="381" xr:uid="{00000000-0005-0000-0000-000068010000}"/>
    <cellStyle name="20% - akcent 2 101 2" xfId="382" xr:uid="{00000000-0005-0000-0000-000069010000}"/>
    <cellStyle name="20% - akcent 2 102" xfId="383" xr:uid="{00000000-0005-0000-0000-00006A010000}"/>
    <cellStyle name="20% - akcent 2 102 2" xfId="384" xr:uid="{00000000-0005-0000-0000-00006B010000}"/>
    <cellStyle name="20% - akcent 2 103" xfId="385" xr:uid="{00000000-0005-0000-0000-00006C010000}"/>
    <cellStyle name="20% - akcent 2 103 2" xfId="386" xr:uid="{00000000-0005-0000-0000-00006D010000}"/>
    <cellStyle name="20% - akcent 2 104" xfId="387" xr:uid="{00000000-0005-0000-0000-00006E010000}"/>
    <cellStyle name="20% - akcent 2 104 2" xfId="388" xr:uid="{00000000-0005-0000-0000-00006F010000}"/>
    <cellStyle name="20% - akcent 2 105" xfId="389" xr:uid="{00000000-0005-0000-0000-000070010000}"/>
    <cellStyle name="20% - akcent 2 105 2" xfId="390" xr:uid="{00000000-0005-0000-0000-000071010000}"/>
    <cellStyle name="20% - akcent 2 106" xfId="391" xr:uid="{00000000-0005-0000-0000-000072010000}"/>
    <cellStyle name="20% - akcent 2 106 2" xfId="392" xr:uid="{00000000-0005-0000-0000-000073010000}"/>
    <cellStyle name="20% - akcent 2 107" xfId="393" xr:uid="{00000000-0005-0000-0000-000074010000}"/>
    <cellStyle name="20% - akcent 2 107 2" xfId="394" xr:uid="{00000000-0005-0000-0000-000075010000}"/>
    <cellStyle name="20% - akcent 2 108" xfId="395" xr:uid="{00000000-0005-0000-0000-000076010000}"/>
    <cellStyle name="20% - akcent 2 108 2" xfId="396" xr:uid="{00000000-0005-0000-0000-000077010000}"/>
    <cellStyle name="20% - akcent 2 109" xfId="397" xr:uid="{00000000-0005-0000-0000-000078010000}"/>
    <cellStyle name="20% - akcent 2 109 2" xfId="398" xr:uid="{00000000-0005-0000-0000-000079010000}"/>
    <cellStyle name="20% - akcent 2 11" xfId="399" xr:uid="{00000000-0005-0000-0000-00007A010000}"/>
    <cellStyle name="20% - akcent 2 110" xfId="400" xr:uid="{00000000-0005-0000-0000-00007B010000}"/>
    <cellStyle name="20% - akcent 2 110 2" xfId="401" xr:uid="{00000000-0005-0000-0000-00007C010000}"/>
    <cellStyle name="20% - akcent 2 111" xfId="402" xr:uid="{00000000-0005-0000-0000-00007D010000}"/>
    <cellStyle name="20% - akcent 2 111 2" xfId="403" xr:uid="{00000000-0005-0000-0000-00007E010000}"/>
    <cellStyle name="20% - akcent 2 112" xfId="404" xr:uid="{00000000-0005-0000-0000-00007F010000}"/>
    <cellStyle name="20% - akcent 2 112 2" xfId="405" xr:uid="{00000000-0005-0000-0000-000080010000}"/>
    <cellStyle name="20% - akcent 2 113" xfId="406" xr:uid="{00000000-0005-0000-0000-000081010000}"/>
    <cellStyle name="20% - akcent 2 113 2" xfId="407" xr:uid="{00000000-0005-0000-0000-000082010000}"/>
    <cellStyle name="20% - akcent 2 114" xfId="408" xr:uid="{00000000-0005-0000-0000-000083010000}"/>
    <cellStyle name="20% - akcent 2 114 2" xfId="409" xr:uid="{00000000-0005-0000-0000-000084010000}"/>
    <cellStyle name="20% - akcent 2 115" xfId="410" xr:uid="{00000000-0005-0000-0000-000085010000}"/>
    <cellStyle name="20% - akcent 2 115 2" xfId="411" xr:uid="{00000000-0005-0000-0000-000086010000}"/>
    <cellStyle name="20% - akcent 2 116" xfId="412" xr:uid="{00000000-0005-0000-0000-000087010000}"/>
    <cellStyle name="20% - akcent 2 116 2" xfId="413" xr:uid="{00000000-0005-0000-0000-000088010000}"/>
    <cellStyle name="20% - akcent 2 117" xfId="414" xr:uid="{00000000-0005-0000-0000-000089010000}"/>
    <cellStyle name="20% - akcent 2 117 2" xfId="415" xr:uid="{00000000-0005-0000-0000-00008A010000}"/>
    <cellStyle name="20% - akcent 2 118" xfId="416" xr:uid="{00000000-0005-0000-0000-00008B010000}"/>
    <cellStyle name="20% - akcent 2 118 2" xfId="417" xr:uid="{00000000-0005-0000-0000-00008C010000}"/>
    <cellStyle name="20% - akcent 2 119" xfId="418" xr:uid="{00000000-0005-0000-0000-00008D010000}"/>
    <cellStyle name="20% - akcent 2 119 2" xfId="419" xr:uid="{00000000-0005-0000-0000-00008E010000}"/>
    <cellStyle name="20% - akcent 2 12" xfId="420" xr:uid="{00000000-0005-0000-0000-00008F010000}"/>
    <cellStyle name="20% - akcent 2 120" xfId="421" xr:uid="{00000000-0005-0000-0000-000090010000}"/>
    <cellStyle name="20% - akcent 2 121" xfId="422" xr:uid="{00000000-0005-0000-0000-000091010000}"/>
    <cellStyle name="20% - akcent 2 13" xfId="423" xr:uid="{00000000-0005-0000-0000-000092010000}"/>
    <cellStyle name="20% - akcent 2 14" xfId="424" xr:uid="{00000000-0005-0000-0000-000093010000}"/>
    <cellStyle name="20% - akcent 2 15" xfId="425" xr:uid="{00000000-0005-0000-0000-000094010000}"/>
    <cellStyle name="20% - akcent 2 16" xfId="426" xr:uid="{00000000-0005-0000-0000-000095010000}"/>
    <cellStyle name="20% - akcent 2 17" xfId="427" xr:uid="{00000000-0005-0000-0000-000096010000}"/>
    <cellStyle name="20% - akcent 2 18" xfId="428" xr:uid="{00000000-0005-0000-0000-000097010000}"/>
    <cellStyle name="20% - akcent 2 19" xfId="429" xr:uid="{00000000-0005-0000-0000-000098010000}"/>
    <cellStyle name="20% - akcent 2 2" xfId="430" xr:uid="{00000000-0005-0000-0000-000099010000}"/>
    <cellStyle name="20% - akcent 2 2 10" xfId="431" xr:uid="{00000000-0005-0000-0000-00009A010000}"/>
    <cellStyle name="20% - akcent 2 2 10 2" xfId="432" xr:uid="{00000000-0005-0000-0000-00009B010000}"/>
    <cellStyle name="20% - akcent 2 2 10 3" xfId="433" xr:uid="{00000000-0005-0000-0000-00009C010000}"/>
    <cellStyle name="20% - akcent 2 2 10 4" xfId="434" xr:uid="{00000000-0005-0000-0000-00009D010000}"/>
    <cellStyle name="20% - akcent 2 2 10 5" xfId="435" xr:uid="{00000000-0005-0000-0000-00009E010000}"/>
    <cellStyle name="20% - akcent 2 2 10 6" xfId="436" xr:uid="{00000000-0005-0000-0000-00009F010000}"/>
    <cellStyle name="20% - akcent 2 2 11" xfId="437" xr:uid="{00000000-0005-0000-0000-0000A0010000}"/>
    <cellStyle name="20% - akcent 2 2 11 2" xfId="438" xr:uid="{00000000-0005-0000-0000-0000A1010000}"/>
    <cellStyle name="20% - akcent 2 2 11 3" xfId="439" xr:uid="{00000000-0005-0000-0000-0000A2010000}"/>
    <cellStyle name="20% - akcent 2 2 11 4" xfId="440" xr:uid="{00000000-0005-0000-0000-0000A3010000}"/>
    <cellStyle name="20% - akcent 2 2 11 5" xfId="441" xr:uid="{00000000-0005-0000-0000-0000A4010000}"/>
    <cellStyle name="20% - akcent 2 2 11 6" xfId="442" xr:uid="{00000000-0005-0000-0000-0000A5010000}"/>
    <cellStyle name="20% - akcent 2 2 12" xfId="443" xr:uid="{00000000-0005-0000-0000-0000A6010000}"/>
    <cellStyle name="20% - akcent 2 2 12 2" xfId="444" xr:uid="{00000000-0005-0000-0000-0000A7010000}"/>
    <cellStyle name="20% - akcent 2 2 12 3" xfId="445" xr:uid="{00000000-0005-0000-0000-0000A8010000}"/>
    <cellStyle name="20% - akcent 2 2 12 4" xfId="446" xr:uid="{00000000-0005-0000-0000-0000A9010000}"/>
    <cellStyle name="20% - akcent 2 2 12 5" xfId="447" xr:uid="{00000000-0005-0000-0000-0000AA010000}"/>
    <cellStyle name="20% - akcent 2 2 12 6" xfId="448" xr:uid="{00000000-0005-0000-0000-0000AB010000}"/>
    <cellStyle name="20% - akcent 2 2 13" xfId="449" xr:uid="{00000000-0005-0000-0000-0000AC010000}"/>
    <cellStyle name="20% - akcent 2 2 13 2" xfId="450" xr:uid="{00000000-0005-0000-0000-0000AD010000}"/>
    <cellStyle name="20% - akcent 2 2 13 3" xfId="451" xr:uid="{00000000-0005-0000-0000-0000AE010000}"/>
    <cellStyle name="20% - akcent 2 2 13 4" xfId="452" xr:uid="{00000000-0005-0000-0000-0000AF010000}"/>
    <cellStyle name="20% - akcent 2 2 13 5" xfId="453" xr:uid="{00000000-0005-0000-0000-0000B0010000}"/>
    <cellStyle name="20% - akcent 2 2 13 6" xfId="454" xr:uid="{00000000-0005-0000-0000-0000B1010000}"/>
    <cellStyle name="20% - akcent 2 2 14" xfId="455" xr:uid="{00000000-0005-0000-0000-0000B2010000}"/>
    <cellStyle name="20% - akcent 2 2 14 2" xfId="456" xr:uid="{00000000-0005-0000-0000-0000B3010000}"/>
    <cellStyle name="20% - akcent 2 2 14 3" xfId="457" xr:uid="{00000000-0005-0000-0000-0000B4010000}"/>
    <cellStyle name="20% - akcent 2 2 14 4" xfId="458" xr:uid="{00000000-0005-0000-0000-0000B5010000}"/>
    <cellStyle name="20% - akcent 2 2 14 5" xfId="459" xr:uid="{00000000-0005-0000-0000-0000B6010000}"/>
    <cellStyle name="20% - akcent 2 2 14 6" xfId="460" xr:uid="{00000000-0005-0000-0000-0000B7010000}"/>
    <cellStyle name="20% - akcent 2 2 15" xfId="461" xr:uid="{00000000-0005-0000-0000-0000B8010000}"/>
    <cellStyle name="20% - akcent 2 2 15 2" xfId="462" xr:uid="{00000000-0005-0000-0000-0000B9010000}"/>
    <cellStyle name="20% - akcent 2 2 15 3" xfId="463" xr:uid="{00000000-0005-0000-0000-0000BA010000}"/>
    <cellStyle name="20% - akcent 2 2 15 4" xfId="464" xr:uid="{00000000-0005-0000-0000-0000BB010000}"/>
    <cellStyle name="20% - akcent 2 2 15 5" xfId="465" xr:uid="{00000000-0005-0000-0000-0000BC010000}"/>
    <cellStyle name="20% - akcent 2 2 15 6" xfId="466" xr:uid="{00000000-0005-0000-0000-0000BD010000}"/>
    <cellStyle name="20% - akcent 2 2 16" xfId="467" xr:uid="{00000000-0005-0000-0000-0000BE010000}"/>
    <cellStyle name="20% - akcent 2 2 16 2" xfId="468" xr:uid="{00000000-0005-0000-0000-0000BF010000}"/>
    <cellStyle name="20% - akcent 2 2 16 3" xfId="469" xr:uid="{00000000-0005-0000-0000-0000C0010000}"/>
    <cellStyle name="20% - akcent 2 2 16 4" xfId="470" xr:uid="{00000000-0005-0000-0000-0000C1010000}"/>
    <cellStyle name="20% - akcent 2 2 16 5" xfId="471" xr:uid="{00000000-0005-0000-0000-0000C2010000}"/>
    <cellStyle name="20% - akcent 2 2 16 6" xfId="472" xr:uid="{00000000-0005-0000-0000-0000C3010000}"/>
    <cellStyle name="20% - akcent 2 2 17" xfId="473" xr:uid="{00000000-0005-0000-0000-0000C4010000}"/>
    <cellStyle name="20% - akcent 2 2 17 2" xfId="474" xr:uid="{00000000-0005-0000-0000-0000C5010000}"/>
    <cellStyle name="20% - akcent 2 2 17 3" xfId="475" xr:uid="{00000000-0005-0000-0000-0000C6010000}"/>
    <cellStyle name="20% - akcent 2 2 17 4" xfId="476" xr:uid="{00000000-0005-0000-0000-0000C7010000}"/>
    <cellStyle name="20% - akcent 2 2 17 5" xfId="477" xr:uid="{00000000-0005-0000-0000-0000C8010000}"/>
    <cellStyle name="20% - akcent 2 2 17 6" xfId="478" xr:uid="{00000000-0005-0000-0000-0000C9010000}"/>
    <cellStyle name="20% - akcent 2 2 18" xfId="479" xr:uid="{00000000-0005-0000-0000-0000CA010000}"/>
    <cellStyle name="20% - akcent 2 2 18 2" xfId="480" xr:uid="{00000000-0005-0000-0000-0000CB010000}"/>
    <cellStyle name="20% - akcent 2 2 18 3" xfId="481" xr:uid="{00000000-0005-0000-0000-0000CC010000}"/>
    <cellStyle name="20% - akcent 2 2 18 4" xfId="482" xr:uid="{00000000-0005-0000-0000-0000CD010000}"/>
    <cellStyle name="20% - akcent 2 2 18 5" xfId="483" xr:uid="{00000000-0005-0000-0000-0000CE010000}"/>
    <cellStyle name="20% - akcent 2 2 18 6" xfId="484" xr:uid="{00000000-0005-0000-0000-0000CF010000}"/>
    <cellStyle name="20% - akcent 2 2 19" xfId="485" xr:uid="{00000000-0005-0000-0000-0000D0010000}"/>
    <cellStyle name="20% - akcent 2 2 19 2" xfId="486" xr:uid="{00000000-0005-0000-0000-0000D1010000}"/>
    <cellStyle name="20% - akcent 2 2 19 3" xfId="487" xr:uid="{00000000-0005-0000-0000-0000D2010000}"/>
    <cellStyle name="20% - akcent 2 2 19 4" xfId="488" xr:uid="{00000000-0005-0000-0000-0000D3010000}"/>
    <cellStyle name="20% - akcent 2 2 19 5" xfId="489" xr:uid="{00000000-0005-0000-0000-0000D4010000}"/>
    <cellStyle name="20% - akcent 2 2 19 6" xfId="490" xr:uid="{00000000-0005-0000-0000-0000D5010000}"/>
    <cellStyle name="20% - akcent 2 2 2" xfId="491" xr:uid="{00000000-0005-0000-0000-0000D6010000}"/>
    <cellStyle name="20% - akcent 2 2 2 2" xfId="492" xr:uid="{00000000-0005-0000-0000-0000D7010000}"/>
    <cellStyle name="20% - akcent 2 2 2 3" xfId="493" xr:uid="{00000000-0005-0000-0000-0000D8010000}"/>
    <cellStyle name="20% - akcent 2 2 2 4" xfId="494" xr:uid="{00000000-0005-0000-0000-0000D9010000}"/>
    <cellStyle name="20% - akcent 2 2 2 5" xfId="495" xr:uid="{00000000-0005-0000-0000-0000DA010000}"/>
    <cellStyle name="20% - akcent 2 2 2 6" xfId="496" xr:uid="{00000000-0005-0000-0000-0000DB010000}"/>
    <cellStyle name="20% - akcent 2 2 2 7" xfId="497" xr:uid="{00000000-0005-0000-0000-0000DC010000}"/>
    <cellStyle name="20% - akcent 2 2 20" xfId="498" xr:uid="{00000000-0005-0000-0000-0000DD010000}"/>
    <cellStyle name="20% - akcent 2 2 20 2" xfId="499" xr:uid="{00000000-0005-0000-0000-0000DE010000}"/>
    <cellStyle name="20% - akcent 2 2 20 3" xfId="500" xr:uid="{00000000-0005-0000-0000-0000DF010000}"/>
    <cellStyle name="20% - akcent 2 2 20 4" xfId="501" xr:uid="{00000000-0005-0000-0000-0000E0010000}"/>
    <cellStyle name="20% - akcent 2 2 20 5" xfId="502" xr:uid="{00000000-0005-0000-0000-0000E1010000}"/>
    <cellStyle name="20% - akcent 2 2 20 6" xfId="503" xr:uid="{00000000-0005-0000-0000-0000E2010000}"/>
    <cellStyle name="20% - akcent 2 2 21" xfId="504" xr:uid="{00000000-0005-0000-0000-0000E3010000}"/>
    <cellStyle name="20% - akcent 2 2 21 2" xfId="505" xr:uid="{00000000-0005-0000-0000-0000E4010000}"/>
    <cellStyle name="20% - akcent 2 2 21 3" xfId="506" xr:uid="{00000000-0005-0000-0000-0000E5010000}"/>
    <cellStyle name="20% - akcent 2 2 21 4" xfId="507" xr:uid="{00000000-0005-0000-0000-0000E6010000}"/>
    <cellStyle name="20% - akcent 2 2 21 5" xfId="508" xr:uid="{00000000-0005-0000-0000-0000E7010000}"/>
    <cellStyle name="20% - akcent 2 2 21 6" xfId="509" xr:uid="{00000000-0005-0000-0000-0000E8010000}"/>
    <cellStyle name="20% - akcent 2 2 22" xfId="510" xr:uid="{00000000-0005-0000-0000-0000E9010000}"/>
    <cellStyle name="20% - akcent 2 2 22 2" xfId="511" xr:uid="{00000000-0005-0000-0000-0000EA010000}"/>
    <cellStyle name="20% - akcent 2 2 22 3" xfId="512" xr:uid="{00000000-0005-0000-0000-0000EB010000}"/>
    <cellStyle name="20% - akcent 2 2 22 4" xfId="513" xr:uid="{00000000-0005-0000-0000-0000EC010000}"/>
    <cellStyle name="20% - akcent 2 2 22 5" xfId="514" xr:uid="{00000000-0005-0000-0000-0000ED010000}"/>
    <cellStyle name="20% - akcent 2 2 22 6" xfId="515" xr:uid="{00000000-0005-0000-0000-0000EE010000}"/>
    <cellStyle name="20% - akcent 2 2 23" xfId="516" xr:uid="{00000000-0005-0000-0000-0000EF010000}"/>
    <cellStyle name="20% - akcent 2 2 23 2" xfId="517" xr:uid="{00000000-0005-0000-0000-0000F0010000}"/>
    <cellStyle name="20% - akcent 2 2 23 3" xfId="518" xr:uid="{00000000-0005-0000-0000-0000F1010000}"/>
    <cellStyle name="20% - akcent 2 2 23 4" xfId="519" xr:uid="{00000000-0005-0000-0000-0000F2010000}"/>
    <cellStyle name="20% - akcent 2 2 23 5" xfId="520" xr:uid="{00000000-0005-0000-0000-0000F3010000}"/>
    <cellStyle name="20% - akcent 2 2 23 6" xfId="521" xr:uid="{00000000-0005-0000-0000-0000F4010000}"/>
    <cellStyle name="20% - akcent 2 2 24" xfId="522" xr:uid="{00000000-0005-0000-0000-0000F5010000}"/>
    <cellStyle name="20% - akcent 2 2 24 2" xfId="523" xr:uid="{00000000-0005-0000-0000-0000F6010000}"/>
    <cellStyle name="20% - akcent 2 2 24 3" xfId="524" xr:uid="{00000000-0005-0000-0000-0000F7010000}"/>
    <cellStyle name="20% - akcent 2 2 24 4" xfId="525" xr:uid="{00000000-0005-0000-0000-0000F8010000}"/>
    <cellStyle name="20% - akcent 2 2 24 5" xfId="526" xr:uid="{00000000-0005-0000-0000-0000F9010000}"/>
    <cellStyle name="20% - akcent 2 2 24 6" xfId="527" xr:uid="{00000000-0005-0000-0000-0000FA010000}"/>
    <cellStyle name="20% - akcent 2 2 25" xfId="528" xr:uid="{00000000-0005-0000-0000-0000FB010000}"/>
    <cellStyle name="20% - akcent 2 2 25 2" xfId="529" xr:uid="{00000000-0005-0000-0000-0000FC010000}"/>
    <cellStyle name="20% - akcent 2 2 25 3" xfId="530" xr:uid="{00000000-0005-0000-0000-0000FD010000}"/>
    <cellStyle name="20% - akcent 2 2 25 4" xfId="531" xr:uid="{00000000-0005-0000-0000-0000FE010000}"/>
    <cellStyle name="20% - akcent 2 2 25 5" xfId="532" xr:uid="{00000000-0005-0000-0000-0000FF010000}"/>
    <cellStyle name="20% - akcent 2 2 25 6" xfId="533" xr:uid="{00000000-0005-0000-0000-000000020000}"/>
    <cellStyle name="20% - akcent 2 2 26" xfId="534" xr:uid="{00000000-0005-0000-0000-000001020000}"/>
    <cellStyle name="20% - akcent 2 2 26 2" xfId="535" xr:uid="{00000000-0005-0000-0000-000002020000}"/>
    <cellStyle name="20% - akcent 2 2 26 3" xfId="536" xr:uid="{00000000-0005-0000-0000-000003020000}"/>
    <cellStyle name="20% - akcent 2 2 26 4" xfId="537" xr:uid="{00000000-0005-0000-0000-000004020000}"/>
    <cellStyle name="20% - akcent 2 2 26 5" xfId="538" xr:uid="{00000000-0005-0000-0000-000005020000}"/>
    <cellStyle name="20% - akcent 2 2 26 6" xfId="539" xr:uid="{00000000-0005-0000-0000-000006020000}"/>
    <cellStyle name="20% - akcent 2 2 27" xfId="540" xr:uid="{00000000-0005-0000-0000-000007020000}"/>
    <cellStyle name="20% - akcent 2 2 27 2" xfId="541" xr:uid="{00000000-0005-0000-0000-000008020000}"/>
    <cellStyle name="20% - akcent 2 2 27 3" xfId="542" xr:uid="{00000000-0005-0000-0000-000009020000}"/>
    <cellStyle name="20% - akcent 2 2 27 4" xfId="543" xr:uid="{00000000-0005-0000-0000-00000A020000}"/>
    <cellStyle name="20% - akcent 2 2 27 5" xfId="544" xr:uid="{00000000-0005-0000-0000-00000B020000}"/>
    <cellStyle name="20% - akcent 2 2 27 6" xfId="545" xr:uid="{00000000-0005-0000-0000-00000C020000}"/>
    <cellStyle name="20% - akcent 2 2 28" xfId="546" xr:uid="{00000000-0005-0000-0000-00000D020000}"/>
    <cellStyle name="20% - akcent 2 2 28 2" xfId="547" xr:uid="{00000000-0005-0000-0000-00000E020000}"/>
    <cellStyle name="20% - akcent 2 2 28 3" xfId="548" xr:uid="{00000000-0005-0000-0000-00000F020000}"/>
    <cellStyle name="20% - akcent 2 2 28 4" xfId="549" xr:uid="{00000000-0005-0000-0000-000010020000}"/>
    <cellStyle name="20% - akcent 2 2 28 5" xfId="550" xr:uid="{00000000-0005-0000-0000-000011020000}"/>
    <cellStyle name="20% - akcent 2 2 28 6" xfId="551" xr:uid="{00000000-0005-0000-0000-000012020000}"/>
    <cellStyle name="20% - akcent 2 2 29" xfId="552" xr:uid="{00000000-0005-0000-0000-000013020000}"/>
    <cellStyle name="20% - akcent 2 2 29 2" xfId="553" xr:uid="{00000000-0005-0000-0000-000014020000}"/>
    <cellStyle name="20% - akcent 2 2 3" xfId="554" xr:uid="{00000000-0005-0000-0000-000015020000}"/>
    <cellStyle name="20% - akcent 2 2 3 2" xfId="555" xr:uid="{00000000-0005-0000-0000-000016020000}"/>
    <cellStyle name="20% - akcent 2 2 3 3" xfId="556" xr:uid="{00000000-0005-0000-0000-000017020000}"/>
    <cellStyle name="20% - akcent 2 2 3 4" xfId="557" xr:uid="{00000000-0005-0000-0000-000018020000}"/>
    <cellStyle name="20% - akcent 2 2 3 5" xfId="558" xr:uid="{00000000-0005-0000-0000-000019020000}"/>
    <cellStyle name="20% - akcent 2 2 3 6" xfId="559" xr:uid="{00000000-0005-0000-0000-00001A020000}"/>
    <cellStyle name="20% - akcent 2 2 3 7" xfId="560" xr:uid="{00000000-0005-0000-0000-00001B020000}"/>
    <cellStyle name="20% - akcent 2 2 30" xfId="561" xr:uid="{00000000-0005-0000-0000-00001C020000}"/>
    <cellStyle name="20% - akcent 2 2 30 2" xfId="562" xr:uid="{00000000-0005-0000-0000-00001D020000}"/>
    <cellStyle name="20% - akcent 2 2 31" xfId="563" xr:uid="{00000000-0005-0000-0000-00001E020000}"/>
    <cellStyle name="20% - akcent 2 2 31 2" xfId="564" xr:uid="{00000000-0005-0000-0000-00001F020000}"/>
    <cellStyle name="20% - akcent 2 2 32" xfId="565" xr:uid="{00000000-0005-0000-0000-000020020000}"/>
    <cellStyle name="20% - akcent 2 2 32 2" xfId="566" xr:uid="{00000000-0005-0000-0000-000021020000}"/>
    <cellStyle name="20% - akcent 2 2 33" xfId="567" xr:uid="{00000000-0005-0000-0000-000022020000}"/>
    <cellStyle name="20% - akcent 2 2 34" xfId="568" xr:uid="{00000000-0005-0000-0000-000023020000}"/>
    <cellStyle name="20% - akcent 2 2 35" xfId="569" xr:uid="{00000000-0005-0000-0000-000024020000}"/>
    <cellStyle name="20% - akcent 2 2 36" xfId="570" xr:uid="{00000000-0005-0000-0000-000025020000}"/>
    <cellStyle name="20% - akcent 2 2 37" xfId="571" xr:uid="{00000000-0005-0000-0000-000026020000}"/>
    <cellStyle name="20% - akcent 2 2 38" xfId="572" xr:uid="{00000000-0005-0000-0000-000027020000}"/>
    <cellStyle name="20% - akcent 2 2 39" xfId="573" xr:uid="{00000000-0005-0000-0000-000028020000}"/>
    <cellStyle name="20% - akcent 2 2 4" xfId="574" xr:uid="{00000000-0005-0000-0000-000029020000}"/>
    <cellStyle name="20% - akcent 2 2 4 2" xfId="575" xr:uid="{00000000-0005-0000-0000-00002A020000}"/>
    <cellStyle name="20% - akcent 2 2 4 3" xfId="576" xr:uid="{00000000-0005-0000-0000-00002B020000}"/>
    <cellStyle name="20% - akcent 2 2 4 4" xfId="577" xr:uid="{00000000-0005-0000-0000-00002C020000}"/>
    <cellStyle name="20% - akcent 2 2 4 5" xfId="578" xr:uid="{00000000-0005-0000-0000-00002D020000}"/>
    <cellStyle name="20% - akcent 2 2 4 6" xfId="579" xr:uid="{00000000-0005-0000-0000-00002E020000}"/>
    <cellStyle name="20% - akcent 2 2 4 7" xfId="580" xr:uid="{00000000-0005-0000-0000-00002F020000}"/>
    <cellStyle name="20% - akcent 2 2 40" xfId="581" xr:uid="{00000000-0005-0000-0000-000030020000}"/>
    <cellStyle name="20% - akcent 2 2 41" xfId="582" xr:uid="{00000000-0005-0000-0000-000031020000}"/>
    <cellStyle name="20% - akcent 2 2 42" xfId="583" xr:uid="{00000000-0005-0000-0000-000032020000}"/>
    <cellStyle name="20% - akcent 2 2 43" xfId="584" xr:uid="{00000000-0005-0000-0000-000033020000}"/>
    <cellStyle name="20% - akcent 2 2 44" xfId="585" xr:uid="{00000000-0005-0000-0000-000034020000}"/>
    <cellStyle name="20% - akcent 2 2 45" xfId="586" xr:uid="{00000000-0005-0000-0000-000035020000}"/>
    <cellStyle name="20% - akcent 2 2 46" xfId="587" xr:uid="{00000000-0005-0000-0000-000036020000}"/>
    <cellStyle name="20% - akcent 2 2 47" xfId="588" xr:uid="{00000000-0005-0000-0000-000037020000}"/>
    <cellStyle name="20% - akcent 2 2 48" xfId="589" xr:uid="{00000000-0005-0000-0000-000038020000}"/>
    <cellStyle name="20% - akcent 2 2 49" xfId="590" xr:uid="{00000000-0005-0000-0000-000039020000}"/>
    <cellStyle name="20% - akcent 2 2 5" xfId="591" xr:uid="{00000000-0005-0000-0000-00003A020000}"/>
    <cellStyle name="20% - akcent 2 2 5 2" xfId="592" xr:uid="{00000000-0005-0000-0000-00003B020000}"/>
    <cellStyle name="20% - akcent 2 2 5 3" xfId="593" xr:uid="{00000000-0005-0000-0000-00003C020000}"/>
    <cellStyle name="20% - akcent 2 2 5 4" xfId="594" xr:uid="{00000000-0005-0000-0000-00003D020000}"/>
    <cellStyle name="20% - akcent 2 2 5 5" xfId="595" xr:uid="{00000000-0005-0000-0000-00003E020000}"/>
    <cellStyle name="20% - akcent 2 2 5 6" xfId="596" xr:uid="{00000000-0005-0000-0000-00003F020000}"/>
    <cellStyle name="20% - akcent 2 2 50" xfId="597" xr:uid="{00000000-0005-0000-0000-000040020000}"/>
    <cellStyle name="20% - akcent 2 2 51" xfId="598" xr:uid="{00000000-0005-0000-0000-000041020000}"/>
    <cellStyle name="20% - akcent 2 2 6" xfId="599" xr:uid="{00000000-0005-0000-0000-000042020000}"/>
    <cellStyle name="20% - akcent 2 2 6 2" xfId="600" xr:uid="{00000000-0005-0000-0000-000043020000}"/>
    <cellStyle name="20% - akcent 2 2 6 3" xfId="601" xr:uid="{00000000-0005-0000-0000-000044020000}"/>
    <cellStyle name="20% - akcent 2 2 6 4" xfId="602" xr:uid="{00000000-0005-0000-0000-000045020000}"/>
    <cellStyle name="20% - akcent 2 2 6 5" xfId="603" xr:uid="{00000000-0005-0000-0000-000046020000}"/>
    <cellStyle name="20% - akcent 2 2 6 6" xfId="604" xr:uid="{00000000-0005-0000-0000-000047020000}"/>
    <cellStyle name="20% - akcent 2 2 7" xfId="605" xr:uid="{00000000-0005-0000-0000-000048020000}"/>
    <cellStyle name="20% - akcent 2 2 7 2" xfId="606" xr:uid="{00000000-0005-0000-0000-000049020000}"/>
    <cellStyle name="20% - akcent 2 2 7 3" xfId="607" xr:uid="{00000000-0005-0000-0000-00004A020000}"/>
    <cellStyle name="20% - akcent 2 2 7 4" xfId="608" xr:uid="{00000000-0005-0000-0000-00004B020000}"/>
    <cellStyle name="20% - akcent 2 2 7 5" xfId="609" xr:uid="{00000000-0005-0000-0000-00004C020000}"/>
    <cellStyle name="20% - akcent 2 2 7 6" xfId="610" xr:uid="{00000000-0005-0000-0000-00004D020000}"/>
    <cellStyle name="20% - akcent 2 2 8" xfId="611" xr:uid="{00000000-0005-0000-0000-00004E020000}"/>
    <cellStyle name="20% - akcent 2 2 8 2" xfId="612" xr:uid="{00000000-0005-0000-0000-00004F020000}"/>
    <cellStyle name="20% - akcent 2 2 8 3" xfId="613" xr:uid="{00000000-0005-0000-0000-000050020000}"/>
    <cellStyle name="20% - akcent 2 2 8 4" xfId="614" xr:uid="{00000000-0005-0000-0000-000051020000}"/>
    <cellStyle name="20% - akcent 2 2 8 5" xfId="615" xr:uid="{00000000-0005-0000-0000-000052020000}"/>
    <cellStyle name="20% - akcent 2 2 8 6" xfId="616" xr:uid="{00000000-0005-0000-0000-000053020000}"/>
    <cellStyle name="20% - akcent 2 2 9" xfId="617" xr:uid="{00000000-0005-0000-0000-000054020000}"/>
    <cellStyle name="20% - akcent 2 2 9 2" xfId="618" xr:uid="{00000000-0005-0000-0000-000055020000}"/>
    <cellStyle name="20% - akcent 2 2 9 3" xfId="619" xr:uid="{00000000-0005-0000-0000-000056020000}"/>
    <cellStyle name="20% - akcent 2 2 9 4" xfId="620" xr:uid="{00000000-0005-0000-0000-000057020000}"/>
    <cellStyle name="20% - akcent 2 2 9 5" xfId="621" xr:uid="{00000000-0005-0000-0000-000058020000}"/>
    <cellStyle name="20% - akcent 2 2 9 6" xfId="622" xr:uid="{00000000-0005-0000-0000-000059020000}"/>
    <cellStyle name="20% - akcent 2 20" xfId="623" xr:uid="{00000000-0005-0000-0000-00005A020000}"/>
    <cellStyle name="20% - akcent 2 21" xfId="624" xr:uid="{00000000-0005-0000-0000-00005B020000}"/>
    <cellStyle name="20% - akcent 2 22" xfId="625" xr:uid="{00000000-0005-0000-0000-00005C020000}"/>
    <cellStyle name="20% - akcent 2 23" xfId="626" xr:uid="{00000000-0005-0000-0000-00005D020000}"/>
    <cellStyle name="20% - akcent 2 24" xfId="627" xr:uid="{00000000-0005-0000-0000-00005E020000}"/>
    <cellStyle name="20% - akcent 2 25" xfId="628" xr:uid="{00000000-0005-0000-0000-00005F020000}"/>
    <cellStyle name="20% - akcent 2 26" xfId="629" xr:uid="{00000000-0005-0000-0000-000060020000}"/>
    <cellStyle name="20% - akcent 2 27" xfId="630" xr:uid="{00000000-0005-0000-0000-000061020000}"/>
    <cellStyle name="20% - akcent 2 28" xfId="631" xr:uid="{00000000-0005-0000-0000-000062020000}"/>
    <cellStyle name="20% - akcent 2 29" xfId="632" xr:uid="{00000000-0005-0000-0000-000063020000}"/>
    <cellStyle name="20% - akcent 2 3" xfId="633" xr:uid="{00000000-0005-0000-0000-000064020000}"/>
    <cellStyle name="20% - akcent 2 3 2" xfId="634" xr:uid="{00000000-0005-0000-0000-000065020000}"/>
    <cellStyle name="20% - akcent 2 3 2 2" xfId="635" xr:uid="{00000000-0005-0000-0000-000066020000}"/>
    <cellStyle name="20% - akcent 2 3 3" xfId="636" xr:uid="{00000000-0005-0000-0000-000067020000}"/>
    <cellStyle name="20% - akcent 2 3 3 2" xfId="637" xr:uid="{00000000-0005-0000-0000-000068020000}"/>
    <cellStyle name="20% - akcent 2 3 4" xfId="638" xr:uid="{00000000-0005-0000-0000-000069020000}"/>
    <cellStyle name="20% - akcent 2 3 4 2" xfId="639" xr:uid="{00000000-0005-0000-0000-00006A020000}"/>
    <cellStyle name="20% - akcent 2 3 5" xfId="640" xr:uid="{00000000-0005-0000-0000-00006B020000}"/>
    <cellStyle name="20% - akcent 2 3 6" xfId="641" xr:uid="{00000000-0005-0000-0000-00006C020000}"/>
    <cellStyle name="20% - akcent 2 3 7" xfId="642" xr:uid="{00000000-0005-0000-0000-00006D020000}"/>
    <cellStyle name="20% - akcent 2 3 8" xfId="643" xr:uid="{00000000-0005-0000-0000-00006E020000}"/>
    <cellStyle name="20% - akcent 2 30" xfId="644" xr:uid="{00000000-0005-0000-0000-00006F020000}"/>
    <cellStyle name="20% - akcent 2 30 2" xfId="645" xr:uid="{00000000-0005-0000-0000-000070020000}"/>
    <cellStyle name="20% - akcent 2 31" xfId="646" xr:uid="{00000000-0005-0000-0000-000071020000}"/>
    <cellStyle name="20% - akcent 2 31 2" xfId="647" xr:uid="{00000000-0005-0000-0000-000072020000}"/>
    <cellStyle name="20% - akcent 2 32" xfId="648" xr:uid="{00000000-0005-0000-0000-000073020000}"/>
    <cellStyle name="20% - akcent 2 32 2" xfId="649" xr:uid="{00000000-0005-0000-0000-000074020000}"/>
    <cellStyle name="20% - akcent 2 33" xfId="650" xr:uid="{00000000-0005-0000-0000-000075020000}"/>
    <cellStyle name="20% - akcent 2 33 2" xfId="651" xr:uid="{00000000-0005-0000-0000-000076020000}"/>
    <cellStyle name="20% - akcent 2 34" xfId="652" xr:uid="{00000000-0005-0000-0000-000077020000}"/>
    <cellStyle name="20% - akcent 2 34 2" xfId="653" xr:uid="{00000000-0005-0000-0000-000078020000}"/>
    <cellStyle name="20% - akcent 2 35" xfId="654" xr:uid="{00000000-0005-0000-0000-000079020000}"/>
    <cellStyle name="20% - akcent 2 35 2" xfId="655" xr:uid="{00000000-0005-0000-0000-00007A020000}"/>
    <cellStyle name="20% - akcent 2 36" xfId="656" xr:uid="{00000000-0005-0000-0000-00007B020000}"/>
    <cellStyle name="20% - akcent 2 36 2" xfId="657" xr:uid="{00000000-0005-0000-0000-00007C020000}"/>
    <cellStyle name="20% - akcent 2 37" xfId="658" xr:uid="{00000000-0005-0000-0000-00007D020000}"/>
    <cellStyle name="20% - akcent 2 37 2" xfId="659" xr:uid="{00000000-0005-0000-0000-00007E020000}"/>
    <cellStyle name="20% - akcent 2 38" xfId="660" xr:uid="{00000000-0005-0000-0000-00007F020000}"/>
    <cellStyle name="20% - akcent 2 38 2" xfId="661" xr:uid="{00000000-0005-0000-0000-000080020000}"/>
    <cellStyle name="20% - akcent 2 39" xfId="662" xr:uid="{00000000-0005-0000-0000-000081020000}"/>
    <cellStyle name="20% - akcent 2 39 2" xfId="663" xr:uid="{00000000-0005-0000-0000-000082020000}"/>
    <cellStyle name="20% - akcent 2 4" xfId="664" xr:uid="{00000000-0005-0000-0000-000083020000}"/>
    <cellStyle name="20% - akcent 2 4 2" xfId="665" xr:uid="{00000000-0005-0000-0000-000084020000}"/>
    <cellStyle name="20% - akcent 2 4 2 2" xfId="666" xr:uid="{00000000-0005-0000-0000-000085020000}"/>
    <cellStyle name="20% - akcent 2 4 3" xfId="667" xr:uid="{00000000-0005-0000-0000-000086020000}"/>
    <cellStyle name="20% - akcent 2 4 3 2" xfId="668" xr:uid="{00000000-0005-0000-0000-000087020000}"/>
    <cellStyle name="20% - akcent 2 4 4" xfId="669" xr:uid="{00000000-0005-0000-0000-000088020000}"/>
    <cellStyle name="20% - akcent 2 4 4 2" xfId="670" xr:uid="{00000000-0005-0000-0000-000089020000}"/>
    <cellStyle name="20% - akcent 2 4 5" xfId="671" xr:uid="{00000000-0005-0000-0000-00008A020000}"/>
    <cellStyle name="20% - akcent 2 4 6" xfId="672" xr:uid="{00000000-0005-0000-0000-00008B020000}"/>
    <cellStyle name="20% - akcent 2 4 7" xfId="673" xr:uid="{00000000-0005-0000-0000-00008C020000}"/>
    <cellStyle name="20% - akcent 2 4 8" xfId="674" xr:uid="{00000000-0005-0000-0000-00008D020000}"/>
    <cellStyle name="20% - akcent 2 40" xfId="675" xr:uid="{00000000-0005-0000-0000-00008E020000}"/>
    <cellStyle name="20% - akcent 2 40 2" xfId="676" xr:uid="{00000000-0005-0000-0000-00008F020000}"/>
    <cellStyle name="20% - akcent 2 41" xfId="677" xr:uid="{00000000-0005-0000-0000-000090020000}"/>
    <cellStyle name="20% - akcent 2 41 2" xfId="678" xr:uid="{00000000-0005-0000-0000-000091020000}"/>
    <cellStyle name="20% - akcent 2 42" xfId="679" xr:uid="{00000000-0005-0000-0000-000092020000}"/>
    <cellStyle name="20% - akcent 2 42 2" xfId="680" xr:uid="{00000000-0005-0000-0000-000093020000}"/>
    <cellStyle name="20% - akcent 2 43" xfId="681" xr:uid="{00000000-0005-0000-0000-000094020000}"/>
    <cellStyle name="20% - akcent 2 43 2" xfId="682" xr:uid="{00000000-0005-0000-0000-000095020000}"/>
    <cellStyle name="20% - akcent 2 44" xfId="683" xr:uid="{00000000-0005-0000-0000-000096020000}"/>
    <cellStyle name="20% - akcent 2 44 2" xfId="684" xr:uid="{00000000-0005-0000-0000-000097020000}"/>
    <cellStyle name="20% - akcent 2 45" xfId="685" xr:uid="{00000000-0005-0000-0000-000098020000}"/>
    <cellStyle name="20% - akcent 2 45 2" xfId="686" xr:uid="{00000000-0005-0000-0000-000099020000}"/>
    <cellStyle name="20% - akcent 2 46" xfId="687" xr:uid="{00000000-0005-0000-0000-00009A020000}"/>
    <cellStyle name="20% - akcent 2 46 2" xfId="688" xr:uid="{00000000-0005-0000-0000-00009B020000}"/>
    <cellStyle name="20% - akcent 2 47" xfId="689" xr:uid="{00000000-0005-0000-0000-00009C020000}"/>
    <cellStyle name="20% - akcent 2 47 2" xfId="690" xr:uid="{00000000-0005-0000-0000-00009D020000}"/>
    <cellStyle name="20% - akcent 2 48" xfId="691" xr:uid="{00000000-0005-0000-0000-00009E020000}"/>
    <cellStyle name="20% - akcent 2 48 2" xfId="692" xr:uid="{00000000-0005-0000-0000-00009F020000}"/>
    <cellStyle name="20% - akcent 2 49" xfId="693" xr:uid="{00000000-0005-0000-0000-0000A0020000}"/>
    <cellStyle name="20% - akcent 2 49 2" xfId="694" xr:uid="{00000000-0005-0000-0000-0000A1020000}"/>
    <cellStyle name="20% - akcent 2 5" xfId="695" xr:uid="{00000000-0005-0000-0000-0000A2020000}"/>
    <cellStyle name="20% - akcent 2 5 2" xfId="696" xr:uid="{00000000-0005-0000-0000-0000A3020000}"/>
    <cellStyle name="20% - akcent 2 5 3" xfId="697" xr:uid="{00000000-0005-0000-0000-0000A4020000}"/>
    <cellStyle name="20% - akcent 2 50" xfId="698" xr:uid="{00000000-0005-0000-0000-0000A5020000}"/>
    <cellStyle name="20% - akcent 2 50 2" xfId="699" xr:uid="{00000000-0005-0000-0000-0000A6020000}"/>
    <cellStyle name="20% - akcent 2 51" xfId="700" xr:uid="{00000000-0005-0000-0000-0000A7020000}"/>
    <cellStyle name="20% - akcent 2 51 2" xfId="701" xr:uid="{00000000-0005-0000-0000-0000A8020000}"/>
    <cellStyle name="20% - akcent 2 52" xfId="702" xr:uid="{00000000-0005-0000-0000-0000A9020000}"/>
    <cellStyle name="20% - akcent 2 52 2" xfId="703" xr:uid="{00000000-0005-0000-0000-0000AA020000}"/>
    <cellStyle name="20% - akcent 2 53" xfId="704" xr:uid="{00000000-0005-0000-0000-0000AB020000}"/>
    <cellStyle name="20% - akcent 2 53 2" xfId="705" xr:uid="{00000000-0005-0000-0000-0000AC020000}"/>
    <cellStyle name="20% - akcent 2 54" xfId="706" xr:uid="{00000000-0005-0000-0000-0000AD020000}"/>
    <cellStyle name="20% - akcent 2 54 2" xfId="707" xr:uid="{00000000-0005-0000-0000-0000AE020000}"/>
    <cellStyle name="20% - akcent 2 55" xfId="708" xr:uid="{00000000-0005-0000-0000-0000AF020000}"/>
    <cellStyle name="20% - akcent 2 55 2" xfId="709" xr:uid="{00000000-0005-0000-0000-0000B0020000}"/>
    <cellStyle name="20% - akcent 2 56" xfId="710" xr:uid="{00000000-0005-0000-0000-0000B1020000}"/>
    <cellStyle name="20% - akcent 2 56 2" xfId="711" xr:uid="{00000000-0005-0000-0000-0000B2020000}"/>
    <cellStyle name="20% - akcent 2 57" xfId="712" xr:uid="{00000000-0005-0000-0000-0000B3020000}"/>
    <cellStyle name="20% - akcent 2 57 2" xfId="713" xr:uid="{00000000-0005-0000-0000-0000B4020000}"/>
    <cellStyle name="20% - akcent 2 58" xfId="714" xr:uid="{00000000-0005-0000-0000-0000B5020000}"/>
    <cellStyle name="20% - akcent 2 58 2" xfId="715" xr:uid="{00000000-0005-0000-0000-0000B6020000}"/>
    <cellStyle name="20% - akcent 2 59" xfId="716" xr:uid="{00000000-0005-0000-0000-0000B7020000}"/>
    <cellStyle name="20% - akcent 2 59 2" xfId="717" xr:uid="{00000000-0005-0000-0000-0000B8020000}"/>
    <cellStyle name="20% - akcent 2 6" xfId="718" xr:uid="{00000000-0005-0000-0000-0000B9020000}"/>
    <cellStyle name="20% - akcent 2 60" xfId="719" xr:uid="{00000000-0005-0000-0000-0000BA020000}"/>
    <cellStyle name="20% - akcent 2 60 2" xfId="720" xr:uid="{00000000-0005-0000-0000-0000BB020000}"/>
    <cellStyle name="20% - akcent 2 61" xfId="721" xr:uid="{00000000-0005-0000-0000-0000BC020000}"/>
    <cellStyle name="20% - akcent 2 61 2" xfId="722" xr:uid="{00000000-0005-0000-0000-0000BD020000}"/>
    <cellStyle name="20% - akcent 2 62" xfId="723" xr:uid="{00000000-0005-0000-0000-0000BE020000}"/>
    <cellStyle name="20% - akcent 2 62 2" xfId="724" xr:uid="{00000000-0005-0000-0000-0000BF020000}"/>
    <cellStyle name="20% - akcent 2 63" xfId="725" xr:uid="{00000000-0005-0000-0000-0000C0020000}"/>
    <cellStyle name="20% - akcent 2 63 2" xfId="726" xr:uid="{00000000-0005-0000-0000-0000C1020000}"/>
    <cellStyle name="20% - akcent 2 64" xfId="727" xr:uid="{00000000-0005-0000-0000-0000C2020000}"/>
    <cellStyle name="20% - akcent 2 64 2" xfId="728" xr:uid="{00000000-0005-0000-0000-0000C3020000}"/>
    <cellStyle name="20% - akcent 2 65" xfId="729" xr:uid="{00000000-0005-0000-0000-0000C4020000}"/>
    <cellStyle name="20% - akcent 2 65 2" xfId="730" xr:uid="{00000000-0005-0000-0000-0000C5020000}"/>
    <cellStyle name="20% - akcent 2 66" xfId="731" xr:uid="{00000000-0005-0000-0000-0000C6020000}"/>
    <cellStyle name="20% - akcent 2 66 2" xfId="732" xr:uid="{00000000-0005-0000-0000-0000C7020000}"/>
    <cellStyle name="20% - akcent 2 67" xfId="733" xr:uid="{00000000-0005-0000-0000-0000C8020000}"/>
    <cellStyle name="20% - akcent 2 67 2" xfId="734" xr:uid="{00000000-0005-0000-0000-0000C9020000}"/>
    <cellStyle name="20% - akcent 2 68" xfId="735" xr:uid="{00000000-0005-0000-0000-0000CA020000}"/>
    <cellStyle name="20% - akcent 2 68 2" xfId="736" xr:uid="{00000000-0005-0000-0000-0000CB020000}"/>
    <cellStyle name="20% - akcent 2 69" xfId="737" xr:uid="{00000000-0005-0000-0000-0000CC020000}"/>
    <cellStyle name="20% - akcent 2 69 2" xfId="738" xr:uid="{00000000-0005-0000-0000-0000CD020000}"/>
    <cellStyle name="20% - akcent 2 7" xfId="739" xr:uid="{00000000-0005-0000-0000-0000CE020000}"/>
    <cellStyle name="20% - akcent 2 70" xfId="740" xr:uid="{00000000-0005-0000-0000-0000CF020000}"/>
    <cellStyle name="20% - akcent 2 70 2" xfId="741" xr:uid="{00000000-0005-0000-0000-0000D0020000}"/>
    <cellStyle name="20% - akcent 2 71" xfId="742" xr:uid="{00000000-0005-0000-0000-0000D1020000}"/>
    <cellStyle name="20% - akcent 2 71 2" xfId="743" xr:uid="{00000000-0005-0000-0000-0000D2020000}"/>
    <cellStyle name="20% - akcent 2 72" xfId="744" xr:uid="{00000000-0005-0000-0000-0000D3020000}"/>
    <cellStyle name="20% - akcent 2 72 2" xfId="745" xr:uid="{00000000-0005-0000-0000-0000D4020000}"/>
    <cellStyle name="20% - akcent 2 73" xfId="746" xr:uid="{00000000-0005-0000-0000-0000D5020000}"/>
    <cellStyle name="20% - akcent 2 73 2" xfId="747" xr:uid="{00000000-0005-0000-0000-0000D6020000}"/>
    <cellStyle name="20% - akcent 2 74" xfId="748" xr:uid="{00000000-0005-0000-0000-0000D7020000}"/>
    <cellStyle name="20% - akcent 2 74 2" xfId="749" xr:uid="{00000000-0005-0000-0000-0000D8020000}"/>
    <cellStyle name="20% - akcent 2 75" xfId="750" xr:uid="{00000000-0005-0000-0000-0000D9020000}"/>
    <cellStyle name="20% - akcent 2 75 2" xfId="751" xr:uid="{00000000-0005-0000-0000-0000DA020000}"/>
    <cellStyle name="20% - akcent 2 76" xfId="752" xr:uid="{00000000-0005-0000-0000-0000DB020000}"/>
    <cellStyle name="20% - akcent 2 76 2" xfId="753" xr:uid="{00000000-0005-0000-0000-0000DC020000}"/>
    <cellStyle name="20% - akcent 2 77" xfId="754" xr:uid="{00000000-0005-0000-0000-0000DD020000}"/>
    <cellStyle name="20% - akcent 2 77 2" xfId="755" xr:uid="{00000000-0005-0000-0000-0000DE020000}"/>
    <cellStyle name="20% - akcent 2 78" xfId="756" xr:uid="{00000000-0005-0000-0000-0000DF020000}"/>
    <cellStyle name="20% - akcent 2 78 2" xfId="757" xr:uid="{00000000-0005-0000-0000-0000E0020000}"/>
    <cellStyle name="20% - akcent 2 79" xfId="758" xr:uid="{00000000-0005-0000-0000-0000E1020000}"/>
    <cellStyle name="20% - akcent 2 79 2" xfId="759" xr:uid="{00000000-0005-0000-0000-0000E2020000}"/>
    <cellStyle name="20% - akcent 2 8" xfId="760" xr:uid="{00000000-0005-0000-0000-0000E3020000}"/>
    <cellStyle name="20% - akcent 2 80" xfId="761" xr:uid="{00000000-0005-0000-0000-0000E4020000}"/>
    <cellStyle name="20% - akcent 2 80 2" xfId="762" xr:uid="{00000000-0005-0000-0000-0000E5020000}"/>
    <cellStyle name="20% - akcent 2 81" xfId="763" xr:uid="{00000000-0005-0000-0000-0000E6020000}"/>
    <cellStyle name="20% - akcent 2 81 2" xfId="764" xr:uid="{00000000-0005-0000-0000-0000E7020000}"/>
    <cellStyle name="20% - akcent 2 82" xfId="765" xr:uid="{00000000-0005-0000-0000-0000E8020000}"/>
    <cellStyle name="20% - akcent 2 82 2" xfId="766" xr:uid="{00000000-0005-0000-0000-0000E9020000}"/>
    <cellStyle name="20% - akcent 2 83" xfId="767" xr:uid="{00000000-0005-0000-0000-0000EA020000}"/>
    <cellStyle name="20% - akcent 2 83 2" xfId="768" xr:uid="{00000000-0005-0000-0000-0000EB020000}"/>
    <cellStyle name="20% - akcent 2 84" xfId="769" xr:uid="{00000000-0005-0000-0000-0000EC020000}"/>
    <cellStyle name="20% - akcent 2 84 2" xfId="770" xr:uid="{00000000-0005-0000-0000-0000ED020000}"/>
    <cellStyle name="20% - akcent 2 85" xfId="771" xr:uid="{00000000-0005-0000-0000-0000EE020000}"/>
    <cellStyle name="20% - akcent 2 85 2" xfId="772" xr:uid="{00000000-0005-0000-0000-0000EF020000}"/>
    <cellStyle name="20% - akcent 2 86" xfId="773" xr:uid="{00000000-0005-0000-0000-0000F0020000}"/>
    <cellStyle name="20% - akcent 2 86 2" xfId="774" xr:uid="{00000000-0005-0000-0000-0000F1020000}"/>
    <cellStyle name="20% - akcent 2 87" xfId="775" xr:uid="{00000000-0005-0000-0000-0000F2020000}"/>
    <cellStyle name="20% - akcent 2 87 2" xfId="776" xr:uid="{00000000-0005-0000-0000-0000F3020000}"/>
    <cellStyle name="20% - akcent 2 88" xfId="777" xr:uid="{00000000-0005-0000-0000-0000F4020000}"/>
    <cellStyle name="20% - akcent 2 88 2" xfId="778" xr:uid="{00000000-0005-0000-0000-0000F5020000}"/>
    <cellStyle name="20% - akcent 2 89" xfId="779" xr:uid="{00000000-0005-0000-0000-0000F6020000}"/>
    <cellStyle name="20% - akcent 2 89 2" xfId="780" xr:uid="{00000000-0005-0000-0000-0000F7020000}"/>
    <cellStyle name="20% - akcent 2 9" xfId="781" xr:uid="{00000000-0005-0000-0000-0000F8020000}"/>
    <cellStyle name="20% - akcent 2 90" xfId="782" xr:uid="{00000000-0005-0000-0000-0000F9020000}"/>
    <cellStyle name="20% - akcent 2 90 2" xfId="783" xr:uid="{00000000-0005-0000-0000-0000FA020000}"/>
    <cellStyle name="20% - akcent 2 91" xfId="784" xr:uid="{00000000-0005-0000-0000-0000FB020000}"/>
    <cellStyle name="20% - akcent 2 91 2" xfId="785" xr:uid="{00000000-0005-0000-0000-0000FC020000}"/>
    <cellStyle name="20% - akcent 2 92" xfId="786" xr:uid="{00000000-0005-0000-0000-0000FD020000}"/>
    <cellStyle name="20% - akcent 2 92 2" xfId="787" xr:uid="{00000000-0005-0000-0000-0000FE020000}"/>
    <cellStyle name="20% - akcent 2 93" xfId="788" xr:uid="{00000000-0005-0000-0000-0000FF020000}"/>
    <cellStyle name="20% - akcent 2 93 2" xfId="789" xr:uid="{00000000-0005-0000-0000-000000030000}"/>
    <cellStyle name="20% - akcent 2 94" xfId="790" xr:uid="{00000000-0005-0000-0000-000001030000}"/>
    <cellStyle name="20% - akcent 2 94 2" xfId="791" xr:uid="{00000000-0005-0000-0000-000002030000}"/>
    <cellStyle name="20% - akcent 2 95" xfId="792" xr:uid="{00000000-0005-0000-0000-000003030000}"/>
    <cellStyle name="20% - akcent 2 95 2" xfId="793" xr:uid="{00000000-0005-0000-0000-000004030000}"/>
    <cellStyle name="20% - akcent 2 96" xfId="794" xr:uid="{00000000-0005-0000-0000-000005030000}"/>
    <cellStyle name="20% - akcent 2 96 2" xfId="795" xr:uid="{00000000-0005-0000-0000-000006030000}"/>
    <cellStyle name="20% - akcent 2 97" xfId="796" xr:uid="{00000000-0005-0000-0000-000007030000}"/>
    <cellStyle name="20% - akcent 2 97 2" xfId="797" xr:uid="{00000000-0005-0000-0000-000008030000}"/>
    <cellStyle name="20% - akcent 2 98" xfId="798" xr:uid="{00000000-0005-0000-0000-000009030000}"/>
    <cellStyle name="20% - akcent 2 98 2" xfId="799" xr:uid="{00000000-0005-0000-0000-00000A030000}"/>
    <cellStyle name="20% - akcent 2 99" xfId="800" xr:uid="{00000000-0005-0000-0000-00000B030000}"/>
    <cellStyle name="20% - akcent 2 99 2" xfId="801" xr:uid="{00000000-0005-0000-0000-00000C030000}"/>
    <cellStyle name="20% - akcent 3 10" xfId="802" xr:uid="{00000000-0005-0000-0000-00000D030000}"/>
    <cellStyle name="20% - akcent 3 100" xfId="803" xr:uid="{00000000-0005-0000-0000-00000E030000}"/>
    <cellStyle name="20% - akcent 3 100 2" xfId="804" xr:uid="{00000000-0005-0000-0000-00000F030000}"/>
    <cellStyle name="20% - akcent 3 101" xfId="805" xr:uid="{00000000-0005-0000-0000-000010030000}"/>
    <cellStyle name="20% - akcent 3 101 2" xfId="806" xr:uid="{00000000-0005-0000-0000-000011030000}"/>
    <cellStyle name="20% - akcent 3 102" xfId="807" xr:uid="{00000000-0005-0000-0000-000012030000}"/>
    <cellStyle name="20% - akcent 3 102 2" xfId="808" xr:uid="{00000000-0005-0000-0000-000013030000}"/>
    <cellStyle name="20% - akcent 3 103" xfId="809" xr:uid="{00000000-0005-0000-0000-000014030000}"/>
    <cellStyle name="20% - akcent 3 103 2" xfId="810" xr:uid="{00000000-0005-0000-0000-000015030000}"/>
    <cellStyle name="20% - akcent 3 104" xfId="811" xr:uid="{00000000-0005-0000-0000-000016030000}"/>
    <cellStyle name="20% - akcent 3 104 2" xfId="812" xr:uid="{00000000-0005-0000-0000-000017030000}"/>
    <cellStyle name="20% - akcent 3 105" xfId="813" xr:uid="{00000000-0005-0000-0000-000018030000}"/>
    <cellStyle name="20% - akcent 3 105 2" xfId="814" xr:uid="{00000000-0005-0000-0000-000019030000}"/>
    <cellStyle name="20% - akcent 3 106" xfId="815" xr:uid="{00000000-0005-0000-0000-00001A030000}"/>
    <cellStyle name="20% - akcent 3 106 2" xfId="816" xr:uid="{00000000-0005-0000-0000-00001B030000}"/>
    <cellStyle name="20% - akcent 3 107" xfId="817" xr:uid="{00000000-0005-0000-0000-00001C030000}"/>
    <cellStyle name="20% - akcent 3 107 2" xfId="818" xr:uid="{00000000-0005-0000-0000-00001D030000}"/>
    <cellStyle name="20% - akcent 3 108" xfId="819" xr:uid="{00000000-0005-0000-0000-00001E030000}"/>
    <cellStyle name="20% - akcent 3 108 2" xfId="820" xr:uid="{00000000-0005-0000-0000-00001F030000}"/>
    <cellStyle name="20% - akcent 3 109" xfId="821" xr:uid="{00000000-0005-0000-0000-000020030000}"/>
    <cellStyle name="20% - akcent 3 109 2" xfId="822" xr:uid="{00000000-0005-0000-0000-000021030000}"/>
    <cellStyle name="20% - akcent 3 11" xfId="823" xr:uid="{00000000-0005-0000-0000-000022030000}"/>
    <cellStyle name="20% - akcent 3 110" xfId="824" xr:uid="{00000000-0005-0000-0000-000023030000}"/>
    <cellStyle name="20% - akcent 3 110 2" xfId="825" xr:uid="{00000000-0005-0000-0000-000024030000}"/>
    <cellStyle name="20% - akcent 3 111" xfId="826" xr:uid="{00000000-0005-0000-0000-000025030000}"/>
    <cellStyle name="20% - akcent 3 111 2" xfId="827" xr:uid="{00000000-0005-0000-0000-000026030000}"/>
    <cellStyle name="20% - akcent 3 112" xfId="828" xr:uid="{00000000-0005-0000-0000-000027030000}"/>
    <cellStyle name="20% - akcent 3 112 2" xfId="829" xr:uid="{00000000-0005-0000-0000-000028030000}"/>
    <cellStyle name="20% - akcent 3 113" xfId="830" xr:uid="{00000000-0005-0000-0000-000029030000}"/>
    <cellStyle name="20% - akcent 3 113 2" xfId="831" xr:uid="{00000000-0005-0000-0000-00002A030000}"/>
    <cellStyle name="20% - akcent 3 114" xfId="832" xr:uid="{00000000-0005-0000-0000-00002B030000}"/>
    <cellStyle name="20% - akcent 3 114 2" xfId="833" xr:uid="{00000000-0005-0000-0000-00002C030000}"/>
    <cellStyle name="20% - akcent 3 115" xfId="834" xr:uid="{00000000-0005-0000-0000-00002D030000}"/>
    <cellStyle name="20% - akcent 3 115 2" xfId="835" xr:uid="{00000000-0005-0000-0000-00002E030000}"/>
    <cellStyle name="20% - akcent 3 116" xfId="836" xr:uid="{00000000-0005-0000-0000-00002F030000}"/>
    <cellStyle name="20% - akcent 3 116 2" xfId="837" xr:uid="{00000000-0005-0000-0000-000030030000}"/>
    <cellStyle name="20% - akcent 3 117" xfId="838" xr:uid="{00000000-0005-0000-0000-000031030000}"/>
    <cellStyle name="20% - akcent 3 117 2" xfId="839" xr:uid="{00000000-0005-0000-0000-000032030000}"/>
    <cellStyle name="20% - akcent 3 118" xfId="840" xr:uid="{00000000-0005-0000-0000-000033030000}"/>
    <cellStyle name="20% - akcent 3 118 2" xfId="841" xr:uid="{00000000-0005-0000-0000-000034030000}"/>
    <cellStyle name="20% - akcent 3 119" xfId="842" xr:uid="{00000000-0005-0000-0000-000035030000}"/>
    <cellStyle name="20% - akcent 3 119 2" xfId="843" xr:uid="{00000000-0005-0000-0000-000036030000}"/>
    <cellStyle name="20% - akcent 3 12" xfId="844" xr:uid="{00000000-0005-0000-0000-000037030000}"/>
    <cellStyle name="20% - akcent 3 120" xfId="845" xr:uid="{00000000-0005-0000-0000-000038030000}"/>
    <cellStyle name="20% - akcent 3 121" xfId="846" xr:uid="{00000000-0005-0000-0000-000039030000}"/>
    <cellStyle name="20% - akcent 3 13" xfId="847" xr:uid="{00000000-0005-0000-0000-00003A030000}"/>
    <cellStyle name="20% - akcent 3 14" xfId="848" xr:uid="{00000000-0005-0000-0000-00003B030000}"/>
    <cellStyle name="20% - akcent 3 15" xfId="849" xr:uid="{00000000-0005-0000-0000-00003C030000}"/>
    <cellStyle name="20% - akcent 3 16" xfId="850" xr:uid="{00000000-0005-0000-0000-00003D030000}"/>
    <cellStyle name="20% - akcent 3 17" xfId="851" xr:uid="{00000000-0005-0000-0000-00003E030000}"/>
    <cellStyle name="20% - akcent 3 18" xfId="852" xr:uid="{00000000-0005-0000-0000-00003F030000}"/>
    <cellStyle name="20% - akcent 3 19" xfId="853" xr:uid="{00000000-0005-0000-0000-000040030000}"/>
    <cellStyle name="20% - akcent 3 2" xfId="854" xr:uid="{00000000-0005-0000-0000-000041030000}"/>
    <cellStyle name="20% - akcent 3 2 10" xfId="855" xr:uid="{00000000-0005-0000-0000-000042030000}"/>
    <cellStyle name="20% - akcent 3 2 10 2" xfId="856" xr:uid="{00000000-0005-0000-0000-000043030000}"/>
    <cellStyle name="20% - akcent 3 2 10 3" xfId="857" xr:uid="{00000000-0005-0000-0000-000044030000}"/>
    <cellStyle name="20% - akcent 3 2 10 4" xfId="858" xr:uid="{00000000-0005-0000-0000-000045030000}"/>
    <cellStyle name="20% - akcent 3 2 10 5" xfId="859" xr:uid="{00000000-0005-0000-0000-000046030000}"/>
    <cellStyle name="20% - akcent 3 2 10 6" xfId="860" xr:uid="{00000000-0005-0000-0000-000047030000}"/>
    <cellStyle name="20% - akcent 3 2 11" xfId="861" xr:uid="{00000000-0005-0000-0000-000048030000}"/>
    <cellStyle name="20% - akcent 3 2 11 2" xfId="862" xr:uid="{00000000-0005-0000-0000-000049030000}"/>
    <cellStyle name="20% - akcent 3 2 11 3" xfId="863" xr:uid="{00000000-0005-0000-0000-00004A030000}"/>
    <cellStyle name="20% - akcent 3 2 11 4" xfId="864" xr:uid="{00000000-0005-0000-0000-00004B030000}"/>
    <cellStyle name="20% - akcent 3 2 11 5" xfId="865" xr:uid="{00000000-0005-0000-0000-00004C030000}"/>
    <cellStyle name="20% - akcent 3 2 11 6" xfId="866" xr:uid="{00000000-0005-0000-0000-00004D030000}"/>
    <cellStyle name="20% - akcent 3 2 12" xfId="867" xr:uid="{00000000-0005-0000-0000-00004E030000}"/>
    <cellStyle name="20% - akcent 3 2 12 2" xfId="868" xr:uid="{00000000-0005-0000-0000-00004F030000}"/>
    <cellStyle name="20% - akcent 3 2 12 3" xfId="869" xr:uid="{00000000-0005-0000-0000-000050030000}"/>
    <cellStyle name="20% - akcent 3 2 12 4" xfId="870" xr:uid="{00000000-0005-0000-0000-000051030000}"/>
    <cellStyle name="20% - akcent 3 2 12 5" xfId="871" xr:uid="{00000000-0005-0000-0000-000052030000}"/>
    <cellStyle name="20% - akcent 3 2 12 6" xfId="872" xr:uid="{00000000-0005-0000-0000-000053030000}"/>
    <cellStyle name="20% - akcent 3 2 13" xfId="873" xr:uid="{00000000-0005-0000-0000-000054030000}"/>
    <cellStyle name="20% - akcent 3 2 13 2" xfId="874" xr:uid="{00000000-0005-0000-0000-000055030000}"/>
    <cellStyle name="20% - akcent 3 2 13 3" xfId="875" xr:uid="{00000000-0005-0000-0000-000056030000}"/>
    <cellStyle name="20% - akcent 3 2 13 4" xfId="876" xr:uid="{00000000-0005-0000-0000-000057030000}"/>
    <cellStyle name="20% - akcent 3 2 13 5" xfId="877" xr:uid="{00000000-0005-0000-0000-000058030000}"/>
    <cellStyle name="20% - akcent 3 2 13 6" xfId="878" xr:uid="{00000000-0005-0000-0000-000059030000}"/>
    <cellStyle name="20% - akcent 3 2 14" xfId="879" xr:uid="{00000000-0005-0000-0000-00005A030000}"/>
    <cellStyle name="20% - akcent 3 2 14 2" xfId="880" xr:uid="{00000000-0005-0000-0000-00005B030000}"/>
    <cellStyle name="20% - akcent 3 2 14 3" xfId="881" xr:uid="{00000000-0005-0000-0000-00005C030000}"/>
    <cellStyle name="20% - akcent 3 2 14 4" xfId="882" xr:uid="{00000000-0005-0000-0000-00005D030000}"/>
    <cellStyle name="20% - akcent 3 2 14 5" xfId="883" xr:uid="{00000000-0005-0000-0000-00005E030000}"/>
    <cellStyle name="20% - akcent 3 2 14 6" xfId="884" xr:uid="{00000000-0005-0000-0000-00005F030000}"/>
    <cellStyle name="20% - akcent 3 2 15" xfId="885" xr:uid="{00000000-0005-0000-0000-000060030000}"/>
    <cellStyle name="20% - akcent 3 2 15 2" xfId="886" xr:uid="{00000000-0005-0000-0000-000061030000}"/>
    <cellStyle name="20% - akcent 3 2 15 3" xfId="887" xr:uid="{00000000-0005-0000-0000-000062030000}"/>
    <cellStyle name="20% - akcent 3 2 15 4" xfId="888" xr:uid="{00000000-0005-0000-0000-000063030000}"/>
    <cellStyle name="20% - akcent 3 2 15 5" xfId="889" xr:uid="{00000000-0005-0000-0000-000064030000}"/>
    <cellStyle name="20% - akcent 3 2 15 6" xfId="890" xr:uid="{00000000-0005-0000-0000-000065030000}"/>
    <cellStyle name="20% - akcent 3 2 16" xfId="891" xr:uid="{00000000-0005-0000-0000-000066030000}"/>
    <cellStyle name="20% - akcent 3 2 16 2" xfId="892" xr:uid="{00000000-0005-0000-0000-000067030000}"/>
    <cellStyle name="20% - akcent 3 2 16 3" xfId="893" xr:uid="{00000000-0005-0000-0000-000068030000}"/>
    <cellStyle name="20% - akcent 3 2 16 4" xfId="894" xr:uid="{00000000-0005-0000-0000-000069030000}"/>
    <cellStyle name="20% - akcent 3 2 16 5" xfId="895" xr:uid="{00000000-0005-0000-0000-00006A030000}"/>
    <cellStyle name="20% - akcent 3 2 16 6" xfId="896" xr:uid="{00000000-0005-0000-0000-00006B030000}"/>
    <cellStyle name="20% - akcent 3 2 17" xfId="897" xr:uid="{00000000-0005-0000-0000-00006C030000}"/>
    <cellStyle name="20% - akcent 3 2 17 2" xfId="898" xr:uid="{00000000-0005-0000-0000-00006D030000}"/>
    <cellStyle name="20% - akcent 3 2 17 3" xfId="899" xr:uid="{00000000-0005-0000-0000-00006E030000}"/>
    <cellStyle name="20% - akcent 3 2 17 4" xfId="900" xr:uid="{00000000-0005-0000-0000-00006F030000}"/>
    <cellStyle name="20% - akcent 3 2 17 5" xfId="901" xr:uid="{00000000-0005-0000-0000-000070030000}"/>
    <cellStyle name="20% - akcent 3 2 17 6" xfId="902" xr:uid="{00000000-0005-0000-0000-000071030000}"/>
    <cellStyle name="20% - akcent 3 2 18" xfId="903" xr:uid="{00000000-0005-0000-0000-000072030000}"/>
    <cellStyle name="20% - akcent 3 2 18 2" xfId="904" xr:uid="{00000000-0005-0000-0000-000073030000}"/>
    <cellStyle name="20% - akcent 3 2 18 3" xfId="905" xr:uid="{00000000-0005-0000-0000-000074030000}"/>
    <cellStyle name="20% - akcent 3 2 18 4" xfId="906" xr:uid="{00000000-0005-0000-0000-000075030000}"/>
    <cellStyle name="20% - akcent 3 2 18 5" xfId="907" xr:uid="{00000000-0005-0000-0000-000076030000}"/>
    <cellStyle name="20% - akcent 3 2 18 6" xfId="908" xr:uid="{00000000-0005-0000-0000-000077030000}"/>
    <cellStyle name="20% - akcent 3 2 19" xfId="909" xr:uid="{00000000-0005-0000-0000-000078030000}"/>
    <cellStyle name="20% - akcent 3 2 19 2" xfId="910" xr:uid="{00000000-0005-0000-0000-000079030000}"/>
    <cellStyle name="20% - akcent 3 2 19 3" xfId="911" xr:uid="{00000000-0005-0000-0000-00007A030000}"/>
    <cellStyle name="20% - akcent 3 2 19 4" xfId="912" xr:uid="{00000000-0005-0000-0000-00007B030000}"/>
    <cellStyle name="20% - akcent 3 2 19 5" xfId="913" xr:uid="{00000000-0005-0000-0000-00007C030000}"/>
    <cellStyle name="20% - akcent 3 2 19 6" xfId="914" xr:uid="{00000000-0005-0000-0000-00007D030000}"/>
    <cellStyle name="20% - akcent 3 2 2" xfId="915" xr:uid="{00000000-0005-0000-0000-00007E030000}"/>
    <cellStyle name="20% - akcent 3 2 2 2" xfId="916" xr:uid="{00000000-0005-0000-0000-00007F030000}"/>
    <cellStyle name="20% - akcent 3 2 2 3" xfId="917" xr:uid="{00000000-0005-0000-0000-000080030000}"/>
    <cellStyle name="20% - akcent 3 2 2 4" xfId="918" xr:uid="{00000000-0005-0000-0000-000081030000}"/>
    <cellStyle name="20% - akcent 3 2 2 5" xfId="919" xr:uid="{00000000-0005-0000-0000-000082030000}"/>
    <cellStyle name="20% - akcent 3 2 2 6" xfId="920" xr:uid="{00000000-0005-0000-0000-000083030000}"/>
    <cellStyle name="20% - akcent 3 2 2 7" xfId="921" xr:uid="{00000000-0005-0000-0000-000084030000}"/>
    <cellStyle name="20% - akcent 3 2 20" xfId="922" xr:uid="{00000000-0005-0000-0000-000085030000}"/>
    <cellStyle name="20% - akcent 3 2 20 2" xfId="923" xr:uid="{00000000-0005-0000-0000-000086030000}"/>
    <cellStyle name="20% - akcent 3 2 20 3" xfId="924" xr:uid="{00000000-0005-0000-0000-000087030000}"/>
    <cellStyle name="20% - akcent 3 2 20 4" xfId="925" xr:uid="{00000000-0005-0000-0000-000088030000}"/>
    <cellStyle name="20% - akcent 3 2 20 5" xfId="926" xr:uid="{00000000-0005-0000-0000-000089030000}"/>
    <cellStyle name="20% - akcent 3 2 20 6" xfId="927" xr:uid="{00000000-0005-0000-0000-00008A030000}"/>
    <cellStyle name="20% - akcent 3 2 21" xfId="928" xr:uid="{00000000-0005-0000-0000-00008B030000}"/>
    <cellStyle name="20% - akcent 3 2 21 2" xfId="929" xr:uid="{00000000-0005-0000-0000-00008C030000}"/>
    <cellStyle name="20% - akcent 3 2 21 3" xfId="930" xr:uid="{00000000-0005-0000-0000-00008D030000}"/>
    <cellStyle name="20% - akcent 3 2 21 4" xfId="931" xr:uid="{00000000-0005-0000-0000-00008E030000}"/>
    <cellStyle name="20% - akcent 3 2 21 5" xfId="932" xr:uid="{00000000-0005-0000-0000-00008F030000}"/>
    <cellStyle name="20% - akcent 3 2 21 6" xfId="933" xr:uid="{00000000-0005-0000-0000-000090030000}"/>
    <cellStyle name="20% - akcent 3 2 22" xfId="934" xr:uid="{00000000-0005-0000-0000-000091030000}"/>
    <cellStyle name="20% - akcent 3 2 22 2" xfId="935" xr:uid="{00000000-0005-0000-0000-000092030000}"/>
    <cellStyle name="20% - akcent 3 2 22 3" xfId="936" xr:uid="{00000000-0005-0000-0000-000093030000}"/>
    <cellStyle name="20% - akcent 3 2 22 4" xfId="937" xr:uid="{00000000-0005-0000-0000-000094030000}"/>
    <cellStyle name="20% - akcent 3 2 22 5" xfId="938" xr:uid="{00000000-0005-0000-0000-000095030000}"/>
    <cellStyle name="20% - akcent 3 2 22 6" xfId="939" xr:uid="{00000000-0005-0000-0000-000096030000}"/>
    <cellStyle name="20% - akcent 3 2 23" xfId="940" xr:uid="{00000000-0005-0000-0000-000097030000}"/>
    <cellStyle name="20% - akcent 3 2 23 2" xfId="941" xr:uid="{00000000-0005-0000-0000-000098030000}"/>
    <cellStyle name="20% - akcent 3 2 23 3" xfId="942" xr:uid="{00000000-0005-0000-0000-000099030000}"/>
    <cellStyle name="20% - akcent 3 2 23 4" xfId="943" xr:uid="{00000000-0005-0000-0000-00009A030000}"/>
    <cellStyle name="20% - akcent 3 2 23 5" xfId="944" xr:uid="{00000000-0005-0000-0000-00009B030000}"/>
    <cellStyle name="20% - akcent 3 2 23 6" xfId="945" xr:uid="{00000000-0005-0000-0000-00009C030000}"/>
    <cellStyle name="20% - akcent 3 2 24" xfId="946" xr:uid="{00000000-0005-0000-0000-00009D030000}"/>
    <cellStyle name="20% - akcent 3 2 24 2" xfId="947" xr:uid="{00000000-0005-0000-0000-00009E030000}"/>
    <cellStyle name="20% - akcent 3 2 24 3" xfId="948" xr:uid="{00000000-0005-0000-0000-00009F030000}"/>
    <cellStyle name="20% - akcent 3 2 24 4" xfId="949" xr:uid="{00000000-0005-0000-0000-0000A0030000}"/>
    <cellStyle name="20% - akcent 3 2 24 5" xfId="950" xr:uid="{00000000-0005-0000-0000-0000A1030000}"/>
    <cellStyle name="20% - akcent 3 2 24 6" xfId="951" xr:uid="{00000000-0005-0000-0000-0000A2030000}"/>
    <cellStyle name="20% - akcent 3 2 25" xfId="952" xr:uid="{00000000-0005-0000-0000-0000A3030000}"/>
    <cellStyle name="20% - akcent 3 2 25 2" xfId="953" xr:uid="{00000000-0005-0000-0000-0000A4030000}"/>
    <cellStyle name="20% - akcent 3 2 25 3" xfId="954" xr:uid="{00000000-0005-0000-0000-0000A5030000}"/>
    <cellStyle name="20% - akcent 3 2 25 4" xfId="955" xr:uid="{00000000-0005-0000-0000-0000A6030000}"/>
    <cellStyle name="20% - akcent 3 2 25 5" xfId="956" xr:uid="{00000000-0005-0000-0000-0000A7030000}"/>
    <cellStyle name="20% - akcent 3 2 25 6" xfId="957" xr:uid="{00000000-0005-0000-0000-0000A8030000}"/>
    <cellStyle name="20% - akcent 3 2 26" xfId="958" xr:uid="{00000000-0005-0000-0000-0000A9030000}"/>
    <cellStyle name="20% - akcent 3 2 26 2" xfId="959" xr:uid="{00000000-0005-0000-0000-0000AA030000}"/>
    <cellStyle name="20% - akcent 3 2 26 3" xfId="960" xr:uid="{00000000-0005-0000-0000-0000AB030000}"/>
    <cellStyle name="20% - akcent 3 2 26 4" xfId="961" xr:uid="{00000000-0005-0000-0000-0000AC030000}"/>
    <cellStyle name="20% - akcent 3 2 26 5" xfId="962" xr:uid="{00000000-0005-0000-0000-0000AD030000}"/>
    <cellStyle name="20% - akcent 3 2 26 6" xfId="963" xr:uid="{00000000-0005-0000-0000-0000AE030000}"/>
    <cellStyle name="20% - akcent 3 2 27" xfId="964" xr:uid="{00000000-0005-0000-0000-0000AF030000}"/>
    <cellStyle name="20% - akcent 3 2 27 2" xfId="965" xr:uid="{00000000-0005-0000-0000-0000B0030000}"/>
    <cellStyle name="20% - akcent 3 2 27 3" xfId="966" xr:uid="{00000000-0005-0000-0000-0000B1030000}"/>
    <cellStyle name="20% - akcent 3 2 27 4" xfId="967" xr:uid="{00000000-0005-0000-0000-0000B2030000}"/>
    <cellStyle name="20% - akcent 3 2 27 5" xfId="968" xr:uid="{00000000-0005-0000-0000-0000B3030000}"/>
    <cellStyle name="20% - akcent 3 2 27 6" xfId="969" xr:uid="{00000000-0005-0000-0000-0000B4030000}"/>
    <cellStyle name="20% - akcent 3 2 28" xfId="970" xr:uid="{00000000-0005-0000-0000-0000B5030000}"/>
    <cellStyle name="20% - akcent 3 2 28 2" xfId="971" xr:uid="{00000000-0005-0000-0000-0000B6030000}"/>
    <cellStyle name="20% - akcent 3 2 28 3" xfId="972" xr:uid="{00000000-0005-0000-0000-0000B7030000}"/>
    <cellStyle name="20% - akcent 3 2 28 4" xfId="973" xr:uid="{00000000-0005-0000-0000-0000B8030000}"/>
    <cellStyle name="20% - akcent 3 2 28 5" xfId="974" xr:uid="{00000000-0005-0000-0000-0000B9030000}"/>
    <cellStyle name="20% - akcent 3 2 28 6" xfId="975" xr:uid="{00000000-0005-0000-0000-0000BA030000}"/>
    <cellStyle name="20% - akcent 3 2 29" xfId="976" xr:uid="{00000000-0005-0000-0000-0000BB030000}"/>
    <cellStyle name="20% - akcent 3 2 29 2" xfId="977" xr:uid="{00000000-0005-0000-0000-0000BC030000}"/>
    <cellStyle name="20% - akcent 3 2 3" xfId="978" xr:uid="{00000000-0005-0000-0000-0000BD030000}"/>
    <cellStyle name="20% - akcent 3 2 3 2" xfId="979" xr:uid="{00000000-0005-0000-0000-0000BE030000}"/>
    <cellStyle name="20% - akcent 3 2 3 3" xfId="980" xr:uid="{00000000-0005-0000-0000-0000BF030000}"/>
    <cellStyle name="20% - akcent 3 2 3 4" xfId="981" xr:uid="{00000000-0005-0000-0000-0000C0030000}"/>
    <cellStyle name="20% - akcent 3 2 3 5" xfId="982" xr:uid="{00000000-0005-0000-0000-0000C1030000}"/>
    <cellStyle name="20% - akcent 3 2 3 6" xfId="983" xr:uid="{00000000-0005-0000-0000-0000C2030000}"/>
    <cellStyle name="20% - akcent 3 2 3 7" xfId="984" xr:uid="{00000000-0005-0000-0000-0000C3030000}"/>
    <cellStyle name="20% - akcent 3 2 30" xfId="985" xr:uid="{00000000-0005-0000-0000-0000C4030000}"/>
    <cellStyle name="20% - akcent 3 2 30 2" xfId="986" xr:uid="{00000000-0005-0000-0000-0000C5030000}"/>
    <cellStyle name="20% - akcent 3 2 31" xfId="987" xr:uid="{00000000-0005-0000-0000-0000C6030000}"/>
    <cellStyle name="20% - akcent 3 2 31 2" xfId="988" xr:uid="{00000000-0005-0000-0000-0000C7030000}"/>
    <cellStyle name="20% - akcent 3 2 32" xfId="989" xr:uid="{00000000-0005-0000-0000-0000C8030000}"/>
    <cellStyle name="20% - akcent 3 2 32 2" xfId="990" xr:uid="{00000000-0005-0000-0000-0000C9030000}"/>
    <cellStyle name="20% - akcent 3 2 33" xfId="991" xr:uid="{00000000-0005-0000-0000-0000CA030000}"/>
    <cellStyle name="20% - akcent 3 2 34" xfId="992" xr:uid="{00000000-0005-0000-0000-0000CB030000}"/>
    <cellStyle name="20% - akcent 3 2 35" xfId="993" xr:uid="{00000000-0005-0000-0000-0000CC030000}"/>
    <cellStyle name="20% - akcent 3 2 36" xfId="994" xr:uid="{00000000-0005-0000-0000-0000CD030000}"/>
    <cellStyle name="20% - akcent 3 2 37" xfId="995" xr:uid="{00000000-0005-0000-0000-0000CE030000}"/>
    <cellStyle name="20% - akcent 3 2 38" xfId="996" xr:uid="{00000000-0005-0000-0000-0000CF030000}"/>
    <cellStyle name="20% - akcent 3 2 39" xfId="997" xr:uid="{00000000-0005-0000-0000-0000D0030000}"/>
    <cellStyle name="20% - akcent 3 2 4" xfId="998" xr:uid="{00000000-0005-0000-0000-0000D1030000}"/>
    <cellStyle name="20% - akcent 3 2 4 2" xfId="999" xr:uid="{00000000-0005-0000-0000-0000D2030000}"/>
    <cellStyle name="20% - akcent 3 2 4 3" xfId="1000" xr:uid="{00000000-0005-0000-0000-0000D3030000}"/>
    <cellStyle name="20% - akcent 3 2 4 4" xfId="1001" xr:uid="{00000000-0005-0000-0000-0000D4030000}"/>
    <cellStyle name="20% - akcent 3 2 4 5" xfId="1002" xr:uid="{00000000-0005-0000-0000-0000D5030000}"/>
    <cellStyle name="20% - akcent 3 2 4 6" xfId="1003" xr:uid="{00000000-0005-0000-0000-0000D6030000}"/>
    <cellStyle name="20% - akcent 3 2 4 7" xfId="1004" xr:uid="{00000000-0005-0000-0000-0000D7030000}"/>
    <cellStyle name="20% - akcent 3 2 40" xfId="1005" xr:uid="{00000000-0005-0000-0000-0000D8030000}"/>
    <cellStyle name="20% - akcent 3 2 41" xfId="1006" xr:uid="{00000000-0005-0000-0000-0000D9030000}"/>
    <cellStyle name="20% - akcent 3 2 42" xfId="1007" xr:uid="{00000000-0005-0000-0000-0000DA030000}"/>
    <cellStyle name="20% - akcent 3 2 43" xfId="1008" xr:uid="{00000000-0005-0000-0000-0000DB030000}"/>
    <cellStyle name="20% - akcent 3 2 44" xfId="1009" xr:uid="{00000000-0005-0000-0000-0000DC030000}"/>
    <cellStyle name="20% - akcent 3 2 45" xfId="1010" xr:uid="{00000000-0005-0000-0000-0000DD030000}"/>
    <cellStyle name="20% - akcent 3 2 46" xfId="1011" xr:uid="{00000000-0005-0000-0000-0000DE030000}"/>
    <cellStyle name="20% - akcent 3 2 47" xfId="1012" xr:uid="{00000000-0005-0000-0000-0000DF030000}"/>
    <cellStyle name="20% - akcent 3 2 48" xfId="1013" xr:uid="{00000000-0005-0000-0000-0000E0030000}"/>
    <cellStyle name="20% - akcent 3 2 49" xfId="1014" xr:uid="{00000000-0005-0000-0000-0000E1030000}"/>
    <cellStyle name="20% - akcent 3 2 5" xfId="1015" xr:uid="{00000000-0005-0000-0000-0000E2030000}"/>
    <cellStyle name="20% - akcent 3 2 5 2" xfId="1016" xr:uid="{00000000-0005-0000-0000-0000E3030000}"/>
    <cellStyle name="20% - akcent 3 2 5 3" xfId="1017" xr:uid="{00000000-0005-0000-0000-0000E4030000}"/>
    <cellStyle name="20% - akcent 3 2 5 4" xfId="1018" xr:uid="{00000000-0005-0000-0000-0000E5030000}"/>
    <cellStyle name="20% - akcent 3 2 5 5" xfId="1019" xr:uid="{00000000-0005-0000-0000-0000E6030000}"/>
    <cellStyle name="20% - akcent 3 2 5 6" xfId="1020" xr:uid="{00000000-0005-0000-0000-0000E7030000}"/>
    <cellStyle name="20% - akcent 3 2 50" xfId="1021" xr:uid="{00000000-0005-0000-0000-0000E8030000}"/>
    <cellStyle name="20% - akcent 3 2 51" xfId="1022" xr:uid="{00000000-0005-0000-0000-0000E9030000}"/>
    <cellStyle name="20% - akcent 3 2 6" xfId="1023" xr:uid="{00000000-0005-0000-0000-0000EA030000}"/>
    <cellStyle name="20% - akcent 3 2 6 2" xfId="1024" xr:uid="{00000000-0005-0000-0000-0000EB030000}"/>
    <cellStyle name="20% - akcent 3 2 6 3" xfId="1025" xr:uid="{00000000-0005-0000-0000-0000EC030000}"/>
    <cellStyle name="20% - akcent 3 2 6 4" xfId="1026" xr:uid="{00000000-0005-0000-0000-0000ED030000}"/>
    <cellStyle name="20% - akcent 3 2 6 5" xfId="1027" xr:uid="{00000000-0005-0000-0000-0000EE030000}"/>
    <cellStyle name="20% - akcent 3 2 6 6" xfId="1028" xr:uid="{00000000-0005-0000-0000-0000EF030000}"/>
    <cellStyle name="20% - akcent 3 2 7" xfId="1029" xr:uid="{00000000-0005-0000-0000-0000F0030000}"/>
    <cellStyle name="20% - akcent 3 2 7 2" xfId="1030" xr:uid="{00000000-0005-0000-0000-0000F1030000}"/>
    <cellStyle name="20% - akcent 3 2 7 3" xfId="1031" xr:uid="{00000000-0005-0000-0000-0000F2030000}"/>
    <cellStyle name="20% - akcent 3 2 7 4" xfId="1032" xr:uid="{00000000-0005-0000-0000-0000F3030000}"/>
    <cellStyle name="20% - akcent 3 2 7 5" xfId="1033" xr:uid="{00000000-0005-0000-0000-0000F4030000}"/>
    <cellStyle name="20% - akcent 3 2 7 6" xfId="1034" xr:uid="{00000000-0005-0000-0000-0000F5030000}"/>
    <cellStyle name="20% - akcent 3 2 8" xfId="1035" xr:uid="{00000000-0005-0000-0000-0000F6030000}"/>
    <cellStyle name="20% - akcent 3 2 8 2" xfId="1036" xr:uid="{00000000-0005-0000-0000-0000F7030000}"/>
    <cellStyle name="20% - akcent 3 2 8 3" xfId="1037" xr:uid="{00000000-0005-0000-0000-0000F8030000}"/>
    <cellStyle name="20% - akcent 3 2 8 4" xfId="1038" xr:uid="{00000000-0005-0000-0000-0000F9030000}"/>
    <cellStyle name="20% - akcent 3 2 8 5" xfId="1039" xr:uid="{00000000-0005-0000-0000-0000FA030000}"/>
    <cellStyle name="20% - akcent 3 2 8 6" xfId="1040" xr:uid="{00000000-0005-0000-0000-0000FB030000}"/>
    <cellStyle name="20% - akcent 3 2 9" xfId="1041" xr:uid="{00000000-0005-0000-0000-0000FC030000}"/>
    <cellStyle name="20% - akcent 3 2 9 2" xfId="1042" xr:uid="{00000000-0005-0000-0000-0000FD030000}"/>
    <cellStyle name="20% - akcent 3 2 9 3" xfId="1043" xr:uid="{00000000-0005-0000-0000-0000FE030000}"/>
    <cellStyle name="20% - akcent 3 2 9 4" xfId="1044" xr:uid="{00000000-0005-0000-0000-0000FF030000}"/>
    <cellStyle name="20% - akcent 3 2 9 5" xfId="1045" xr:uid="{00000000-0005-0000-0000-000000040000}"/>
    <cellStyle name="20% - akcent 3 2 9 6" xfId="1046" xr:uid="{00000000-0005-0000-0000-000001040000}"/>
    <cellStyle name="20% - akcent 3 20" xfId="1047" xr:uid="{00000000-0005-0000-0000-000002040000}"/>
    <cellStyle name="20% - akcent 3 21" xfId="1048" xr:uid="{00000000-0005-0000-0000-000003040000}"/>
    <cellStyle name="20% - akcent 3 22" xfId="1049" xr:uid="{00000000-0005-0000-0000-000004040000}"/>
    <cellStyle name="20% - akcent 3 23" xfId="1050" xr:uid="{00000000-0005-0000-0000-000005040000}"/>
    <cellStyle name="20% - akcent 3 24" xfId="1051" xr:uid="{00000000-0005-0000-0000-000006040000}"/>
    <cellStyle name="20% - akcent 3 25" xfId="1052" xr:uid="{00000000-0005-0000-0000-000007040000}"/>
    <cellStyle name="20% - akcent 3 26" xfId="1053" xr:uid="{00000000-0005-0000-0000-000008040000}"/>
    <cellStyle name="20% - akcent 3 27" xfId="1054" xr:uid="{00000000-0005-0000-0000-000009040000}"/>
    <cellStyle name="20% - akcent 3 28" xfId="1055" xr:uid="{00000000-0005-0000-0000-00000A040000}"/>
    <cellStyle name="20% - akcent 3 29" xfId="1056" xr:uid="{00000000-0005-0000-0000-00000B040000}"/>
    <cellStyle name="20% - akcent 3 3" xfId="1057" xr:uid="{00000000-0005-0000-0000-00000C040000}"/>
    <cellStyle name="20% - akcent 3 3 2" xfId="1058" xr:uid="{00000000-0005-0000-0000-00000D040000}"/>
    <cellStyle name="20% - akcent 3 3 2 2" xfId="1059" xr:uid="{00000000-0005-0000-0000-00000E040000}"/>
    <cellStyle name="20% - akcent 3 3 3" xfId="1060" xr:uid="{00000000-0005-0000-0000-00000F040000}"/>
    <cellStyle name="20% - akcent 3 3 3 2" xfId="1061" xr:uid="{00000000-0005-0000-0000-000010040000}"/>
    <cellStyle name="20% - akcent 3 3 4" xfId="1062" xr:uid="{00000000-0005-0000-0000-000011040000}"/>
    <cellStyle name="20% - akcent 3 3 4 2" xfId="1063" xr:uid="{00000000-0005-0000-0000-000012040000}"/>
    <cellStyle name="20% - akcent 3 3 5" xfId="1064" xr:uid="{00000000-0005-0000-0000-000013040000}"/>
    <cellStyle name="20% - akcent 3 3 6" xfId="1065" xr:uid="{00000000-0005-0000-0000-000014040000}"/>
    <cellStyle name="20% - akcent 3 3 7" xfId="1066" xr:uid="{00000000-0005-0000-0000-000015040000}"/>
    <cellStyle name="20% - akcent 3 3 8" xfId="1067" xr:uid="{00000000-0005-0000-0000-000016040000}"/>
    <cellStyle name="20% - akcent 3 30" xfId="1068" xr:uid="{00000000-0005-0000-0000-000017040000}"/>
    <cellStyle name="20% - akcent 3 30 2" xfId="1069" xr:uid="{00000000-0005-0000-0000-000018040000}"/>
    <cellStyle name="20% - akcent 3 31" xfId="1070" xr:uid="{00000000-0005-0000-0000-000019040000}"/>
    <cellStyle name="20% - akcent 3 31 2" xfId="1071" xr:uid="{00000000-0005-0000-0000-00001A040000}"/>
    <cellStyle name="20% - akcent 3 32" xfId="1072" xr:uid="{00000000-0005-0000-0000-00001B040000}"/>
    <cellStyle name="20% - akcent 3 32 2" xfId="1073" xr:uid="{00000000-0005-0000-0000-00001C040000}"/>
    <cellStyle name="20% - akcent 3 33" xfId="1074" xr:uid="{00000000-0005-0000-0000-00001D040000}"/>
    <cellStyle name="20% - akcent 3 33 2" xfId="1075" xr:uid="{00000000-0005-0000-0000-00001E040000}"/>
    <cellStyle name="20% - akcent 3 34" xfId="1076" xr:uid="{00000000-0005-0000-0000-00001F040000}"/>
    <cellStyle name="20% - akcent 3 34 2" xfId="1077" xr:uid="{00000000-0005-0000-0000-000020040000}"/>
    <cellStyle name="20% - akcent 3 35" xfId="1078" xr:uid="{00000000-0005-0000-0000-000021040000}"/>
    <cellStyle name="20% - akcent 3 35 2" xfId="1079" xr:uid="{00000000-0005-0000-0000-000022040000}"/>
    <cellStyle name="20% - akcent 3 36" xfId="1080" xr:uid="{00000000-0005-0000-0000-000023040000}"/>
    <cellStyle name="20% - akcent 3 36 2" xfId="1081" xr:uid="{00000000-0005-0000-0000-000024040000}"/>
    <cellStyle name="20% - akcent 3 37" xfId="1082" xr:uid="{00000000-0005-0000-0000-000025040000}"/>
    <cellStyle name="20% - akcent 3 37 2" xfId="1083" xr:uid="{00000000-0005-0000-0000-000026040000}"/>
    <cellStyle name="20% - akcent 3 38" xfId="1084" xr:uid="{00000000-0005-0000-0000-000027040000}"/>
    <cellStyle name="20% - akcent 3 38 2" xfId="1085" xr:uid="{00000000-0005-0000-0000-000028040000}"/>
    <cellStyle name="20% - akcent 3 39" xfId="1086" xr:uid="{00000000-0005-0000-0000-000029040000}"/>
    <cellStyle name="20% - akcent 3 39 2" xfId="1087" xr:uid="{00000000-0005-0000-0000-00002A040000}"/>
    <cellStyle name="20% - akcent 3 4" xfId="1088" xr:uid="{00000000-0005-0000-0000-00002B040000}"/>
    <cellStyle name="20% - akcent 3 4 2" xfId="1089" xr:uid="{00000000-0005-0000-0000-00002C040000}"/>
    <cellStyle name="20% - akcent 3 4 2 2" xfId="1090" xr:uid="{00000000-0005-0000-0000-00002D040000}"/>
    <cellStyle name="20% - akcent 3 4 3" xfId="1091" xr:uid="{00000000-0005-0000-0000-00002E040000}"/>
    <cellStyle name="20% - akcent 3 4 3 2" xfId="1092" xr:uid="{00000000-0005-0000-0000-00002F040000}"/>
    <cellStyle name="20% - akcent 3 4 4" xfId="1093" xr:uid="{00000000-0005-0000-0000-000030040000}"/>
    <cellStyle name="20% - akcent 3 4 4 2" xfId="1094" xr:uid="{00000000-0005-0000-0000-000031040000}"/>
    <cellStyle name="20% - akcent 3 4 5" xfId="1095" xr:uid="{00000000-0005-0000-0000-000032040000}"/>
    <cellStyle name="20% - akcent 3 4 6" xfId="1096" xr:uid="{00000000-0005-0000-0000-000033040000}"/>
    <cellStyle name="20% - akcent 3 4 7" xfId="1097" xr:uid="{00000000-0005-0000-0000-000034040000}"/>
    <cellStyle name="20% - akcent 3 4 8" xfId="1098" xr:uid="{00000000-0005-0000-0000-000035040000}"/>
    <cellStyle name="20% - akcent 3 40" xfId="1099" xr:uid="{00000000-0005-0000-0000-000036040000}"/>
    <cellStyle name="20% - akcent 3 40 2" xfId="1100" xr:uid="{00000000-0005-0000-0000-000037040000}"/>
    <cellStyle name="20% - akcent 3 41" xfId="1101" xr:uid="{00000000-0005-0000-0000-000038040000}"/>
    <cellStyle name="20% - akcent 3 41 2" xfId="1102" xr:uid="{00000000-0005-0000-0000-000039040000}"/>
    <cellStyle name="20% - akcent 3 42" xfId="1103" xr:uid="{00000000-0005-0000-0000-00003A040000}"/>
    <cellStyle name="20% - akcent 3 42 2" xfId="1104" xr:uid="{00000000-0005-0000-0000-00003B040000}"/>
    <cellStyle name="20% - akcent 3 43" xfId="1105" xr:uid="{00000000-0005-0000-0000-00003C040000}"/>
    <cellStyle name="20% - akcent 3 43 2" xfId="1106" xr:uid="{00000000-0005-0000-0000-00003D040000}"/>
    <cellStyle name="20% - akcent 3 44" xfId="1107" xr:uid="{00000000-0005-0000-0000-00003E040000}"/>
    <cellStyle name="20% - akcent 3 44 2" xfId="1108" xr:uid="{00000000-0005-0000-0000-00003F040000}"/>
    <cellStyle name="20% - akcent 3 45" xfId="1109" xr:uid="{00000000-0005-0000-0000-000040040000}"/>
    <cellStyle name="20% - akcent 3 45 2" xfId="1110" xr:uid="{00000000-0005-0000-0000-000041040000}"/>
    <cellStyle name="20% - akcent 3 46" xfId="1111" xr:uid="{00000000-0005-0000-0000-000042040000}"/>
    <cellStyle name="20% - akcent 3 46 2" xfId="1112" xr:uid="{00000000-0005-0000-0000-000043040000}"/>
    <cellStyle name="20% - akcent 3 47" xfId="1113" xr:uid="{00000000-0005-0000-0000-000044040000}"/>
    <cellStyle name="20% - akcent 3 47 2" xfId="1114" xr:uid="{00000000-0005-0000-0000-000045040000}"/>
    <cellStyle name="20% - akcent 3 48" xfId="1115" xr:uid="{00000000-0005-0000-0000-000046040000}"/>
    <cellStyle name="20% - akcent 3 48 2" xfId="1116" xr:uid="{00000000-0005-0000-0000-000047040000}"/>
    <cellStyle name="20% - akcent 3 49" xfId="1117" xr:uid="{00000000-0005-0000-0000-000048040000}"/>
    <cellStyle name="20% - akcent 3 49 2" xfId="1118" xr:uid="{00000000-0005-0000-0000-000049040000}"/>
    <cellStyle name="20% - akcent 3 5" xfId="1119" xr:uid="{00000000-0005-0000-0000-00004A040000}"/>
    <cellStyle name="20% - akcent 3 5 2" xfId="1120" xr:uid="{00000000-0005-0000-0000-00004B040000}"/>
    <cellStyle name="20% - akcent 3 5 3" xfId="1121" xr:uid="{00000000-0005-0000-0000-00004C040000}"/>
    <cellStyle name="20% - akcent 3 50" xfId="1122" xr:uid="{00000000-0005-0000-0000-00004D040000}"/>
    <cellStyle name="20% - akcent 3 50 2" xfId="1123" xr:uid="{00000000-0005-0000-0000-00004E040000}"/>
    <cellStyle name="20% - akcent 3 51" xfId="1124" xr:uid="{00000000-0005-0000-0000-00004F040000}"/>
    <cellStyle name="20% - akcent 3 51 2" xfId="1125" xr:uid="{00000000-0005-0000-0000-000050040000}"/>
    <cellStyle name="20% - akcent 3 52" xfId="1126" xr:uid="{00000000-0005-0000-0000-000051040000}"/>
    <cellStyle name="20% - akcent 3 52 2" xfId="1127" xr:uid="{00000000-0005-0000-0000-000052040000}"/>
    <cellStyle name="20% - akcent 3 53" xfId="1128" xr:uid="{00000000-0005-0000-0000-000053040000}"/>
    <cellStyle name="20% - akcent 3 53 2" xfId="1129" xr:uid="{00000000-0005-0000-0000-000054040000}"/>
    <cellStyle name="20% - akcent 3 54" xfId="1130" xr:uid="{00000000-0005-0000-0000-000055040000}"/>
    <cellStyle name="20% - akcent 3 54 2" xfId="1131" xr:uid="{00000000-0005-0000-0000-000056040000}"/>
    <cellStyle name="20% - akcent 3 55" xfId="1132" xr:uid="{00000000-0005-0000-0000-000057040000}"/>
    <cellStyle name="20% - akcent 3 55 2" xfId="1133" xr:uid="{00000000-0005-0000-0000-000058040000}"/>
    <cellStyle name="20% - akcent 3 56" xfId="1134" xr:uid="{00000000-0005-0000-0000-000059040000}"/>
    <cellStyle name="20% - akcent 3 56 2" xfId="1135" xr:uid="{00000000-0005-0000-0000-00005A040000}"/>
    <cellStyle name="20% - akcent 3 57" xfId="1136" xr:uid="{00000000-0005-0000-0000-00005B040000}"/>
    <cellStyle name="20% - akcent 3 57 2" xfId="1137" xr:uid="{00000000-0005-0000-0000-00005C040000}"/>
    <cellStyle name="20% - akcent 3 58" xfId="1138" xr:uid="{00000000-0005-0000-0000-00005D040000}"/>
    <cellStyle name="20% - akcent 3 58 2" xfId="1139" xr:uid="{00000000-0005-0000-0000-00005E040000}"/>
    <cellStyle name="20% - akcent 3 59" xfId="1140" xr:uid="{00000000-0005-0000-0000-00005F040000}"/>
    <cellStyle name="20% - akcent 3 59 2" xfId="1141" xr:uid="{00000000-0005-0000-0000-000060040000}"/>
    <cellStyle name="20% - akcent 3 6" xfId="1142" xr:uid="{00000000-0005-0000-0000-000061040000}"/>
    <cellStyle name="20% - akcent 3 60" xfId="1143" xr:uid="{00000000-0005-0000-0000-000062040000}"/>
    <cellStyle name="20% - akcent 3 60 2" xfId="1144" xr:uid="{00000000-0005-0000-0000-000063040000}"/>
    <cellStyle name="20% - akcent 3 61" xfId="1145" xr:uid="{00000000-0005-0000-0000-000064040000}"/>
    <cellStyle name="20% - akcent 3 61 2" xfId="1146" xr:uid="{00000000-0005-0000-0000-000065040000}"/>
    <cellStyle name="20% - akcent 3 62" xfId="1147" xr:uid="{00000000-0005-0000-0000-000066040000}"/>
    <cellStyle name="20% - akcent 3 62 2" xfId="1148" xr:uid="{00000000-0005-0000-0000-000067040000}"/>
    <cellStyle name="20% - akcent 3 63" xfId="1149" xr:uid="{00000000-0005-0000-0000-000068040000}"/>
    <cellStyle name="20% - akcent 3 63 2" xfId="1150" xr:uid="{00000000-0005-0000-0000-000069040000}"/>
    <cellStyle name="20% - akcent 3 64" xfId="1151" xr:uid="{00000000-0005-0000-0000-00006A040000}"/>
    <cellStyle name="20% - akcent 3 64 2" xfId="1152" xr:uid="{00000000-0005-0000-0000-00006B040000}"/>
    <cellStyle name="20% - akcent 3 65" xfId="1153" xr:uid="{00000000-0005-0000-0000-00006C040000}"/>
    <cellStyle name="20% - akcent 3 65 2" xfId="1154" xr:uid="{00000000-0005-0000-0000-00006D040000}"/>
    <cellStyle name="20% - akcent 3 66" xfId="1155" xr:uid="{00000000-0005-0000-0000-00006E040000}"/>
    <cellStyle name="20% - akcent 3 66 2" xfId="1156" xr:uid="{00000000-0005-0000-0000-00006F040000}"/>
    <cellStyle name="20% - akcent 3 67" xfId="1157" xr:uid="{00000000-0005-0000-0000-000070040000}"/>
    <cellStyle name="20% - akcent 3 67 2" xfId="1158" xr:uid="{00000000-0005-0000-0000-000071040000}"/>
    <cellStyle name="20% - akcent 3 68" xfId="1159" xr:uid="{00000000-0005-0000-0000-000072040000}"/>
    <cellStyle name="20% - akcent 3 68 2" xfId="1160" xr:uid="{00000000-0005-0000-0000-000073040000}"/>
    <cellStyle name="20% - akcent 3 69" xfId="1161" xr:uid="{00000000-0005-0000-0000-000074040000}"/>
    <cellStyle name="20% - akcent 3 69 2" xfId="1162" xr:uid="{00000000-0005-0000-0000-000075040000}"/>
    <cellStyle name="20% - akcent 3 7" xfId="1163" xr:uid="{00000000-0005-0000-0000-000076040000}"/>
    <cellStyle name="20% - akcent 3 70" xfId="1164" xr:uid="{00000000-0005-0000-0000-000077040000}"/>
    <cellStyle name="20% - akcent 3 70 2" xfId="1165" xr:uid="{00000000-0005-0000-0000-000078040000}"/>
    <cellStyle name="20% - akcent 3 71" xfId="1166" xr:uid="{00000000-0005-0000-0000-000079040000}"/>
    <cellStyle name="20% - akcent 3 71 2" xfId="1167" xr:uid="{00000000-0005-0000-0000-00007A040000}"/>
    <cellStyle name="20% - akcent 3 72" xfId="1168" xr:uid="{00000000-0005-0000-0000-00007B040000}"/>
    <cellStyle name="20% - akcent 3 72 2" xfId="1169" xr:uid="{00000000-0005-0000-0000-00007C040000}"/>
    <cellStyle name="20% - akcent 3 73" xfId="1170" xr:uid="{00000000-0005-0000-0000-00007D040000}"/>
    <cellStyle name="20% - akcent 3 73 2" xfId="1171" xr:uid="{00000000-0005-0000-0000-00007E040000}"/>
    <cellStyle name="20% - akcent 3 74" xfId="1172" xr:uid="{00000000-0005-0000-0000-00007F040000}"/>
    <cellStyle name="20% - akcent 3 74 2" xfId="1173" xr:uid="{00000000-0005-0000-0000-000080040000}"/>
    <cellStyle name="20% - akcent 3 75" xfId="1174" xr:uid="{00000000-0005-0000-0000-000081040000}"/>
    <cellStyle name="20% - akcent 3 75 2" xfId="1175" xr:uid="{00000000-0005-0000-0000-000082040000}"/>
    <cellStyle name="20% - akcent 3 76" xfId="1176" xr:uid="{00000000-0005-0000-0000-000083040000}"/>
    <cellStyle name="20% - akcent 3 76 2" xfId="1177" xr:uid="{00000000-0005-0000-0000-000084040000}"/>
    <cellStyle name="20% - akcent 3 77" xfId="1178" xr:uid="{00000000-0005-0000-0000-000085040000}"/>
    <cellStyle name="20% - akcent 3 77 2" xfId="1179" xr:uid="{00000000-0005-0000-0000-000086040000}"/>
    <cellStyle name="20% - akcent 3 78" xfId="1180" xr:uid="{00000000-0005-0000-0000-000087040000}"/>
    <cellStyle name="20% - akcent 3 78 2" xfId="1181" xr:uid="{00000000-0005-0000-0000-000088040000}"/>
    <cellStyle name="20% - akcent 3 79" xfId="1182" xr:uid="{00000000-0005-0000-0000-000089040000}"/>
    <cellStyle name="20% - akcent 3 79 2" xfId="1183" xr:uid="{00000000-0005-0000-0000-00008A040000}"/>
    <cellStyle name="20% - akcent 3 8" xfId="1184" xr:uid="{00000000-0005-0000-0000-00008B040000}"/>
    <cellStyle name="20% - akcent 3 80" xfId="1185" xr:uid="{00000000-0005-0000-0000-00008C040000}"/>
    <cellStyle name="20% - akcent 3 80 2" xfId="1186" xr:uid="{00000000-0005-0000-0000-00008D040000}"/>
    <cellStyle name="20% - akcent 3 81" xfId="1187" xr:uid="{00000000-0005-0000-0000-00008E040000}"/>
    <cellStyle name="20% - akcent 3 81 2" xfId="1188" xr:uid="{00000000-0005-0000-0000-00008F040000}"/>
    <cellStyle name="20% - akcent 3 82" xfId="1189" xr:uid="{00000000-0005-0000-0000-000090040000}"/>
    <cellStyle name="20% - akcent 3 82 2" xfId="1190" xr:uid="{00000000-0005-0000-0000-000091040000}"/>
    <cellStyle name="20% - akcent 3 83" xfId="1191" xr:uid="{00000000-0005-0000-0000-000092040000}"/>
    <cellStyle name="20% - akcent 3 83 2" xfId="1192" xr:uid="{00000000-0005-0000-0000-000093040000}"/>
    <cellStyle name="20% - akcent 3 84" xfId="1193" xr:uid="{00000000-0005-0000-0000-000094040000}"/>
    <cellStyle name="20% - akcent 3 84 2" xfId="1194" xr:uid="{00000000-0005-0000-0000-000095040000}"/>
    <cellStyle name="20% - akcent 3 85" xfId="1195" xr:uid="{00000000-0005-0000-0000-000096040000}"/>
    <cellStyle name="20% - akcent 3 85 2" xfId="1196" xr:uid="{00000000-0005-0000-0000-000097040000}"/>
    <cellStyle name="20% - akcent 3 86" xfId="1197" xr:uid="{00000000-0005-0000-0000-000098040000}"/>
    <cellStyle name="20% - akcent 3 86 2" xfId="1198" xr:uid="{00000000-0005-0000-0000-000099040000}"/>
    <cellStyle name="20% - akcent 3 87" xfId="1199" xr:uid="{00000000-0005-0000-0000-00009A040000}"/>
    <cellStyle name="20% - akcent 3 87 2" xfId="1200" xr:uid="{00000000-0005-0000-0000-00009B040000}"/>
    <cellStyle name="20% - akcent 3 88" xfId="1201" xr:uid="{00000000-0005-0000-0000-00009C040000}"/>
    <cellStyle name="20% - akcent 3 88 2" xfId="1202" xr:uid="{00000000-0005-0000-0000-00009D040000}"/>
    <cellStyle name="20% - akcent 3 89" xfId="1203" xr:uid="{00000000-0005-0000-0000-00009E040000}"/>
    <cellStyle name="20% - akcent 3 89 2" xfId="1204" xr:uid="{00000000-0005-0000-0000-00009F040000}"/>
    <cellStyle name="20% - akcent 3 9" xfId="1205" xr:uid="{00000000-0005-0000-0000-0000A0040000}"/>
    <cellStyle name="20% - akcent 3 90" xfId="1206" xr:uid="{00000000-0005-0000-0000-0000A1040000}"/>
    <cellStyle name="20% - akcent 3 90 2" xfId="1207" xr:uid="{00000000-0005-0000-0000-0000A2040000}"/>
    <cellStyle name="20% - akcent 3 91" xfId="1208" xr:uid="{00000000-0005-0000-0000-0000A3040000}"/>
    <cellStyle name="20% - akcent 3 91 2" xfId="1209" xr:uid="{00000000-0005-0000-0000-0000A4040000}"/>
    <cellStyle name="20% - akcent 3 92" xfId="1210" xr:uid="{00000000-0005-0000-0000-0000A5040000}"/>
    <cellStyle name="20% - akcent 3 92 2" xfId="1211" xr:uid="{00000000-0005-0000-0000-0000A6040000}"/>
    <cellStyle name="20% - akcent 3 93" xfId="1212" xr:uid="{00000000-0005-0000-0000-0000A7040000}"/>
    <cellStyle name="20% - akcent 3 93 2" xfId="1213" xr:uid="{00000000-0005-0000-0000-0000A8040000}"/>
    <cellStyle name="20% - akcent 3 94" xfId="1214" xr:uid="{00000000-0005-0000-0000-0000A9040000}"/>
    <cellStyle name="20% - akcent 3 94 2" xfId="1215" xr:uid="{00000000-0005-0000-0000-0000AA040000}"/>
    <cellStyle name="20% - akcent 3 95" xfId="1216" xr:uid="{00000000-0005-0000-0000-0000AB040000}"/>
    <cellStyle name="20% - akcent 3 95 2" xfId="1217" xr:uid="{00000000-0005-0000-0000-0000AC040000}"/>
    <cellStyle name="20% - akcent 3 96" xfId="1218" xr:uid="{00000000-0005-0000-0000-0000AD040000}"/>
    <cellStyle name="20% - akcent 3 96 2" xfId="1219" xr:uid="{00000000-0005-0000-0000-0000AE040000}"/>
    <cellStyle name="20% - akcent 3 97" xfId="1220" xr:uid="{00000000-0005-0000-0000-0000AF040000}"/>
    <cellStyle name="20% - akcent 3 97 2" xfId="1221" xr:uid="{00000000-0005-0000-0000-0000B0040000}"/>
    <cellStyle name="20% - akcent 3 98" xfId="1222" xr:uid="{00000000-0005-0000-0000-0000B1040000}"/>
    <cellStyle name="20% - akcent 3 98 2" xfId="1223" xr:uid="{00000000-0005-0000-0000-0000B2040000}"/>
    <cellStyle name="20% - akcent 3 99" xfId="1224" xr:uid="{00000000-0005-0000-0000-0000B3040000}"/>
    <cellStyle name="20% - akcent 3 99 2" xfId="1225" xr:uid="{00000000-0005-0000-0000-0000B4040000}"/>
    <cellStyle name="20% - akcent 4 10" xfId="1226" xr:uid="{00000000-0005-0000-0000-0000B5040000}"/>
    <cellStyle name="20% - akcent 4 100" xfId="1227" xr:uid="{00000000-0005-0000-0000-0000B6040000}"/>
    <cellStyle name="20% - akcent 4 100 2" xfId="1228" xr:uid="{00000000-0005-0000-0000-0000B7040000}"/>
    <cellStyle name="20% - akcent 4 101" xfId="1229" xr:uid="{00000000-0005-0000-0000-0000B8040000}"/>
    <cellStyle name="20% - akcent 4 101 2" xfId="1230" xr:uid="{00000000-0005-0000-0000-0000B9040000}"/>
    <cellStyle name="20% - akcent 4 102" xfId="1231" xr:uid="{00000000-0005-0000-0000-0000BA040000}"/>
    <cellStyle name="20% - akcent 4 102 2" xfId="1232" xr:uid="{00000000-0005-0000-0000-0000BB040000}"/>
    <cellStyle name="20% - akcent 4 103" xfId="1233" xr:uid="{00000000-0005-0000-0000-0000BC040000}"/>
    <cellStyle name="20% - akcent 4 103 2" xfId="1234" xr:uid="{00000000-0005-0000-0000-0000BD040000}"/>
    <cellStyle name="20% - akcent 4 104" xfId="1235" xr:uid="{00000000-0005-0000-0000-0000BE040000}"/>
    <cellStyle name="20% - akcent 4 104 2" xfId="1236" xr:uid="{00000000-0005-0000-0000-0000BF040000}"/>
    <cellStyle name="20% - akcent 4 105" xfId="1237" xr:uid="{00000000-0005-0000-0000-0000C0040000}"/>
    <cellStyle name="20% - akcent 4 105 2" xfId="1238" xr:uid="{00000000-0005-0000-0000-0000C1040000}"/>
    <cellStyle name="20% - akcent 4 106" xfId="1239" xr:uid="{00000000-0005-0000-0000-0000C2040000}"/>
    <cellStyle name="20% - akcent 4 106 2" xfId="1240" xr:uid="{00000000-0005-0000-0000-0000C3040000}"/>
    <cellStyle name="20% - akcent 4 107" xfId="1241" xr:uid="{00000000-0005-0000-0000-0000C4040000}"/>
    <cellStyle name="20% - akcent 4 107 2" xfId="1242" xr:uid="{00000000-0005-0000-0000-0000C5040000}"/>
    <cellStyle name="20% - akcent 4 108" xfId="1243" xr:uid="{00000000-0005-0000-0000-0000C6040000}"/>
    <cellStyle name="20% - akcent 4 108 2" xfId="1244" xr:uid="{00000000-0005-0000-0000-0000C7040000}"/>
    <cellStyle name="20% - akcent 4 109" xfId="1245" xr:uid="{00000000-0005-0000-0000-0000C8040000}"/>
    <cellStyle name="20% - akcent 4 109 2" xfId="1246" xr:uid="{00000000-0005-0000-0000-0000C9040000}"/>
    <cellStyle name="20% - akcent 4 11" xfId="1247" xr:uid="{00000000-0005-0000-0000-0000CA040000}"/>
    <cellStyle name="20% - akcent 4 110" xfId="1248" xr:uid="{00000000-0005-0000-0000-0000CB040000}"/>
    <cellStyle name="20% - akcent 4 110 2" xfId="1249" xr:uid="{00000000-0005-0000-0000-0000CC040000}"/>
    <cellStyle name="20% - akcent 4 111" xfId="1250" xr:uid="{00000000-0005-0000-0000-0000CD040000}"/>
    <cellStyle name="20% - akcent 4 111 2" xfId="1251" xr:uid="{00000000-0005-0000-0000-0000CE040000}"/>
    <cellStyle name="20% - akcent 4 112" xfId="1252" xr:uid="{00000000-0005-0000-0000-0000CF040000}"/>
    <cellStyle name="20% - akcent 4 112 2" xfId="1253" xr:uid="{00000000-0005-0000-0000-0000D0040000}"/>
    <cellStyle name="20% - akcent 4 113" xfId="1254" xr:uid="{00000000-0005-0000-0000-0000D1040000}"/>
    <cellStyle name="20% - akcent 4 113 2" xfId="1255" xr:uid="{00000000-0005-0000-0000-0000D2040000}"/>
    <cellStyle name="20% - akcent 4 114" xfId="1256" xr:uid="{00000000-0005-0000-0000-0000D3040000}"/>
    <cellStyle name="20% - akcent 4 114 2" xfId="1257" xr:uid="{00000000-0005-0000-0000-0000D4040000}"/>
    <cellStyle name="20% - akcent 4 115" xfId="1258" xr:uid="{00000000-0005-0000-0000-0000D5040000}"/>
    <cellStyle name="20% - akcent 4 115 2" xfId="1259" xr:uid="{00000000-0005-0000-0000-0000D6040000}"/>
    <cellStyle name="20% - akcent 4 116" xfId="1260" xr:uid="{00000000-0005-0000-0000-0000D7040000}"/>
    <cellStyle name="20% - akcent 4 116 2" xfId="1261" xr:uid="{00000000-0005-0000-0000-0000D8040000}"/>
    <cellStyle name="20% - akcent 4 117" xfId="1262" xr:uid="{00000000-0005-0000-0000-0000D9040000}"/>
    <cellStyle name="20% - akcent 4 117 2" xfId="1263" xr:uid="{00000000-0005-0000-0000-0000DA040000}"/>
    <cellStyle name="20% - akcent 4 118" xfId="1264" xr:uid="{00000000-0005-0000-0000-0000DB040000}"/>
    <cellStyle name="20% - akcent 4 118 2" xfId="1265" xr:uid="{00000000-0005-0000-0000-0000DC040000}"/>
    <cellStyle name="20% - akcent 4 119" xfId="1266" xr:uid="{00000000-0005-0000-0000-0000DD040000}"/>
    <cellStyle name="20% - akcent 4 119 2" xfId="1267" xr:uid="{00000000-0005-0000-0000-0000DE040000}"/>
    <cellStyle name="20% - akcent 4 12" xfId="1268" xr:uid="{00000000-0005-0000-0000-0000DF040000}"/>
    <cellStyle name="20% - akcent 4 120" xfId="1269" xr:uid="{00000000-0005-0000-0000-0000E0040000}"/>
    <cellStyle name="20% - akcent 4 121" xfId="1270" xr:uid="{00000000-0005-0000-0000-0000E1040000}"/>
    <cellStyle name="20% - akcent 4 13" xfId="1271" xr:uid="{00000000-0005-0000-0000-0000E2040000}"/>
    <cellStyle name="20% - akcent 4 14" xfId="1272" xr:uid="{00000000-0005-0000-0000-0000E3040000}"/>
    <cellStyle name="20% - akcent 4 15" xfId="1273" xr:uid="{00000000-0005-0000-0000-0000E4040000}"/>
    <cellStyle name="20% - akcent 4 16" xfId="1274" xr:uid="{00000000-0005-0000-0000-0000E5040000}"/>
    <cellStyle name="20% - akcent 4 17" xfId="1275" xr:uid="{00000000-0005-0000-0000-0000E6040000}"/>
    <cellStyle name="20% - akcent 4 18" xfId="1276" xr:uid="{00000000-0005-0000-0000-0000E7040000}"/>
    <cellStyle name="20% - akcent 4 19" xfId="1277" xr:uid="{00000000-0005-0000-0000-0000E8040000}"/>
    <cellStyle name="20% - akcent 4 2" xfId="1278" xr:uid="{00000000-0005-0000-0000-0000E9040000}"/>
    <cellStyle name="20% - akcent 4 2 10" xfId="1279" xr:uid="{00000000-0005-0000-0000-0000EA040000}"/>
    <cellStyle name="20% - akcent 4 2 10 2" xfId="1280" xr:uid="{00000000-0005-0000-0000-0000EB040000}"/>
    <cellStyle name="20% - akcent 4 2 10 3" xfId="1281" xr:uid="{00000000-0005-0000-0000-0000EC040000}"/>
    <cellStyle name="20% - akcent 4 2 10 4" xfId="1282" xr:uid="{00000000-0005-0000-0000-0000ED040000}"/>
    <cellStyle name="20% - akcent 4 2 10 5" xfId="1283" xr:uid="{00000000-0005-0000-0000-0000EE040000}"/>
    <cellStyle name="20% - akcent 4 2 10 6" xfId="1284" xr:uid="{00000000-0005-0000-0000-0000EF040000}"/>
    <cellStyle name="20% - akcent 4 2 11" xfId="1285" xr:uid="{00000000-0005-0000-0000-0000F0040000}"/>
    <cellStyle name="20% - akcent 4 2 11 2" xfId="1286" xr:uid="{00000000-0005-0000-0000-0000F1040000}"/>
    <cellStyle name="20% - akcent 4 2 11 3" xfId="1287" xr:uid="{00000000-0005-0000-0000-0000F2040000}"/>
    <cellStyle name="20% - akcent 4 2 11 4" xfId="1288" xr:uid="{00000000-0005-0000-0000-0000F3040000}"/>
    <cellStyle name="20% - akcent 4 2 11 5" xfId="1289" xr:uid="{00000000-0005-0000-0000-0000F4040000}"/>
    <cellStyle name="20% - akcent 4 2 11 6" xfId="1290" xr:uid="{00000000-0005-0000-0000-0000F5040000}"/>
    <cellStyle name="20% - akcent 4 2 12" xfId="1291" xr:uid="{00000000-0005-0000-0000-0000F6040000}"/>
    <cellStyle name="20% - akcent 4 2 12 2" xfId="1292" xr:uid="{00000000-0005-0000-0000-0000F7040000}"/>
    <cellStyle name="20% - akcent 4 2 12 3" xfId="1293" xr:uid="{00000000-0005-0000-0000-0000F8040000}"/>
    <cellStyle name="20% - akcent 4 2 12 4" xfId="1294" xr:uid="{00000000-0005-0000-0000-0000F9040000}"/>
    <cellStyle name="20% - akcent 4 2 12 5" xfId="1295" xr:uid="{00000000-0005-0000-0000-0000FA040000}"/>
    <cellStyle name="20% - akcent 4 2 12 6" xfId="1296" xr:uid="{00000000-0005-0000-0000-0000FB040000}"/>
    <cellStyle name="20% - akcent 4 2 13" xfId="1297" xr:uid="{00000000-0005-0000-0000-0000FC040000}"/>
    <cellStyle name="20% - akcent 4 2 13 2" xfId="1298" xr:uid="{00000000-0005-0000-0000-0000FD040000}"/>
    <cellStyle name="20% - akcent 4 2 13 3" xfId="1299" xr:uid="{00000000-0005-0000-0000-0000FE040000}"/>
    <cellStyle name="20% - akcent 4 2 13 4" xfId="1300" xr:uid="{00000000-0005-0000-0000-0000FF040000}"/>
    <cellStyle name="20% - akcent 4 2 13 5" xfId="1301" xr:uid="{00000000-0005-0000-0000-000000050000}"/>
    <cellStyle name="20% - akcent 4 2 13 6" xfId="1302" xr:uid="{00000000-0005-0000-0000-000001050000}"/>
    <cellStyle name="20% - akcent 4 2 14" xfId="1303" xr:uid="{00000000-0005-0000-0000-000002050000}"/>
    <cellStyle name="20% - akcent 4 2 14 2" xfId="1304" xr:uid="{00000000-0005-0000-0000-000003050000}"/>
    <cellStyle name="20% - akcent 4 2 14 3" xfId="1305" xr:uid="{00000000-0005-0000-0000-000004050000}"/>
    <cellStyle name="20% - akcent 4 2 14 4" xfId="1306" xr:uid="{00000000-0005-0000-0000-000005050000}"/>
    <cellStyle name="20% - akcent 4 2 14 5" xfId="1307" xr:uid="{00000000-0005-0000-0000-000006050000}"/>
    <cellStyle name="20% - akcent 4 2 14 6" xfId="1308" xr:uid="{00000000-0005-0000-0000-000007050000}"/>
    <cellStyle name="20% - akcent 4 2 15" xfId="1309" xr:uid="{00000000-0005-0000-0000-000008050000}"/>
    <cellStyle name="20% - akcent 4 2 15 2" xfId="1310" xr:uid="{00000000-0005-0000-0000-000009050000}"/>
    <cellStyle name="20% - akcent 4 2 15 3" xfId="1311" xr:uid="{00000000-0005-0000-0000-00000A050000}"/>
    <cellStyle name="20% - akcent 4 2 15 4" xfId="1312" xr:uid="{00000000-0005-0000-0000-00000B050000}"/>
    <cellStyle name="20% - akcent 4 2 15 5" xfId="1313" xr:uid="{00000000-0005-0000-0000-00000C050000}"/>
    <cellStyle name="20% - akcent 4 2 15 6" xfId="1314" xr:uid="{00000000-0005-0000-0000-00000D050000}"/>
    <cellStyle name="20% - akcent 4 2 16" xfId="1315" xr:uid="{00000000-0005-0000-0000-00000E050000}"/>
    <cellStyle name="20% - akcent 4 2 16 2" xfId="1316" xr:uid="{00000000-0005-0000-0000-00000F050000}"/>
    <cellStyle name="20% - akcent 4 2 16 3" xfId="1317" xr:uid="{00000000-0005-0000-0000-000010050000}"/>
    <cellStyle name="20% - akcent 4 2 16 4" xfId="1318" xr:uid="{00000000-0005-0000-0000-000011050000}"/>
    <cellStyle name="20% - akcent 4 2 16 5" xfId="1319" xr:uid="{00000000-0005-0000-0000-000012050000}"/>
    <cellStyle name="20% - akcent 4 2 16 6" xfId="1320" xr:uid="{00000000-0005-0000-0000-000013050000}"/>
    <cellStyle name="20% - akcent 4 2 17" xfId="1321" xr:uid="{00000000-0005-0000-0000-000014050000}"/>
    <cellStyle name="20% - akcent 4 2 17 2" xfId="1322" xr:uid="{00000000-0005-0000-0000-000015050000}"/>
    <cellStyle name="20% - akcent 4 2 17 3" xfId="1323" xr:uid="{00000000-0005-0000-0000-000016050000}"/>
    <cellStyle name="20% - akcent 4 2 17 4" xfId="1324" xr:uid="{00000000-0005-0000-0000-000017050000}"/>
    <cellStyle name="20% - akcent 4 2 17 5" xfId="1325" xr:uid="{00000000-0005-0000-0000-000018050000}"/>
    <cellStyle name="20% - akcent 4 2 17 6" xfId="1326" xr:uid="{00000000-0005-0000-0000-000019050000}"/>
    <cellStyle name="20% - akcent 4 2 18" xfId="1327" xr:uid="{00000000-0005-0000-0000-00001A050000}"/>
    <cellStyle name="20% - akcent 4 2 18 2" xfId="1328" xr:uid="{00000000-0005-0000-0000-00001B050000}"/>
    <cellStyle name="20% - akcent 4 2 18 3" xfId="1329" xr:uid="{00000000-0005-0000-0000-00001C050000}"/>
    <cellStyle name="20% - akcent 4 2 18 4" xfId="1330" xr:uid="{00000000-0005-0000-0000-00001D050000}"/>
    <cellStyle name="20% - akcent 4 2 18 5" xfId="1331" xr:uid="{00000000-0005-0000-0000-00001E050000}"/>
    <cellStyle name="20% - akcent 4 2 18 6" xfId="1332" xr:uid="{00000000-0005-0000-0000-00001F050000}"/>
    <cellStyle name="20% - akcent 4 2 19" xfId="1333" xr:uid="{00000000-0005-0000-0000-000020050000}"/>
    <cellStyle name="20% - akcent 4 2 19 2" xfId="1334" xr:uid="{00000000-0005-0000-0000-000021050000}"/>
    <cellStyle name="20% - akcent 4 2 19 3" xfId="1335" xr:uid="{00000000-0005-0000-0000-000022050000}"/>
    <cellStyle name="20% - akcent 4 2 19 4" xfId="1336" xr:uid="{00000000-0005-0000-0000-000023050000}"/>
    <cellStyle name="20% - akcent 4 2 19 5" xfId="1337" xr:uid="{00000000-0005-0000-0000-000024050000}"/>
    <cellStyle name="20% - akcent 4 2 19 6" xfId="1338" xr:uid="{00000000-0005-0000-0000-000025050000}"/>
    <cellStyle name="20% - akcent 4 2 2" xfId="1339" xr:uid="{00000000-0005-0000-0000-000026050000}"/>
    <cellStyle name="20% - akcent 4 2 2 2" xfId="1340" xr:uid="{00000000-0005-0000-0000-000027050000}"/>
    <cellStyle name="20% - akcent 4 2 2 3" xfId="1341" xr:uid="{00000000-0005-0000-0000-000028050000}"/>
    <cellStyle name="20% - akcent 4 2 2 4" xfId="1342" xr:uid="{00000000-0005-0000-0000-000029050000}"/>
    <cellStyle name="20% - akcent 4 2 2 5" xfId="1343" xr:uid="{00000000-0005-0000-0000-00002A050000}"/>
    <cellStyle name="20% - akcent 4 2 2 6" xfId="1344" xr:uid="{00000000-0005-0000-0000-00002B050000}"/>
    <cellStyle name="20% - akcent 4 2 2 7" xfId="1345" xr:uid="{00000000-0005-0000-0000-00002C050000}"/>
    <cellStyle name="20% - akcent 4 2 20" xfId="1346" xr:uid="{00000000-0005-0000-0000-00002D050000}"/>
    <cellStyle name="20% - akcent 4 2 20 2" xfId="1347" xr:uid="{00000000-0005-0000-0000-00002E050000}"/>
    <cellStyle name="20% - akcent 4 2 20 3" xfId="1348" xr:uid="{00000000-0005-0000-0000-00002F050000}"/>
    <cellStyle name="20% - akcent 4 2 20 4" xfId="1349" xr:uid="{00000000-0005-0000-0000-000030050000}"/>
    <cellStyle name="20% - akcent 4 2 20 5" xfId="1350" xr:uid="{00000000-0005-0000-0000-000031050000}"/>
    <cellStyle name="20% - akcent 4 2 20 6" xfId="1351" xr:uid="{00000000-0005-0000-0000-000032050000}"/>
    <cellStyle name="20% - akcent 4 2 21" xfId="1352" xr:uid="{00000000-0005-0000-0000-000033050000}"/>
    <cellStyle name="20% - akcent 4 2 21 2" xfId="1353" xr:uid="{00000000-0005-0000-0000-000034050000}"/>
    <cellStyle name="20% - akcent 4 2 21 3" xfId="1354" xr:uid="{00000000-0005-0000-0000-000035050000}"/>
    <cellStyle name="20% - akcent 4 2 21 4" xfId="1355" xr:uid="{00000000-0005-0000-0000-000036050000}"/>
    <cellStyle name="20% - akcent 4 2 21 5" xfId="1356" xr:uid="{00000000-0005-0000-0000-000037050000}"/>
    <cellStyle name="20% - akcent 4 2 21 6" xfId="1357" xr:uid="{00000000-0005-0000-0000-000038050000}"/>
    <cellStyle name="20% - akcent 4 2 22" xfId="1358" xr:uid="{00000000-0005-0000-0000-000039050000}"/>
    <cellStyle name="20% - akcent 4 2 22 2" xfId="1359" xr:uid="{00000000-0005-0000-0000-00003A050000}"/>
    <cellStyle name="20% - akcent 4 2 22 3" xfId="1360" xr:uid="{00000000-0005-0000-0000-00003B050000}"/>
    <cellStyle name="20% - akcent 4 2 22 4" xfId="1361" xr:uid="{00000000-0005-0000-0000-00003C050000}"/>
    <cellStyle name="20% - akcent 4 2 22 5" xfId="1362" xr:uid="{00000000-0005-0000-0000-00003D050000}"/>
    <cellStyle name="20% - akcent 4 2 22 6" xfId="1363" xr:uid="{00000000-0005-0000-0000-00003E050000}"/>
    <cellStyle name="20% - akcent 4 2 23" xfId="1364" xr:uid="{00000000-0005-0000-0000-00003F050000}"/>
    <cellStyle name="20% - akcent 4 2 23 2" xfId="1365" xr:uid="{00000000-0005-0000-0000-000040050000}"/>
    <cellStyle name="20% - akcent 4 2 23 3" xfId="1366" xr:uid="{00000000-0005-0000-0000-000041050000}"/>
    <cellStyle name="20% - akcent 4 2 23 4" xfId="1367" xr:uid="{00000000-0005-0000-0000-000042050000}"/>
    <cellStyle name="20% - akcent 4 2 23 5" xfId="1368" xr:uid="{00000000-0005-0000-0000-000043050000}"/>
    <cellStyle name="20% - akcent 4 2 23 6" xfId="1369" xr:uid="{00000000-0005-0000-0000-000044050000}"/>
    <cellStyle name="20% - akcent 4 2 24" xfId="1370" xr:uid="{00000000-0005-0000-0000-000045050000}"/>
    <cellStyle name="20% - akcent 4 2 24 2" xfId="1371" xr:uid="{00000000-0005-0000-0000-000046050000}"/>
    <cellStyle name="20% - akcent 4 2 24 3" xfId="1372" xr:uid="{00000000-0005-0000-0000-000047050000}"/>
    <cellStyle name="20% - akcent 4 2 24 4" xfId="1373" xr:uid="{00000000-0005-0000-0000-000048050000}"/>
    <cellStyle name="20% - akcent 4 2 24 5" xfId="1374" xr:uid="{00000000-0005-0000-0000-000049050000}"/>
    <cellStyle name="20% - akcent 4 2 24 6" xfId="1375" xr:uid="{00000000-0005-0000-0000-00004A050000}"/>
    <cellStyle name="20% - akcent 4 2 25" xfId="1376" xr:uid="{00000000-0005-0000-0000-00004B050000}"/>
    <cellStyle name="20% - akcent 4 2 25 2" xfId="1377" xr:uid="{00000000-0005-0000-0000-00004C050000}"/>
    <cellStyle name="20% - akcent 4 2 25 3" xfId="1378" xr:uid="{00000000-0005-0000-0000-00004D050000}"/>
    <cellStyle name="20% - akcent 4 2 25 4" xfId="1379" xr:uid="{00000000-0005-0000-0000-00004E050000}"/>
    <cellStyle name="20% - akcent 4 2 25 5" xfId="1380" xr:uid="{00000000-0005-0000-0000-00004F050000}"/>
    <cellStyle name="20% - akcent 4 2 25 6" xfId="1381" xr:uid="{00000000-0005-0000-0000-000050050000}"/>
    <cellStyle name="20% - akcent 4 2 26" xfId="1382" xr:uid="{00000000-0005-0000-0000-000051050000}"/>
    <cellStyle name="20% - akcent 4 2 26 2" xfId="1383" xr:uid="{00000000-0005-0000-0000-000052050000}"/>
    <cellStyle name="20% - akcent 4 2 26 3" xfId="1384" xr:uid="{00000000-0005-0000-0000-000053050000}"/>
    <cellStyle name="20% - akcent 4 2 26 4" xfId="1385" xr:uid="{00000000-0005-0000-0000-000054050000}"/>
    <cellStyle name="20% - akcent 4 2 26 5" xfId="1386" xr:uid="{00000000-0005-0000-0000-000055050000}"/>
    <cellStyle name="20% - akcent 4 2 26 6" xfId="1387" xr:uid="{00000000-0005-0000-0000-000056050000}"/>
    <cellStyle name="20% - akcent 4 2 27" xfId="1388" xr:uid="{00000000-0005-0000-0000-000057050000}"/>
    <cellStyle name="20% - akcent 4 2 27 2" xfId="1389" xr:uid="{00000000-0005-0000-0000-000058050000}"/>
    <cellStyle name="20% - akcent 4 2 27 3" xfId="1390" xr:uid="{00000000-0005-0000-0000-000059050000}"/>
    <cellStyle name="20% - akcent 4 2 27 4" xfId="1391" xr:uid="{00000000-0005-0000-0000-00005A050000}"/>
    <cellStyle name="20% - akcent 4 2 27 5" xfId="1392" xr:uid="{00000000-0005-0000-0000-00005B050000}"/>
    <cellStyle name="20% - akcent 4 2 27 6" xfId="1393" xr:uid="{00000000-0005-0000-0000-00005C050000}"/>
    <cellStyle name="20% - akcent 4 2 28" xfId="1394" xr:uid="{00000000-0005-0000-0000-00005D050000}"/>
    <cellStyle name="20% - akcent 4 2 28 2" xfId="1395" xr:uid="{00000000-0005-0000-0000-00005E050000}"/>
    <cellStyle name="20% - akcent 4 2 28 3" xfId="1396" xr:uid="{00000000-0005-0000-0000-00005F050000}"/>
    <cellStyle name="20% - akcent 4 2 28 4" xfId="1397" xr:uid="{00000000-0005-0000-0000-000060050000}"/>
    <cellStyle name="20% - akcent 4 2 28 5" xfId="1398" xr:uid="{00000000-0005-0000-0000-000061050000}"/>
    <cellStyle name="20% - akcent 4 2 28 6" xfId="1399" xr:uid="{00000000-0005-0000-0000-000062050000}"/>
    <cellStyle name="20% - akcent 4 2 29" xfId="1400" xr:uid="{00000000-0005-0000-0000-000063050000}"/>
    <cellStyle name="20% - akcent 4 2 29 2" xfId="1401" xr:uid="{00000000-0005-0000-0000-000064050000}"/>
    <cellStyle name="20% - akcent 4 2 3" xfId="1402" xr:uid="{00000000-0005-0000-0000-000065050000}"/>
    <cellStyle name="20% - akcent 4 2 3 2" xfId="1403" xr:uid="{00000000-0005-0000-0000-000066050000}"/>
    <cellStyle name="20% - akcent 4 2 3 3" xfId="1404" xr:uid="{00000000-0005-0000-0000-000067050000}"/>
    <cellStyle name="20% - akcent 4 2 3 4" xfId="1405" xr:uid="{00000000-0005-0000-0000-000068050000}"/>
    <cellStyle name="20% - akcent 4 2 3 5" xfId="1406" xr:uid="{00000000-0005-0000-0000-000069050000}"/>
    <cellStyle name="20% - akcent 4 2 3 6" xfId="1407" xr:uid="{00000000-0005-0000-0000-00006A050000}"/>
    <cellStyle name="20% - akcent 4 2 3 7" xfId="1408" xr:uid="{00000000-0005-0000-0000-00006B050000}"/>
    <cellStyle name="20% - akcent 4 2 30" xfId="1409" xr:uid="{00000000-0005-0000-0000-00006C050000}"/>
    <cellStyle name="20% - akcent 4 2 30 2" xfId="1410" xr:uid="{00000000-0005-0000-0000-00006D050000}"/>
    <cellStyle name="20% - akcent 4 2 31" xfId="1411" xr:uid="{00000000-0005-0000-0000-00006E050000}"/>
    <cellStyle name="20% - akcent 4 2 31 2" xfId="1412" xr:uid="{00000000-0005-0000-0000-00006F050000}"/>
    <cellStyle name="20% - akcent 4 2 32" xfId="1413" xr:uid="{00000000-0005-0000-0000-000070050000}"/>
    <cellStyle name="20% - akcent 4 2 32 2" xfId="1414" xr:uid="{00000000-0005-0000-0000-000071050000}"/>
    <cellStyle name="20% - akcent 4 2 33" xfId="1415" xr:uid="{00000000-0005-0000-0000-000072050000}"/>
    <cellStyle name="20% - akcent 4 2 34" xfId="1416" xr:uid="{00000000-0005-0000-0000-000073050000}"/>
    <cellStyle name="20% - akcent 4 2 35" xfId="1417" xr:uid="{00000000-0005-0000-0000-000074050000}"/>
    <cellStyle name="20% - akcent 4 2 36" xfId="1418" xr:uid="{00000000-0005-0000-0000-000075050000}"/>
    <cellStyle name="20% - akcent 4 2 37" xfId="1419" xr:uid="{00000000-0005-0000-0000-000076050000}"/>
    <cellStyle name="20% - akcent 4 2 38" xfId="1420" xr:uid="{00000000-0005-0000-0000-000077050000}"/>
    <cellStyle name="20% - akcent 4 2 39" xfId="1421" xr:uid="{00000000-0005-0000-0000-000078050000}"/>
    <cellStyle name="20% - akcent 4 2 4" xfId="1422" xr:uid="{00000000-0005-0000-0000-000079050000}"/>
    <cellStyle name="20% - akcent 4 2 4 2" xfId="1423" xr:uid="{00000000-0005-0000-0000-00007A050000}"/>
    <cellStyle name="20% - akcent 4 2 4 3" xfId="1424" xr:uid="{00000000-0005-0000-0000-00007B050000}"/>
    <cellStyle name="20% - akcent 4 2 4 4" xfId="1425" xr:uid="{00000000-0005-0000-0000-00007C050000}"/>
    <cellStyle name="20% - akcent 4 2 4 5" xfId="1426" xr:uid="{00000000-0005-0000-0000-00007D050000}"/>
    <cellStyle name="20% - akcent 4 2 4 6" xfId="1427" xr:uid="{00000000-0005-0000-0000-00007E050000}"/>
    <cellStyle name="20% - akcent 4 2 4 7" xfId="1428" xr:uid="{00000000-0005-0000-0000-00007F050000}"/>
    <cellStyle name="20% - akcent 4 2 40" xfId="1429" xr:uid="{00000000-0005-0000-0000-000080050000}"/>
    <cellStyle name="20% - akcent 4 2 41" xfId="1430" xr:uid="{00000000-0005-0000-0000-000081050000}"/>
    <cellStyle name="20% - akcent 4 2 42" xfId="1431" xr:uid="{00000000-0005-0000-0000-000082050000}"/>
    <cellStyle name="20% - akcent 4 2 43" xfId="1432" xr:uid="{00000000-0005-0000-0000-000083050000}"/>
    <cellStyle name="20% - akcent 4 2 44" xfId="1433" xr:uid="{00000000-0005-0000-0000-000084050000}"/>
    <cellStyle name="20% - akcent 4 2 45" xfId="1434" xr:uid="{00000000-0005-0000-0000-000085050000}"/>
    <cellStyle name="20% - akcent 4 2 46" xfId="1435" xr:uid="{00000000-0005-0000-0000-000086050000}"/>
    <cellStyle name="20% - akcent 4 2 47" xfId="1436" xr:uid="{00000000-0005-0000-0000-000087050000}"/>
    <cellStyle name="20% - akcent 4 2 48" xfId="1437" xr:uid="{00000000-0005-0000-0000-000088050000}"/>
    <cellStyle name="20% - akcent 4 2 49" xfId="1438" xr:uid="{00000000-0005-0000-0000-000089050000}"/>
    <cellStyle name="20% - akcent 4 2 5" xfId="1439" xr:uid="{00000000-0005-0000-0000-00008A050000}"/>
    <cellStyle name="20% - akcent 4 2 5 2" xfId="1440" xr:uid="{00000000-0005-0000-0000-00008B050000}"/>
    <cellStyle name="20% - akcent 4 2 5 3" xfId="1441" xr:uid="{00000000-0005-0000-0000-00008C050000}"/>
    <cellStyle name="20% - akcent 4 2 5 4" xfId="1442" xr:uid="{00000000-0005-0000-0000-00008D050000}"/>
    <cellStyle name="20% - akcent 4 2 5 5" xfId="1443" xr:uid="{00000000-0005-0000-0000-00008E050000}"/>
    <cellStyle name="20% - akcent 4 2 5 6" xfId="1444" xr:uid="{00000000-0005-0000-0000-00008F050000}"/>
    <cellStyle name="20% - akcent 4 2 50" xfId="1445" xr:uid="{00000000-0005-0000-0000-000090050000}"/>
    <cellStyle name="20% - akcent 4 2 51" xfId="1446" xr:uid="{00000000-0005-0000-0000-000091050000}"/>
    <cellStyle name="20% - akcent 4 2 6" xfId="1447" xr:uid="{00000000-0005-0000-0000-000092050000}"/>
    <cellStyle name="20% - akcent 4 2 6 2" xfId="1448" xr:uid="{00000000-0005-0000-0000-000093050000}"/>
    <cellStyle name="20% - akcent 4 2 6 3" xfId="1449" xr:uid="{00000000-0005-0000-0000-000094050000}"/>
    <cellStyle name="20% - akcent 4 2 6 4" xfId="1450" xr:uid="{00000000-0005-0000-0000-000095050000}"/>
    <cellStyle name="20% - akcent 4 2 6 5" xfId="1451" xr:uid="{00000000-0005-0000-0000-000096050000}"/>
    <cellStyle name="20% - akcent 4 2 6 6" xfId="1452" xr:uid="{00000000-0005-0000-0000-000097050000}"/>
    <cellStyle name="20% - akcent 4 2 7" xfId="1453" xr:uid="{00000000-0005-0000-0000-000098050000}"/>
    <cellStyle name="20% - akcent 4 2 7 2" xfId="1454" xr:uid="{00000000-0005-0000-0000-000099050000}"/>
    <cellStyle name="20% - akcent 4 2 7 3" xfId="1455" xr:uid="{00000000-0005-0000-0000-00009A050000}"/>
    <cellStyle name="20% - akcent 4 2 7 4" xfId="1456" xr:uid="{00000000-0005-0000-0000-00009B050000}"/>
    <cellStyle name="20% - akcent 4 2 7 5" xfId="1457" xr:uid="{00000000-0005-0000-0000-00009C050000}"/>
    <cellStyle name="20% - akcent 4 2 7 6" xfId="1458" xr:uid="{00000000-0005-0000-0000-00009D050000}"/>
    <cellStyle name="20% - akcent 4 2 8" xfId="1459" xr:uid="{00000000-0005-0000-0000-00009E050000}"/>
    <cellStyle name="20% - akcent 4 2 8 2" xfId="1460" xr:uid="{00000000-0005-0000-0000-00009F050000}"/>
    <cellStyle name="20% - akcent 4 2 8 3" xfId="1461" xr:uid="{00000000-0005-0000-0000-0000A0050000}"/>
    <cellStyle name="20% - akcent 4 2 8 4" xfId="1462" xr:uid="{00000000-0005-0000-0000-0000A1050000}"/>
    <cellStyle name="20% - akcent 4 2 8 5" xfId="1463" xr:uid="{00000000-0005-0000-0000-0000A2050000}"/>
    <cellStyle name="20% - akcent 4 2 8 6" xfId="1464" xr:uid="{00000000-0005-0000-0000-0000A3050000}"/>
    <cellStyle name="20% - akcent 4 2 9" xfId="1465" xr:uid="{00000000-0005-0000-0000-0000A4050000}"/>
    <cellStyle name="20% - akcent 4 2 9 2" xfId="1466" xr:uid="{00000000-0005-0000-0000-0000A5050000}"/>
    <cellStyle name="20% - akcent 4 2 9 3" xfId="1467" xr:uid="{00000000-0005-0000-0000-0000A6050000}"/>
    <cellStyle name="20% - akcent 4 2 9 4" xfId="1468" xr:uid="{00000000-0005-0000-0000-0000A7050000}"/>
    <cellStyle name="20% - akcent 4 2 9 5" xfId="1469" xr:uid="{00000000-0005-0000-0000-0000A8050000}"/>
    <cellStyle name="20% - akcent 4 2 9 6" xfId="1470" xr:uid="{00000000-0005-0000-0000-0000A9050000}"/>
    <cellStyle name="20% - akcent 4 20" xfId="1471" xr:uid="{00000000-0005-0000-0000-0000AA050000}"/>
    <cellStyle name="20% - akcent 4 21" xfId="1472" xr:uid="{00000000-0005-0000-0000-0000AB050000}"/>
    <cellStyle name="20% - akcent 4 22" xfId="1473" xr:uid="{00000000-0005-0000-0000-0000AC050000}"/>
    <cellStyle name="20% - akcent 4 23" xfId="1474" xr:uid="{00000000-0005-0000-0000-0000AD050000}"/>
    <cellStyle name="20% - akcent 4 24" xfId="1475" xr:uid="{00000000-0005-0000-0000-0000AE050000}"/>
    <cellStyle name="20% - akcent 4 25" xfId="1476" xr:uid="{00000000-0005-0000-0000-0000AF050000}"/>
    <cellStyle name="20% - akcent 4 26" xfId="1477" xr:uid="{00000000-0005-0000-0000-0000B0050000}"/>
    <cellStyle name="20% - akcent 4 27" xfId="1478" xr:uid="{00000000-0005-0000-0000-0000B1050000}"/>
    <cellStyle name="20% - akcent 4 28" xfId="1479" xr:uid="{00000000-0005-0000-0000-0000B2050000}"/>
    <cellStyle name="20% - akcent 4 29" xfId="1480" xr:uid="{00000000-0005-0000-0000-0000B3050000}"/>
    <cellStyle name="20% - akcent 4 3" xfId="1481" xr:uid="{00000000-0005-0000-0000-0000B4050000}"/>
    <cellStyle name="20% - akcent 4 3 2" xfId="1482" xr:uid="{00000000-0005-0000-0000-0000B5050000}"/>
    <cellStyle name="20% - akcent 4 3 2 2" xfId="1483" xr:uid="{00000000-0005-0000-0000-0000B6050000}"/>
    <cellStyle name="20% - akcent 4 3 3" xfId="1484" xr:uid="{00000000-0005-0000-0000-0000B7050000}"/>
    <cellStyle name="20% - akcent 4 3 3 2" xfId="1485" xr:uid="{00000000-0005-0000-0000-0000B8050000}"/>
    <cellStyle name="20% - akcent 4 3 4" xfId="1486" xr:uid="{00000000-0005-0000-0000-0000B9050000}"/>
    <cellStyle name="20% - akcent 4 3 4 2" xfId="1487" xr:uid="{00000000-0005-0000-0000-0000BA050000}"/>
    <cellStyle name="20% - akcent 4 3 5" xfId="1488" xr:uid="{00000000-0005-0000-0000-0000BB050000}"/>
    <cellStyle name="20% - akcent 4 3 6" xfId="1489" xr:uid="{00000000-0005-0000-0000-0000BC050000}"/>
    <cellStyle name="20% - akcent 4 3 7" xfId="1490" xr:uid="{00000000-0005-0000-0000-0000BD050000}"/>
    <cellStyle name="20% - akcent 4 3 8" xfId="1491" xr:uid="{00000000-0005-0000-0000-0000BE050000}"/>
    <cellStyle name="20% - akcent 4 30" xfId="1492" xr:uid="{00000000-0005-0000-0000-0000BF050000}"/>
    <cellStyle name="20% - akcent 4 30 2" xfId="1493" xr:uid="{00000000-0005-0000-0000-0000C0050000}"/>
    <cellStyle name="20% - akcent 4 31" xfId="1494" xr:uid="{00000000-0005-0000-0000-0000C1050000}"/>
    <cellStyle name="20% - akcent 4 31 2" xfId="1495" xr:uid="{00000000-0005-0000-0000-0000C2050000}"/>
    <cellStyle name="20% - akcent 4 32" xfId="1496" xr:uid="{00000000-0005-0000-0000-0000C3050000}"/>
    <cellStyle name="20% - akcent 4 32 2" xfId="1497" xr:uid="{00000000-0005-0000-0000-0000C4050000}"/>
    <cellStyle name="20% - akcent 4 33" xfId="1498" xr:uid="{00000000-0005-0000-0000-0000C5050000}"/>
    <cellStyle name="20% - akcent 4 33 2" xfId="1499" xr:uid="{00000000-0005-0000-0000-0000C6050000}"/>
    <cellStyle name="20% - akcent 4 34" xfId="1500" xr:uid="{00000000-0005-0000-0000-0000C7050000}"/>
    <cellStyle name="20% - akcent 4 34 2" xfId="1501" xr:uid="{00000000-0005-0000-0000-0000C8050000}"/>
    <cellStyle name="20% - akcent 4 35" xfId="1502" xr:uid="{00000000-0005-0000-0000-0000C9050000}"/>
    <cellStyle name="20% - akcent 4 35 2" xfId="1503" xr:uid="{00000000-0005-0000-0000-0000CA050000}"/>
    <cellStyle name="20% - akcent 4 36" xfId="1504" xr:uid="{00000000-0005-0000-0000-0000CB050000}"/>
    <cellStyle name="20% - akcent 4 36 2" xfId="1505" xr:uid="{00000000-0005-0000-0000-0000CC050000}"/>
    <cellStyle name="20% - akcent 4 37" xfId="1506" xr:uid="{00000000-0005-0000-0000-0000CD050000}"/>
    <cellStyle name="20% - akcent 4 37 2" xfId="1507" xr:uid="{00000000-0005-0000-0000-0000CE050000}"/>
    <cellStyle name="20% - akcent 4 38" xfId="1508" xr:uid="{00000000-0005-0000-0000-0000CF050000}"/>
    <cellStyle name="20% - akcent 4 38 2" xfId="1509" xr:uid="{00000000-0005-0000-0000-0000D0050000}"/>
    <cellStyle name="20% - akcent 4 39" xfId="1510" xr:uid="{00000000-0005-0000-0000-0000D1050000}"/>
    <cellStyle name="20% - akcent 4 39 2" xfId="1511" xr:uid="{00000000-0005-0000-0000-0000D2050000}"/>
    <cellStyle name="20% - akcent 4 4" xfId="1512" xr:uid="{00000000-0005-0000-0000-0000D3050000}"/>
    <cellStyle name="20% - akcent 4 4 2" xfId="1513" xr:uid="{00000000-0005-0000-0000-0000D4050000}"/>
    <cellStyle name="20% - akcent 4 4 2 2" xfId="1514" xr:uid="{00000000-0005-0000-0000-0000D5050000}"/>
    <cellStyle name="20% - akcent 4 4 3" xfId="1515" xr:uid="{00000000-0005-0000-0000-0000D6050000}"/>
    <cellStyle name="20% - akcent 4 4 3 2" xfId="1516" xr:uid="{00000000-0005-0000-0000-0000D7050000}"/>
    <cellStyle name="20% - akcent 4 4 4" xfId="1517" xr:uid="{00000000-0005-0000-0000-0000D8050000}"/>
    <cellStyle name="20% - akcent 4 4 4 2" xfId="1518" xr:uid="{00000000-0005-0000-0000-0000D9050000}"/>
    <cellStyle name="20% - akcent 4 4 5" xfId="1519" xr:uid="{00000000-0005-0000-0000-0000DA050000}"/>
    <cellStyle name="20% - akcent 4 4 6" xfId="1520" xr:uid="{00000000-0005-0000-0000-0000DB050000}"/>
    <cellStyle name="20% - akcent 4 4 7" xfId="1521" xr:uid="{00000000-0005-0000-0000-0000DC050000}"/>
    <cellStyle name="20% - akcent 4 4 8" xfId="1522" xr:uid="{00000000-0005-0000-0000-0000DD050000}"/>
    <cellStyle name="20% - akcent 4 40" xfId="1523" xr:uid="{00000000-0005-0000-0000-0000DE050000}"/>
    <cellStyle name="20% - akcent 4 40 2" xfId="1524" xr:uid="{00000000-0005-0000-0000-0000DF050000}"/>
    <cellStyle name="20% - akcent 4 41" xfId="1525" xr:uid="{00000000-0005-0000-0000-0000E0050000}"/>
    <cellStyle name="20% - akcent 4 41 2" xfId="1526" xr:uid="{00000000-0005-0000-0000-0000E1050000}"/>
    <cellStyle name="20% - akcent 4 42" xfId="1527" xr:uid="{00000000-0005-0000-0000-0000E2050000}"/>
    <cellStyle name="20% - akcent 4 42 2" xfId="1528" xr:uid="{00000000-0005-0000-0000-0000E3050000}"/>
    <cellStyle name="20% - akcent 4 43" xfId="1529" xr:uid="{00000000-0005-0000-0000-0000E4050000}"/>
    <cellStyle name="20% - akcent 4 43 2" xfId="1530" xr:uid="{00000000-0005-0000-0000-0000E5050000}"/>
    <cellStyle name="20% - akcent 4 44" xfId="1531" xr:uid="{00000000-0005-0000-0000-0000E6050000}"/>
    <cellStyle name="20% - akcent 4 44 2" xfId="1532" xr:uid="{00000000-0005-0000-0000-0000E7050000}"/>
    <cellStyle name="20% - akcent 4 45" xfId="1533" xr:uid="{00000000-0005-0000-0000-0000E8050000}"/>
    <cellStyle name="20% - akcent 4 45 2" xfId="1534" xr:uid="{00000000-0005-0000-0000-0000E9050000}"/>
    <cellStyle name="20% - akcent 4 46" xfId="1535" xr:uid="{00000000-0005-0000-0000-0000EA050000}"/>
    <cellStyle name="20% - akcent 4 46 2" xfId="1536" xr:uid="{00000000-0005-0000-0000-0000EB050000}"/>
    <cellStyle name="20% - akcent 4 47" xfId="1537" xr:uid="{00000000-0005-0000-0000-0000EC050000}"/>
    <cellStyle name="20% - akcent 4 47 2" xfId="1538" xr:uid="{00000000-0005-0000-0000-0000ED050000}"/>
    <cellStyle name="20% - akcent 4 48" xfId="1539" xr:uid="{00000000-0005-0000-0000-0000EE050000}"/>
    <cellStyle name="20% - akcent 4 48 2" xfId="1540" xr:uid="{00000000-0005-0000-0000-0000EF050000}"/>
    <cellStyle name="20% - akcent 4 49" xfId="1541" xr:uid="{00000000-0005-0000-0000-0000F0050000}"/>
    <cellStyle name="20% - akcent 4 49 2" xfId="1542" xr:uid="{00000000-0005-0000-0000-0000F1050000}"/>
    <cellStyle name="20% - akcent 4 5" xfId="1543" xr:uid="{00000000-0005-0000-0000-0000F2050000}"/>
    <cellStyle name="20% - akcent 4 5 2" xfId="1544" xr:uid="{00000000-0005-0000-0000-0000F3050000}"/>
    <cellStyle name="20% - akcent 4 5 3" xfId="1545" xr:uid="{00000000-0005-0000-0000-0000F4050000}"/>
    <cellStyle name="20% - akcent 4 50" xfId="1546" xr:uid="{00000000-0005-0000-0000-0000F5050000}"/>
    <cellStyle name="20% - akcent 4 50 2" xfId="1547" xr:uid="{00000000-0005-0000-0000-0000F6050000}"/>
    <cellStyle name="20% - akcent 4 51" xfId="1548" xr:uid="{00000000-0005-0000-0000-0000F7050000}"/>
    <cellStyle name="20% - akcent 4 51 2" xfId="1549" xr:uid="{00000000-0005-0000-0000-0000F8050000}"/>
    <cellStyle name="20% - akcent 4 52" xfId="1550" xr:uid="{00000000-0005-0000-0000-0000F9050000}"/>
    <cellStyle name="20% - akcent 4 52 2" xfId="1551" xr:uid="{00000000-0005-0000-0000-0000FA050000}"/>
    <cellStyle name="20% - akcent 4 53" xfId="1552" xr:uid="{00000000-0005-0000-0000-0000FB050000}"/>
    <cellStyle name="20% - akcent 4 53 2" xfId="1553" xr:uid="{00000000-0005-0000-0000-0000FC050000}"/>
    <cellStyle name="20% - akcent 4 54" xfId="1554" xr:uid="{00000000-0005-0000-0000-0000FD050000}"/>
    <cellStyle name="20% - akcent 4 54 2" xfId="1555" xr:uid="{00000000-0005-0000-0000-0000FE050000}"/>
    <cellStyle name="20% - akcent 4 55" xfId="1556" xr:uid="{00000000-0005-0000-0000-0000FF050000}"/>
    <cellStyle name="20% - akcent 4 55 2" xfId="1557" xr:uid="{00000000-0005-0000-0000-000000060000}"/>
    <cellStyle name="20% - akcent 4 56" xfId="1558" xr:uid="{00000000-0005-0000-0000-000001060000}"/>
    <cellStyle name="20% - akcent 4 56 2" xfId="1559" xr:uid="{00000000-0005-0000-0000-000002060000}"/>
    <cellStyle name="20% - akcent 4 57" xfId="1560" xr:uid="{00000000-0005-0000-0000-000003060000}"/>
    <cellStyle name="20% - akcent 4 57 2" xfId="1561" xr:uid="{00000000-0005-0000-0000-000004060000}"/>
    <cellStyle name="20% - akcent 4 58" xfId="1562" xr:uid="{00000000-0005-0000-0000-000005060000}"/>
    <cellStyle name="20% - akcent 4 58 2" xfId="1563" xr:uid="{00000000-0005-0000-0000-000006060000}"/>
    <cellStyle name="20% - akcent 4 59" xfId="1564" xr:uid="{00000000-0005-0000-0000-000007060000}"/>
    <cellStyle name="20% - akcent 4 59 2" xfId="1565" xr:uid="{00000000-0005-0000-0000-000008060000}"/>
    <cellStyle name="20% - akcent 4 6" xfId="1566" xr:uid="{00000000-0005-0000-0000-000009060000}"/>
    <cellStyle name="20% - akcent 4 60" xfId="1567" xr:uid="{00000000-0005-0000-0000-00000A060000}"/>
    <cellStyle name="20% - akcent 4 60 2" xfId="1568" xr:uid="{00000000-0005-0000-0000-00000B060000}"/>
    <cellStyle name="20% - akcent 4 61" xfId="1569" xr:uid="{00000000-0005-0000-0000-00000C060000}"/>
    <cellStyle name="20% - akcent 4 61 2" xfId="1570" xr:uid="{00000000-0005-0000-0000-00000D060000}"/>
    <cellStyle name="20% - akcent 4 62" xfId="1571" xr:uid="{00000000-0005-0000-0000-00000E060000}"/>
    <cellStyle name="20% - akcent 4 62 2" xfId="1572" xr:uid="{00000000-0005-0000-0000-00000F060000}"/>
    <cellStyle name="20% - akcent 4 63" xfId="1573" xr:uid="{00000000-0005-0000-0000-000010060000}"/>
    <cellStyle name="20% - akcent 4 63 2" xfId="1574" xr:uid="{00000000-0005-0000-0000-000011060000}"/>
    <cellStyle name="20% - akcent 4 64" xfId="1575" xr:uid="{00000000-0005-0000-0000-000012060000}"/>
    <cellStyle name="20% - akcent 4 64 2" xfId="1576" xr:uid="{00000000-0005-0000-0000-000013060000}"/>
    <cellStyle name="20% - akcent 4 65" xfId="1577" xr:uid="{00000000-0005-0000-0000-000014060000}"/>
    <cellStyle name="20% - akcent 4 65 2" xfId="1578" xr:uid="{00000000-0005-0000-0000-000015060000}"/>
    <cellStyle name="20% - akcent 4 66" xfId="1579" xr:uid="{00000000-0005-0000-0000-000016060000}"/>
    <cellStyle name="20% - akcent 4 66 2" xfId="1580" xr:uid="{00000000-0005-0000-0000-000017060000}"/>
    <cellStyle name="20% - akcent 4 67" xfId="1581" xr:uid="{00000000-0005-0000-0000-000018060000}"/>
    <cellStyle name="20% - akcent 4 67 2" xfId="1582" xr:uid="{00000000-0005-0000-0000-000019060000}"/>
    <cellStyle name="20% - akcent 4 68" xfId="1583" xr:uid="{00000000-0005-0000-0000-00001A060000}"/>
    <cellStyle name="20% - akcent 4 68 2" xfId="1584" xr:uid="{00000000-0005-0000-0000-00001B060000}"/>
    <cellStyle name="20% - akcent 4 69" xfId="1585" xr:uid="{00000000-0005-0000-0000-00001C060000}"/>
    <cellStyle name="20% - akcent 4 69 2" xfId="1586" xr:uid="{00000000-0005-0000-0000-00001D060000}"/>
    <cellStyle name="20% - akcent 4 7" xfId="1587" xr:uid="{00000000-0005-0000-0000-00001E060000}"/>
    <cellStyle name="20% - akcent 4 70" xfId="1588" xr:uid="{00000000-0005-0000-0000-00001F060000}"/>
    <cellStyle name="20% - akcent 4 70 2" xfId="1589" xr:uid="{00000000-0005-0000-0000-000020060000}"/>
    <cellStyle name="20% - akcent 4 71" xfId="1590" xr:uid="{00000000-0005-0000-0000-000021060000}"/>
    <cellStyle name="20% - akcent 4 71 2" xfId="1591" xr:uid="{00000000-0005-0000-0000-000022060000}"/>
    <cellStyle name="20% - akcent 4 72" xfId="1592" xr:uid="{00000000-0005-0000-0000-000023060000}"/>
    <cellStyle name="20% - akcent 4 72 2" xfId="1593" xr:uid="{00000000-0005-0000-0000-000024060000}"/>
    <cellStyle name="20% - akcent 4 73" xfId="1594" xr:uid="{00000000-0005-0000-0000-000025060000}"/>
    <cellStyle name="20% - akcent 4 73 2" xfId="1595" xr:uid="{00000000-0005-0000-0000-000026060000}"/>
    <cellStyle name="20% - akcent 4 74" xfId="1596" xr:uid="{00000000-0005-0000-0000-000027060000}"/>
    <cellStyle name="20% - akcent 4 74 2" xfId="1597" xr:uid="{00000000-0005-0000-0000-000028060000}"/>
    <cellStyle name="20% - akcent 4 75" xfId="1598" xr:uid="{00000000-0005-0000-0000-000029060000}"/>
    <cellStyle name="20% - akcent 4 75 2" xfId="1599" xr:uid="{00000000-0005-0000-0000-00002A060000}"/>
    <cellStyle name="20% - akcent 4 76" xfId="1600" xr:uid="{00000000-0005-0000-0000-00002B060000}"/>
    <cellStyle name="20% - akcent 4 76 2" xfId="1601" xr:uid="{00000000-0005-0000-0000-00002C060000}"/>
    <cellStyle name="20% - akcent 4 77" xfId="1602" xr:uid="{00000000-0005-0000-0000-00002D060000}"/>
    <cellStyle name="20% - akcent 4 77 2" xfId="1603" xr:uid="{00000000-0005-0000-0000-00002E060000}"/>
    <cellStyle name="20% - akcent 4 78" xfId="1604" xr:uid="{00000000-0005-0000-0000-00002F060000}"/>
    <cellStyle name="20% - akcent 4 78 2" xfId="1605" xr:uid="{00000000-0005-0000-0000-000030060000}"/>
    <cellStyle name="20% - akcent 4 79" xfId="1606" xr:uid="{00000000-0005-0000-0000-000031060000}"/>
    <cellStyle name="20% - akcent 4 79 2" xfId="1607" xr:uid="{00000000-0005-0000-0000-000032060000}"/>
    <cellStyle name="20% - akcent 4 8" xfId="1608" xr:uid="{00000000-0005-0000-0000-000033060000}"/>
    <cellStyle name="20% - akcent 4 80" xfId="1609" xr:uid="{00000000-0005-0000-0000-000034060000}"/>
    <cellStyle name="20% - akcent 4 80 2" xfId="1610" xr:uid="{00000000-0005-0000-0000-000035060000}"/>
    <cellStyle name="20% - akcent 4 81" xfId="1611" xr:uid="{00000000-0005-0000-0000-000036060000}"/>
    <cellStyle name="20% - akcent 4 81 2" xfId="1612" xr:uid="{00000000-0005-0000-0000-000037060000}"/>
    <cellStyle name="20% - akcent 4 82" xfId="1613" xr:uid="{00000000-0005-0000-0000-000038060000}"/>
    <cellStyle name="20% - akcent 4 82 2" xfId="1614" xr:uid="{00000000-0005-0000-0000-000039060000}"/>
    <cellStyle name="20% - akcent 4 83" xfId="1615" xr:uid="{00000000-0005-0000-0000-00003A060000}"/>
    <cellStyle name="20% - akcent 4 83 2" xfId="1616" xr:uid="{00000000-0005-0000-0000-00003B060000}"/>
    <cellStyle name="20% - akcent 4 84" xfId="1617" xr:uid="{00000000-0005-0000-0000-00003C060000}"/>
    <cellStyle name="20% - akcent 4 84 2" xfId="1618" xr:uid="{00000000-0005-0000-0000-00003D060000}"/>
    <cellStyle name="20% - akcent 4 85" xfId="1619" xr:uid="{00000000-0005-0000-0000-00003E060000}"/>
    <cellStyle name="20% - akcent 4 85 2" xfId="1620" xr:uid="{00000000-0005-0000-0000-00003F060000}"/>
    <cellStyle name="20% - akcent 4 86" xfId="1621" xr:uid="{00000000-0005-0000-0000-000040060000}"/>
    <cellStyle name="20% - akcent 4 86 2" xfId="1622" xr:uid="{00000000-0005-0000-0000-000041060000}"/>
    <cellStyle name="20% - akcent 4 87" xfId="1623" xr:uid="{00000000-0005-0000-0000-000042060000}"/>
    <cellStyle name="20% - akcent 4 87 2" xfId="1624" xr:uid="{00000000-0005-0000-0000-000043060000}"/>
    <cellStyle name="20% - akcent 4 88" xfId="1625" xr:uid="{00000000-0005-0000-0000-000044060000}"/>
    <cellStyle name="20% - akcent 4 88 2" xfId="1626" xr:uid="{00000000-0005-0000-0000-000045060000}"/>
    <cellStyle name="20% - akcent 4 89" xfId="1627" xr:uid="{00000000-0005-0000-0000-000046060000}"/>
    <cellStyle name="20% - akcent 4 89 2" xfId="1628" xr:uid="{00000000-0005-0000-0000-000047060000}"/>
    <cellStyle name="20% - akcent 4 9" xfId="1629" xr:uid="{00000000-0005-0000-0000-000048060000}"/>
    <cellStyle name="20% - akcent 4 90" xfId="1630" xr:uid="{00000000-0005-0000-0000-000049060000}"/>
    <cellStyle name="20% - akcent 4 90 2" xfId="1631" xr:uid="{00000000-0005-0000-0000-00004A060000}"/>
    <cellStyle name="20% - akcent 4 91" xfId="1632" xr:uid="{00000000-0005-0000-0000-00004B060000}"/>
    <cellStyle name="20% - akcent 4 91 2" xfId="1633" xr:uid="{00000000-0005-0000-0000-00004C060000}"/>
    <cellStyle name="20% - akcent 4 92" xfId="1634" xr:uid="{00000000-0005-0000-0000-00004D060000}"/>
    <cellStyle name="20% - akcent 4 92 2" xfId="1635" xr:uid="{00000000-0005-0000-0000-00004E060000}"/>
    <cellStyle name="20% - akcent 4 93" xfId="1636" xr:uid="{00000000-0005-0000-0000-00004F060000}"/>
    <cellStyle name="20% - akcent 4 93 2" xfId="1637" xr:uid="{00000000-0005-0000-0000-000050060000}"/>
    <cellStyle name="20% - akcent 4 94" xfId="1638" xr:uid="{00000000-0005-0000-0000-000051060000}"/>
    <cellStyle name="20% - akcent 4 94 2" xfId="1639" xr:uid="{00000000-0005-0000-0000-000052060000}"/>
    <cellStyle name="20% - akcent 4 95" xfId="1640" xr:uid="{00000000-0005-0000-0000-000053060000}"/>
    <cellStyle name="20% - akcent 4 95 2" xfId="1641" xr:uid="{00000000-0005-0000-0000-000054060000}"/>
    <cellStyle name="20% - akcent 4 96" xfId="1642" xr:uid="{00000000-0005-0000-0000-000055060000}"/>
    <cellStyle name="20% - akcent 4 96 2" xfId="1643" xr:uid="{00000000-0005-0000-0000-000056060000}"/>
    <cellStyle name="20% - akcent 4 97" xfId="1644" xr:uid="{00000000-0005-0000-0000-000057060000}"/>
    <cellStyle name="20% - akcent 4 97 2" xfId="1645" xr:uid="{00000000-0005-0000-0000-000058060000}"/>
    <cellStyle name="20% - akcent 4 98" xfId="1646" xr:uid="{00000000-0005-0000-0000-000059060000}"/>
    <cellStyle name="20% - akcent 4 98 2" xfId="1647" xr:uid="{00000000-0005-0000-0000-00005A060000}"/>
    <cellStyle name="20% - akcent 4 99" xfId="1648" xr:uid="{00000000-0005-0000-0000-00005B060000}"/>
    <cellStyle name="20% - akcent 4 99 2" xfId="1649" xr:uid="{00000000-0005-0000-0000-00005C060000}"/>
    <cellStyle name="20% - akcent 5 10" xfId="1650" xr:uid="{00000000-0005-0000-0000-00005D060000}"/>
    <cellStyle name="20% - akcent 5 100" xfId="1651" xr:uid="{00000000-0005-0000-0000-00005E060000}"/>
    <cellStyle name="20% - akcent 5 100 2" xfId="1652" xr:uid="{00000000-0005-0000-0000-00005F060000}"/>
    <cellStyle name="20% - akcent 5 101" xfId="1653" xr:uid="{00000000-0005-0000-0000-000060060000}"/>
    <cellStyle name="20% - akcent 5 101 2" xfId="1654" xr:uid="{00000000-0005-0000-0000-000061060000}"/>
    <cellStyle name="20% - akcent 5 102" xfId="1655" xr:uid="{00000000-0005-0000-0000-000062060000}"/>
    <cellStyle name="20% - akcent 5 102 2" xfId="1656" xr:uid="{00000000-0005-0000-0000-000063060000}"/>
    <cellStyle name="20% - akcent 5 103" xfId="1657" xr:uid="{00000000-0005-0000-0000-000064060000}"/>
    <cellStyle name="20% - akcent 5 103 2" xfId="1658" xr:uid="{00000000-0005-0000-0000-000065060000}"/>
    <cellStyle name="20% - akcent 5 104" xfId="1659" xr:uid="{00000000-0005-0000-0000-000066060000}"/>
    <cellStyle name="20% - akcent 5 104 2" xfId="1660" xr:uid="{00000000-0005-0000-0000-000067060000}"/>
    <cellStyle name="20% - akcent 5 105" xfId="1661" xr:uid="{00000000-0005-0000-0000-000068060000}"/>
    <cellStyle name="20% - akcent 5 105 2" xfId="1662" xr:uid="{00000000-0005-0000-0000-000069060000}"/>
    <cellStyle name="20% - akcent 5 106" xfId="1663" xr:uid="{00000000-0005-0000-0000-00006A060000}"/>
    <cellStyle name="20% - akcent 5 106 2" xfId="1664" xr:uid="{00000000-0005-0000-0000-00006B060000}"/>
    <cellStyle name="20% - akcent 5 107" xfId="1665" xr:uid="{00000000-0005-0000-0000-00006C060000}"/>
    <cellStyle name="20% - akcent 5 107 2" xfId="1666" xr:uid="{00000000-0005-0000-0000-00006D060000}"/>
    <cellStyle name="20% - akcent 5 108" xfId="1667" xr:uid="{00000000-0005-0000-0000-00006E060000}"/>
    <cellStyle name="20% - akcent 5 108 2" xfId="1668" xr:uid="{00000000-0005-0000-0000-00006F060000}"/>
    <cellStyle name="20% - akcent 5 109" xfId="1669" xr:uid="{00000000-0005-0000-0000-000070060000}"/>
    <cellStyle name="20% - akcent 5 109 2" xfId="1670" xr:uid="{00000000-0005-0000-0000-000071060000}"/>
    <cellStyle name="20% - akcent 5 11" xfId="1671" xr:uid="{00000000-0005-0000-0000-000072060000}"/>
    <cellStyle name="20% - akcent 5 110" xfId="1672" xr:uid="{00000000-0005-0000-0000-000073060000}"/>
    <cellStyle name="20% - akcent 5 110 2" xfId="1673" xr:uid="{00000000-0005-0000-0000-000074060000}"/>
    <cellStyle name="20% - akcent 5 111" xfId="1674" xr:uid="{00000000-0005-0000-0000-000075060000}"/>
    <cellStyle name="20% - akcent 5 111 2" xfId="1675" xr:uid="{00000000-0005-0000-0000-000076060000}"/>
    <cellStyle name="20% - akcent 5 112" xfId="1676" xr:uid="{00000000-0005-0000-0000-000077060000}"/>
    <cellStyle name="20% - akcent 5 112 2" xfId="1677" xr:uid="{00000000-0005-0000-0000-000078060000}"/>
    <cellStyle name="20% - akcent 5 113" xfId="1678" xr:uid="{00000000-0005-0000-0000-000079060000}"/>
    <cellStyle name="20% - akcent 5 113 2" xfId="1679" xr:uid="{00000000-0005-0000-0000-00007A060000}"/>
    <cellStyle name="20% - akcent 5 114" xfId="1680" xr:uid="{00000000-0005-0000-0000-00007B060000}"/>
    <cellStyle name="20% - akcent 5 114 2" xfId="1681" xr:uid="{00000000-0005-0000-0000-00007C060000}"/>
    <cellStyle name="20% - akcent 5 115" xfId="1682" xr:uid="{00000000-0005-0000-0000-00007D060000}"/>
    <cellStyle name="20% - akcent 5 115 2" xfId="1683" xr:uid="{00000000-0005-0000-0000-00007E060000}"/>
    <cellStyle name="20% - akcent 5 116" xfId="1684" xr:uid="{00000000-0005-0000-0000-00007F060000}"/>
    <cellStyle name="20% - akcent 5 116 2" xfId="1685" xr:uid="{00000000-0005-0000-0000-000080060000}"/>
    <cellStyle name="20% - akcent 5 117" xfId="1686" xr:uid="{00000000-0005-0000-0000-000081060000}"/>
    <cellStyle name="20% - akcent 5 117 2" xfId="1687" xr:uid="{00000000-0005-0000-0000-000082060000}"/>
    <cellStyle name="20% - akcent 5 118" xfId="1688" xr:uid="{00000000-0005-0000-0000-000083060000}"/>
    <cellStyle name="20% - akcent 5 118 2" xfId="1689" xr:uid="{00000000-0005-0000-0000-000084060000}"/>
    <cellStyle name="20% - akcent 5 119" xfId="1690" xr:uid="{00000000-0005-0000-0000-000085060000}"/>
    <cellStyle name="20% - akcent 5 119 2" xfId="1691" xr:uid="{00000000-0005-0000-0000-000086060000}"/>
    <cellStyle name="20% - akcent 5 12" xfId="1692" xr:uid="{00000000-0005-0000-0000-000087060000}"/>
    <cellStyle name="20% - akcent 5 120" xfId="1693" xr:uid="{00000000-0005-0000-0000-000088060000}"/>
    <cellStyle name="20% - akcent 5 121" xfId="1694" xr:uid="{00000000-0005-0000-0000-000089060000}"/>
    <cellStyle name="20% - akcent 5 13" xfId="1695" xr:uid="{00000000-0005-0000-0000-00008A060000}"/>
    <cellStyle name="20% - akcent 5 14" xfId="1696" xr:uid="{00000000-0005-0000-0000-00008B060000}"/>
    <cellStyle name="20% - akcent 5 15" xfId="1697" xr:uid="{00000000-0005-0000-0000-00008C060000}"/>
    <cellStyle name="20% - akcent 5 16" xfId="1698" xr:uid="{00000000-0005-0000-0000-00008D060000}"/>
    <cellStyle name="20% - akcent 5 17" xfId="1699" xr:uid="{00000000-0005-0000-0000-00008E060000}"/>
    <cellStyle name="20% - akcent 5 18" xfId="1700" xr:uid="{00000000-0005-0000-0000-00008F060000}"/>
    <cellStyle name="20% - akcent 5 19" xfId="1701" xr:uid="{00000000-0005-0000-0000-000090060000}"/>
    <cellStyle name="20% - akcent 5 2" xfId="1702" xr:uid="{00000000-0005-0000-0000-000091060000}"/>
    <cellStyle name="20% - akcent 5 2 10" xfId="1703" xr:uid="{00000000-0005-0000-0000-000092060000}"/>
    <cellStyle name="20% - akcent 5 2 10 2" xfId="1704" xr:uid="{00000000-0005-0000-0000-000093060000}"/>
    <cellStyle name="20% - akcent 5 2 10 3" xfId="1705" xr:uid="{00000000-0005-0000-0000-000094060000}"/>
    <cellStyle name="20% - akcent 5 2 10 4" xfId="1706" xr:uid="{00000000-0005-0000-0000-000095060000}"/>
    <cellStyle name="20% - akcent 5 2 10 5" xfId="1707" xr:uid="{00000000-0005-0000-0000-000096060000}"/>
    <cellStyle name="20% - akcent 5 2 10 6" xfId="1708" xr:uid="{00000000-0005-0000-0000-000097060000}"/>
    <cellStyle name="20% - akcent 5 2 11" xfId="1709" xr:uid="{00000000-0005-0000-0000-000098060000}"/>
    <cellStyle name="20% - akcent 5 2 11 2" xfId="1710" xr:uid="{00000000-0005-0000-0000-000099060000}"/>
    <cellStyle name="20% - akcent 5 2 11 3" xfId="1711" xr:uid="{00000000-0005-0000-0000-00009A060000}"/>
    <cellStyle name="20% - akcent 5 2 11 4" xfId="1712" xr:uid="{00000000-0005-0000-0000-00009B060000}"/>
    <cellStyle name="20% - akcent 5 2 11 5" xfId="1713" xr:uid="{00000000-0005-0000-0000-00009C060000}"/>
    <cellStyle name="20% - akcent 5 2 11 6" xfId="1714" xr:uid="{00000000-0005-0000-0000-00009D060000}"/>
    <cellStyle name="20% - akcent 5 2 12" xfId="1715" xr:uid="{00000000-0005-0000-0000-00009E060000}"/>
    <cellStyle name="20% - akcent 5 2 12 2" xfId="1716" xr:uid="{00000000-0005-0000-0000-00009F060000}"/>
    <cellStyle name="20% - akcent 5 2 12 3" xfId="1717" xr:uid="{00000000-0005-0000-0000-0000A0060000}"/>
    <cellStyle name="20% - akcent 5 2 12 4" xfId="1718" xr:uid="{00000000-0005-0000-0000-0000A1060000}"/>
    <cellStyle name="20% - akcent 5 2 12 5" xfId="1719" xr:uid="{00000000-0005-0000-0000-0000A2060000}"/>
    <cellStyle name="20% - akcent 5 2 12 6" xfId="1720" xr:uid="{00000000-0005-0000-0000-0000A3060000}"/>
    <cellStyle name="20% - akcent 5 2 13" xfId="1721" xr:uid="{00000000-0005-0000-0000-0000A4060000}"/>
    <cellStyle name="20% - akcent 5 2 13 2" xfId="1722" xr:uid="{00000000-0005-0000-0000-0000A5060000}"/>
    <cellStyle name="20% - akcent 5 2 13 3" xfId="1723" xr:uid="{00000000-0005-0000-0000-0000A6060000}"/>
    <cellStyle name="20% - akcent 5 2 13 4" xfId="1724" xr:uid="{00000000-0005-0000-0000-0000A7060000}"/>
    <cellStyle name="20% - akcent 5 2 13 5" xfId="1725" xr:uid="{00000000-0005-0000-0000-0000A8060000}"/>
    <cellStyle name="20% - akcent 5 2 13 6" xfId="1726" xr:uid="{00000000-0005-0000-0000-0000A9060000}"/>
    <cellStyle name="20% - akcent 5 2 14" xfId="1727" xr:uid="{00000000-0005-0000-0000-0000AA060000}"/>
    <cellStyle name="20% - akcent 5 2 14 2" xfId="1728" xr:uid="{00000000-0005-0000-0000-0000AB060000}"/>
    <cellStyle name="20% - akcent 5 2 14 3" xfId="1729" xr:uid="{00000000-0005-0000-0000-0000AC060000}"/>
    <cellStyle name="20% - akcent 5 2 14 4" xfId="1730" xr:uid="{00000000-0005-0000-0000-0000AD060000}"/>
    <cellStyle name="20% - akcent 5 2 14 5" xfId="1731" xr:uid="{00000000-0005-0000-0000-0000AE060000}"/>
    <cellStyle name="20% - akcent 5 2 14 6" xfId="1732" xr:uid="{00000000-0005-0000-0000-0000AF060000}"/>
    <cellStyle name="20% - akcent 5 2 15" xfId="1733" xr:uid="{00000000-0005-0000-0000-0000B0060000}"/>
    <cellStyle name="20% - akcent 5 2 15 2" xfId="1734" xr:uid="{00000000-0005-0000-0000-0000B1060000}"/>
    <cellStyle name="20% - akcent 5 2 15 3" xfId="1735" xr:uid="{00000000-0005-0000-0000-0000B2060000}"/>
    <cellStyle name="20% - akcent 5 2 15 4" xfId="1736" xr:uid="{00000000-0005-0000-0000-0000B3060000}"/>
    <cellStyle name="20% - akcent 5 2 15 5" xfId="1737" xr:uid="{00000000-0005-0000-0000-0000B4060000}"/>
    <cellStyle name="20% - akcent 5 2 15 6" xfId="1738" xr:uid="{00000000-0005-0000-0000-0000B5060000}"/>
    <cellStyle name="20% - akcent 5 2 16" xfId="1739" xr:uid="{00000000-0005-0000-0000-0000B6060000}"/>
    <cellStyle name="20% - akcent 5 2 16 2" xfId="1740" xr:uid="{00000000-0005-0000-0000-0000B7060000}"/>
    <cellStyle name="20% - akcent 5 2 16 3" xfId="1741" xr:uid="{00000000-0005-0000-0000-0000B8060000}"/>
    <cellStyle name="20% - akcent 5 2 16 4" xfId="1742" xr:uid="{00000000-0005-0000-0000-0000B9060000}"/>
    <cellStyle name="20% - akcent 5 2 16 5" xfId="1743" xr:uid="{00000000-0005-0000-0000-0000BA060000}"/>
    <cellStyle name="20% - akcent 5 2 16 6" xfId="1744" xr:uid="{00000000-0005-0000-0000-0000BB060000}"/>
    <cellStyle name="20% - akcent 5 2 17" xfId="1745" xr:uid="{00000000-0005-0000-0000-0000BC060000}"/>
    <cellStyle name="20% - akcent 5 2 17 2" xfId="1746" xr:uid="{00000000-0005-0000-0000-0000BD060000}"/>
    <cellStyle name="20% - akcent 5 2 17 3" xfId="1747" xr:uid="{00000000-0005-0000-0000-0000BE060000}"/>
    <cellStyle name="20% - akcent 5 2 17 4" xfId="1748" xr:uid="{00000000-0005-0000-0000-0000BF060000}"/>
    <cellStyle name="20% - akcent 5 2 17 5" xfId="1749" xr:uid="{00000000-0005-0000-0000-0000C0060000}"/>
    <cellStyle name="20% - akcent 5 2 17 6" xfId="1750" xr:uid="{00000000-0005-0000-0000-0000C1060000}"/>
    <cellStyle name="20% - akcent 5 2 18" xfId="1751" xr:uid="{00000000-0005-0000-0000-0000C2060000}"/>
    <cellStyle name="20% - akcent 5 2 18 2" xfId="1752" xr:uid="{00000000-0005-0000-0000-0000C3060000}"/>
    <cellStyle name="20% - akcent 5 2 18 3" xfId="1753" xr:uid="{00000000-0005-0000-0000-0000C4060000}"/>
    <cellStyle name="20% - akcent 5 2 18 4" xfId="1754" xr:uid="{00000000-0005-0000-0000-0000C5060000}"/>
    <cellStyle name="20% - akcent 5 2 18 5" xfId="1755" xr:uid="{00000000-0005-0000-0000-0000C6060000}"/>
    <cellStyle name="20% - akcent 5 2 18 6" xfId="1756" xr:uid="{00000000-0005-0000-0000-0000C7060000}"/>
    <cellStyle name="20% - akcent 5 2 19" xfId="1757" xr:uid="{00000000-0005-0000-0000-0000C8060000}"/>
    <cellStyle name="20% - akcent 5 2 19 2" xfId="1758" xr:uid="{00000000-0005-0000-0000-0000C9060000}"/>
    <cellStyle name="20% - akcent 5 2 19 3" xfId="1759" xr:uid="{00000000-0005-0000-0000-0000CA060000}"/>
    <cellStyle name="20% - akcent 5 2 19 4" xfId="1760" xr:uid="{00000000-0005-0000-0000-0000CB060000}"/>
    <cellStyle name="20% - akcent 5 2 19 5" xfId="1761" xr:uid="{00000000-0005-0000-0000-0000CC060000}"/>
    <cellStyle name="20% - akcent 5 2 19 6" xfId="1762" xr:uid="{00000000-0005-0000-0000-0000CD060000}"/>
    <cellStyle name="20% - akcent 5 2 2" xfId="1763" xr:uid="{00000000-0005-0000-0000-0000CE060000}"/>
    <cellStyle name="20% - akcent 5 2 2 2" xfId="1764" xr:uid="{00000000-0005-0000-0000-0000CF060000}"/>
    <cellStyle name="20% - akcent 5 2 2 3" xfId="1765" xr:uid="{00000000-0005-0000-0000-0000D0060000}"/>
    <cellStyle name="20% - akcent 5 2 2 4" xfId="1766" xr:uid="{00000000-0005-0000-0000-0000D1060000}"/>
    <cellStyle name="20% - akcent 5 2 2 5" xfId="1767" xr:uid="{00000000-0005-0000-0000-0000D2060000}"/>
    <cellStyle name="20% - akcent 5 2 2 6" xfId="1768" xr:uid="{00000000-0005-0000-0000-0000D3060000}"/>
    <cellStyle name="20% - akcent 5 2 2 7" xfId="1769" xr:uid="{00000000-0005-0000-0000-0000D4060000}"/>
    <cellStyle name="20% - akcent 5 2 20" xfId="1770" xr:uid="{00000000-0005-0000-0000-0000D5060000}"/>
    <cellStyle name="20% - akcent 5 2 20 2" xfId="1771" xr:uid="{00000000-0005-0000-0000-0000D6060000}"/>
    <cellStyle name="20% - akcent 5 2 20 3" xfId="1772" xr:uid="{00000000-0005-0000-0000-0000D7060000}"/>
    <cellStyle name="20% - akcent 5 2 20 4" xfId="1773" xr:uid="{00000000-0005-0000-0000-0000D8060000}"/>
    <cellStyle name="20% - akcent 5 2 20 5" xfId="1774" xr:uid="{00000000-0005-0000-0000-0000D9060000}"/>
    <cellStyle name="20% - akcent 5 2 20 6" xfId="1775" xr:uid="{00000000-0005-0000-0000-0000DA060000}"/>
    <cellStyle name="20% - akcent 5 2 21" xfId="1776" xr:uid="{00000000-0005-0000-0000-0000DB060000}"/>
    <cellStyle name="20% - akcent 5 2 21 2" xfId="1777" xr:uid="{00000000-0005-0000-0000-0000DC060000}"/>
    <cellStyle name="20% - akcent 5 2 21 3" xfId="1778" xr:uid="{00000000-0005-0000-0000-0000DD060000}"/>
    <cellStyle name="20% - akcent 5 2 21 4" xfId="1779" xr:uid="{00000000-0005-0000-0000-0000DE060000}"/>
    <cellStyle name="20% - akcent 5 2 21 5" xfId="1780" xr:uid="{00000000-0005-0000-0000-0000DF060000}"/>
    <cellStyle name="20% - akcent 5 2 21 6" xfId="1781" xr:uid="{00000000-0005-0000-0000-0000E0060000}"/>
    <cellStyle name="20% - akcent 5 2 22" xfId="1782" xr:uid="{00000000-0005-0000-0000-0000E1060000}"/>
    <cellStyle name="20% - akcent 5 2 22 2" xfId="1783" xr:uid="{00000000-0005-0000-0000-0000E2060000}"/>
    <cellStyle name="20% - akcent 5 2 22 3" xfId="1784" xr:uid="{00000000-0005-0000-0000-0000E3060000}"/>
    <cellStyle name="20% - akcent 5 2 22 4" xfId="1785" xr:uid="{00000000-0005-0000-0000-0000E4060000}"/>
    <cellStyle name="20% - akcent 5 2 22 5" xfId="1786" xr:uid="{00000000-0005-0000-0000-0000E5060000}"/>
    <cellStyle name="20% - akcent 5 2 22 6" xfId="1787" xr:uid="{00000000-0005-0000-0000-0000E6060000}"/>
    <cellStyle name="20% - akcent 5 2 23" xfId="1788" xr:uid="{00000000-0005-0000-0000-0000E7060000}"/>
    <cellStyle name="20% - akcent 5 2 23 2" xfId="1789" xr:uid="{00000000-0005-0000-0000-0000E8060000}"/>
    <cellStyle name="20% - akcent 5 2 23 3" xfId="1790" xr:uid="{00000000-0005-0000-0000-0000E9060000}"/>
    <cellStyle name="20% - akcent 5 2 23 4" xfId="1791" xr:uid="{00000000-0005-0000-0000-0000EA060000}"/>
    <cellStyle name="20% - akcent 5 2 23 5" xfId="1792" xr:uid="{00000000-0005-0000-0000-0000EB060000}"/>
    <cellStyle name="20% - akcent 5 2 23 6" xfId="1793" xr:uid="{00000000-0005-0000-0000-0000EC060000}"/>
    <cellStyle name="20% - akcent 5 2 24" xfId="1794" xr:uid="{00000000-0005-0000-0000-0000ED060000}"/>
    <cellStyle name="20% - akcent 5 2 24 2" xfId="1795" xr:uid="{00000000-0005-0000-0000-0000EE060000}"/>
    <cellStyle name="20% - akcent 5 2 24 3" xfId="1796" xr:uid="{00000000-0005-0000-0000-0000EF060000}"/>
    <cellStyle name="20% - akcent 5 2 24 4" xfId="1797" xr:uid="{00000000-0005-0000-0000-0000F0060000}"/>
    <cellStyle name="20% - akcent 5 2 24 5" xfId="1798" xr:uid="{00000000-0005-0000-0000-0000F1060000}"/>
    <cellStyle name="20% - akcent 5 2 24 6" xfId="1799" xr:uid="{00000000-0005-0000-0000-0000F2060000}"/>
    <cellStyle name="20% - akcent 5 2 25" xfId="1800" xr:uid="{00000000-0005-0000-0000-0000F3060000}"/>
    <cellStyle name="20% - akcent 5 2 25 2" xfId="1801" xr:uid="{00000000-0005-0000-0000-0000F4060000}"/>
    <cellStyle name="20% - akcent 5 2 25 3" xfId="1802" xr:uid="{00000000-0005-0000-0000-0000F5060000}"/>
    <cellStyle name="20% - akcent 5 2 25 4" xfId="1803" xr:uid="{00000000-0005-0000-0000-0000F6060000}"/>
    <cellStyle name="20% - akcent 5 2 25 5" xfId="1804" xr:uid="{00000000-0005-0000-0000-0000F7060000}"/>
    <cellStyle name="20% - akcent 5 2 25 6" xfId="1805" xr:uid="{00000000-0005-0000-0000-0000F8060000}"/>
    <cellStyle name="20% - akcent 5 2 26" xfId="1806" xr:uid="{00000000-0005-0000-0000-0000F9060000}"/>
    <cellStyle name="20% - akcent 5 2 26 2" xfId="1807" xr:uid="{00000000-0005-0000-0000-0000FA060000}"/>
    <cellStyle name="20% - akcent 5 2 26 3" xfId="1808" xr:uid="{00000000-0005-0000-0000-0000FB060000}"/>
    <cellStyle name="20% - akcent 5 2 26 4" xfId="1809" xr:uid="{00000000-0005-0000-0000-0000FC060000}"/>
    <cellStyle name="20% - akcent 5 2 26 5" xfId="1810" xr:uid="{00000000-0005-0000-0000-0000FD060000}"/>
    <cellStyle name="20% - akcent 5 2 26 6" xfId="1811" xr:uid="{00000000-0005-0000-0000-0000FE060000}"/>
    <cellStyle name="20% - akcent 5 2 27" xfId="1812" xr:uid="{00000000-0005-0000-0000-0000FF060000}"/>
    <cellStyle name="20% - akcent 5 2 27 2" xfId="1813" xr:uid="{00000000-0005-0000-0000-000000070000}"/>
    <cellStyle name="20% - akcent 5 2 27 3" xfId="1814" xr:uid="{00000000-0005-0000-0000-000001070000}"/>
    <cellStyle name="20% - akcent 5 2 27 4" xfId="1815" xr:uid="{00000000-0005-0000-0000-000002070000}"/>
    <cellStyle name="20% - akcent 5 2 27 5" xfId="1816" xr:uid="{00000000-0005-0000-0000-000003070000}"/>
    <cellStyle name="20% - akcent 5 2 27 6" xfId="1817" xr:uid="{00000000-0005-0000-0000-000004070000}"/>
    <cellStyle name="20% - akcent 5 2 28" xfId="1818" xr:uid="{00000000-0005-0000-0000-000005070000}"/>
    <cellStyle name="20% - akcent 5 2 28 2" xfId="1819" xr:uid="{00000000-0005-0000-0000-000006070000}"/>
    <cellStyle name="20% - akcent 5 2 28 3" xfId="1820" xr:uid="{00000000-0005-0000-0000-000007070000}"/>
    <cellStyle name="20% - akcent 5 2 28 4" xfId="1821" xr:uid="{00000000-0005-0000-0000-000008070000}"/>
    <cellStyle name="20% - akcent 5 2 28 5" xfId="1822" xr:uid="{00000000-0005-0000-0000-000009070000}"/>
    <cellStyle name="20% - akcent 5 2 28 6" xfId="1823" xr:uid="{00000000-0005-0000-0000-00000A070000}"/>
    <cellStyle name="20% - akcent 5 2 29" xfId="1824" xr:uid="{00000000-0005-0000-0000-00000B070000}"/>
    <cellStyle name="20% - akcent 5 2 29 2" xfId="1825" xr:uid="{00000000-0005-0000-0000-00000C070000}"/>
    <cellStyle name="20% - akcent 5 2 3" xfId="1826" xr:uid="{00000000-0005-0000-0000-00000D070000}"/>
    <cellStyle name="20% - akcent 5 2 3 2" xfId="1827" xr:uid="{00000000-0005-0000-0000-00000E070000}"/>
    <cellStyle name="20% - akcent 5 2 3 3" xfId="1828" xr:uid="{00000000-0005-0000-0000-00000F070000}"/>
    <cellStyle name="20% - akcent 5 2 3 4" xfId="1829" xr:uid="{00000000-0005-0000-0000-000010070000}"/>
    <cellStyle name="20% - akcent 5 2 3 5" xfId="1830" xr:uid="{00000000-0005-0000-0000-000011070000}"/>
    <cellStyle name="20% - akcent 5 2 3 6" xfId="1831" xr:uid="{00000000-0005-0000-0000-000012070000}"/>
    <cellStyle name="20% - akcent 5 2 3 7" xfId="1832" xr:uid="{00000000-0005-0000-0000-000013070000}"/>
    <cellStyle name="20% - akcent 5 2 30" xfId="1833" xr:uid="{00000000-0005-0000-0000-000014070000}"/>
    <cellStyle name="20% - akcent 5 2 30 2" xfId="1834" xr:uid="{00000000-0005-0000-0000-000015070000}"/>
    <cellStyle name="20% - akcent 5 2 31" xfId="1835" xr:uid="{00000000-0005-0000-0000-000016070000}"/>
    <cellStyle name="20% - akcent 5 2 31 2" xfId="1836" xr:uid="{00000000-0005-0000-0000-000017070000}"/>
    <cellStyle name="20% - akcent 5 2 32" xfId="1837" xr:uid="{00000000-0005-0000-0000-000018070000}"/>
    <cellStyle name="20% - akcent 5 2 32 2" xfId="1838" xr:uid="{00000000-0005-0000-0000-000019070000}"/>
    <cellStyle name="20% - akcent 5 2 33" xfId="1839" xr:uid="{00000000-0005-0000-0000-00001A070000}"/>
    <cellStyle name="20% - akcent 5 2 34" xfId="1840" xr:uid="{00000000-0005-0000-0000-00001B070000}"/>
    <cellStyle name="20% - akcent 5 2 35" xfId="1841" xr:uid="{00000000-0005-0000-0000-00001C070000}"/>
    <cellStyle name="20% - akcent 5 2 36" xfId="1842" xr:uid="{00000000-0005-0000-0000-00001D070000}"/>
    <cellStyle name="20% - akcent 5 2 37" xfId="1843" xr:uid="{00000000-0005-0000-0000-00001E070000}"/>
    <cellStyle name="20% - akcent 5 2 38" xfId="1844" xr:uid="{00000000-0005-0000-0000-00001F070000}"/>
    <cellStyle name="20% - akcent 5 2 39" xfId="1845" xr:uid="{00000000-0005-0000-0000-000020070000}"/>
    <cellStyle name="20% - akcent 5 2 4" xfId="1846" xr:uid="{00000000-0005-0000-0000-000021070000}"/>
    <cellStyle name="20% - akcent 5 2 4 2" xfId="1847" xr:uid="{00000000-0005-0000-0000-000022070000}"/>
    <cellStyle name="20% - akcent 5 2 4 3" xfId="1848" xr:uid="{00000000-0005-0000-0000-000023070000}"/>
    <cellStyle name="20% - akcent 5 2 4 4" xfId="1849" xr:uid="{00000000-0005-0000-0000-000024070000}"/>
    <cellStyle name="20% - akcent 5 2 4 5" xfId="1850" xr:uid="{00000000-0005-0000-0000-000025070000}"/>
    <cellStyle name="20% - akcent 5 2 4 6" xfId="1851" xr:uid="{00000000-0005-0000-0000-000026070000}"/>
    <cellStyle name="20% - akcent 5 2 4 7" xfId="1852" xr:uid="{00000000-0005-0000-0000-000027070000}"/>
    <cellStyle name="20% - akcent 5 2 40" xfId="1853" xr:uid="{00000000-0005-0000-0000-000028070000}"/>
    <cellStyle name="20% - akcent 5 2 41" xfId="1854" xr:uid="{00000000-0005-0000-0000-000029070000}"/>
    <cellStyle name="20% - akcent 5 2 42" xfId="1855" xr:uid="{00000000-0005-0000-0000-00002A070000}"/>
    <cellStyle name="20% - akcent 5 2 43" xfId="1856" xr:uid="{00000000-0005-0000-0000-00002B070000}"/>
    <cellStyle name="20% - akcent 5 2 44" xfId="1857" xr:uid="{00000000-0005-0000-0000-00002C070000}"/>
    <cellStyle name="20% - akcent 5 2 45" xfId="1858" xr:uid="{00000000-0005-0000-0000-00002D070000}"/>
    <cellStyle name="20% - akcent 5 2 46" xfId="1859" xr:uid="{00000000-0005-0000-0000-00002E070000}"/>
    <cellStyle name="20% - akcent 5 2 47" xfId="1860" xr:uid="{00000000-0005-0000-0000-00002F070000}"/>
    <cellStyle name="20% - akcent 5 2 48" xfId="1861" xr:uid="{00000000-0005-0000-0000-000030070000}"/>
    <cellStyle name="20% - akcent 5 2 49" xfId="1862" xr:uid="{00000000-0005-0000-0000-000031070000}"/>
    <cellStyle name="20% - akcent 5 2 5" xfId="1863" xr:uid="{00000000-0005-0000-0000-000032070000}"/>
    <cellStyle name="20% - akcent 5 2 5 2" xfId="1864" xr:uid="{00000000-0005-0000-0000-000033070000}"/>
    <cellStyle name="20% - akcent 5 2 5 3" xfId="1865" xr:uid="{00000000-0005-0000-0000-000034070000}"/>
    <cellStyle name="20% - akcent 5 2 5 4" xfId="1866" xr:uid="{00000000-0005-0000-0000-000035070000}"/>
    <cellStyle name="20% - akcent 5 2 5 5" xfId="1867" xr:uid="{00000000-0005-0000-0000-000036070000}"/>
    <cellStyle name="20% - akcent 5 2 5 6" xfId="1868" xr:uid="{00000000-0005-0000-0000-000037070000}"/>
    <cellStyle name="20% - akcent 5 2 50" xfId="1869" xr:uid="{00000000-0005-0000-0000-000038070000}"/>
    <cellStyle name="20% - akcent 5 2 51" xfId="1870" xr:uid="{00000000-0005-0000-0000-000039070000}"/>
    <cellStyle name="20% - akcent 5 2 6" xfId="1871" xr:uid="{00000000-0005-0000-0000-00003A070000}"/>
    <cellStyle name="20% - akcent 5 2 6 2" xfId="1872" xr:uid="{00000000-0005-0000-0000-00003B070000}"/>
    <cellStyle name="20% - akcent 5 2 6 3" xfId="1873" xr:uid="{00000000-0005-0000-0000-00003C070000}"/>
    <cellStyle name="20% - akcent 5 2 6 4" xfId="1874" xr:uid="{00000000-0005-0000-0000-00003D070000}"/>
    <cellStyle name="20% - akcent 5 2 6 5" xfId="1875" xr:uid="{00000000-0005-0000-0000-00003E070000}"/>
    <cellStyle name="20% - akcent 5 2 6 6" xfId="1876" xr:uid="{00000000-0005-0000-0000-00003F070000}"/>
    <cellStyle name="20% - akcent 5 2 7" xfId="1877" xr:uid="{00000000-0005-0000-0000-000040070000}"/>
    <cellStyle name="20% - akcent 5 2 7 2" xfId="1878" xr:uid="{00000000-0005-0000-0000-000041070000}"/>
    <cellStyle name="20% - akcent 5 2 7 3" xfId="1879" xr:uid="{00000000-0005-0000-0000-000042070000}"/>
    <cellStyle name="20% - akcent 5 2 7 4" xfId="1880" xr:uid="{00000000-0005-0000-0000-000043070000}"/>
    <cellStyle name="20% - akcent 5 2 7 5" xfId="1881" xr:uid="{00000000-0005-0000-0000-000044070000}"/>
    <cellStyle name="20% - akcent 5 2 7 6" xfId="1882" xr:uid="{00000000-0005-0000-0000-000045070000}"/>
    <cellStyle name="20% - akcent 5 2 8" xfId="1883" xr:uid="{00000000-0005-0000-0000-000046070000}"/>
    <cellStyle name="20% - akcent 5 2 8 2" xfId="1884" xr:uid="{00000000-0005-0000-0000-000047070000}"/>
    <cellStyle name="20% - akcent 5 2 8 3" xfId="1885" xr:uid="{00000000-0005-0000-0000-000048070000}"/>
    <cellStyle name="20% - akcent 5 2 8 4" xfId="1886" xr:uid="{00000000-0005-0000-0000-000049070000}"/>
    <cellStyle name="20% - akcent 5 2 8 5" xfId="1887" xr:uid="{00000000-0005-0000-0000-00004A070000}"/>
    <cellStyle name="20% - akcent 5 2 8 6" xfId="1888" xr:uid="{00000000-0005-0000-0000-00004B070000}"/>
    <cellStyle name="20% - akcent 5 2 9" xfId="1889" xr:uid="{00000000-0005-0000-0000-00004C070000}"/>
    <cellStyle name="20% - akcent 5 2 9 2" xfId="1890" xr:uid="{00000000-0005-0000-0000-00004D070000}"/>
    <cellStyle name="20% - akcent 5 2 9 3" xfId="1891" xr:uid="{00000000-0005-0000-0000-00004E070000}"/>
    <cellStyle name="20% - akcent 5 2 9 4" xfId="1892" xr:uid="{00000000-0005-0000-0000-00004F070000}"/>
    <cellStyle name="20% - akcent 5 2 9 5" xfId="1893" xr:uid="{00000000-0005-0000-0000-000050070000}"/>
    <cellStyle name="20% - akcent 5 2 9 6" xfId="1894" xr:uid="{00000000-0005-0000-0000-000051070000}"/>
    <cellStyle name="20% - akcent 5 20" xfId="1895" xr:uid="{00000000-0005-0000-0000-000052070000}"/>
    <cellStyle name="20% - akcent 5 21" xfId="1896" xr:uid="{00000000-0005-0000-0000-000053070000}"/>
    <cellStyle name="20% - akcent 5 22" xfId="1897" xr:uid="{00000000-0005-0000-0000-000054070000}"/>
    <cellStyle name="20% - akcent 5 23" xfId="1898" xr:uid="{00000000-0005-0000-0000-000055070000}"/>
    <cellStyle name="20% - akcent 5 24" xfId="1899" xr:uid="{00000000-0005-0000-0000-000056070000}"/>
    <cellStyle name="20% - akcent 5 25" xfId="1900" xr:uid="{00000000-0005-0000-0000-000057070000}"/>
    <cellStyle name="20% - akcent 5 26" xfId="1901" xr:uid="{00000000-0005-0000-0000-000058070000}"/>
    <cellStyle name="20% - akcent 5 27" xfId="1902" xr:uid="{00000000-0005-0000-0000-000059070000}"/>
    <cellStyle name="20% - akcent 5 28" xfId="1903" xr:uid="{00000000-0005-0000-0000-00005A070000}"/>
    <cellStyle name="20% - akcent 5 29" xfId="1904" xr:uid="{00000000-0005-0000-0000-00005B070000}"/>
    <cellStyle name="20% - akcent 5 3" xfId="1905" xr:uid="{00000000-0005-0000-0000-00005C070000}"/>
    <cellStyle name="20% - akcent 5 3 2" xfId="1906" xr:uid="{00000000-0005-0000-0000-00005D070000}"/>
    <cellStyle name="20% - akcent 5 3 2 2" xfId="1907" xr:uid="{00000000-0005-0000-0000-00005E070000}"/>
    <cellStyle name="20% - akcent 5 3 3" xfId="1908" xr:uid="{00000000-0005-0000-0000-00005F070000}"/>
    <cellStyle name="20% - akcent 5 3 3 2" xfId="1909" xr:uid="{00000000-0005-0000-0000-000060070000}"/>
    <cellStyle name="20% - akcent 5 3 4" xfId="1910" xr:uid="{00000000-0005-0000-0000-000061070000}"/>
    <cellStyle name="20% - akcent 5 3 4 2" xfId="1911" xr:uid="{00000000-0005-0000-0000-000062070000}"/>
    <cellStyle name="20% - akcent 5 3 5" xfId="1912" xr:uid="{00000000-0005-0000-0000-000063070000}"/>
    <cellStyle name="20% - akcent 5 3 6" xfId="1913" xr:uid="{00000000-0005-0000-0000-000064070000}"/>
    <cellStyle name="20% - akcent 5 3 7" xfId="1914" xr:uid="{00000000-0005-0000-0000-000065070000}"/>
    <cellStyle name="20% - akcent 5 3 8" xfId="1915" xr:uid="{00000000-0005-0000-0000-000066070000}"/>
    <cellStyle name="20% - akcent 5 30" xfId="1916" xr:uid="{00000000-0005-0000-0000-000067070000}"/>
    <cellStyle name="20% - akcent 5 30 2" xfId="1917" xr:uid="{00000000-0005-0000-0000-000068070000}"/>
    <cellStyle name="20% - akcent 5 31" xfId="1918" xr:uid="{00000000-0005-0000-0000-000069070000}"/>
    <cellStyle name="20% - akcent 5 31 2" xfId="1919" xr:uid="{00000000-0005-0000-0000-00006A070000}"/>
    <cellStyle name="20% - akcent 5 32" xfId="1920" xr:uid="{00000000-0005-0000-0000-00006B070000}"/>
    <cellStyle name="20% - akcent 5 32 2" xfId="1921" xr:uid="{00000000-0005-0000-0000-00006C070000}"/>
    <cellStyle name="20% - akcent 5 33" xfId="1922" xr:uid="{00000000-0005-0000-0000-00006D070000}"/>
    <cellStyle name="20% - akcent 5 33 2" xfId="1923" xr:uid="{00000000-0005-0000-0000-00006E070000}"/>
    <cellStyle name="20% - akcent 5 34" xfId="1924" xr:uid="{00000000-0005-0000-0000-00006F070000}"/>
    <cellStyle name="20% - akcent 5 34 2" xfId="1925" xr:uid="{00000000-0005-0000-0000-000070070000}"/>
    <cellStyle name="20% - akcent 5 35" xfId="1926" xr:uid="{00000000-0005-0000-0000-000071070000}"/>
    <cellStyle name="20% - akcent 5 35 2" xfId="1927" xr:uid="{00000000-0005-0000-0000-000072070000}"/>
    <cellStyle name="20% - akcent 5 36" xfId="1928" xr:uid="{00000000-0005-0000-0000-000073070000}"/>
    <cellStyle name="20% - akcent 5 36 2" xfId="1929" xr:uid="{00000000-0005-0000-0000-000074070000}"/>
    <cellStyle name="20% - akcent 5 37" xfId="1930" xr:uid="{00000000-0005-0000-0000-000075070000}"/>
    <cellStyle name="20% - akcent 5 37 2" xfId="1931" xr:uid="{00000000-0005-0000-0000-000076070000}"/>
    <cellStyle name="20% - akcent 5 38" xfId="1932" xr:uid="{00000000-0005-0000-0000-000077070000}"/>
    <cellStyle name="20% - akcent 5 38 2" xfId="1933" xr:uid="{00000000-0005-0000-0000-000078070000}"/>
    <cellStyle name="20% - akcent 5 39" xfId="1934" xr:uid="{00000000-0005-0000-0000-000079070000}"/>
    <cellStyle name="20% - akcent 5 39 2" xfId="1935" xr:uid="{00000000-0005-0000-0000-00007A070000}"/>
    <cellStyle name="20% - akcent 5 4" xfId="1936" xr:uid="{00000000-0005-0000-0000-00007B070000}"/>
    <cellStyle name="20% - akcent 5 4 2" xfId="1937" xr:uid="{00000000-0005-0000-0000-00007C070000}"/>
    <cellStyle name="20% - akcent 5 4 2 2" xfId="1938" xr:uid="{00000000-0005-0000-0000-00007D070000}"/>
    <cellStyle name="20% - akcent 5 4 3" xfId="1939" xr:uid="{00000000-0005-0000-0000-00007E070000}"/>
    <cellStyle name="20% - akcent 5 4 3 2" xfId="1940" xr:uid="{00000000-0005-0000-0000-00007F070000}"/>
    <cellStyle name="20% - akcent 5 4 4" xfId="1941" xr:uid="{00000000-0005-0000-0000-000080070000}"/>
    <cellStyle name="20% - akcent 5 4 4 2" xfId="1942" xr:uid="{00000000-0005-0000-0000-000081070000}"/>
    <cellStyle name="20% - akcent 5 4 5" xfId="1943" xr:uid="{00000000-0005-0000-0000-000082070000}"/>
    <cellStyle name="20% - akcent 5 4 6" xfId="1944" xr:uid="{00000000-0005-0000-0000-000083070000}"/>
    <cellStyle name="20% - akcent 5 4 7" xfId="1945" xr:uid="{00000000-0005-0000-0000-000084070000}"/>
    <cellStyle name="20% - akcent 5 4 8" xfId="1946" xr:uid="{00000000-0005-0000-0000-000085070000}"/>
    <cellStyle name="20% - akcent 5 40" xfId="1947" xr:uid="{00000000-0005-0000-0000-000086070000}"/>
    <cellStyle name="20% - akcent 5 40 2" xfId="1948" xr:uid="{00000000-0005-0000-0000-000087070000}"/>
    <cellStyle name="20% - akcent 5 41" xfId="1949" xr:uid="{00000000-0005-0000-0000-000088070000}"/>
    <cellStyle name="20% - akcent 5 41 2" xfId="1950" xr:uid="{00000000-0005-0000-0000-000089070000}"/>
    <cellStyle name="20% - akcent 5 42" xfId="1951" xr:uid="{00000000-0005-0000-0000-00008A070000}"/>
    <cellStyle name="20% - akcent 5 42 2" xfId="1952" xr:uid="{00000000-0005-0000-0000-00008B070000}"/>
    <cellStyle name="20% - akcent 5 43" xfId="1953" xr:uid="{00000000-0005-0000-0000-00008C070000}"/>
    <cellStyle name="20% - akcent 5 43 2" xfId="1954" xr:uid="{00000000-0005-0000-0000-00008D070000}"/>
    <cellStyle name="20% - akcent 5 44" xfId="1955" xr:uid="{00000000-0005-0000-0000-00008E070000}"/>
    <cellStyle name="20% - akcent 5 44 2" xfId="1956" xr:uid="{00000000-0005-0000-0000-00008F070000}"/>
    <cellStyle name="20% - akcent 5 45" xfId="1957" xr:uid="{00000000-0005-0000-0000-000090070000}"/>
    <cellStyle name="20% - akcent 5 45 2" xfId="1958" xr:uid="{00000000-0005-0000-0000-000091070000}"/>
    <cellStyle name="20% - akcent 5 46" xfId="1959" xr:uid="{00000000-0005-0000-0000-000092070000}"/>
    <cellStyle name="20% - akcent 5 46 2" xfId="1960" xr:uid="{00000000-0005-0000-0000-000093070000}"/>
    <cellStyle name="20% - akcent 5 47" xfId="1961" xr:uid="{00000000-0005-0000-0000-000094070000}"/>
    <cellStyle name="20% - akcent 5 47 2" xfId="1962" xr:uid="{00000000-0005-0000-0000-000095070000}"/>
    <cellStyle name="20% - akcent 5 48" xfId="1963" xr:uid="{00000000-0005-0000-0000-000096070000}"/>
    <cellStyle name="20% - akcent 5 48 2" xfId="1964" xr:uid="{00000000-0005-0000-0000-000097070000}"/>
    <cellStyle name="20% - akcent 5 49" xfId="1965" xr:uid="{00000000-0005-0000-0000-000098070000}"/>
    <cellStyle name="20% - akcent 5 49 2" xfId="1966" xr:uid="{00000000-0005-0000-0000-000099070000}"/>
    <cellStyle name="20% - akcent 5 5" xfId="1967" xr:uid="{00000000-0005-0000-0000-00009A070000}"/>
    <cellStyle name="20% - akcent 5 5 2" xfId="1968" xr:uid="{00000000-0005-0000-0000-00009B070000}"/>
    <cellStyle name="20% - akcent 5 5 3" xfId="1969" xr:uid="{00000000-0005-0000-0000-00009C070000}"/>
    <cellStyle name="20% - akcent 5 50" xfId="1970" xr:uid="{00000000-0005-0000-0000-00009D070000}"/>
    <cellStyle name="20% - akcent 5 50 2" xfId="1971" xr:uid="{00000000-0005-0000-0000-00009E070000}"/>
    <cellStyle name="20% - akcent 5 51" xfId="1972" xr:uid="{00000000-0005-0000-0000-00009F070000}"/>
    <cellStyle name="20% - akcent 5 51 2" xfId="1973" xr:uid="{00000000-0005-0000-0000-0000A0070000}"/>
    <cellStyle name="20% - akcent 5 52" xfId="1974" xr:uid="{00000000-0005-0000-0000-0000A1070000}"/>
    <cellStyle name="20% - akcent 5 52 2" xfId="1975" xr:uid="{00000000-0005-0000-0000-0000A2070000}"/>
    <cellStyle name="20% - akcent 5 53" xfId="1976" xr:uid="{00000000-0005-0000-0000-0000A3070000}"/>
    <cellStyle name="20% - akcent 5 53 2" xfId="1977" xr:uid="{00000000-0005-0000-0000-0000A4070000}"/>
    <cellStyle name="20% - akcent 5 54" xfId="1978" xr:uid="{00000000-0005-0000-0000-0000A5070000}"/>
    <cellStyle name="20% - akcent 5 54 2" xfId="1979" xr:uid="{00000000-0005-0000-0000-0000A6070000}"/>
    <cellStyle name="20% - akcent 5 55" xfId="1980" xr:uid="{00000000-0005-0000-0000-0000A7070000}"/>
    <cellStyle name="20% - akcent 5 55 2" xfId="1981" xr:uid="{00000000-0005-0000-0000-0000A8070000}"/>
    <cellStyle name="20% - akcent 5 56" xfId="1982" xr:uid="{00000000-0005-0000-0000-0000A9070000}"/>
    <cellStyle name="20% - akcent 5 56 2" xfId="1983" xr:uid="{00000000-0005-0000-0000-0000AA070000}"/>
    <cellStyle name="20% - akcent 5 57" xfId="1984" xr:uid="{00000000-0005-0000-0000-0000AB070000}"/>
    <cellStyle name="20% - akcent 5 57 2" xfId="1985" xr:uid="{00000000-0005-0000-0000-0000AC070000}"/>
    <cellStyle name="20% - akcent 5 58" xfId="1986" xr:uid="{00000000-0005-0000-0000-0000AD070000}"/>
    <cellStyle name="20% - akcent 5 58 2" xfId="1987" xr:uid="{00000000-0005-0000-0000-0000AE070000}"/>
    <cellStyle name="20% - akcent 5 59" xfId="1988" xr:uid="{00000000-0005-0000-0000-0000AF070000}"/>
    <cellStyle name="20% - akcent 5 59 2" xfId="1989" xr:uid="{00000000-0005-0000-0000-0000B0070000}"/>
    <cellStyle name="20% - akcent 5 6" xfId="1990" xr:uid="{00000000-0005-0000-0000-0000B1070000}"/>
    <cellStyle name="20% - akcent 5 60" xfId="1991" xr:uid="{00000000-0005-0000-0000-0000B2070000}"/>
    <cellStyle name="20% - akcent 5 60 2" xfId="1992" xr:uid="{00000000-0005-0000-0000-0000B3070000}"/>
    <cellStyle name="20% - akcent 5 61" xfId="1993" xr:uid="{00000000-0005-0000-0000-0000B4070000}"/>
    <cellStyle name="20% - akcent 5 61 2" xfId="1994" xr:uid="{00000000-0005-0000-0000-0000B5070000}"/>
    <cellStyle name="20% - akcent 5 62" xfId="1995" xr:uid="{00000000-0005-0000-0000-0000B6070000}"/>
    <cellStyle name="20% - akcent 5 62 2" xfId="1996" xr:uid="{00000000-0005-0000-0000-0000B7070000}"/>
    <cellStyle name="20% - akcent 5 63" xfId="1997" xr:uid="{00000000-0005-0000-0000-0000B8070000}"/>
    <cellStyle name="20% - akcent 5 63 2" xfId="1998" xr:uid="{00000000-0005-0000-0000-0000B9070000}"/>
    <cellStyle name="20% - akcent 5 64" xfId="1999" xr:uid="{00000000-0005-0000-0000-0000BA070000}"/>
    <cellStyle name="20% - akcent 5 64 2" xfId="2000" xr:uid="{00000000-0005-0000-0000-0000BB070000}"/>
    <cellStyle name="20% - akcent 5 65" xfId="2001" xr:uid="{00000000-0005-0000-0000-0000BC070000}"/>
    <cellStyle name="20% - akcent 5 65 2" xfId="2002" xr:uid="{00000000-0005-0000-0000-0000BD070000}"/>
    <cellStyle name="20% - akcent 5 66" xfId="2003" xr:uid="{00000000-0005-0000-0000-0000BE070000}"/>
    <cellStyle name="20% - akcent 5 66 2" xfId="2004" xr:uid="{00000000-0005-0000-0000-0000BF070000}"/>
    <cellStyle name="20% - akcent 5 67" xfId="2005" xr:uid="{00000000-0005-0000-0000-0000C0070000}"/>
    <cellStyle name="20% - akcent 5 67 2" xfId="2006" xr:uid="{00000000-0005-0000-0000-0000C1070000}"/>
    <cellStyle name="20% - akcent 5 68" xfId="2007" xr:uid="{00000000-0005-0000-0000-0000C2070000}"/>
    <cellStyle name="20% - akcent 5 68 2" xfId="2008" xr:uid="{00000000-0005-0000-0000-0000C3070000}"/>
    <cellStyle name="20% - akcent 5 69" xfId="2009" xr:uid="{00000000-0005-0000-0000-0000C4070000}"/>
    <cellStyle name="20% - akcent 5 69 2" xfId="2010" xr:uid="{00000000-0005-0000-0000-0000C5070000}"/>
    <cellStyle name="20% - akcent 5 7" xfId="2011" xr:uid="{00000000-0005-0000-0000-0000C6070000}"/>
    <cellStyle name="20% - akcent 5 70" xfId="2012" xr:uid="{00000000-0005-0000-0000-0000C7070000}"/>
    <cellStyle name="20% - akcent 5 70 2" xfId="2013" xr:uid="{00000000-0005-0000-0000-0000C8070000}"/>
    <cellStyle name="20% - akcent 5 71" xfId="2014" xr:uid="{00000000-0005-0000-0000-0000C9070000}"/>
    <cellStyle name="20% - akcent 5 71 2" xfId="2015" xr:uid="{00000000-0005-0000-0000-0000CA070000}"/>
    <cellStyle name="20% - akcent 5 72" xfId="2016" xr:uid="{00000000-0005-0000-0000-0000CB070000}"/>
    <cellStyle name="20% - akcent 5 72 2" xfId="2017" xr:uid="{00000000-0005-0000-0000-0000CC070000}"/>
    <cellStyle name="20% - akcent 5 73" xfId="2018" xr:uid="{00000000-0005-0000-0000-0000CD070000}"/>
    <cellStyle name="20% - akcent 5 73 2" xfId="2019" xr:uid="{00000000-0005-0000-0000-0000CE070000}"/>
    <cellStyle name="20% - akcent 5 74" xfId="2020" xr:uid="{00000000-0005-0000-0000-0000CF070000}"/>
    <cellStyle name="20% - akcent 5 74 2" xfId="2021" xr:uid="{00000000-0005-0000-0000-0000D0070000}"/>
    <cellStyle name="20% - akcent 5 75" xfId="2022" xr:uid="{00000000-0005-0000-0000-0000D1070000}"/>
    <cellStyle name="20% - akcent 5 75 2" xfId="2023" xr:uid="{00000000-0005-0000-0000-0000D2070000}"/>
    <cellStyle name="20% - akcent 5 76" xfId="2024" xr:uid="{00000000-0005-0000-0000-0000D3070000}"/>
    <cellStyle name="20% - akcent 5 76 2" xfId="2025" xr:uid="{00000000-0005-0000-0000-0000D4070000}"/>
    <cellStyle name="20% - akcent 5 77" xfId="2026" xr:uid="{00000000-0005-0000-0000-0000D5070000}"/>
    <cellStyle name="20% - akcent 5 77 2" xfId="2027" xr:uid="{00000000-0005-0000-0000-0000D6070000}"/>
    <cellStyle name="20% - akcent 5 78" xfId="2028" xr:uid="{00000000-0005-0000-0000-0000D7070000}"/>
    <cellStyle name="20% - akcent 5 78 2" xfId="2029" xr:uid="{00000000-0005-0000-0000-0000D8070000}"/>
    <cellStyle name="20% - akcent 5 79" xfId="2030" xr:uid="{00000000-0005-0000-0000-0000D9070000}"/>
    <cellStyle name="20% - akcent 5 79 2" xfId="2031" xr:uid="{00000000-0005-0000-0000-0000DA070000}"/>
    <cellStyle name="20% - akcent 5 8" xfId="2032" xr:uid="{00000000-0005-0000-0000-0000DB070000}"/>
    <cellStyle name="20% - akcent 5 80" xfId="2033" xr:uid="{00000000-0005-0000-0000-0000DC070000}"/>
    <cellStyle name="20% - akcent 5 80 2" xfId="2034" xr:uid="{00000000-0005-0000-0000-0000DD070000}"/>
    <cellStyle name="20% - akcent 5 81" xfId="2035" xr:uid="{00000000-0005-0000-0000-0000DE070000}"/>
    <cellStyle name="20% - akcent 5 81 2" xfId="2036" xr:uid="{00000000-0005-0000-0000-0000DF070000}"/>
    <cellStyle name="20% - akcent 5 82" xfId="2037" xr:uid="{00000000-0005-0000-0000-0000E0070000}"/>
    <cellStyle name="20% - akcent 5 82 2" xfId="2038" xr:uid="{00000000-0005-0000-0000-0000E1070000}"/>
    <cellStyle name="20% - akcent 5 83" xfId="2039" xr:uid="{00000000-0005-0000-0000-0000E2070000}"/>
    <cellStyle name="20% - akcent 5 83 2" xfId="2040" xr:uid="{00000000-0005-0000-0000-0000E3070000}"/>
    <cellStyle name="20% - akcent 5 84" xfId="2041" xr:uid="{00000000-0005-0000-0000-0000E4070000}"/>
    <cellStyle name="20% - akcent 5 84 2" xfId="2042" xr:uid="{00000000-0005-0000-0000-0000E5070000}"/>
    <cellStyle name="20% - akcent 5 85" xfId="2043" xr:uid="{00000000-0005-0000-0000-0000E6070000}"/>
    <cellStyle name="20% - akcent 5 85 2" xfId="2044" xr:uid="{00000000-0005-0000-0000-0000E7070000}"/>
    <cellStyle name="20% - akcent 5 86" xfId="2045" xr:uid="{00000000-0005-0000-0000-0000E8070000}"/>
    <cellStyle name="20% - akcent 5 86 2" xfId="2046" xr:uid="{00000000-0005-0000-0000-0000E9070000}"/>
    <cellStyle name="20% - akcent 5 87" xfId="2047" xr:uid="{00000000-0005-0000-0000-0000EA070000}"/>
    <cellStyle name="20% - akcent 5 87 2" xfId="2048" xr:uid="{00000000-0005-0000-0000-0000EB070000}"/>
    <cellStyle name="20% - akcent 5 88" xfId="2049" xr:uid="{00000000-0005-0000-0000-0000EC070000}"/>
    <cellStyle name="20% - akcent 5 88 2" xfId="2050" xr:uid="{00000000-0005-0000-0000-0000ED070000}"/>
    <cellStyle name="20% - akcent 5 89" xfId="2051" xr:uid="{00000000-0005-0000-0000-0000EE070000}"/>
    <cellStyle name="20% - akcent 5 89 2" xfId="2052" xr:uid="{00000000-0005-0000-0000-0000EF070000}"/>
    <cellStyle name="20% - akcent 5 9" xfId="2053" xr:uid="{00000000-0005-0000-0000-0000F0070000}"/>
    <cellStyle name="20% - akcent 5 90" xfId="2054" xr:uid="{00000000-0005-0000-0000-0000F1070000}"/>
    <cellStyle name="20% - akcent 5 90 2" xfId="2055" xr:uid="{00000000-0005-0000-0000-0000F2070000}"/>
    <cellStyle name="20% - akcent 5 91" xfId="2056" xr:uid="{00000000-0005-0000-0000-0000F3070000}"/>
    <cellStyle name="20% - akcent 5 91 2" xfId="2057" xr:uid="{00000000-0005-0000-0000-0000F4070000}"/>
    <cellStyle name="20% - akcent 5 92" xfId="2058" xr:uid="{00000000-0005-0000-0000-0000F5070000}"/>
    <cellStyle name="20% - akcent 5 92 2" xfId="2059" xr:uid="{00000000-0005-0000-0000-0000F6070000}"/>
    <cellStyle name="20% - akcent 5 93" xfId="2060" xr:uid="{00000000-0005-0000-0000-0000F7070000}"/>
    <cellStyle name="20% - akcent 5 93 2" xfId="2061" xr:uid="{00000000-0005-0000-0000-0000F8070000}"/>
    <cellStyle name="20% - akcent 5 94" xfId="2062" xr:uid="{00000000-0005-0000-0000-0000F9070000}"/>
    <cellStyle name="20% - akcent 5 94 2" xfId="2063" xr:uid="{00000000-0005-0000-0000-0000FA070000}"/>
    <cellStyle name="20% - akcent 5 95" xfId="2064" xr:uid="{00000000-0005-0000-0000-0000FB070000}"/>
    <cellStyle name="20% - akcent 5 95 2" xfId="2065" xr:uid="{00000000-0005-0000-0000-0000FC070000}"/>
    <cellStyle name="20% - akcent 5 96" xfId="2066" xr:uid="{00000000-0005-0000-0000-0000FD070000}"/>
    <cellStyle name="20% - akcent 5 96 2" xfId="2067" xr:uid="{00000000-0005-0000-0000-0000FE070000}"/>
    <cellStyle name="20% - akcent 5 97" xfId="2068" xr:uid="{00000000-0005-0000-0000-0000FF070000}"/>
    <cellStyle name="20% - akcent 5 97 2" xfId="2069" xr:uid="{00000000-0005-0000-0000-000000080000}"/>
    <cellStyle name="20% - akcent 5 98" xfId="2070" xr:uid="{00000000-0005-0000-0000-000001080000}"/>
    <cellStyle name="20% - akcent 5 98 2" xfId="2071" xr:uid="{00000000-0005-0000-0000-000002080000}"/>
    <cellStyle name="20% - akcent 5 99" xfId="2072" xr:uid="{00000000-0005-0000-0000-000003080000}"/>
    <cellStyle name="20% - akcent 5 99 2" xfId="2073" xr:uid="{00000000-0005-0000-0000-000004080000}"/>
    <cellStyle name="20% - akcent 6 10" xfId="2074" xr:uid="{00000000-0005-0000-0000-000005080000}"/>
    <cellStyle name="20% - akcent 6 100" xfId="2075" xr:uid="{00000000-0005-0000-0000-000006080000}"/>
    <cellStyle name="20% - akcent 6 100 2" xfId="2076" xr:uid="{00000000-0005-0000-0000-000007080000}"/>
    <cellStyle name="20% - akcent 6 101" xfId="2077" xr:uid="{00000000-0005-0000-0000-000008080000}"/>
    <cellStyle name="20% - akcent 6 101 2" xfId="2078" xr:uid="{00000000-0005-0000-0000-000009080000}"/>
    <cellStyle name="20% - akcent 6 102" xfId="2079" xr:uid="{00000000-0005-0000-0000-00000A080000}"/>
    <cellStyle name="20% - akcent 6 102 2" xfId="2080" xr:uid="{00000000-0005-0000-0000-00000B080000}"/>
    <cellStyle name="20% - akcent 6 103" xfId="2081" xr:uid="{00000000-0005-0000-0000-00000C080000}"/>
    <cellStyle name="20% - akcent 6 103 2" xfId="2082" xr:uid="{00000000-0005-0000-0000-00000D080000}"/>
    <cellStyle name="20% - akcent 6 104" xfId="2083" xr:uid="{00000000-0005-0000-0000-00000E080000}"/>
    <cellStyle name="20% - akcent 6 104 2" xfId="2084" xr:uid="{00000000-0005-0000-0000-00000F080000}"/>
    <cellStyle name="20% - akcent 6 105" xfId="2085" xr:uid="{00000000-0005-0000-0000-000010080000}"/>
    <cellStyle name="20% - akcent 6 105 2" xfId="2086" xr:uid="{00000000-0005-0000-0000-000011080000}"/>
    <cellStyle name="20% - akcent 6 106" xfId="2087" xr:uid="{00000000-0005-0000-0000-000012080000}"/>
    <cellStyle name="20% - akcent 6 106 2" xfId="2088" xr:uid="{00000000-0005-0000-0000-000013080000}"/>
    <cellStyle name="20% - akcent 6 107" xfId="2089" xr:uid="{00000000-0005-0000-0000-000014080000}"/>
    <cellStyle name="20% - akcent 6 107 2" xfId="2090" xr:uid="{00000000-0005-0000-0000-000015080000}"/>
    <cellStyle name="20% - akcent 6 108" xfId="2091" xr:uid="{00000000-0005-0000-0000-000016080000}"/>
    <cellStyle name="20% - akcent 6 108 2" xfId="2092" xr:uid="{00000000-0005-0000-0000-000017080000}"/>
    <cellStyle name="20% - akcent 6 109" xfId="2093" xr:uid="{00000000-0005-0000-0000-000018080000}"/>
    <cellStyle name="20% - akcent 6 109 2" xfId="2094" xr:uid="{00000000-0005-0000-0000-000019080000}"/>
    <cellStyle name="20% - akcent 6 11" xfId="2095" xr:uid="{00000000-0005-0000-0000-00001A080000}"/>
    <cellStyle name="20% - akcent 6 110" xfId="2096" xr:uid="{00000000-0005-0000-0000-00001B080000}"/>
    <cellStyle name="20% - akcent 6 110 2" xfId="2097" xr:uid="{00000000-0005-0000-0000-00001C080000}"/>
    <cellStyle name="20% - akcent 6 111" xfId="2098" xr:uid="{00000000-0005-0000-0000-00001D080000}"/>
    <cellStyle name="20% - akcent 6 111 2" xfId="2099" xr:uid="{00000000-0005-0000-0000-00001E080000}"/>
    <cellStyle name="20% - akcent 6 112" xfId="2100" xr:uid="{00000000-0005-0000-0000-00001F080000}"/>
    <cellStyle name="20% - akcent 6 112 2" xfId="2101" xr:uid="{00000000-0005-0000-0000-000020080000}"/>
    <cellStyle name="20% - akcent 6 113" xfId="2102" xr:uid="{00000000-0005-0000-0000-000021080000}"/>
    <cellStyle name="20% - akcent 6 113 2" xfId="2103" xr:uid="{00000000-0005-0000-0000-000022080000}"/>
    <cellStyle name="20% - akcent 6 114" xfId="2104" xr:uid="{00000000-0005-0000-0000-000023080000}"/>
    <cellStyle name="20% - akcent 6 114 2" xfId="2105" xr:uid="{00000000-0005-0000-0000-000024080000}"/>
    <cellStyle name="20% - akcent 6 115" xfId="2106" xr:uid="{00000000-0005-0000-0000-000025080000}"/>
    <cellStyle name="20% - akcent 6 115 2" xfId="2107" xr:uid="{00000000-0005-0000-0000-000026080000}"/>
    <cellStyle name="20% - akcent 6 116" xfId="2108" xr:uid="{00000000-0005-0000-0000-000027080000}"/>
    <cellStyle name="20% - akcent 6 116 2" xfId="2109" xr:uid="{00000000-0005-0000-0000-000028080000}"/>
    <cellStyle name="20% - akcent 6 117" xfId="2110" xr:uid="{00000000-0005-0000-0000-000029080000}"/>
    <cellStyle name="20% - akcent 6 117 2" xfId="2111" xr:uid="{00000000-0005-0000-0000-00002A080000}"/>
    <cellStyle name="20% - akcent 6 118" xfId="2112" xr:uid="{00000000-0005-0000-0000-00002B080000}"/>
    <cellStyle name="20% - akcent 6 118 2" xfId="2113" xr:uid="{00000000-0005-0000-0000-00002C080000}"/>
    <cellStyle name="20% - akcent 6 119" xfId="2114" xr:uid="{00000000-0005-0000-0000-00002D080000}"/>
    <cellStyle name="20% - akcent 6 119 2" xfId="2115" xr:uid="{00000000-0005-0000-0000-00002E080000}"/>
    <cellStyle name="20% - akcent 6 12" xfId="2116" xr:uid="{00000000-0005-0000-0000-00002F080000}"/>
    <cellStyle name="20% - akcent 6 120" xfId="2117" xr:uid="{00000000-0005-0000-0000-000030080000}"/>
    <cellStyle name="20% - akcent 6 121" xfId="2118" xr:uid="{00000000-0005-0000-0000-000031080000}"/>
    <cellStyle name="20% - akcent 6 13" xfId="2119" xr:uid="{00000000-0005-0000-0000-000032080000}"/>
    <cellStyle name="20% - akcent 6 14" xfId="2120" xr:uid="{00000000-0005-0000-0000-000033080000}"/>
    <cellStyle name="20% - akcent 6 15" xfId="2121" xr:uid="{00000000-0005-0000-0000-000034080000}"/>
    <cellStyle name="20% - akcent 6 16" xfId="2122" xr:uid="{00000000-0005-0000-0000-000035080000}"/>
    <cellStyle name="20% - akcent 6 17" xfId="2123" xr:uid="{00000000-0005-0000-0000-000036080000}"/>
    <cellStyle name="20% - akcent 6 18" xfId="2124" xr:uid="{00000000-0005-0000-0000-000037080000}"/>
    <cellStyle name="20% - akcent 6 19" xfId="2125" xr:uid="{00000000-0005-0000-0000-000038080000}"/>
    <cellStyle name="20% - akcent 6 2" xfId="2126" xr:uid="{00000000-0005-0000-0000-000039080000}"/>
    <cellStyle name="20% - akcent 6 2 10" xfId="2127" xr:uid="{00000000-0005-0000-0000-00003A080000}"/>
    <cellStyle name="20% - akcent 6 2 10 2" xfId="2128" xr:uid="{00000000-0005-0000-0000-00003B080000}"/>
    <cellStyle name="20% - akcent 6 2 10 3" xfId="2129" xr:uid="{00000000-0005-0000-0000-00003C080000}"/>
    <cellStyle name="20% - akcent 6 2 10 4" xfId="2130" xr:uid="{00000000-0005-0000-0000-00003D080000}"/>
    <cellStyle name="20% - akcent 6 2 10 5" xfId="2131" xr:uid="{00000000-0005-0000-0000-00003E080000}"/>
    <cellStyle name="20% - akcent 6 2 10 6" xfId="2132" xr:uid="{00000000-0005-0000-0000-00003F080000}"/>
    <cellStyle name="20% - akcent 6 2 11" xfId="2133" xr:uid="{00000000-0005-0000-0000-000040080000}"/>
    <cellStyle name="20% - akcent 6 2 11 2" xfId="2134" xr:uid="{00000000-0005-0000-0000-000041080000}"/>
    <cellStyle name="20% - akcent 6 2 11 3" xfId="2135" xr:uid="{00000000-0005-0000-0000-000042080000}"/>
    <cellStyle name="20% - akcent 6 2 11 4" xfId="2136" xr:uid="{00000000-0005-0000-0000-000043080000}"/>
    <cellStyle name="20% - akcent 6 2 11 5" xfId="2137" xr:uid="{00000000-0005-0000-0000-000044080000}"/>
    <cellStyle name="20% - akcent 6 2 11 6" xfId="2138" xr:uid="{00000000-0005-0000-0000-000045080000}"/>
    <cellStyle name="20% - akcent 6 2 12" xfId="2139" xr:uid="{00000000-0005-0000-0000-000046080000}"/>
    <cellStyle name="20% - akcent 6 2 12 2" xfId="2140" xr:uid="{00000000-0005-0000-0000-000047080000}"/>
    <cellStyle name="20% - akcent 6 2 12 3" xfId="2141" xr:uid="{00000000-0005-0000-0000-000048080000}"/>
    <cellStyle name="20% - akcent 6 2 12 4" xfId="2142" xr:uid="{00000000-0005-0000-0000-000049080000}"/>
    <cellStyle name="20% - akcent 6 2 12 5" xfId="2143" xr:uid="{00000000-0005-0000-0000-00004A080000}"/>
    <cellStyle name="20% - akcent 6 2 12 6" xfId="2144" xr:uid="{00000000-0005-0000-0000-00004B080000}"/>
    <cellStyle name="20% - akcent 6 2 13" xfId="2145" xr:uid="{00000000-0005-0000-0000-00004C080000}"/>
    <cellStyle name="20% - akcent 6 2 13 2" xfId="2146" xr:uid="{00000000-0005-0000-0000-00004D080000}"/>
    <cellStyle name="20% - akcent 6 2 13 3" xfId="2147" xr:uid="{00000000-0005-0000-0000-00004E080000}"/>
    <cellStyle name="20% - akcent 6 2 13 4" xfId="2148" xr:uid="{00000000-0005-0000-0000-00004F080000}"/>
    <cellStyle name="20% - akcent 6 2 13 5" xfId="2149" xr:uid="{00000000-0005-0000-0000-000050080000}"/>
    <cellStyle name="20% - akcent 6 2 13 6" xfId="2150" xr:uid="{00000000-0005-0000-0000-000051080000}"/>
    <cellStyle name="20% - akcent 6 2 14" xfId="2151" xr:uid="{00000000-0005-0000-0000-000052080000}"/>
    <cellStyle name="20% - akcent 6 2 14 2" xfId="2152" xr:uid="{00000000-0005-0000-0000-000053080000}"/>
    <cellStyle name="20% - akcent 6 2 14 3" xfId="2153" xr:uid="{00000000-0005-0000-0000-000054080000}"/>
    <cellStyle name="20% - akcent 6 2 14 4" xfId="2154" xr:uid="{00000000-0005-0000-0000-000055080000}"/>
    <cellStyle name="20% - akcent 6 2 14 5" xfId="2155" xr:uid="{00000000-0005-0000-0000-000056080000}"/>
    <cellStyle name="20% - akcent 6 2 14 6" xfId="2156" xr:uid="{00000000-0005-0000-0000-000057080000}"/>
    <cellStyle name="20% - akcent 6 2 15" xfId="2157" xr:uid="{00000000-0005-0000-0000-000058080000}"/>
    <cellStyle name="20% - akcent 6 2 15 2" xfId="2158" xr:uid="{00000000-0005-0000-0000-000059080000}"/>
    <cellStyle name="20% - akcent 6 2 15 3" xfId="2159" xr:uid="{00000000-0005-0000-0000-00005A080000}"/>
    <cellStyle name="20% - akcent 6 2 15 4" xfId="2160" xr:uid="{00000000-0005-0000-0000-00005B080000}"/>
    <cellStyle name="20% - akcent 6 2 15 5" xfId="2161" xr:uid="{00000000-0005-0000-0000-00005C080000}"/>
    <cellStyle name="20% - akcent 6 2 15 6" xfId="2162" xr:uid="{00000000-0005-0000-0000-00005D080000}"/>
    <cellStyle name="20% - akcent 6 2 16" xfId="2163" xr:uid="{00000000-0005-0000-0000-00005E080000}"/>
    <cellStyle name="20% - akcent 6 2 16 2" xfId="2164" xr:uid="{00000000-0005-0000-0000-00005F080000}"/>
    <cellStyle name="20% - akcent 6 2 16 3" xfId="2165" xr:uid="{00000000-0005-0000-0000-000060080000}"/>
    <cellStyle name="20% - akcent 6 2 16 4" xfId="2166" xr:uid="{00000000-0005-0000-0000-000061080000}"/>
    <cellStyle name="20% - akcent 6 2 16 5" xfId="2167" xr:uid="{00000000-0005-0000-0000-000062080000}"/>
    <cellStyle name="20% - akcent 6 2 16 6" xfId="2168" xr:uid="{00000000-0005-0000-0000-000063080000}"/>
    <cellStyle name="20% - akcent 6 2 17" xfId="2169" xr:uid="{00000000-0005-0000-0000-000064080000}"/>
    <cellStyle name="20% - akcent 6 2 17 2" xfId="2170" xr:uid="{00000000-0005-0000-0000-000065080000}"/>
    <cellStyle name="20% - akcent 6 2 17 3" xfId="2171" xr:uid="{00000000-0005-0000-0000-000066080000}"/>
    <cellStyle name="20% - akcent 6 2 17 4" xfId="2172" xr:uid="{00000000-0005-0000-0000-000067080000}"/>
    <cellStyle name="20% - akcent 6 2 17 5" xfId="2173" xr:uid="{00000000-0005-0000-0000-000068080000}"/>
    <cellStyle name="20% - akcent 6 2 17 6" xfId="2174" xr:uid="{00000000-0005-0000-0000-000069080000}"/>
    <cellStyle name="20% - akcent 6 2 18" xfId="2175" xr:uid="{00000000-0005-0000-0000-00006A080000}"/>
    <cellStyle name="20% - akcent 6 2 18 2" xfId="2176" xr:uid="{00000000-0005-0000-0000-00006B080000}"/>
    <cellStyle name="20% - akcent 6 2 18 3" xfId="2177" xr:uid="{00000000-0005-0000-0000-00006C080000}"/>
    <cellStyle name="20% - akcent 6 2 18 4" xfId="2178" xr:uid="{00000000-0005-0000-0000-00006D080000}"/>
    <cellStyle name="20% - akcent 6 2 18 5" xfId="2179" xr:uid="{00000000-0005-0000-0000-00006E080000}"/>
    <cellStyle name="20% - akcent 6 2 18 6" xfId="2180" xr:uid="{00000000-0005-0000-0000-00006F080000}"/>
    <cellStyle name="20% - akcent 6 2 19" xfId="2181" xr:uid="{00000000-0005-0000-0000-000070080000}"/>
    <cellStyle name="20% - akcent 6 2 19 2" xfId="2182" xr:uid="{00000000-0005-0000-0000-000071080000}"/>
    <cellStyle name="20% - akcent 6 2 19 3" xfId="2183" xr:uid="{00000000-0005-0000-0000-000072080000}"/>
    <cellStyle name="20% - akcent 6 2 19 4" xfId="2184" xr:uid="{00000000-0005-0000-0000-000073080000}"/>
    <cellStyle name="20% - akcent 6 2 19 5" xfId="2185" xr:uid="{00000000-0005-0000-0000-000074080000}"/>
    <cellStyle name="20% - akcent 6 2 19 6" xfId="2186" xr:uid="{00000000-0005-0000-0000-000075080000}"/>
    <cellStyle name="20% - akcent 6 2 2" xfId="2187" xr:uid="{00000000-0005-0000-0000-000076080000}"/>
    <cellStyle name="20% - akcent 6 2 2 2" xfId="2188" xr:uid="{00000000-0005-0000-0000-000077080000}"/>
    <cellStyle name="20% - akcent 6 2 2 3" xfId="2189" xr:uid="{00000000-0005-0000-0000-000078080000}"/>
    <cellStyle name="20% - akcent 6 2 2 4" xfId="2190" xr:uid="{00000000-0005-0000-0000-000079080000}"/>
    <cellStyle name="20% - akcent 6 2 2 5" xfId="2191" xr:uid="{00000000-0005-0000-0000-00007A080000}"/>
    <cellStyle name="20% - akcent 6 2 2 6" xfId="2192" xr:uid="{00000000-0005-0000-0000-00007B080000}"/>
    <cellStyle name="20% - akcent 6 2 2 7" xfId="2193" xr:uid="{00000000-0005-0000-0000-00007C080000}"/>
    <cellStyle name="20% - akcent 6 2 20" xfId="2194" xr:uid="{00000000-0005-0000-0000-00007D080000}"/>
    <cellStyle name="20% - akcent 6 2 20 2" xfId="2195" xr:uid="{00000000-0005-0000-0000-00007E080000}"/>
    <cellStyle name="20% - akcent 6 2 20 3" xfId="2196" xr:uid="{00000000-0005-0000-0000-00007F080000}"/>
    <cellStyle name="20% - akcent 6 2 20 4" xfId="2197" xr:uid="{00000000-0005-0000-0000-000080080000}"/>
    <cellStyle name="20% - akcent 6 2 20 5" xfId="2198" xr:uid="{00000000-0005-0000-0000-000081080000}"/>
    <cellStyle name="20% - akcent 6 2 20 6" xfId="2199" xr:uid="{00000000-0005-0000-0000-000082080000}"/>
    <cellStyle name="20% - akcent 6 2 21" xfId="2200" xr:uid="{00000000-0005-0000-0000-000083080000}"/>
    <cellStyle name="20% - akcent 6 2 21 2" xfId="2201" xr:uid="{00000000-0005-0000-0000-000084080000}"/>
    <cellStyle name="20% - akcent 6 2 21 3" xfId="2202" xr:uid="{00000000-0005-0000-0000-000085080000}"/>
    <cellStyle name="20% - akcent 6 2 21 4" xfId="2203" xr:uid="{00000000-0005-0000-0000-000086080000}"/>
    <cellStyle name="20% - akcent 6 2 21 5" xfId="2204" xr:uid="{00000000-0005-0000-0000-000087080000}"/>
    <cellStyle name="20% - akcent 6 2 21 6" xfId="2205" xr:uid="{00000000-0005-0000-0000-000088080000}"/>
    <cellStyle name="20% - akcent 6 2 22" xfId="2206" xr:uid="{00000000-0005-0000-0000-000089080000}"/>
    <cellStyle name="20% - akcent 6 2 22 2" xfId="2207" xr:uid="{00000000-0005-0000-0000-00008A080000}"/>
    <cellStyle name="20% - akcent 6 2 22 3" xfId="2208" xr:uid="{00000000-0005-0000-0000-00008B080000}"/>
    <cellStyle name="20% - akcent 6 2 22 4" xfId="2209" xr:uid="{00000000-0005-0000-0000-00008C080000}"/>
    <cellStyle name="20% - akcent 6 2 22 5" xfId="2210" xr:uid="{00000000-0005-0000-0000-00008D080000}"/>
    <cellStyle name="20% - akcent 6 2 22 6" xfId="2211" xr:uid="{00000000-0005-0000-0000-00008E080000}"/>
    <cellStyle name="20% - akcent 6 2 23" xfId="2212" xr:uid="{00000000-0005-0000-0000-00008F080000}"/>
    <cellStyle name="20% - akcent 6 2 23 2" xfId="2213" xr:uid="{00000000-0005-0000-0000-000090080000}"/>
    <cellStyle name="20% - akcent 6 2 23 3" xfId="2214" xr:uid="{00000000-0005-0000-0000-000091080000}"/>
    <cellStyle name="20% - akcent 6 2 23 4" xfId="2215" xr:uid="{00000000-0005-0000-0000-000092080000}"/>
    <cellStyle name="20% - akcent 6 2 23 5" xfId="2216" xr:uid="{00000000-0005-0000-0000-000093080000}"/>
    <cellStyle name="20% - akcent 6 2 23 6" xfId="2217" xr:uid="{00000000-0005-0000-0000-000094080000}"/>
    <cellStyle name="20% - akcent 6 2 24" xfId="2218" xr:uid="{00000000-0005-0000-0000-000095080000}"/>
    <cellStyle name="20% - akcent 6 2 24 2" xfId="2219" xr:uid="{00000000-0005-0000-0000-000096080000}"/>
    <cellStyle name="20% - akcent 6 2 24 3" xfId="2220" xr:uid="{00000000-0005-0000-0000-000097080000}"/>
    <cellStyle name="20% - akcent 6 2 24 4" xfId="2221" xr:uid="{00000000-0005-0000-0000-000098080000}"/>
    <cellStyle name="20% - akcent 6 2 24 5" xfId="2222" xr:uid="{00000000-0005-0000-0000-000099080000}"/>
    <cellStyle name="20% - akcent 6 2 24 6" xfId="2223" xr:uid="{00000000-0005-0000-0000-00009A080000}"/>
    <cellStyle name="20% - akcent 6 2 25" xfId="2224" xr:uid="{00000000-0005-0000-0000-00009B080000}"/>
    <cellStyle name="20% - akcent 6 2 25 2" xfId="2225" xr:uid="{00000000-0005-0000-0000-00009C080000}"/>
    <cellStyle name="20% - akcent 6 2 25 3" xfId="2226" xr:uid="{00000000-0005-0000-0000-00009D080000}"/>
    <cellStyle name="20% - akcent 6 2 25 4" xfId="2227" xr:uid="{00000000-0005-0000-0000-00009E080000}"/>
    <cellStyle name="20% - akcent 6 2 25 5" xfId="2228" xr:uid="{00000000-0005-0000-0000-00009F080000}"/>
    <cellStyle name="20% - akcent 6 2 25 6" xfId="2229" xr:uid="{00000000-0005-0000-0000-0000A0080000}"/>
    <cellStyle name="20% - akcent 6 2 26" xfId="2230" xr:uid="{00000000-0005-0000-0000-0000A1080000}"/>
    <cellStyle name="20% - akcent 6 2 26 2" xfId="2231" xr:uid="{00000000-0005-0000-0000-0000A2080000}"/>
    <cellStyle name="20% - akcent 6 2 26 3" xfId="2232" xr:uid="{00000000-0005-0000-0000-0000A3080000}"/>
    <cellStyle name="20% - akcent 6 2 26 4" xfId="2233" xr:uid="{00000000-0005-0000-0000-0000A4080000}"/>
    <cellStyle name="20% - akcent 6 2 26 5" xfId="2234" xr:uid="{00000000-0005-0000-0000-0000A5080000}"/>
    <cellStyle name="20% - akcent 6 2 26 6" xfId="2235" xr:uid="{00000000-0005-0000-0000-0000A6080000}"/>
    <cellStyle name="20% - akcent 6 2 27" xfId="2236" xr:uid="{00000000-0005-0000-0000-0000A7080000}"/>
    <cellStyle name="20% - akcent 6 2 27 2" xfId="2237" xr:uid="{00000000-0005-0000-0000-0000A8080000}"/>
    <cellStyle name="20% - akcent 6 2 27 3" xfId="2238" xr:uid="{00000000-0005-0000-0000-0000A9080000}"/>
    <cellStyle name="20% - akcent 6 2 27 4" xfId="2239" xr:uid="{00000000-0005-0000-0000-0000AA080000}"/>
    <cellStyle name="20% - akcent 6 2 27 5" xfId="2240" xr:uid="{00000000-0005-0000-0000-0000AB080000}"/>
    <cellStyle name="20% - akcent 6 2 27 6" xfId="2241" xr:uid="{00000000-0005-0000-0000-0000AC080000}"/>
    <cellStyle name="20% - akcent 6 2 28" xfId="2242" xr:uid="{00000000-0005-0000-0000-0000AD080000}"/>
    <cellStyle name="20% - akcent 6 2 28 2" xfId="2243" xr:uid="{00000000-0005-0000-0000-0000AE080000}"/>
    <cellStyle name="20% - akcent 6 2 28 3" xfId="2244" xr:uid="{00000000-0005-0000-0000-0000AF080000}"/>
    <cellStyle name="20% - akcent 6 2 28 4" xfId="2245" xr:uid="{00000000-0005-0000-0000-0000B0080000}"/>
    <cellStyle name="20% - akcent 6 2 28 5" xfId="2246" xr:uid="{00000000-0005-0000-0000-0000B1080000}"/>
    <cellStyle name="20% - akcent 6 2 28 6" xfId="2247" xr:uid="{00000000-0005-0000-0000-0000B2080000}"/>
    <cellStyle name="20% - akcent 6 2 29" xfId="2248" xr:uid="{00000000-0005-0000-0000-0000B3080000}"/>
    <cellStyle name="20% - akcent 6 2 29 2" xfId="2249" xr:uid="{00000000-0005-0000-0000-0000B4080000}"/>
    <cellStyle name="20% - akcent 6 2 3" xfId="2250" xr:uid="{00000000-0005-0000-0000-0000B5080000}"/>
    <cellStyle name="20% - akcent 6 2 3 2" xfId="2251" xr:uid="{00000000-0005-0000-0000-0000B6080000}"/>
    <cellStyle name="20% - akcent 6 2 3 3" xfId="2252" xr:uid="{00000000-0005-0000-0000-0000B7080000}"/>
    <cellStyle name="20% - akcent 6 2 3 4" xfId="2253" xr:uid="{00000000-0005-0000-0000-0000B8080000}"/>
    <cellStyle name="20% - akcent 6 2 3 5" xfId="2254" xr:uid="{00000000-0005-0000-0000-0000B9080000}"/>
    <cellStyle name="20% - akcent 6 2 3 6" xfId="2255" xr:uid="{00000000-0005-0000-0000-0000BA080000}"/>
    <cellStyle name="20% - akcent 6 2 3 7" xfId="2256" xr:uid="{00000000-0005-0000-0000-0000BB080000}"/>
    <cellStyle name="20% - akcent 6 2 30" xfId="2257" xr:uid="{00000000-0005-0000-0000-0000BC080000}"/>
    <cellStyle name="20% - akcent 6 2 30 2" xfId="2258" xr:uid="{00000000-0005-0000-0000-0000BD080000}"/>
    <cellStyle name="20% - akcent 6 2 31" xfId="2259" xr:uid="{00000000-0005-0000-0000-0000BE080000}"/>
    <cellStyle name="20% - akcent 6 2 31 2" xfId="2260" xr:uid="{00000000-0005-0000-0000-0000BF080000}"/>
    <cellStyle name="20% - akcent 6 2 32" xfId="2261" xr:uid="{00000000-0005-0000-0000-0000C0080000}"/>
    <cellStyle name="20% - akcent 6 2 32 2" xfId="2262" xr:uid="{00000000-0005-0000-0000-0000C1080000}"/>
    <cellStyle name="20% - akcent 6 2 33" xfId="2263" xr:uid="{00000000-0005-0000-0000-0000C2080000}"/>
    <cellStyle name="20% - akcent 6 2 34" xfId="2264" xr:uid="{00000000-0005-0000-0000-0000C3080000}"/>
    <cellStyle name="20% - akcent 6 2 35" xfId="2265" xr:uid="{00000000-0005-0000-0000-0000C4080000}"/>
    <cellStyle name="20% - akcent 6 2 36" xfId="2266" xr:uid="{00000000-0005-0000-0000-0000C5080000}"/>
    <cellStyle name="20% - akcent 6 2 37" xfId="2267" xr:uid="{00000000-0005-0000-0000-0000C6080000}"/>
    <cellStyle name="20% - akcent 6 2 38" xfId="2268" xr:uid="{00000000-0005-0000-0000-0000C7080000}"/>
    <cellStyle name="20% - akcent 6 2 39" xfId="2269" xr:uid="{00000000-0005-0000-0000-0000C8080000}"/>
    <cellStyle name="20% - akcent 6 2 4" xfId="2270" xr:uid="{00000000-0005-0000-0000-0000C9080000}"/>
    <cellStyle name="20% - akcent 6 2 4 2" xfId="2271" xr:uid="{00000000-0005-0000-0000-0000CA080000}"/>
    <cellStyle name="20% - akcent 6 2 4 3" xfId="2272" xr:uid="{00000000-0005-0000-0000-0000CB080000}"/>
    <cellStyle name="20% - akcent 6 2 4 4" xfId="2273" xr:uid="{00000000-0005-0000-0000-0000CC080000}"/>
    <cellStyle name="20% - akcent 6 2 4 5" xfId="2274" xr:uid="{00000000-0005-0000-0000-0000CD080000}"/>
    <cellStyle name="20% - akcent 6 2 4 6" xfId="2275" xr:uid="{00000000-0005-0000-0000-0000CE080000}"/>
    <cellStyle name="20% - akcent 6 2 4 7" xfId="2276" xr:uid="{00000000-0005-0000-0000-0000CF080000}"/>
    <cellStyle name="20% - akcent 6 2 40" xfId="2277" xr:uid="{00000000-0005-0000-0000-0000D0080000}"/>
    <cellStyle name="20% - akcent 6 2 41" xfId="2278" xr:uid="{00000000-0005-0000-0000-0000D1080000}"/>
    <cellStyle name="20% - akcent 6 2 42" xfId="2279" xr:uid="{00000000-0005-0000-0000-0000D2080000}"/>
    <cellStyle name="20% - akcent 6 2 43" xfId="2280" xr:uid="{00000000-0005-0000-0000-0000D3080000}"/>
    <cellStyle name="20% - akcent 6 2 44" xfId="2281" xr:uid="{00000000-0005-0000-0000-0000D4080000}"/>
    <cellStyle name="20% - akcent 6 2 45" xfId="2282" xr:uid="{00000000-0005-0000-0000-0000D5080000}"/>
    <cellStyle name="20% - akcent 6 2 46" xfId="2283" xr:uid="{00000000-0005-0000-0000-0000D6080000}"/>
    <cellStyle name="20% - akcent 6 2 47" xfId="2284" xr:uid="{00000000-0005-0000-0000-0000D7080000}"/>
    <cellStyle name="20% - akcent 6 2 48" xfId="2285" xr:uid="{00000000-0005-0000-0000-0000D8080000}"/>
    <cellStyle name="20% - akcent 6 2 49" xfId="2286" xr:uid="{00000000-0005-0000-0000-0000D9080000}"/>
    <cellStyle name="20% - akcent 6 2 5" xfId="2287" xr:uid="{00000000-0005-0000-0000-0000DA080000}"/>
    <cellStyle name="20% - akcent 6 2 5 2" xfId="2288" xr:uid="{00000000-0005-0000-0000-0000DB080000}"/>
    <cellStyle name="20% - akcent 6 2 5 3" xfId="2289" xr:uid="{00000000-0005-0000-0000-0000DC080000}"/>
    <cellStyle name="20% - akcent 6 2 5 4" xfId="2290" xr:uid="{00000000-0005-0000-0000-0000DD080000}"/>
    <cellStyle name="20% - akcent 6 2 5 5" xfId="2291" xr:uid="{00000000-0005-0000-0000-0000DE080000}"/>
    <cellStyle name="20% - akcent 6 2 5 6" xfId="2292" xr:uid="{00000000-0005-0000-0000-0000DF080000}"/>
    <cellStyle name="20% - akcent 6 2 50" xfId="2293" xr:uid="{00000000-0005-0000-0000-0000E0080000}"/>
    <cellStyle name="20% - akcent 6 2 51" xfId="2294" xr:uid="{00000000-0005-0000-0000-0000E1080000}"/>
    <cellStyle name="20% - akcent 6 2 6" xfId="2295" xr:uid="{00000000-0005-0000-0000-0000E2080000}"/>
    <cellStyle name="20% - akcent 6 2 6 2" xfId="2296" xr:uid="{00000000-0005-0000-0000-0000E3080000}"/>
    <cellStyle name="20% - akcent 6 2 6 3" xfId="2297" xr:uid="{00000000-0005-0000-0000-0000E4080000}"/>
    <cellStyle name="20% - akcent 6 2 6 4" xfId="2298" xr:uid="{00000000-0005-0000-0000-0000E5080000}"/>
    <cellStyle name="20% - akcent 6 2 6 5" xfId="2299" xr:uid="{00000000-0005-0000-0000-0000E6080000}"/>
    <cellStyle name="20% - akcent 6 2 6 6" xfId="2300" xr:uid="{00000000-0005-0000-0000-0000E7080000}"/>
    <cellStyle name="20% - akcent 6 2 7" xfId="2301" xr:uid="{00000000-0005-0000-0000-0000E8080000}"/>
    <cellStyle name="20% - akcent 6 2 7 2" xfId="2302" xr:uid="{00000000-0005-0000-0000-0000E9080000}"/>
    <cellStyle name="20% - akcent 6 2 7 3" xfId="2303" xr:uid="{00000000-0005-0000-0000-0000EA080000}"/>
    <cellStyle name="20% - akcent 6 2 7 4" xfId="2304" xr:uid="{00000000-0005-0000-0000-0000EB080000}"/>
    <cellStyle name="20% - akcent 6 2 7 5" xfId="2305" xr:uid="{00000000-0005-0000-0000-0000EC080000}"/>
    <cellStyle name="20% - akcent 6 2 7 6" xfId="2306" xr:uid="{00000000-0005-0000-0000-0000ED080000}"/>
    <cellStyle name="20% - akcent 6 2 8" xfId="2307" xr:uid="{00000000-0005-0000-0000-0000EE080000}"/>
    <cellStyle name="20% - akcent 6 2 8 2" xfId="2308" xr:uid="{00000000-0005-0000-0000-0000EF080000}"/>
    <cellStyle name="20% - akcent 6 2 8 3" xfId="2309" xr:uid="{00000000-0005-0000-0000-0000F0080000}"/>
    <cellStyle name="20% - akcent 6 2 8 4" xfId="2310" xr:uid="{00000000-0005-0000-0000-0000F1080000}"/>
    <cellStyle name="20% - akcent 6 2 8 5" xfId="2311" xr:uid="{00000000-0005-0000-0000-0000F2080000}"/>
    <cellStyle name="20% - akcent 6 2 8 6" xfId="2312" xr:uid="{00000000-0005-0000-0000-0000F3080000}"/>
    <cellStyle name="20% - akcent 6 2 9" xfId="2313" xr:uid="{00000000-0005-0000-0000-0000F4080000}"/>
    <cellStyle name="20% - akcent 6 2 9 2" xfId="2314" xr:uid="{00000000-0005-0000-0000-0000F5080000}"/>
    <cellStyle name="20% - akcent 6 2 9 3" xfId="2315" xr:uid="{00000000-0005-0000-0000-0000F6080000}"/>
    <cellStyle name="20% - akcent 6 2 9 4" xfId="2316" xr:uid="{00000000-0005-0000-0000-0000F7080000}"/>
    <cellStyle name="20% - akcent 6 2 9 5" xfId="2317" xr:uid="{00000000-0005-0000-0000-0000F8080000}"/>
    <cellStyle name="20% - akcent 6 2 9 6" xfId="2318" xr:uid="{00000000-0005-0000-0000-0000F9080000}"/>
    <cellStyle name="20% - akcent 6 20" xfId="2319" xr:uid="{00000000-0005-0000-0000-0000FA080000}"/>
    <cellStyle name="20% - akcent 6 21" xfId="2320" xr:uid="{00000000-0005-0000-0000-0000FB080000}"/>
    <cellStyle name="20% - akcent 6 22" xfId="2321" xr:uid="{00000000-0005-0000-0000-0000FC080000}"/>
    <cellStyle name="20% - akcent 6 23" xfId="2322" xr:uid="{00000000-0005-0000-0000-0000FD080000}"/>
    <cellStyle name="20% - akcent 6 24" xfId="2323" xr:uid="{00000000-0005-0000-0000-0000FE080000}"/>
    <cellStyle name="20% - akcent 6 25" xfId="2324" xr:uid="{00000000-0005-0000-0000-0000FF080000}"/>
    <cellStyle name="20% - akcent 6 26" xfId="2325" xr:uid="{00000000-0005-0000-0000-000000090000}"/>
    <cellStyle name="20% - akcent 6 27" xfId="2326" xr:uid="{00000000-0005-0000-0000-000001090000}"/>
    <cellStyle name="20% - akcent 6 28" xfId="2327" xr:uid="{00000000-0005-0000-0000-000002090000}"/>
    <cellStyle name="20% - akcent 6 29" xfId="2328" xr:uid="{00000000-0005-0000-0000-000003090000}"/>
    <cellStyle name="20% - akcent 6 3" xfId="2329" xr:uid="{00000000-0005-0000-0000-000004090000}"/>
    <cellStyle name="20% - akcent 6 3 2" xfId="2330" xr:uid="{00000000-0005-0000-0000-000005090000}"/>
    <cellStyle name="20% - akcent 6 3 2 2" xfId="2331" xr:uid="{00000000-0005-0000-0000-000006090000}"/>
    <cellStyle name="20% - akcent 6 3 3" xfId="2332" xr:uid="{00000000-0005-0000-0000-000007090000}"/>
    <cellStyle name="20% - akcent 6 3 3 2" xfId="2333" xr:uid="{00000000-0005-0000-0000-000008090000}"/>
    <cellStyle name="20% - akcent 6 3 4" xfId="2334" xr:uid="{00000000-0005-0000-0000-000009090000}"/>
    <cellStyle name="20% - akcent 6 3 4 2" xfId="2335" xr:uid="{00000000-0005-0000-0000-00000A090000}"/>
    <cellStyle name="20% - akcent 6 3 5" xfId="2336" xr:uid="{00000000-0005-0000-0000-00000B090000}"/>
    <cellStyle name="20% - akcent 6 3 6" xfId="2337" xr:uid="{00000000-0005-0000-0000-00000C090000}"/>
    <cellStyle name="20% - akcent 6 3 7" xfId="2338" xr:uid="{00000000-0005-0000-0000-00000D090000}"/>
    <cellStyle name="20% - akcent 6 3 8" xfId="2339" xr:uid="{00000000-0005-0000-0000-00000E090000}"/>
    <cellStyle name="20% - akcent 6 30" xfId="2340" xr:uid="{00000000-0005-0000-0000-00000F090000}"/>
    <cellStyle name="20% - akcent 6 30 2" xfId="2341" xr:uid="{00000000-0005-0000-0000-000010090000}"/>
    <cellStyle name="20% - akcent 6 31" xfId="2342" xr:uid="{00000000-0005-0000-0000-000011090000}"/>
    <cellStyle name="20% - akcent 6 31 2" xfId="2343" xr:uid="{00000000-0005-0000-0000-000012090000}"/>
    <cellStyle name="20% - akcent 6 32" xfId="2344" xr:uid="{00000000-0005-0000-0000-000013090000}"/>
    <cellStyle name="20% - akcent 6 32 2" xfId="2345" xr:uid="{00000000-0005-0000-0000-000014090000}"/>
    <cellStyle name="20% - akcent 6 33" xfId="2346" xr:uid="{00000000-0005-0000-0000-000015090000}"/>
    <cellStyle name="20% - akcent 6 33 2" xfId="2347" xr:uid="{00000000-0005-0000-0000-000016090000}"/>
    <cellStyle name="20% - akcent 6 34" xfId="2348" xr:uid="{00000000-0005-0000-0000-000017090000}"/>
    <cellStyle name="20% - akcent 6 34 2" xfId="2349" xr:uid="{00000000-0005-0000-0000-000018090000}"/>
    <cellStyle name="20% - akcent 6 35" xfId="2350" xr:uid="{00000000-0005-0000-0000-000019090000}"/>
    <cellStyle name="20% - akcent 6 35 2" xfId="2351" xr:uid="{00000000-0005-0000-0000-00001A090000}"/>
    <cellStyle name="20% - akcent 6 36" xfId="2352" xr:uid="{00000000-0005-0000-0000-00001B090000}"/>
    <cellStyle name="20% - akcent 6 36 2" xfId="2353" xr:uid="{00000000-0005-0000-0000-00001C090000}"/>
    <cellStyle name="20% - akcent 6 37" xfId="2354" xr:uid="{00000000-0005-0000-0000-00001D090000}"/>
    <cellStyle name="20% - akcent 6 37 2" xfId="2355" xr:uid="{00000000-0005-0000-0000-00001E090000}"/>
    <cellStyle name="20% - akcent 6 38" xfId="2356" xr:uid="{00000000-0005-0000-0000-00001F090000}"/>
    <cellStyle name="20% - akcent 6 38 2" xfId="2357" xr:uid="{00000000-0005-0000-0000-000020090000}"/>
    <cellStyle name="20% - akcent 6 39" xfId="2358" xr:uid="{00000000-0005-0000-0000-000021090000}"/>
    <cellStyle name="20% - akcent 6 39 2" xfId="2359" xr:uid="{00000000-0005-0000-0000-000022090000}"/>
    <cellStyle name="20% - akcent 6 4" xfId="2360" xr:uid="{00000000-0005-0000-0000-000023090000}"/>
    <cellStyle name="20% - akcent 6 4 2" xfId="2361" xr:uid="{00000000-0005-0000-0000-000024090000}"/>
    <cellStyle name="20% - akcent 6 4 2 2" xfId="2362" xr:uid="{00000000-0005-0000-0000-000025090000}"/>
    <cellStyle name="20% - akcent 6 4 3" xfId="2363" xr:uid="{00000000-0005-0000-0000-000026090000}"/>
    <cellStyle name="20% - akcent 6 4 3 2" xfId="2364" xr:uid="{00000000-0005-0000-0000-000027090000}"/>
    <cellStyle name="20% - akcent 6 4 4" xfId="2365" xr:uid="{00000000-0005-0000-0000-000028090000}"/>
    <cellStyle name="20% - akcent 6 4 4 2" xfId="2366" xr:uid="{00000000-0005-0000-0000-000029090000}"/>
    <cellStyle name="20% - akcent 6 4 5" xfId="2367" xr:uid="{00000000-0005-0000-0000-00002A090000}"/>
    <cellStyle name="20% - akcent 6 4 6" xfId="2368" xr:uid="{00000000-0005-0000-0000-00002B090000}"/>
    <cellStyle name="20% - akcent 6 4 7" xfId="2369" xr:uid="{00000000-0005-0000-0000-00002C090000}"/>
    <cellStyle name="20% - akcent 6 4 8" xfId="2370" xr:uid="{00000000-0005-0000-0000-00002D090000}"/>
    <cellStyle name="20% - akcent 6 40" xfId="2371" xr:uid="{00000000-0005-0000-0000-00002E090000}"/>
    <cellStyle name="20% - akcent 6 40 2" xfId="2372" xr:uid="{00000000-0005-0000-0000-00002F090000}"/>
    <cellStyle name="20% - akcent 6 41" xfId="2373" xr:uid="{00000000-0005-0000-0000-000030090000}"/>
    <cellStyle name="20% - akcent 6 41 2" xfId="2374" xr:uid="{00000000-0005-0000-0000-000031090000}"/>
    <cellStyle name="20% - akcent 6 42" xfId="2375" xr:uid="{00000000-0005-0000-0000-000032090000}"/>
    <cellStyle name="20% - akcent 6 42 2" xfId="2376" xr:uid="{00000000-0005-0000-0000-000033090000}"/>
    <cellStyle name="20% - akcent 6 43" xfId="2377" xr:uid="{00000000-0005-0000-0000-000034090000}"/>
    <cellStyle name="20% - akcent 6 43 2" xfId="2378" xr:uid="{00000000-0005-0000-0000-000035090000}"/>
    <cellStyle name="20% - akcent 6 44" xfId="2379" xr:uid="{00000000-0005-0000-0000-000036090000}"/>
    <cellStyle name="20% - akcent 6 44 2" xfId="2380" xr:uid="{00000000-0005-0000-0000-000037090000}"/>
    <cellStyle name="20% - akcent 6 45" xfId="2381" xr:uid="{00000000-0005-0000-0000-000038090000}"/>
    <cellStyle name="20% - akcent 6 45 2" xfId="2382" xr:uid="{00000000-0005-0000-0000-000039090000}"/>
    <cellStyle name="20% - akcent 6 46" xfId="2383" xr:uid="{00000000-0005-0000-0000-00003A090000}"/>
    <cellStyle name="20% - akcent 6 46 2" xfId="2384" xr:uid="{00000000-0005-0000-0000-00003B090000}"/>
    <cellStyle name="20% - akcent 6 47" xfId="2385" xr:uid="{00000000-0005-0000-0000-00003C090000}"/>
    <cellStyle name="20% - akcent 6 47 2" xfId="2386" xr:uid="{00000000-0005-0000-0000-00003D090000}"/>
    <cellStyle name="20% - akcent 6 48" xfId="2387" xr:uid="{00000000-0005-0000-0000-00003E090000}"/>
    <cellStyle name="20% - akcent 6 48 2" xfId="2388" xr:uid="{00000000-0005-0000-0000-00003F090000}"/>
    <cellStyle name="20% - akcent 6 49" xfId="2389" xr:uid="{00000000-0005-0000-0000-000040090000}"/>
    <cellStyle name="20% - akcent 6 49 2" xfId="2390" xr:uid="{00000000-0005-0000-0000-000041090000}"/>
    <cellStyle name="20% - akcent 6 5" xfId="2391" xr:uid="{00000000-0005-0000-0000-000042090000}"/>
    <cellStyle name="20% - akcent 6 5 2" xfId="2392" xr:uid="{00000000-0005-0000-0000-000043090000}"/>
    <cellStyle name="20% - akcent 6 5 3" xfId="2393" xr:uid="{00000000-0005-0000-0000-000044090000}"/>
    <cellStyle name="20% - akcent 6 50" xfId="2394" xr:uid="{00000000-0005-0000-0000-000045090000}"/>
    <cellStyle name="20% - akcent 6 50 2" xfId="2395" xr:uid="{00000000-0005-0000-0000-000046090000}"/>
    <cellStyle name="20% - akcent 6 51" xfId="2396" xr:uid="{00000000-0005-0000-0000-000047090000}"/>
    <cellStyle name="20% - akcent 6 51 2" xfId="2397" xr:uid="{00000000-0005-0000-0000-000048090000}"/>
    <cellStyle name="20% - akcent 6 52" xfId="2398" xr:uid="{00000000-0005-0000-0000-000049090000}"/>
    <cellStyle name="20% - akcent 6 52 2" xfId="2399" xr:uid="{00000000-0005-0000-0000-00004A090000}"/>
    <cellStyle name="20% - akcent 6 53" xfId="2400" xr:uid="{00000000-0005-0000-0000-00004B090000}"/>
    <cellStyle name="20% - akcent 6 53 2" xfId="2401" xr:uid="{00000000-0005-0000-0000-00004C090000}"/>
    <cellStyle name="20% - akcent 6 54" xfId="2402" xr:uid="{00000000-0005-0000-0000-00004D090000}"/>
    <cellStyle name="20% - akcent 6 54 2" xfId="2403" xr:uid="{00000000-0005-0000-0000-00004E090000}"/>
    <cellStyle name="20% - akcent 6 55" xfId="2404" xr:uid="{00000000-0005-0000-0000-00004F090000}"/>
    <cellStyle name="20% - akcent 6 55 2" xfId="2405" xr:uid="{00000000-0005-0000-0000-000050090000}"/>
    <cellStyle name="20% - akcent 6 56" xfId="2406" xr:uid="{00000000-0005-0000-0000-000051090000}"/>
    <cellStyle name="20% - akcent 6 56 2" xfId="2407" xr:uid="{00000000-0005-0000-0000-000052090000}"/>
    <cellStyle name="20% - akcent 6 57" xfId="2408" xr:uid="{00000000-0005-0000-0000-000053090000}"/>
    <cellStyle name="20% - akcent 6 57 2" xfId="2409" xr:uid="{00000000-0005-0000-0000-000054090000}"/>
    <cellStyle name="20% - akcent 6 58" xfId="2410" xr:uid="{00000000-0005-0000-0000-000055090000}"/>
    <cellStyle name="20% - akcent 6 58 2" xfId="2411" xr:uid="{00000000-0005-0000-0000-000056090000}"/>
    <cellStyle name="20% - akcent 6 59" xfId="2412" xr:uid="{00000000-0005-0000-0000-000057090000}"/>
    <cellStyle name="20% - akcent 6 59 2" xfId="2413" xr:uid="{00000000-0005-0000-0000-000058090000}"/>
    <cellStyle name="20% - akcent 6 6" xfId="2414" xr:uid="{00000000-0005-0000-0000-000059090000}"/>
    <cellStyle name="20% - akcent 6 60" xfId="2415" xr:uid="{00000000-0005-0000-0000-00005A090000}"/>
    <cellStyle name="20% - akcent 6 60 2" xfId="2416" xr:uid="{00000000-0005-0000-0000-00005B090000}"/>
    <cellStyle name="20% - akcent 6 61" xfId="2417" xr:uid="{00000000-0005-0000-0000-00005C090000}"/>
    <cellStyle name="20% - akcent 6 61 2" xfId="2418" xr:uid="{00000000-0005-0000-0000-00005D090000}"/>
    <cellStyle name="20% - akcent 6 62" xfId="2419" xr:uid="{00000000-0005-0000-0000-00005E090000}"/>
    <cellStyle name="20% - akcent 6 62 2" xfId="2420" xr:uid="{00000000-0005-0000-0000-00005F090000}"/>
    <cellStyle name="20% - akcent 6 63" xfId="2421" xr:uid="{00000000-0005-0000-0000-000060090000}"/>
    <cellStyle name="20% - akcent 6 63 2" xfId="2422" xr:uid="{00000000-0005-0000-0000-000061090000}"/>
    <cellStyle name="20% - akcent 6 64" xfId="2423" xr:uid="{00000000-0005-0000-0000-000062090000}"/>
    <cellStyle name="20% - akcent 6 64 2" xfId="2424" xr:uid="{00000000-0005-0000-0000-000063090000}"/>
    <cellStyle name="20% - akcent 6 65" xfId="2425" xr:uid="{00000000-0005-0000-0000-000064090000}"/>
    <cellStyle name="20% - akcent 6 65 2" xfId="2426" xr:uid="{00000000-0005-0000-0000-000065090000}"/>
    <cellStyle name="20% - akcent 6 66" xfId="2427" xr:uid="{00000000-0005-0000-0000-000066090000}"/>
    <cellStyle name="20% - akcent 6 66 2" xfId="2428" xr:uid="{00000000-0005-0000-0000-000067090000}"/>
    <cellStyle name="20% - akcent 6 67" xfId="2429" xr:uid="{00000000-0005-0000-0000-000068090000}"/>
    <cellStyle name="20% - akcent 6 67 2" xfId="2430" xr:uid="{00000000-0005-0000-0000-000069090000}"/>
    <cellStyle name="20% - akcent 6 68" xfId="2431" xr:uid="{00000000-0005-0000-0000-00006A090000}"/>
    <cellStyle name="20% - akcent 6 68 2" xfId="2432" xr:uid="{00000000-0005-0000-0000-00006B090000}"/>
    <cellStyle name="20% - akcent 6 69" xfId="2433" xr:uid="{00000000-0005-0000-0000-00006C090000}"/>
    <cellStyle name="20% - akcent 6 69 2" xfId="2434" xr:uid="{00000000-0005-0000-0000-00006D090000}"/>
    <cellStyle name="20% - akcent 6 7" xfId="2435" xr:uid="{00000000-0005-0000-0000-00006E090000}"/>
    <cellStyle name="20% - akcent 6 70" xfId="2436" xr:uid="{00000000-0005-0000-0000-00006F090000}"/>
    <cellStyle name="20% - akcent 6 70 2" xfId="2437" xr:uid="{00000000-0005-0000-0000-000070090000}"/>
    <cellStyle name="20% - akcent 6 71" xfId="2438" xr:uid="{00000000-0005-0000-0000-000071090000}"/>
    <cellStyle name="20% - akcent 6 71 2" xfId="2439" xr:uid="{00000000-0005-0000-0000-000072090000}"/>
    <cellStyle name="20% - akcent 6 72" xfId="2440" xr:uid="{00000000-0005-0000-0000-000073090000}"/>
    <cellStyle name="20% - akcent 6 72 2" xfId="2441" xr:uid="{00000000-0005-0000-0000-000074090000}"/>
    <cellStyle name="20% - akcent 6 73" xfId="2442" xr:uid="{00000000-0005-0000-0000-000075090000}"/>
    <cellStyle name="20% - akcent 6 73 2" xfId="2443" xr:uid="{00000000-0005-0000-0000-000076090000}"/>
    <cellStyle name="20% - akcent 6 74" xfId="2444" xr:uid="{00000000-0005-0000-0000-000077090000}"/>
    <cellStyle name="20% - akcent 6 74 2" xfId="2445" xr:uid="{00000000-0005-0000-0000-000078090000}"/>
    <cellStyle name="20% - akcent 6 75" xfId="2446" xr:uid="{00000000-0005-0000-0000-000079090000}"/>
    <cellStyle name="20% - akcent 6 75 2" xfId="2447" xr:uid="{00000000-0005-0000-0000-00007A090000}"/>
    <cellStyle name="20% - akcent 6 76" xfId="2448" xr:uid="{00000000-0005-0000-0000-00007B090000}"/>
    <cellStyle name="20% - akcent 6 76 2" xfId="2449" xr:uid="{00000000-0005-0000-0000-00007C090000}"/>
    <cellStyle name="20% - akcent 6 77" xfId="2450" xr:uid="{00000000-0005-0000-0000-00007D090000}"/>
    <cellStyle name="20% - akcent 6 77 2" xfId="2451" xr:uid="{00000000-0005-0000-0000-00007E090000}"/>
    <cellStyle name="20% - akcent 6 78" xfId="2452" xr:uid="{00000000-0005-0000-0000-00007F090000}"/>
    <cellStyle name="20% - akcent 6 78 2" xfId="2453" xr:uid="{00000000-0005-0000-0000-000080090000}"/>
    <cellStyle name="20% - akcent 6 79" xfId="2454" xr:uid="{00000000-0005-0000-0000-000081090000}"/>
    <cellStyle name="20% - akcent 6 79 2" xfId="2455" xr:uid="{00000000-0005-0000-0000-000082090000}"/>
    <cellStyle name="20% - akcent 6 8" xfId="2456" xr:uid="{00000000-0005-0000-0000-000083090000}"/>
    <cellStyle name="20% - akcent 6 80" xfId="2457" xr:uid="{00000000-0005-0000-0000-000084090000}"/>
    <cellStyle name="20% - akcent 6 80 2" xfId="2458" xr:uid="{00000000-0005-0000-0000-000085090000}"/>
    <cellStyle name="20% - akcent 6 81" xfId="2459" xr:uid="{00000000-0005-0000-0000-000086090000}"/>
    <cellStyle name="20% - akcent 6 81 2" xfId="2460" xr:uid="{00000000-0005-0000-0000-000087090000}"/>
    <cellStyle name="20% - akcent 6 82" xfId="2461" xr:uid="{00000000-0005-0000-0000-000088090000}"/>
    <cellStyle name="20% - akcent 6 82 2" xfId="2462" xr:uid="{00000000-0005-0000-0000-000089090000}"/>
    <cellStyle name="20% - akcent 6 83" xfId="2463" xr:uid="{00000000-0005-0000-0000-00008A090000}"/>
    <cellStyle name="20% - akcent 6 83 2" xfId="2464" xr:uid="{00000000-0005-0000-0000-00008B090000}"/>
    <cellStyle name="20% - akcent 6 84" xfId="2465" xr:uid="{00000000-0005-0000-0000-00008C090000}"/>
    <cellStyle name="20% - akcent 6 84 2" xfId="2466" xr:uid="{00000000-0005-0000-0000-00008D090000}"/>
    <cellStyle name="20% - akcent 6 85" xfId="2467" xr:uid="{00000000-0005-0000-0000-00008E090000}"/>
    <cellStyle name="20% - akcent 6 85 2" xfId="2468" xr:uid="{00000000-0005-0000-0000-00008F090000}"/>
    <cellStyle name="20% - akcent 6 86" xfId="2469" xr:uid="{00000000-0005-0000-0000-000090090000}"/>
    <cellStyle name="20% - akcent 6 86 2" xfId="2470" xr:uid="{00000000-0005-0000-0000-000091090000}"/>
    <cellStyle name="20% - akcent 6 87" xfId="2471" xr:uid="{00000000-0005-0000-0000-000092090000}"/>
    <cellStyle name="20% - akcent 6 87 2" xfId="2472" xr:uid="{00000000-0005-0000-0000-000093090000}"/>
    <cellStyle name="20% - akcent 6 88" xfId="2473" xr:uid="{00000000-0005-0000-0000-000094090000}"/>
    <cellStyle name="20% - akcent 6 88 2" xfId="2474" xr:uid="{00000000-0005-0000-0000-000095090000}"/>
    <cellStyle name="20% - akcent 6 89" xfId="2475" xr:uid="{00000000-0005-0000-0000-000096090000}"/>
    <cellStyle name="20% - akcent 6 89 2" xfId="2476" xr:uid="{00000000-0005-0000-0000-000097090000}"/>
    <cellStyle name="20% - akcent 6 9" xfId="2477" xr:uid="{00000000-0005-0000-0000-000098090000}"/>
    <cellStyle name="20% - akcent 6 90" xfId="2478" xr:uid="{00000000-0005-0000-0000-000099090000}"/>
    <cellStyle name="20% - akcent 6 90 2" xfId="2479" xr:uid="{00000000-0005-0000-0000-00009A090000}"/>
    <cellStyle name="20% - akcent 6 91" xfId="2480" xr:uid="{00000000-0005-0000-0000-00009B090000}"/>
    <cellStyle name="20% - akcent 6 91 2" xfId="2481" xr:uid="{00000000-0005-0000-0000-00009C090000}"/>
    <cellStyle name="20% - akcent 6 92" xfId="2482" xr:uid="{00000000-0005-0000-0000-00009D090000}"/>
    <cellStyle name="20% - akcent 6 92 2" xfId="2483" xr:uid="{00000000-0005-0000-0000-00009E090000}"/>
    <cellStyle name="20% - akcent 6 93" xfId="2484" xr:uid="{00000000-0005-0000-0000-00009F090000}"/>
    <cellStyle name="20% - akcent 6 93 2" xfId="2485" xr:uid="{00000000-0005-0000-0000-0000A0090000}"/>
    <cellStyle name="20% - akcent 6 94" xfId="2486" xr:uid="{00000000-0005-0000-0000-0000A1090000}"/>
    <cellStyle name="20% - akcent 6 94 2" xfId="2487" xr:uid="{00000000-0005-0000-0000-0000A2090000}"/>
    <cellStyle name="20% - akcent 6 95" xfId="2488" xr:uid="{00000000-0005-0000-0000-0000A3090000}"/>
    <cellStyle name="20% - akcent 6 95 2" xfId="2489" xr:uid="{00000000-0005-0000-0000-0000A4090000}"/>
    <cellStyle name="20% - akcent 6 96" xfId="2490" xr:uid="{00000000-0005-0000-0000-0000A5090000}"/>
    <cellStyle name="20% - akcent 6 96 2" xfId="2491" xr:uid="{00000000-0005-0000-0000-0000A6090000}"/>
    <cellStyle name="20% - akcent 6 97" xfId="2492" xr:uid="{00000000-0005-0000-0000-0000A7090000}"/>
    <cellStyle name="20% - akcent 6 97 2" xfId="2493" xr:uid="{00000000-0005-0000-0000-0000A8090000}"/>
    <cellStyle name="20% - akcent 6 98" xfId="2494" xr:uid="{00000000-0005-0000-0000-0000A9090000}"/>
    <cellStyle name="20% - akcent 6 98 2" xfId="2495" xr:uid="{00000000-0005-0000-0000-0000AA090000}"/>
    <cellStyle name="20% - akcent 6 99" xfId="2496" xr:uid="{00000000-0005-0000-0000-0000AB090000}"/>
    <cellStyle name="20% - akcent 6 99 2" xfId="2497" xr:uid="{00000000-0005-0000-0000-0000AC090000}"/>
    <cellStyle name="40% - akcent 1 10" xfId="2498" xr:uid="{00000000-0005-0000-0000-0000AD090000}"/>
    <cellStyle name="40% - akcent 1 100" xfId="2499" xr:uid="{00000000-0005-0000-0000-0000AE090000}"/>
    <cellStyle name="40% - akcent 1 100 2" xfId="2500" xr:uid="{00000000-0005-0000-0000-0000AF090000}"/>
    <cellStyle name="40% - akcent 1 101" xfId="2501" xr:uid="{00000000-0005-0000-0000-0000B0090000}"/>
    <cellStyle name="40% - akcent 1 101 2" xfId="2502" xr:uid="{00000000-0005-0000-0000-0000B1090000}"/>
    <cellStyle name="40% - akcent 1 102" xfId="2503" xr:uid="{00000000-0005-0000-0000-0000B2090000}"/>
    <cellStyle name="40% - akcent 1 102 2" xfId="2504" xr:uid="{00000000-0005-0000-0000-0000B3090000}"/>
    <cellStyle name="40% - akcent 1 103" xfId="2505" xr:uid="{00000000-0005-0000-0000-0000B4090000}"/>
    <cellStyle name="40% - akcent 1 103 2" xfId="2506" xr:uid="{00000000-0005-0000-0000-0000B5090000}"/>
    <cellStyle name="40% - akcent 1 104" xfId="2507" xr:uid="{00000000-0005-0000-0000-0000B6090000}"/>
    <cellStyle name="40% - akcent 1 104 2" xfId="2508" xr:uid="{00000000-0005-0000-0000-0000B7090000}"/>
    <cellStyle name="40% - akcent 1 105" xfId="2509" xr:uid="{00000000-0005-0000-0000-0000B8090000}"/>
    <cellStyle name="40% - akcent 1 105 2" xfId="2510" xr:uid="{00000000-0005-0000-0000-0000B9090000}"/>
    <cellStyle name="40% - akcent 1 106" xfId="2511" xr:uid="{00000000-0005-0000-0000-0000BA090000}"/>
    <cellStyle name="40% - akcent 1 106 2" xfId="2512" xr:uid="{00000000-0005-0000-0000-0000BB090000}"/>
    <cellStyle name="40% - akcent 1 107" xfId="2513" xr:uid="{00000000-0005-0000-0000-0000BC090000}"/>
    <cellStyle name="40% - akcent 1 107 2" xfId="2514" xr:uid="{00000000-0005-0000-0000-0000BD090000}"/>
    <cellStyle name="40% - akcent 1 108" xfId="2515" xr:uid="{00000000-0005-0000-0000-0000BE090000}"/>
    <cellStyle name="40% - akcent 1 108 2" xfId="2516" xr:uid="{00000000-0005-0000-0000-0000BF090000}"/>
    <cellStyle name="40% - akcent 1 109" xfId="2517" xr:uid="{00000000-0005-0000-0000-0000C0090000}"/>
    <cellStyle name="40% - akcent 1 109 2" xfId="2518" xr:uid="{00000000-0005-0000-0000-0000C1090000}"/>
    <cellStyle name="40% - akcent 1 11" xfId="2519" xr:uid="{00000000-0005-0000-0000-0000C2090000}"/>
    <cellStyle name="40% - akcent 1 110" xfId="2520" xr:uid="{00000000-0005-0000-0000-0000C3090000}"/>
    <cellStyle name="40% - akcent 1 110 2" xfId="2521" xr:uid="{00000000-0005-0000-0000-0000C4090000}"/>
    <cellStyle name="40% - akcent 1 111" xfId="2522" xr:uid="{00000000-0005-0000-0000-0000C5090000}"/>
    <cellStyle name="40% - akcent 1 111 2" xfId="2523" xr:uid="{00000000-0005-0000-0000-0000C6090000}"/>
    <cellStyle name="40% - akcent 1 112" xfId="2524" xr:uid="{00000000-0005-0000-0000-0000C7090000}"/>
    <cellStyle name="40% - akcent 1 112 2" xfId="2525" xr:uid="{00000000-0005-0000-0000-0000C8090000}"/>
    <cellStyle name="40% - akcent 1 113" xfId="2526" xr:uid="{00000000-0005-0000-0000-0000C9090000}"/>
    <cellStyle name="40% - akcent 1 113 2" xfId="2527" xr:uid="{00000000-0005-0000-0000-0000CA090000}"/>
    <cellStyle name="40% - akcent 1 114" xfId="2528" xr:uid="{00000000-0005-0000-0000-0000CB090000}"/>
    <cellStyle name="40% - akcent 1 114 2" xfId="2529" xr:uid="{00000000-0005-0000-0000-0000CC090000}"/>
    <cellStyle name="40% - akcent 1 115" xfId="2530" xr:uid="{00000000-0005-0000-0000-0000CD090000}"/>
    <cellStyle name="40% - akcent 1 115 2" xfId="2531" xr:uid="{00000000-0005-0000-0000-0000CE090000}"/>
    <cellStyle name="40% - akcent 1 116" xfId="2532" xr:uid="{00000000-0005-0000-0000-0000CF090000}"/>
    <cellStyle name="40% - akcent 1 116 2" xfId="2533" xr:uid="{00000000-0005-0000-0000-0000D0090000}"/>
    <cellStyle name="40% - akcent 1 117" xfId="2534" xr:uid="{00000000-0005-0000-0000-0000D1090000}"/>
    <cellStyle name="40% - akcent 1 117 2" xfId="2535" xr:uid="{00000000-0005-0000-0000-0000D2090000}"/>
    <cellStyle name="40% - akcent 1 118" xfId="2536" xr:uid="{00000000-0005-0000-0000-0000D3090000}"/>
    <cellStyle name="40% - akcent 1 118 2" xfId="2537" xr:uid="{00000000-0005-0000-0000-0000D4090000}"/>
    <cellStyle name="40% - akcent 1 119" xfId="2538" xr:uid="{00000000-0005-0000-0000-0000D5090000}"/>
    <cellStyle name="40% - akcent 1 119 2" xfId="2539" xr:uid="{00000000-0005-0000-0000-0000D6090000}"/>
    <cellStyle name="40% - akcent 1 12" xfId="2540" xr:uid="{00000000-0005-0000-0000-0000D7090000}"/>
    <cellStyle name="40% - akcent 1 120" xfId="2541" xr:uid="{00000000-0005-0000-0000-0000D8090000}"/>
    <cellStyle name="40% - akcent 1 121" xfId="2542" xr:uid="{00000000-0005-0000-0000-0000D9090000}"/>
    <cellStyle name="40% - akcent 1 13" xfId="2543" xr:uid="{00000000-0005-0000-0000-0000DA090000}"/>
    <cellStyle name="40% - akcent 1 14" xfId="2544" xr:uid="{00000000-0005-0000-0000-0000DB090000}"/>
    <cellStyle name="40% - akcent 1 15" xfId="2545" xr:uid="{00000000-0005-0000-0000-0000DC090000}"/>
    <cellStyle name="40% - akcent 1 16" xfId="2546" xr:uid="{00000000-0005-0000-0000-0000DD090000}"/>
    <cellStyle name="40% - akcent 1 17" xfId="2547" xr:uid="{00000000-0005-0000-0000-0000DE090000}"/>
    <cellStyle name="40% - akcent 1 18" xfId="2548" xr:uid="{00000000-0005-0000-0000-0000DF090000}"/>
    <cellStyle name="40% - akcent 1 19" xfId="2549" xr:uid="{00000000-0005-0000-0000-0000E0090000}"/>
    <cellStyle name="40% - akcent 1 2" xfId="2550" xr:uid="{00000000-0005-0000-0000-0000E1090000}"/>
    <cellStyle name="40% - akcent 1 2 10" xfId="2551" xr:uid="{00000000-0005-0000-0000-0000E2090000}"/>
    <cellStyle name="40% - akcent 1 2 10 2" xfId="2552" xr:uid="{00000000-0005-0000-0000-0000E3090000}"/>
    <cellStyle name="40% - akcent 1 2 10 3" xfId="2553" xr:uid="{00000000-0005-0000-0000-0000E4090000}"/>
    <cellStyle name="40% - akcent 1 2 10 4" xfId="2554" xr:uid="{00000000-0005-0000-0000-0000E5090000}"/>
    <cellStyle name="40% - akcent 1 2 10 5" xfId="2555" xr:uid="{00000000-0005-0000-0000-0000E6090000}"/>
    <cellStyle name="40% - akcent 1 2 10 6" xfId="2556" xr:uid="{00000000-0005-0000-0000-0000E7090000}"/>
    <cellStyle name="40% - akcent 1 2 11" xfId="2557" xr:uid="{00000000-0005-0000-0000-0000E8090000}"/>
    <cellStyle name="40% - akcent 1 2 11 2" xfId="2558" xr:uid="{00000000-0005-0000-0000-0000E9090000}"/>
    <cellStyle name="40% - akcent 1 2 11 3" xfId="2559" xr:uid="{00000000-0005-0000-0000-0000EA090000}"/>
    <cellStyle name="40% - akcent 1 2 11 4" xfId="2560" xr:uid="{00000000-0005-0000-0000-0000EB090000}"/>
    <cellStyle name="40% - akcent 1 2 11 5" xfId="2561" xr:uid="{00000000-0005-0000-0000-0000EC090000}"/>
    <cellStyle name="40% - akcent 1 2 11 6" xfId="2562" xr:uid="{00000000-0005-0000-0000-0000ED090000}"/>
    <cellStyle name="40% - akcent 1 2 12" xfId="2563" xr:uid="{00000000-0005-0000-0000-0000EE090000}"/>
    <cellStyle name="40% - akcent 1 2 12 2" xfId="2564" xr:uid="{00000000-0005-0000-0000-0000EF090000}"/>
    <cellStyle name="40% - akcent 1 2 12 3" xfId="2565" xr:uid="{00000000-0005-0000-0000-0000F0090000}"/>
    <cellStyle name="40% - akcent 1 2 12 4" xfId="2566" xr:uid="{00000000-0005-0000-0000-0000F1090000}"/>
    <cellStyle name="40% - akcent 1 2 12 5" xfId="2567" xr:uid="{00000000-0005-0000-0000-0000F2090000}"/>
    <cellStyle name="40% - akcent 1 2 12 6" xfId="2568" xr:uid="{00000000-0005-0000-0000-0000F3090000}"/>
    <cellStyle name="40% - akcent 1 2 13" xfId="2569" xr:uid="{00000000-0005-0000-0000-0000F4090000}"/>
    <cellStyle name="40% - akcent 1 2 13 2" xfId="2570" xr:uid="{00000000-0005-0000-0000-0000F5090000}"/>
    <cellStyle name="40% - akcent 1 2 13 3" xfId="2571" xr:uid="{00000000-0005-0000-0000-0000F6090000}"/>
    <cellStyle name="40% - akcent 1 2 13 4" xfId="2572" xr:uid="{00000000-0005-0000-0000-0000F7090000}"/>
    <cellStyle name="40% - akcent 1 2 13 5" xfId="2573" xr:uid="{00000000-0005-0000-0000-0000F8090000}"/>
    <cellStyle name="40% - akcent 1 2 13 6" xfId="2574" xr:uid="{00000000-0005-0000-0000-0000F9090000}"/>
    <cellStyle name="40% - akcent 1 2 14" xfId="2575" xr:uid="{00000000-0005-0000-0000-0000FA090000}"/>
    <cellStyle name="40% - akcent 1 2 14 2" xfId="2576" xr:uid="{00000000-0005-0000-0000-0000FB090000}"/>
    <cellStyle name="40% - akcent 1 2 14 3" xfId="2577" xr:uid="{00000000-0005-0000-0000-0000FC090000}"/>
    <cellStyle name="40% - akcent 1 2 14 4" xfId="2578" xr:uid="{00000000-0005-0000-0000-0000FD090000}"/>
    <cellStyle name="40% - akcent 1 2 14 5" xfId="2579" xr:uid="{00000000-0005-0000-0000-0000FE090000}"/>
    <cellStyle name="40% - akcent 1 2 14 6" xfId="2580" xr:uid="{00000000-0005-0000-0000-0000FF090000}"/>
    <cellStyle name="40% - akcent 1 2 15" xfId="2581" xr:uid="{00000000-0005-0000-0000-0000000A0000}"/>
    <cellStyle name="40% - akcent 1 2 15 2" xfId="2582" xr:uid="{00000000-0005-0000-0000-0000010A0000}"/>
    <cellStyle name="40% - akcent 1 2 15 3" xfId="2583" xr:uid="{00000000-0005-0000-0000-0000020A0000}"/>
    <cellStyle name="40% - akcent 1 2 15 4" xfId="2584" xr:uid="{00000000-0005-0000-0000-0000030A0000}"/>
    <cellStyle name="40% - akcent 1 2 15 5" xfId="2585" xr:uid="{00000000-0005-0000-0000-0000040A0000}"/>
    <cellStyle name="40% - akcent 1 2 15 6" xfId="2586" xr:uid="{00000000-0005-0000-0000-0000050A0000}"/>
    <cellStyle name="40% - akcent 1 2 16" xfId="2587" xr:uid="{00000000-0005-0000-0000-0000060A0000}"/>
    <cellStyle name="40% - akcent 1 2 16 2" xfId="2588" xr:uid="{00000000-0005-0000-0000-0000070A0000}"/>
    <cellStyle name="40% - akcent 1 2 16 3" xfId="2589" xr:uid="{00000000-0005-0000-0000-0000080A0000}"/>
    <cellStyle name="40% - akcent 1 2 16 4" xfId="2590" xr:uid="{00000000-0005-0000-0000-0000090A0000}"/>
    <cellStyle name="40% - akcent 1 2 16 5" xfId="2591" xr:uid="{00000000-0005-0000-0000-00000A0A0000}"/>
    <cellStyle name="40% - akcent 1 2 16 6" xfId="2592" xr:uid="{00000000-0005-0000-0000-00000B0A0000}"/>
    <cellStyle name="40% - akcent 1 2 17" xfId="2593" xr:uid="{00000000-0005-0000-0000-00000C0A0000}"/>
    <cellStyle name="40% - akcent 1 2 17 2" xfId="2594" xr:uid="{00000000-0005-0000-0000-00000D0A0000}"/>
    <cellStyle name="40% - akcent 1 2 17 3" xfId="2595" xr:uid="{00000000-0005-0000-0000-00000E0A0000}"/>
    <cellStyle name="40% - akcent 1 2 17 4" xfId="2596" xr:uid="{00000000-0005-0000-0000-00000F0A0000}"/>
    <cellStyle name="40% - akcent 1 2 17 5" xfId="2597" xr:uid="{00000000-0005-0000-0000-0000100A0000}"/>
    <cellStyle name="40% - akcent 1 2 17 6" xfId="2598" xr:uid="{00000000-0005-0000-0000-0000110A0000}"/>
    <cellStyle name="40% - akcent 1 2 18" xfId="2599" xr:uid="{00000000-0005-0000-0000-0000120A0000}"/>
    <cellStyle name="40% - akcent 1 2 18 2" xfId="2600" xr:uid="{00000000-0005-0000-0000-0000130A0000}"/>
    <cellStyle name="40% - akcent 1 2 18 3" xfId="2601" xr:uid="{00000000-0005-0000-0000-0000140A0000}"/>
    <cellStyle name="40% - akcent 1 2 18 4" xfId="2602" xr:uid="{00000000-0005-0000-0000-0000150A0000}"/>
    <cellStyle name="40% - akcent 1 2 18 5" xfId="2603" xr:uid="{00000000-0005-0000-0000-0000160A0000}"/>
    <cellStyle name="40% - akcent 1 2 18 6" xfId="2604" xr:uid="{00000000-0005-0000-0000-0000170A0000}"/>
    <cellStyle name="40% - akcent 1 2 19" xfId="2605" xr:uid="{00000000-0005-0000-0000-0000180A0000}"/>
    <cellStyle name="40% - akcent 1 2 19 2" xfId="2606" xr:uid="{00000000-0005-0000-0000-0000190A0000}"/>
    <cellStyle name="40% - akcent 1 2 19 3" xfId="2607" xr:uid="{00000000-0005-0000-0000-00001A0A0000}"/>
    <cellStyle name="40% - akcent 1 2 19 4" xfId="2608" xr:uid="{00000000-0005-0000-0000-00001B0A0000}"/>
    <cellStyle name="40% - akcent 1 2 19 5" xfId="2609" xr:uid="{00000000-0005-0000-0000-00001C0A0000}"/>
    <cellStyle name="40% - akcent 1 2 19 6" xfId="2610" xr:uid="{00000000-0005-0000-0000-00001D0A0000}"/>
    <cellStyle name="40% - akcent 1 2 2" xfId="2611" xr:uid="{00000000-0005-0000-0000-00001E0A0000}"/>
    <cellStyle name="40% - akcent 1 2 2 2" xfId="2612" xr:uid="{00000000-0005-0000-0000-00001F0A0000}"/>
    <cellStyle name="40% - akcent 1 2 2 3" xfId="2613" xr:uid="{00000000-0005-0000-0000-0000200A0000}"/>
    <cellStyle name="40% - akcent 1 2 2 4" xfId="2614" xr:uid="{00000000-0005-0000-0000-0000210A0000}"/>
    <cellStyle name="40% - akcent 1 2 2 5" xfId="2615" xr:uid="{00000000-0005-0000-0000-0000220A0000}"/>
    <cellStyle name="40% - akcent 1 2 2 6" xfId="2616" xr:uid="{00000000-0005-0000-0000-0000230A0000}"/>
    <cellStyle name="40% - akcent 1 2 2 7" xfId="2617" xr:uid="{00000000-0005-0000-0000-0000240A0000}"/>
    <cellStyle name="40% - akcent 1 2 20" xfId="2618" xr:uid="{00000000-0005-0000-0000-0000250A0000}"/>
    <cellStyle name="40% - akcent 1 2 20 2" xfId="2619" xr:uid="{00000000-0005-0000-0000-0000260A0000}"/>
    <cellStyle name="40% - akcent 1 2 20 3" xfId="2620" xr:uid="{00000000-0005-0000-0000-0000270A0000}"/>
    <cellStyle name="40% - akcent 1 2 20 4" xfId="2621" xr:uid="{00000000-0005-0000-0000-0000280A0000}"/>
    <cellStyle name="40% - akcent 1 2 20 5" xfId="2622" xr:uid="{00000000-0005-0000-0000-0000290A0000}"/>
    <cellStyle name="40% - akcent 1 2 20 6" xfId="2623" xr:uid="{00000000-0005-0000-0000-00002A0A0000}"/>
    <cellStyle name="40% - akcent 1 2 21" xfId="2624" xr:uid="{00000000-0005-0000-0000-00002B0A0000}"/>
    <cellStyle name="40% - akcent 1 2 21 2" xfId="2625" xr:uid="{00000000-0005-0000-0000-00002C0A0000}"/>
    <cellStyle name="40% - akcent 1 2 21 3" xfId="2626" xr:uid="{00000000-0005-0000-0000-00002D0A0000}"/>
    <cellStyle name="40% - akcent 1 2 21 4" xfId="2627" xr:uid="{00000000-0005-0000-0000-00002E0A0000}"/>
    <cellStyle name="40% - akcent 1 2 21 5" xfId="2628" xr:uid="{00000000-0005-0000-0000-00002F0A0000}"/>
    <cellStyle name="40% - akcent 1 2 21 6" xfId="2629" xr:uid="{00000000-0005-0000-0000-0000300A0000}"/>
    <cellStyle name="40% - akcent 1 2 22" xfId="2630" xr:uid="{00000000-0005-0000-0000-0000310A0000}"/>
    <cellStyle name="40% - akcent 1 2 22 2" xfId="2631" xr:uid="{00000000-0005-0000-0000-0000320A0000}"/>
    <cellStyle name="40% - akcent 1 2 22 3" xfId="2632" xr:uid="{00000000-0005-0000-0000-0000330A0000}"/>
    <cellStyle name="40% - akcent 1 2 22 4" xfId="2633" xr:uid="{00000000-0005-0000-0000-0000340A0000}"/>
    <cellStyle name="40% - akcent 1 2 22 5" xfId="2634" xr:uid="{00000000-0005-0000-0000-0000350A0000}"/>
    <cellStyle name="40% - akcent 1 2 22 6" xfId="2635" xr:uid="{00000000-0005-0000-0000-0000360A0000}"/>
    <cellStyle name="40% - akcent 1 2 23" xfId="2636" xr:uid="{00000000-0005-0000-0000-0000370A0000}"/>
    <cellStyle name="40% - akcent 1 2 23 2" xfId="2637" xr:uid="{00000000-0005-0000-0000-0000380A0000}"/>
    <cellStyle name="40% - akcent 1 2 23 3" xfId="2638" xr:uid="{00000000-0005-0000-0000-0000390A0000}"/>
    <cellStyle name="40% - akcent 1 2 23 4" xfId="2639" xr:uid="{00000000-0005-0000-0000-00003A0A0000}"/>
    <cellStyle name="40% - akcent 1 2 23 5" xfId="2640" xr:uid="{00000000-0005-0000-0000-00003B0A0000}"/>
    <cellStyle name="40% - akcent 1 2 23 6" xfId="2641" xr:uid="{00000000-0005-0000-0000-00003C0A0000}"/>
    <cellStyle name="40% - akcent 1 2 24" xfId="2642" xr:uid="{00000000-0005-0000-0000-00003D0A0000}"/>
    <cellStyle name="40% - akcent 1 2 24 2" xfId="2643" xr:uid="{00000000-0005-0000-0000-00003E0A0000}"/>
    <cellStyle name="40% - akcent 1 2 24 3" xfId="2644" xr:uid="{00000000-0005-0000-0000-00003F0A0000}"/>
    <cellStyle name="40% - akcent 1 2 24 4" xfId="2645" xr:uid="{00000000-0005-0000-0000-0000400A0000}"/>
    <cellStyle name="40% - akcent 1 2 24 5" xfId="2646" xr:uid="{00000000-0005-0000-0000-0000410A0000}"/>
    <cellStyle name="40% - akcent 1 2 24 6" xfId="2647" xr:uid="{00000000-0005-0000-0000-0000420A0000}"/>
    <cellStyle name="40% - akcent 1 2 25" xfId="2648" xr:uid="{00000000-0005-0000-0000-0000430A0000}"/>
    <cellStyle name="40% - akcent 1 2 25 2" xfId="2649" xr:uid="{00000000-0005-0000-0000-0000440A0000}"/>
    <cellStyle name="40% - akcent 1 2 25 3" xfId="2650" xr:uid="{00000000-0005-0000-0000-0000450A0000}"/>
    <cellStyle name="40% - akcent 1 2 25 4" xfId="2651" xr:uid="{00000000-0005-0000-0000-0000460A0000}"/>
    <cellStyle name="40% - akcent 1 2 25 5" xfId="2652" xr:uid="{00000000-0005-0000-0000-0000470A0000}"/>
    <cellStyle name="40% - akcent 1 2 25 6" xfId="2653" xr:uid="{00000000-0005-0000-0000-0000480A0000}"/>
    <cellStyle name="40% - akcent 1 2 26" xfId="2654" xr:uid="{00000000-0005-0000-0000-0000490A0000}"/>
    <cellStyle name="40% - akcent 1 2 26 2" xfId="2655" xr:uid="{00000000-0005-0000-0000-00004A0A0000}"/>
    <cellStyle name="40% - akcent 1 2 26 3" xfId="2656" xr:uid="{00000000-0005-0000-0000-00004B0A0000}"/>
    <cellStyle name="40% - akcent 1 2 26 4" xfId="2657" xr:uid="{00000000-0005-0000-0000-00004C0A0000}"/>
    <cellStyle name="40% - akcent 1 2 26 5" xfId="2658" xr:uid="{00000000-0005-0000-0000-00004D0A0000}"/>
    <cellStyle name="40% - akcent 1 2 26 6" xfId="2659" xr:uid="{00000000-0005-0000-0000-00004E0A0000}"/>
    <cellStyle name="40% - akcent 1 2 27" xfId="2660" xr:uid="{00000000-0005-0000-0000-00004F0A0000}"/>
    <cellStyle name="40% - akcent 1 2 27 2" xfId="2661" xr:uid="{00000000-0005-0000-0000-0000500A0000}"/>
    <cellStyle name="40% - akcent 1 2 27 3" xfId="2662" xr:uid="{00000000-0005-0000-0000-0000510A0000}"/>
    <cellStyle name="40% - akcent 1 2 27 4" xfId="2663" xr:uid="{00000000-0005-0000-0000-0000520A0000}"/>
    <cellStyle name="40% - akcent 1 2 27 5" xfId="2664" xr:uid="{00000000-0005-0000-0000-0000530A0000}"/>
    <cellStyle name="40% - akcent 1 2 27 6" xfId="2665" xr:uid="{00000000-0005-0000-0000-0000540A0000}"/>
    <cellStyle name="40% - akcent 1 2 28" xfId="2666" xr:uid="{00000000-0005-0000-0000-0000550A0000}"/>
    <cellStyle name="40% - akcent 1 2 28 2" xfId="2667" xr:uid="{00000000-0005-0000-0000-0000560A0000}"/>
    <cellStyle name="40% - akcent 1 2 28 3" xfId="2668" xr:uid="{00000000-0005-0000-0000-0000570A0000}"/>
    <cellStyle name="40% - akcent 1 2 28 4" xfId="2669" xr:uid="{00000000-0005-0000-0000-0000580A0000}"/>
    <cellStyle name="40% - akcent 1 2 28 5" xfId="2670" xr:uid="{00000000-0005-0000-0000-0000590A0000}"/>
    <cellStyle name="40% - akcent 1 2 28 6" xfId="2671" xr:uid="{00000000-0005-0000-0000-00005A0A0000}"/>
    <cellStyle name="40% - akcent 1 2 29" xfId="2672" xr:uid="{00000000-0005-0000-0000-00005B0A0000}"/>
    <cellStyle name="40% - akcent 1 2 29 2" xfId="2673" xr:uid="{00000000-0005-0000-0000-00005C0A0000}"/>
    <cellStyle name="40% - akcent 1 2 3" xfId="2674" xr:uid="{00000000-0005-0000-0000-00005D0A0000}"/>
    <cellStyle name="40% - akcent 1 2 3 2" xfId="2675" xr:uid="{00000000-0005-0000-0000-00005E0A0000}"/>
    <cellStyle name="40% - akcent 1 2 3 3" xfId="2676" xr:uid="{00000000-0005-0000-0000-00005F0A0000}"/>
    <cellStyle name="40% - akcent 1 2 3 4" xfId="2677" xr:uid="{00000000-0005-0000-0000-0000600A0000}"/>
    <cellStyle name="40% - akcent 1 2 3 5" xfId="2678" xr:uid="{00000000-0005-0000-0000-0000610A0000}"/>
    <cellStyle name="40% - akcent 1 2 3 6" xfId="2679" xr:uid="{00000000-0005-0000-0000-0000620A0000}"/>
    <cellStyle name="40% - akcent 1 2 3 7" xfId="2680" xr:uid="{00000000-0005-0000-0000-0000630A0000}"/>
    <cellStyle name="40% - akcent 1 2 30" xfId="2681" xr:uid="{00000000-0005-0000-0000-0000640A0000}"/>
    <cellStyle name="40% - akcent 1 2 30 2" xfId="2682" xr:uid="{00000000-0005-0000-0000-0000650A0000}"/>
    <cellStyle name="40% - akcent 1 2 31" xfId="2683" xr:uid="{00000000-0005-0000-0000-0000660A0000}"/>
    <cellStyle name="40% - akcent 1 2 31 2" xfId="2684" xr:uid="{00000000-0005-0000-0000-0000670A0000}"/>
    <cellStyle name="40% - akcent 1 2 32" xfId="2685" xr:uid="{00000000-0005-0000-0000-0000680A0000}"/>
    <cellStyle name="40% - akcent 1 2 32 2" xfId="2686" xr:uid="{00000000-0005-0000-0000-0000690A0000}"/>
    <cellStyle name="40% - akcent 1 2 33" xfId="2687" xr:uid="{00000000-0005-0000-0000-00006A0A0000}"/>
    <cellStyle name="40% - akcent 1 2 34" xfId="2688" xr:uid="{00000000-0005-0000-0000-00006B0A0000}"/>
    <cellStyle name="40% - akcent 1 2 35" xfId="2689" xr:uid="{00000000-0005-0000-0000-00006C0A0000}"/>
    <cellStyle name="40% - akcent 1 2 36" xfId="2690" xr:uid="{00000000-0005-0000-0000-00006D0A0000}"/>
    <cellStyle name="40% - akcent 1 2 37" xfId="2691" xr:uid="{00000000-0005-0000-0000-00006E0A0000}"/>
    <cellStyle name="40% - akcent 1 2 38" xfId="2692" xr:uid="{00000000-0005-0000-0000-00006F0A0000}"/>
    <cellStyle name="40% - akcent 1 2 39" xfId="2693" xr:uid="{00000000-0005-0000-0000-0000700A0000}"/>
    <cellStyle name="40% - akcent 1 2 4" xfId="2694" xr:uid="{00000000-0005-0000-0000-0000710A0000}"/>
    <cellStyle name="40% - akcent 1 2 4 2" xfId="2695" xr:uid="{00000000-0005-0000-0000-0000720A0000}"/>
    <cellStyle name="40% - akcent 1 2 4 3" xfId="2696" xr:uid="{00000000-0005-0000-0000-0000730A0000}"/>
    <cellStyle name="40% - akcent 1 2 4 4" xfId="2697" xr:uid="{00000000-0005-0000-0000-0000740A0000}"/>
    <cellStyle name="40% - akcent 1 2 4 5" xfId="2698" xr:uid="{00000000-0005-0000-0000-0000750A0000}"/>
    <cellStyle name="40% - akcent 1 2 4 6" xfId="2699" xr:uid="{00000000-0005-0000-0000-0000760A0000}"/>
    <cellStyle name="40% - akcent 1 2 4 7" xfId="2700" xr:uid="{00000000-0005-0000-0000-0000770A0000}"/>
    <cellStyle name="40% - akcent 1 2 40" xfId="2701" xr:uid="{00000000-0005-0000-0000-0000780A0000}"/>
    <cellStyle name="40% - akcent 1 2 41" xfId="2702" xr:uid="{00000000-0005-0000-0000-0000790A0000}"/>
    <cellStyle name="40% - akcent 1 2 42" xfId="2703" xr:uid="{00000000-0005-0000-0000-00007A0A0000}"/>
    <cellStyle name="40% - akcent 1 2 43" xfId="2704" xr:uid="{00000000-0005-0000-0000-00007B0A0000}"/>
    <cellStyle name="40% - akcent 1 2 44" xfId="2705" xr:uid="{00000000-0005-0000-0000-00007C0A0000}"/>
    <cellStyle name="40% - akcent 1 2 45" xfId="2706" xr:uid="{00000000-0005-0000-0000-00007D0A0000}"/>
    <cellStyle name="40% - akcent 1 2 46" xfId="2707" xr:uid="{00000000-0005-0000-0000-00007E0A0000}"/>
    <cellStyle name="40% - akcent 1 2 47" xfId="2708" xr:uid="{00000000-0005-0000-0000-00007F0A0000}"/>
    <cellStyle name="40% - akcent 1 2 48" xfId="2709" xr:uid="{00000000-0005-0000-0000-0000800A0000}"/>
    <cellStyle name="40% - akcent 1 2 49" xfId="2710" xr:uid="{00000000-0005-0000-0000-0000810A0000}"/>
    <cellStyle name="40% - akcent 1 2 5" xfId="2711" xr:uid="{00000000-0005-0000-0000-0000820A0000}"/>
    <cellStyle name="40% - akcent 1 2 5 2" xfId="2712" xr:uid="{00000000-0005-0000-0000-0000830A0000}"/>
    <cellStyle name="40% - akcent 1 2 5 3" xfId="2713" xr:uid="{00000000-0005-0000-0000-0000840A0000}"/>
    <cellStyle name="40% - akcent 1 2 5 4" xfId="2714" xr:uid="{00000000-0005-0000-0000-0000850A0000}"/>
    <cellStyle name="40% - akcent 1 2 5 5" xfId="2715" xr:uid="{00000000-0005-0000-0000-0000860A0000}"/>
    <cellStyle name="40% - akcent 1 2 5 6" xfId="2716" xr:uid="{00000000-0005-0000-0000-0000870A0000}"/>
    <cellStyle name="40% - akcent 1 2 50" xfId="2717" xr:uid="{00000000-0005-0000-0000-0000880A0000}"/>
    <cellStyle name="40% - akcent 1 2 51" xfId="2718" xr:uid="{00000000-0005-0000-0000-0000890A0000}"/>
    <cellStyle name="40% - akcent 1 2 6" xfId="2719" xr:uid="{00000000-0005-0000-0000-00008A0A0000}"/>
    <cellStyle name="40% - akcent 1 2 6 2" xfId="2720" xr:uid="{00000000-0005-0000-0000-00008B0A0000}"/>
    <cellStyle name="40% - akcent 1 2 6 3" xfId="2721" xr:uid="{00000000-0005-0000-0000-00008C0A0000}"/>
    <cellStyle name="40% - akcent 1 2 6 4" xfId="2722" xr:uid="{00000000-0005-0000-0000-00008D0A0000}"/>
    <cellStyle name="40% - akcent 1 2 6 5" xfId="2723" xr:uid="{00000000-0005-0000-0000-00008E0A0000}"/>
    <cellStyle name="40% - akcent 1 2 6 6" xfId="2724" xr:uid="{00000000-0005-0000-0000-00008F0A0000}"/>
    <cellStyle name="40% - akcent 1 2 7" xfId="2725" xr:uid="{00000000-0005-0000-0000-0000900A0000}"/>
    <cellStyle name="40% - akcent 1 2 7 2" xfId="2726" xr:uid="{00000000-0005-0000-0000-0000910A0000}"/>
    <cellStyle name="40% - akcent 1 2 7 3" xfId="2727" xr:uid="{00000000-0005-0000-0000-0000920A0000}"/>
    <cellStyle name="40% - akcent 1 2 7 4" xfId="2728" xr:uid="{00000000-0005-0000-0000-0000930A0000}"/>
    <cellStyle name="40% - akcent 1 2 7 5" xfId="2729" xr:uid="{00000000-0005-0000-0000-0000940A0000}"/>
    <cellStyle name="40% - akcent 1 2 7 6" xfId="2730" xr:uid="{00000000-0005-0000-0000-0000950A0000}"/>
    <cellStyle name="40% - akcent 1 2 8" xfId="2731" xr:uid="{00000000-0005-0000-0000-0000960A0000}"/>
    <cellStyle name="40% - akcent 1 2 8 2" xfId="2732" xr:uid="{00000000-0005-0000-0000-0000970A0000}"/>
    <cellStyle name="40% - akcent 1 2 8 3" xfId="2733" xr:uid="{00000000-0005-0000-0000-0000980A0000}"/>
    <cellStyle name="40% - akcent 1 2 8 4" xfId="2734" xr:uid="{00000000-0005-0000-0000-0000990A0000}"/>
    <cellStyle name="40% - akcent 1 2 8 5" xfId="2735" xr:uid="{00000000-0005-0000-0000-00009A0A0000}"/>
    <cellStyle name="40% - akcent 1 2 8 6" xfId="2736" xr:uid="{00000000-0005-0000-0000-00009B0A0000}"/>
    <cellStyle name="40% - akcent 1 2 9" xfId="2737" xr:uid="{00000000-0005-0000-0000-00009C0A0000}"/>
    <cellStyle name="40% - akcent 1 2 9 2" xfId="2738" xr:uid="{00000000-0005-0000-0000-00009D0A0000}"/>
    <cellStyle name="40% - akcent 1 2 9 3" xfId="2739" xr:uid="{00000000-0005-0000-0000-00009E0A0000}"/>
    <cellStyle name="40% - akcent 1 2 9 4" xfId="2740" xr:uid="{00000000-0005-0000-0000-00009F0A0000}"/>
    <cellStyle name="40% - akcent 1 2 9 5" xfId="2741" xr:uid="{00000000-0005-0000-0000-0000A00A0000}"/>
    <cellStyle name="40% - akcent 1 2 9 6" xfId="2742" xr:uid="{00000000-0005-0000-0000-0000A10A0000}"/>
    <cellStyle name="40% - akcent 1 20" xfId="2743" xr:uid="{00000000-0005-0000-0000-0000A20A0000}"/>
    <cellStyle name="40% - akcent 1 21" xfId="2744" xr:uid="{00000000-0005-0000-0000-0000A30A0000}"/>
    <cellStyle name="40% - akcent 1 22" xfId="2745" xr:uid="{00000000-0005-0000-0000-0000A40A0000}"/>
    <cellStyle name="40% - akcent 1 23" xfId="2746" xr:uid="{00000000-0005-0000-0000-0000A50A0000}"/>
    <cellStyle name="40% - akcent 1 24" xfId="2747" xr:uid="{00000000-0005-0000-0000-0000A60A0000}"/>
    <cellStyle name="40% - akcent 1 25" xfId="2748" xr:uid="{00000000-0005-0000-0000-0000A70A0000}"/>
    <cellStyle name="40% - akcent 1 26" xfId="2749" xr:uid="{00000000-0005-0000-0000-0000A80A0000}"/>
    <cellStyle name="40% - akcent 1 27" xfId="2750" xr:uid="{00000000-0005-0000-0000-0000A90A0000}"/>
    <cellStyle name="40% - akcent 1 28" xfId="2751" xr:uid="{00000000-0005-0000-0000-0000AA0A0000}"/>
    <cellStyle name="40% - akcent 1 29" xfId="2752" xr:uid="{00000000-0005-0000-0000-0000AB0A0000}"/>
    <cellStyle name="40% - akcent 1 3" xfId="2753" xr:uid="{00000000-0005-0000-0000-0000AC0A0000}"/>
    <cellStyle name="40% - akcent 1 3 2" xfId="2754" xr:uid="{00000000-0005-0000-0000-0000AD0A0000}"/>
    <cellStyle name="40% - akcent 1 3 2 2" xfId="2755" xr:uid="{00000000-0005-0000-0000-0000AE0A0000}"/>
    <cellStyle name="40% - akcent 1 3 3" xfId="2756" xr:uid="{00000000-0005-0000-0000-0000AF0A0000}"/>
    <cellStyle name="40% - akcent 1 3 3 2" xfId="2757" xr:uid="{00000000-0005-0000-0000-0000B00A0000}"/>
    <cellStyle name="40% - akcent 1 3 4" xfId="2758" xr:uid="{00000000-0005-0000-0000-0000B10A0000}"/>
    <cellStyle name="40% - akcent 1 3 4 2" xfId="2759" xr:uid="{00000000-0005-0000-0000-0000B20A0000}"/>
    <cellStyle name="40% - akcent 1 3 5" xfId="2760" xr:uid="{00000000-0005-0000-0000-0000B30A0000}"/>
    <cellStyle name="40% - akcent 1 3 6" xfId="2761" xr:uid="{00000000-0005-0000-0000-0000B40A0000}"/>
    <cellStyle name="40% - akcent 1 3 7" xfId="2762" xr:uid="{00000000-0005-0000-0000-0000B50A0000}"/>
    <cellStyle name="40% - akcent 1 3 8" xfId="2763" xr:uid="{00000000-0005-0000-0000-0000B60A0000}"/>
    <cellStyle name="40% - akcent 1 30" xfId="2764" xr:uid="{00000000-0005-0000-0000-0000B70A0000}"/>
    <cellStyle name="40% - akcent 1 30 2" xfId="2765" xr:uid="{00000000-0005-0000-0000-0000B80A0000}"/>
    <cellStyle name="40% - akcent 1 31" xfId="2766" xr:uid="{00000000-0005-0000-0000-0000B90A0000}"/>
    <cellStyle name="40% - akcent 1 31 2" xfId="2767" xr:uid="{00000000-0005-0000-0000-0000BA0A0000}"/>
    <cellStyle name="40% - akcent 1 32" xfId="2768" xr:uid="{00000000-0005-0000-0000-0000BB0A0000}"/>
    <cellStyle name="40% - akcent 1 32 2" xfId="2769" xr:uid="{00000000-0005-0000-0000-0000BC0A0000}"/>
    <cellStyle name="40% - akcent 1 33" xfId="2770" xr:uid="{00000000-0005-0000-0000-0000BD0A0000}"/>
    <cellStyle name="40% - akcent 1 33 2" xfId="2771" xr:uid="{00000000-0005-0000-0000-0000BE0A0000}"/>
    <cellStyle name="40% - akcent 1 34" xfId="2772" xr:uid="{00000000-0005-0000-0000-0000BF0A0000}"/>
    <cellStyle name="40% - akcent 1 34 2" xfId="2773" xr:uid="{00000000-0005-0000-0000-0000C00A0000}"/>
    <cellStyle name="40% - akcent 1 35" xfId="2774" xr:uid="{00000000-0005-0000-0000-0000C10A0000}"/>
    <cellStyle name="40% - akcent 1 35 2" xfId="2775" xr:uid="{00000000-0005-0000-0000-0000C20A0000}"/>
    <cellStyle name="40% - akcent 1 36" xfId="2776" xr:uid="{00000000-0005-0000-0000-0000C30A0000}"/>
    <cellStyle name="40% - akcent 1 36 2" xfId="2777" xr:uid="{00000000-0005-0000-0000-0000C40A0000}"/>
    <cellStyle name="40% - akcent 1 37" xfId="2778" xr:uid="{00000000-0005-0000-0000-0000C50A0000}"/>
    <cellStyle name="40% - akcent 1 37 2" xfId="2779" xr:uid="{00000000-0005-0000-0000-0000C60A0000}"/>
    <cellStyle name="40% - akcent 1 38" xfId="2780" xr:uid="{00000000-0005-0000-0000-0000C70A0000}"/>
    <cellStyle name="40% - akcent 1 38 2" xfId="2781" xr:uid="{00000000-0005-0000-0000-0000C80A0000}"/>
    <cellStyle name="40% - akcent 1 39" xfId="2782" xr:uid="{00000000-0005-0000-0000-0000C90A0000}"/>
    <cellStyle name="40% - akcent 1 39 2" xfId="2783" xr:uid="{00000000-0005-0000-0000-0000CA0A0000}"/>
    <cellStyle name="40% - akcent 1 4" xfId="2784" xr:uid="{00000000-0005-0000-0000-0000CB0A0000}"/>
    <cellStyle name="40% - akcent 1 4 2" xfId="2785" xr:uid="{00000000-0005-0000-0000-0000CC0A0000}"/>
    <cellStyle name="40% - akcent 1 4 2 2" xfId="2786" xr:uid="{00000000-0005-0000-0000-0000CD0A0000}"/>
    <cellStyle name="40% - akcent 1 4 3" xfId="2787" xr:uid="{00000000-0005-0000-0000-0000CE0A0000}"/>
    <cellStyle name="40% - akcent 1 4 3 2" xfId="2788" xr:uid="{00000000-0005-0000-0000-0000CF0A0000}"/>
    <cellStyle name="40% - akcent 1 4 4" xfId="2789" xr:uid="{00000000-0005-0000-0000-0000D00A0000}"/>
    <cellStyle name="40% - akcent 1 4 4 2" xfId="2790" xr:uid="{00000000-0005-0000-0000-0000D10A0000}"/>
    <cellStyle name="40% - akcent 1 4 5" xfId="2791" xr:uid="{00000000-0005-0000-0000-0000D20A0000}"/>
    <cellStyle name="40% - akcent 1 4 6" xfId="2792" xr:uid="{00000000-0005-0000-0000-0000D30A0000}"/>
    <cellStyle name="40% - akcent 1 4 7" xfId="2793" xr:uid="{00000000-0005-0000-0000-0000D40A0000}"/>
    <cellStyle name="40% - akcent 1 4 8" xfId="2794" xr:uid="{00000000-0005-0000-0000-0000D50A0000}"/>
    <cellStyle name="40% - akcent 1 40" xfId="2795" xr:uid="{00000000-0005-0000-0000-0000D60A0000}"/>
    <cellStyle name="40% - akcent 1 40 2" xfId="2796" xr:uid="{00000000-0005-0000-0000-0000D70A0000}"/>
    <cellStyle name="40% - akcent 1 41" xfId="2797" xr:uid="{00000000-0005-0000-0000-0000D80A0000}"/>
    <cellStyle name="40% - akcent 1 41 2" xfId="2798" xr:uid="{00000000-0005-0000-0000-0000D90A0000}"/>
    <cellStyle name="40% - akcent 1 42" xfId="2799" xr:uid="{00000000-0005-0000-0000-0000DA0A0000}"/>
    <cellStyle name="40% - akcent 1 42 2" xfId="2800" xr:uid="{00000000-0005-0000-0000-0000DB0A0000}"/>
    <cellStyle name="40% - akcent 1 43" xfId="2801" xr:uid="{00000000-0005-0000-0000-0000DC0A0000}"/>
    <cellStyle name="40% - akcent 1 43 2" xfId="2802" xr:uid="{00000000-0005-0000-0000-0000DD0A0000}"/>
    <cellStyle name="40% - akcent 1 44" xfId="2803" xr:uid="{00000000-0005-0000-0000-0000DE0A0000}"/>
    <cellStyle name="40% - akcent 1 44 2" xfId="2804" xr:uid="{00000000-0005-0000-0000-0000DF0A0000}"/>
    <cellStyle name="40% - akcent 1 45" xfId="2805" xr:uid="{00000000-0005-0000-0000-0000E00A0000}"/>
    <cellStyle name="40% - akcent 1 45 2" xfId="2806" xr:uid="{00000000-0005-0000-0000-0000E10A0000}"/>
    <cellStyle name="40% - akcent 1 46" xfId="2807" xr:uid="{00000000-0005-0000-0000-0000E20A0000}"/>
    <cellStyle name="40% - akcent 1 46 2" xfId="2808" xr:uid="{00000000-0005-0000-0000-0000E30A0000}"/>
    <cellStyle name="40% - akcent 1 47" xfId="2809" xr:uid="{00000000-0005-0000-0000-0000E40A0000}"/>
    <cellStyle name="40% - akcent 1 47 2" xfId="2810" xr:uid="{00000000-0005-0000-0000-0000E50A0000}"/>
    <cellStyle name="40% - akcent 1 48" xfId="2811" xr:uid="{00000000-0005-0000-0000-0000E60A0000}"/>
    <cellStyle name="40% - akcent 1 48 2" xfId="2812" xr:uid="{00000000-0005-0000-0000-0000E70A0000}"/>
    <cellStyle name="40% - akcent 1 49" xfId="2813" xr:uid="{00000000-0005-0000-0000-0000E80A0000}"/>
    <cellStyle name="40% - akcent 1 49 2" xfId="2814" xr:uid="{00000000-0005-0000-0000-0000E90A0000}"/>
    <cellStyle name="40% - akcent 1 5" xfId="2815" xr:uid="{00000000-0005-0000-0000-0000EA0A0000}"/>
    <cellStyle name="40% - akcent 1 5 2" xfId="2816" xr:uid="{00000000-0005-0000-0000-0000EB0A0000}"/>
    <cellStyle name="40% - akcent 1 5 3" xfId="2817" xr:uid="{00000000-0005-0000-0000-0000EC0A0000}"/>
    <cellStyle name="40% - akcent 1 50" xfId="2818" xr:uid="{00000000-0005-0000-0000-0000ED0A0000}"/>
    <cellStyle name="40% - akcent 1 50 2" xfId="2819" xr:uid="{00000000-0005-0000-0000-0000EE0A0000}"/>
    <cellStyle name="40% - akcent 1 51" xfId="2820" xr:uid="{00000000-0005-0000-0000-0000EF0A0000}"/>
    <cellStyle name="40% - akcent 1 51 2" xfId="2821" xr:uid="{00000000-0005-0000-0000-0000F00A0000}"/>
    <cellStyle name="40% - akcent 1 52" xfId="2822" xr:uid="{00000000-0005-0000-0000-0000F10A0000}"/>
    <cellStyle name="40% - akcent 1 52 2" xfId="2823" xr:uid="{00000000-0005-0000-0000-0000F20A0000}"/>
    <cellStyle name="40% - akcent 1 53" xfId="2824" xr:uid="{00000000-0005-0000-0000-0000F30A0000}"/>
    <cellStyle name="40% - akcent 1 53 2" xfId="2825" xr:uid="{00000000-0005-0000-0000-0000F40A0000}"/>
    <cellStyle name="40% - akcent 1 54" xfId="2826" xr:uid="{00000000-0005-0000-0000-0000F50A0000}"/>
    <cellStyle name="40% - akcent 1 54 2" xfId="2827" xr:uid="{00000000-0005-0000-0000-0000F60A0000}"/>
    <cellStyle name="40% - akcent 1 55" xfId="2828" xr:uid="{00000000-0005-0000-0000-0000F70A0000}"/>
    <cellStyle name="40% - akcent 1 55 2" xfId="2829" xr:uid="{00000000-0005-0000-0000-0000F80A0000}"/>
    <cellStyle name="40% - akcent 1 56" xfId="2830" xr:uid="{00000000-0005-0000-0000-0000F90A0000}"/>
    <cellStyle name="40% - akcent 1 56 2" xfId="2831" xr:uid="{00000000-0005-0000-0000-0000FA0A0000}"/>
    <cellStyle name="40% - akcent 1 57" xfId="2832" xr:uid="{00000000-0005-0000-0000-0000FB0A0000}"/>
    <cellStyle name="40% - akcent 1 57 2" xfId="2833" xr:uid="{00000000-0005-0000-0000-0000FC0A0000}"/>
    <cellStyle name="40% - akcent 1 58" xfId="2834" xr:uid="{00000000-0005-0000-0000-0000FD0A0000}"/>
    <cellStyle name="40% - akcent 1 58 2" xfId="2835" xr:uid="{00000000-0005-0000-0000-0000FE0A0000}"/>
    <cellStyle name="40% - akcent 1 59" xfId="2836" xr:uid="{00000000-0005-0000-0000-0000FF0A0000}"/>
    <cellStyle name="40% - akcent 1 59 2" xfId="2837" xr:uid="{00000000-0005-0000-0000-0000000B0000}"/>
    <cellStyle name="40% - akcent 1 6" xfId="2838" xr:uid="{00000000-0005-0000-0000-0000010B0000}"/>
    <cellStyle name="40% - akcent 1 60" xfId="2839" xr:uid="{00000000-0005-0000-0000-0000020B0000}"/>
    <cellStyle name="40% - akcent 1 60 2" xfId="2840" xr:uid="{00000000-0005-0000-0000-0000030B0000}"/>
    <cellStyle name="40% - akcent 1 61" xfId="2841" xr:uid="{00000000-0005-0000-0000-0000040B0000}"/>
    <cellStyle name="40% - akcent 1 61 2" xfId="2842" xr:uid="{00000000-0005-0000-0000-0000050B0000}"/>
    <cellStyle name="40% - akcent 1 62" xfId="2843" xr:uid="{00000000-0005-0000-0000-0000060B0000}"/>
    <cellStyle name="40% - akcent 1 62 2" xfId="2844" xr:uid="{00000000-0005-0000-0000-0000070B0000}"/>
    <cellStyle name="40% - akcent 1 63" xfId="2845" xr:uid="{00000000-0005-0000-0000-0000080B0000}"/>
    <cellStyle name="40% - akcent 1 63 2" xfId="2846" xr:uid="{00000000-0005-0000-0000-0000090B0000}"/>
    <cellStyle name="40% - akcent 1 64" xfId="2847" xr:uid="{00000000-0005-0000-0000-00000A0B0000}"/>
    <cellStyle name="40% - akcent 1 64 2" xfId="2848" xr:uid="{00000000-0005-0000-0000-00000B0B0000}"/>
    <cellStyle name="40% - akcent 1 65" xfId="2849" xr:uid="{00000000-0005-0000-0000-00000C0B0000}"/>
    <cellStyle name="40% - akcent 1 65 2" xfId="2850" xr:uid="{00000000-0005-0000-0000-00000D0B0000}"/>
    <cellStyle name="40% - akcent 1 66" xfId="2851" xr:uid="{00000000-0005-0000-0000-00000E0B0000}"/>
    <cellStyle name="40% - akcent 1 66 2" xfId="2852" xr:uid="{00000000-0005-0000-0000-00000F0B0000}"/>
    <cellStyle name="40% - akcent 1 67" xfId="2853" xr:uid="{00000000-0005-0000-0000-0000100B0000}"/>
    <cellStyle name="40% - akcent 1 67 2" xfId="2854" xr:uid="{00000000-0005-0000-0000-0000110B0000}"/>
    <cellStyle name="40% - akcent 1 68" xfId="2855" xr:uid="{00000000-0005-0000-0000-0000120B0000}"/>
    <cellStyle name="40% - akcent 1 68 2" xfId="2856" xr:uid="{00000000-0005-0000-0000-0000130B0000}"/>
    <cellStyle name="40% - akcent 1 69" xfId="2857" xr:uid="{00000000-0005-0000-0000-0000140B0000}"/>
    <cellStyle name="40% - akcent 1 69 2" xfId="2858" xr:uid="{00000000-0005-0000-0000-0000150B0000}"/>
    <cellStyle name="40% - akcent 1 7" xfId="2859" xr:uid="{00000000-0005-0000-0000-0000160B0000}"/>
    <cellStyle name="40% - akcent 1 70" xfId="2860" xr:uid="{00000000-0005-0000-0000-0000170B0000}"/>
    <cellStyle name="40% - akcent 1 70 2" xfId="2861" xr:uid="{00000000-0005-0000-0000-0000180B0000}"/>
    <cellStyle name="40% - akcent 1 71" xfId="2862" xr:uid="{00000000-0005-0000-0000-0000190B0000}"/>
    <cellStyle name="40% - akcent 1 71 2" xfId="2863" xr:uid="{00000000-0005-0000-0000-00001A0B0000}"/>
    <cellStyle name="40% - akcent 1 72" xfId="2864" xr:uid="{00000000-0005-0000-0000-00001B0B0000}"/>
    <cellStyle name="40% - akcent 1 72 2" xfId="2865" xr:uid="{00000000-0005-0000-0000-00001C0B0000}"/>
    <cellStyle name="40% - akcent 1 73" xfId="2866" xr:uid="{00000000-0005-0000-0000-00001D0B0000}"/>
    <cellStyle name="40% - akcent 1 73 2" xfId="2867" xr:uid="{00000000-0005-0000-0000-00001E0B0000}"/>
    <cellStyle name="40% - akcent 1 74" xfId="2868" xr:uid="{00000000-0005-0000-0000-00001F0B0000}"/>
    <cellStyle name="40% - akcent 1 74 2" xfId="2869" xr:uid="{00000000-0005-0000-0000-0000200B0000}"/>
    <cellStyle name="40% - akcent 1 75" xfId="2870" xr:uid="{00000000-0005-0000-0000-0000210B0000}"/>
    <cellStyle name="40% - akcent 1 75 2" xfId="2871" xr:uid="{00000000-0005-0000-0000-0000220B0000}"/>
    <cellStyle name="40% - akcent 1 76" xfId="2872" xr:uid="{00000000-0005-0000-0000-0000230B0000}"/>
    <cellStyle name="40% - akcent 1 76 2" xfId="2873" xr:uid="{00000000-0005-0000-0000-0000240B0000}"/>
    <cellStyle name="40% - akcent 1 77" xfId="2874" xr:uid="{00000000-0005-0000-0000-0000250B0000}"/>
    <cellStyle name="40% - akcent 1 77 2" xfId="2875" xr:uid="{00000000-0005-0000-0000-0000260B0000}"/>
    <cellStyle name="40% - akcent 1 78" xfId="2876" xr:uid="{00000000-0005-0000-0000-0000270B0000}"/>
    <cellStyle name="40% - akcent 1 78 2" xfId="2877" xr:uid="{00000000-0005-0000-0000-0000280B0000}"/>
    <cellStyle name="40% - akcent 1 79" xfId="2878" xr:uid="{00000000-0005-0000-0000-0000290B0000}"/>
    <cellStyle name="40% - akcent 1 79 2" xfId="2879" xr:uid="{00000000-0005-0000-0000-00002A0B0000}"/>
    <cellStyle name="40% - akcent 1 8" xfId="2880" xr:uid="{00000000-0005-0000-0000-00002B0B0000}"/>
    <cellStyle name="40% - akcent 1 80" xfId="2881" xr:uid="{00000000-0005-0000-0000-00002C0B0000}"/>
    <cellStyle name="40% - akcent 1 80 2" xfId="2882" xr:uid="{00000000-0005-0000-0000-00002D0B0000}"/>
    <cellStyle name="40% - akcent 1 81" xfId="2883" xr:uid="{00000000-0005-0000-0000-00002E0B0000}"/>
    <cellStyle name="40% - akcent 1 81 2" xfId="2884" xr:uid="{00000000-0005-0000-0000-00002F0B0000}"/>
    <cellStyle name="40% - akcent 1 82" xfId="2885" xr:uid="{00000000-0005-0000-0000-0000300B0000}"/>
    <cellStyle name="40% - akcent 1 82 2" xfId="2886" xr:uid="{00000000-0005-0000-0000-0000310B0000}"/>
    <cellStyle name="40% - akcent 1 83" xfId="2887" xr:uid="{00000000-0005-0000-0000-0000320B0000}"/>
    <cellStyle name="40% - akcent 1 83 2" xfId="2888" xr:uid="{00000000-0005-0000-0000-0000330B0000}"/>
    <cellStyle name="40% - akcent 1 84" xfId="2889" xr:uid="{00000000-0005-0000-0000-0000340B0000}"/>
    <cellStyle name="40% - akcent 1 84 2" xfId="2890" xr:uid="{00000000-0005-0000-0000-0000350B0000}"/>
    <cellStyle name="40% - akcent 1 85" xfId="2891" xr:uid="{00000000-0005-0000-0000-0000360B0000}"/>
    <cellStyle name="40% - akcent 1 85 2" xfId="2892" xr:uid="{00000000-0005-0000-0000-0000370B0000}"/>
    <cellStyle name="40% - akcent 1 86" xfId="2893" xr:uid="{00000000-0005-0000-0000-0000380B0000}"/>
    <cellStyle name="40% - akcent 1 86 2" xfId="2894" xr:uid="{00000000-0005-0000-0000-0000390B0000}"/>
    <cellStyle name="40% - akcent 1 87" xfId="2895" xr:uid="{00000000-0005-0000-0000-00003A0B0000}"/>
    <cellStyle name="40% - akcent 1 87 2" xfId="2896" xr:uid="{00000000-0005-0000-0000-00003B0B0000}"/>
    <cellStyle name="40% - akcent 1 88" xfId="2897" xr:uid="{00000000-0005-0000-0000-00003C0B0000}"/>
    <cellStyle name="40% - akcent 1 88 2" xfId="2898" xr:uid="{00000000-0005-0000-0000-00003D0B0000}"/>
    <cellStyle name="40% - akcent 1 89" xfId="2899" xr:uid="{00000000-0005-0000-0000-00003E0B0000}"/>
    <cellStyle name="40% - akcent 1 89 2" xfId="2900" xr:uid="{00000000-0005-0000-0000-00003F0B0000}"/>
    <cellStyle name="40% - akcent 1 9" xfId="2901" xr:uid="{00000000-0005-0000-0000-0000400B0000}"/>
    <cellStyle name="40% - akcent 1 90" xfId="2902" xr:uid="{00000000-0005-0000-0000-0000410B0000}"/>
    <cellStyle name="40% - akcent 1 90 2" xfId="2903" xr:uid="{00000000-0005-0000-0000-0000420B0000}"/>
    <cellStyle name="40% - akcent 1 91" xfId="2904" xr:uid="{00000000-0005-0000-0000-0000430B0000}"/>
    <cellStyle name="40% - akcent 1 91 2" xfId="2905" xr:uid="{00000000-0005-0000-0000-0000440B0000}"/>
    <cellStyle name="40% - akcent 1 92" xfId="2906" xr:uid="{00000000-0005-0000-0000-0000450B0000}"/>
    <cellStyle name="40% - akcent 1 92 2" xfId="2907" xr:uid="{00000000-0005-0000-0000-0000460B0000}"/>
    <cellStyle name="40% - akcent 1 93" xfId="2908" xr:uid="{00000000-0005-0000-0000-0000470B0000}"/>
    <cellStyle name="40% - akcent 1 93 2" xfId="2909" xr:uid="{00000000-0005-0000-0000-0000480B0000}"/>
    <cellStyle name="40% - akcent 1 94" xfId="2910" xr:uid="{00000000-0005-0000-0000-0000490B0000}"/>
    <cellStyle name="40% - akcent 1 94 2" xfId="2911" xr:uid="{00000000-0005-0000-0000-00004A0B0000}"/>
    <cellStyle name="40% - akcent 1 95" xfId="2912" xr:uid="{00000000-0005-0000-0000-00004B0B0000}"/>
    <cellStyle name="40% - akcent 1 95 2" xfId="2913" xr:uid="{00000000-0005-0000-0000-00004C0B0000}"/>
    <cellStyle name="40% - akcent 1 96" xfId="2914" xr:uid="{00000000-0005-0000-0000-00004D0B0000}"/>
    <cellStyle name="40% - akcent 1 96 2" xfId="2915" xr:uid="{00000000-0005-0000-0000-00004E0B0000}"/>
    <cellStyle name="40% - akcent 1 97" xfId="2916" xr:uid="{00000000-0005-0000-0000-00004F0B0000}"/>
    <cellStyle name="40% - akcent 1 97 2" xfId="2917" xr:uid="{00000000-0005-0000-0000-0000500B0000}"/>
    <cellStyle name="40% - akcent 1 98" xfId="2918" xr:uid="{00000000-0005-0000-0000-0000510B0000}"/>
    <cellStyle name="40% - akcent 1 98 2" xfId="2919" xr:uid="{00000000-0005-0000-0000-0000520B0000}"/>
    <cellStyle name="40% - akcent 1 99" xfId="2920" xr:uid="{00000000-0005-0000-0000-0000530B0000}"/>
    <cellStyle name="40% - akcent 1 99 2" xfId="2921" xr:uid="{00000000-0005-0000-0000-0000540B0000}"/>
    <cellStyle name="40% - akcent 2 10" xfId="2922" xr:uid="{00000000-0005-0000-0000-0000550B0000}"/>
    <cellStyle name="40% - akcent 2 100" xfId="2923" xr:uid="{00000000-0005-0000-0000-0000560B0000}"/>
    <cellStyle name="40% - akcent 2 100 2" xfId="2924" xr:uid="{00000000-0005-0000-0000-0000570B0000}"/>
    <cellStyle name="40% - akcent 2 101" xfId="2925" xr:uid="{00000000-0005-0000-0000-0000580B0000}"/>
    <cellStyle name="40% - akcent 2 101 2" xfId="2926" xr:uid="{00000000-0005-0000-0000-0000590B0000}"/>
    <cellStyle name="40% - akcent 2 102" xfId="2927" xr:uid="{00000000-0005-0000-0000-00005A0B0000}"/>
    <cellStyle name="40% - akcent 2 102 2" xfId="2928" xr:uid="{00000000-0005-0000-0000-00005B0B0000}"/>
    <cellStyle name="40% - akcent 2 103" xfId="2929" xr:uid="{00000000-0005-0000-0000-00005C0B0000}"/>
    <cellStyle name="40% - akcent 2 103 2" xfId="2930" xr:uid="{00000000-0005-0000-0000-00005D0B0000}"/>
    <cellStyle name="40% - akcent 2 104" xfId="2931" xr:uid="{00000000-0005-0000-0000-00005E0B0000}"/>
    <cellStyle name="40% - akcent 2 104 2" xfId="2932" xr:uid="{00000000-0005-0000-0000-00005F0B0000}"/>
    <cellStyle name="40% - akcent 2 105" xfId="2933" xr:uid="{00000000-0005-0000-0000-0000600B0000}"/>
    <cellStyle name="40% - akcent 2 105 2" xfId="2934" xr:uid="{00000000-0005-0000-0000-0000610B0000}"/>
    <cellStyle name="40% - akcent 2 106" xfId="2935" xr:uid="{00000000-0005-0000-0000-0000620B0000}"/>
    <cellStyle name="40% - akcent 2 106 2" xfId="2936" xr:uid="{00000000-0005-0000-0000-0000630B0000}"/>
    <cellStyle name="40% - akcent 2 107" xfId="2937" xr:uid="{00000000-0005-0000-0000-0000640B0000}"/>
    <cellStyle name="40% - akcent 2 107 2" xfId="2938" xr:uid="{00000000-0005-0000-0000-0000650B0000}"/>
    <cellStyle name="40% - akcent 2 108" xfId="2939" xr:uid="{00000000-0005-0000-0000-0000660B0000}"/>
    <cellStyle name="40% - akcent 2 108 2" xfId="2940" xr:uid="{00000000-0005-0000-0000-0000670B0000}"/>
    <cellStyle name="40% - akcent 2 109" xfId="2941" xr:uid="{00000000-0005-0000-0000-0000680B0000}"/>
    <cellStyle name="40% - akcent 2 109 2" xfId="2942" xr:uid="{00000000-0005-0000-0000-0000690B0000}"/>
    <cellStyle name="40% - akcent 2 11" xfId="2943" xr:uid="{00000000-0005-0000-0000-00006A0B0000}"/>
    <cellStyle name="40% - akcent 2 110" xfId="2944" xr:uid="{00000000-0005-0000-0000-00006B0B0000}"/>
    <cellStyle name="40% - akcent 2 110 2" xfId="2945" xr:uid="{00000000-0005-0000-0000-00006C0B0000}"/>
    <cellStyle name="40% - akcent 2 111" xfId="2946" xr:uid="{00000000-0005-0000-0000-00006D0B0000}"/>
    <cellStyle name="40% - akcent 2 111 2" xfId="2947" xr:uid="{00000000-0005-0000-0000-00006E0B0000}"/>
    <cellStyle name="40% - akcent 2 112" xfId="2948" xr:uid="{00000000-0005-0000-0000-00006F0B0000}"/>
    <cellStyle name="40% - akcent 2 112 2" xfId="2949" xr:uid="{00000000-0005-0000-0000-0000700B0000}"/>
    <cellStyle name="40% - akcent 2 113" xfId="2950" xr:uid="{00000000-0005-0000-0000-0000710B0000}"/>
    <cellStyle name="40% - akcent 2 113 2" xfId="2951" xr:uid="{00000000-0005-0000-0000-0000720B0000}"/>
    <cellStyle name="40% - akcent 2 114" xfId="2952" xr:uid="{00000000-0005-0000-0000-0000730B0000}"/>
    <cellStyle name="40% - akcent 2 114 2" xfId="2953" xr:uid="{00000000-0005-0000-0000-0000740B0000}"/>
    <cellStyle name="40% - akcent 2 115" xfId="2954" xr:uid="{00000000-0005-0000-0000-0000750B0000}"/>
    <cellStyle name="40% - akcent 2 115 2" xfId="2955" xr:uid="{00000000-0005-0000-0000-0000760B0000}"/>
    <cellStyle name="40% - akcent 2 116" xfId="2956" xr:uid="{00000000-0005-0000-0000-0000770B0000}"/>
    <cellStyle name="40% - akcent 2 116 2" xfId="2957" xr:uid="{00000000-0005-0000-0000-0000780B0000}"/>
    <cellStyle name="40% - akcent 2 117" xfId="2958" xr:uid="{00000000-0005-0000-0000-0000790B0000}"/>
    <cellStyle name="40% - akcent 2 117 2" xfId="2959" xr:uid="{00000000-0005-0000-0000-00007A0B0000}"/>
    <cellStyle name="40% - akcent 2 118" xfId="2960" xr:uid="{00000000-0005-0000-0000-00007B0B0000}"/>
    <cellStyle name="40% - akcent 2 118 2" xfId="2961" xr:uid="{00000000-0005-0000-0000-00007C0B0000}"/>
    <cellStyle name="40% - akcent 2 119" xfId="2962" xr:uid="{00000000-0005-0000-0000-00007D0B0000}"/>
    <cellStyle name="40% - akcent 2 119 2" xfId="2963" xr:uid="{00000000-0005-0000-0000-00007E0B0000}"/>
    <cellStyle name="40% - akcent 2 12" xfId="2964" xr:uid="{00000000-0005-0000-0000-00007F0B0000}"/>
    <cellStyle name="40% - akcent 2 120" xfId="2965" xr:uid="{00000000-0005-0000-0000-0000800B0000}"/>
    <cellStyle name="40% - akcent 2 121" xfId="2966" xr:uid="{00000000-0005-0000-0000-0000810B0000}"/>
    <cellStyle name="40% - akcent 2 13" xfId="2967" xr:uid="{00000000-0005-0000-0000-0000820B0000}"/>
    <cellStyle name="40% - akcent 2 14" xfId="2968" xr:uid="{00000000-0005-0000-0000-0000830B0000}"/>
    <cellStyle name="40% - akcent 2 15" xfId="2969" xr:uid="{00000000-0005-0000-0000-0000840B0000}"/>
    <cellStyle name="40% - akcent 2 16" xfId="2970" xr:uid="{00000000-0005-0000-0000-0000850B0000}"/>
    <cellStyle name="40% - akcent 2 17" xfId="2971" xr:uid="{00000000-0005-0000-0000-0000860B0000}"/>
    <cellStyle name="40% - akcent 2 18" xfId="2972" xr:uid="{00000000-0005-0000-0000-0000870B0000}"/>
    <cellStyle name="40% - akcent 2 19" xfId="2973" xr:uid="{00000000-0005-0000-0000-0000880B0000}"/>
    <cellStyle name="40% - akcent 2 2" xfId="2974" xr:uid="{00000000-0005-0000-0000-0000890B0000}"/>
    <cellStyle name="40% - akcent 2 2 10" xfId="2975" xr:uid="{00000000-0005-0000-0000-00008A0B0000}"/>
    <cellStyle name="40% - akcent 2 2 10 2" xfId="2976" xr:uid="{00000000-0005-0000-0000-00008B0B0000}"/>
    <cellStyle name="40% - akcent 2 2 10 3" xfId="2977" xr:uid="{00000000-0005-0000-0000-00008C0B0000}"/>
    <cellStyle name="40% - akcent 2 2 10 4" xfId="2978" xr:uid="{00000000-0005-0000-0000-00008D0B0000}"/>
    <cellStyle name="40% - akcent 2 2 10 5" xfId="2979" xr:uid="{00000000-0005-0000-0000-00008E0B0000}"/>
    <cellStyle name="40% - akcent 2 2 10 6" xfId="2980" xr:uid="{00000000-0005-0000-0000-00008F0B0000}"/>
    <cellStyle name="40% - akcent 2 2 11" xfId="2981" xr:uid="{00000000-0005-0000-0000-0000900B0000}"/>
    <cellStyle name="40% - akcent 2 2 11 2" xfId="2982" xr:uid="{00000000-0005-0000-0000-0000910B0000}"/>
    <cellStyle name="40% - akcent 2 2 11 3" xfId="2983" xr:uid="{00000000-0005-0000-0000-0000920B0000}"/>
    <cellStyle name="40% - akcent 2 2 11 4" xfId="2984" xr:uid="{00000000-0005-0000-0000-0000930B0000}"/>
    <cellStyle name="40% - akcent 2 2 11 5" xfId="2985" xr:uid="{00000000-0005-0000-0000-0000940B0000}"/>
    <cellStyle name="40% - akcent 2 2 11 6" xfId="2986" xr:uid="{00000000-0005-0000-0000-0000950B0000}"/>
    <cellStyle name="40% - akcent 2 2 12" xfId="2987" xr:uid="{00000000-0005-0000-0000-0000960B0000}"/>
    <cellStyle name="40% - akcent 2 2 12 2" xfId="2988" xr:uid="{00000000-0005-0000-0000-0000970B0000}"/>
    <cellStyle name="40% - akcent 2 2 12 3" xfId="2989" xr:uid="{00000000-0005-0000-0000-0000980B0000}"/>
    <cellStyle name="40% - akcent 2 2 12 4" xfId="2990" xr:uid="{00000000-0005-0000-0000-0000990B0000}"/>
    <cellStyle name="40% - akcent 2 2 12 5" xfId="2991" xr:uid="{00000000-0005-0000-0000-00009A0B0000}"/>
    <cellStyle name="40% - akcent 2 2 12 6" xfId="2992" xr:uid="{00000000-0005-0000-0000-00009B0B0000}"/>
    <cellStyle name="40% - akcent 2 2 13" xfId="2993" xr:uid="{00000000-0005-0000-0000-00009C0B0000}"/>
    <cellStyle name="40% - akcent 2 2 13 2" xfId="2994" xr:uid="{00000000-0005-0000-0000-00009D0B0000}"/>
    <cellStyle name="40% - akcent 2 2 13 3" xfId="2995" xr:uid="{00000000-0005-0000-0000-00009E0B0000}"/>
    <cellStyle name="40% - akcent 2 2 13 4" xfId="2996" xr:uid="{00000000-0005-0000-0000-00009F0B0000}"/>
    <cellStyle name="40% - akcent 2 2 13 5" xfId="2997" xr:uid="{00000000-0005-0000-0000-0000A00B0000}"/>
    <cellStyle name="40% - akcent 2 2 13 6" xfId="2998" xr:uid="{00000000-0005-0000-0000-0000A10B0000}"/>
    <cellStyle name="40% - akcent 2 2 14" xfId="2999" xr:uid="{00000000-0005-0000-0000-0000A20B0000}"/>
    <cellStyle name="40% - akcent 2 2 14 2" xfId="3000" xr:uid="{00000000-0005-0000-0000-0000A30B0000}"/>
    <cellStyle name="40% - akcent 2 2 14 3" xfId="3001" xr:uid="{00000000-0005-0000-0000-0000A40B0000}"/>
    <cellStyle name="40% - akcent 2 2 14 4" xfId="3002" xr:uid="{00000000-0005-0000-0000-0000A50B0000}"/>
    <cellStyle name="40% - akcent 2 2 14 5" xfId="3003" xr:uid="{00000000-0005-0000-0000-0000A60B0000}"/>
    <cellStyle name="40% - akcent 2 2 14 6" xfId="3004" xr:uid="{00000000-0005-0000-0000-0000A70B0000}"/>
    <cellStyle name="40% - akcent 2 2 15" xfId="3005" xr:uid="{00000000-0005-0000-0000-0000A80B0000}"/>
    <cellStyle name="40% - akcent 2 2 15 2" xfId="3006" xr:uid="{00000000-0005-0000-0000-0000A90B0000}"/>
    <cellStyle name="40% - akcent 2 2 15 3" xfId="3007" xr:uid="{00000000-0005-0000-0000-0000AA0B0000}"/>
    <cellStyle name="40% - akcent 2 2 15 4" xfId="3008" xr:uid="{00000000-0005-0000-0000-0000AB0B0000}"/>
    <cellStyle name="40% - akcent 2 2 15 5" xfId="3009" xr:uid="{00000000-0005-0000-0000-0000AC0B0000}"/>
    <cellStyle name="40% - akcent 2 2 15 6" xfId="3010" xr:uid="{00000000-0005-0000-0000-0000AD0B0000}"/>
    <cellStyle name="40% - akcent 2 2 16" xfId="3011" xr:uid="{00000000-0005-0000-0000-0000AE0B0000}"/>
    <cellStyle name="40% - akcent 2 2 16 2" xfId="3012" xr:uid="{00000000-0005-0000-0000-0000AF0B0000}"/>
    <cellStyle name="40% - akcent 2 2 16 3" xfId="3013" xr:uid="{00000000-0005-0000-0000-0000B00B0000}"/>
    <cellStyle name="40% - akcent 2 2 16 4" xfId="3014" xr:uid="{00000000-0005-0000-0000-0000B10B0000}"/>
    <cellStyle name="40% - akcent 2 2 16 5" xfId="3015" xr:uid="{00000000-0005-0000-0000-0000B20B0000}"/>
    <cellStyle name="40% - akcent 2 2 16 6" xfId="3016" xr:uid="{00000000-0005-0000-0000-0000B30B0000}"/>
    <cellStyle name="40% - akcent 2 2 17" xfId="3017" xr:uid="{00000000-0005-0000-0000-0000B40B0000}"/>
    <cellStyle name="40% - akcent 2 2 17 2" xfId="3018" xr:uid="{00000000-0005-0000-0000-0000B50B0000}"/>
    <cellStyle name="40% - akcent 2 2 17 3" xfId="3019" xr:uid="{00000000-0005-0000-0000-0000B60B0000}"/>
    <cellStyle name="40% - akcent 2 2 17 4" xfId="3020" xr:uid="{00000000-0005-0000-0000-0000B70B0000}"/>
    <cellStyle name="40% - akcent 2 2 17 5" xfId="3021" xr:uid="{00000000-0005-0000-0000-0000B80B0000}"/>
    <cellStyle name="40% - akcent 2 2 17 6" xfId="3022" xr:uid="{00000000-0005-0000-0000-0000B90B0000}"/>
    <cellStyle name="40% - akcent 2 2 18" xfId="3023" xr:uid="{00000000-0005-0000-0000-0000BA0B0000}"/>
    <cellStyle name="40% - akcent 2 2 18 2" xfId="3024" xr:uid="{00000000-0005-0000-0000-0000BB0B0000}"/>
    <cellStyle name="40% - akcent 2 2 18 3" xfId="3025" xr:uid="{00000000-0005-0000-0000-0000BC0B0000}"/>
    <cellStyle name="40% - akcent 2 2 18 4" xfId="3026" xr:uid="{00000000-0005-0000-0000-0000BD0B0000}"/>
    <cellStyle name="40% - akcent 2 2 18 5" xfId="3027" xr:uid="{00000000-0005-0000-0000-0000BE0B0000}"/>
    <cellStyle name="40% - akcent 2 2 18 6" xfId="3028" xr:uid="{00000000-0005-0000-0000-0000BF0B0000}"/>
    <cellStyle name="40% - akcent 2 2 19" xfId="3029" xr:uid="{00000000-0005-0000-0000-0000C00B0000}"/>
    <cellStyle name="40% - akcent 2 2 19 2" xfId="3030" xr:uid="{00000000-0005-0000-0000-0000C10B0000}"/>
    <cellStyle name="40% - akcent 2 2 19 3" xfId="3031" xr:uid="{00000000-0005-0000-0000-0000C20B0000}"/>
    <cellStyle name="40% - akcent 2 2 19 4" xfId="3032" xr:uid="{00000000-0005-0000-0000-0000C30B0000}"/>
    <cellStyle name="40% - akcent 2 2 19 5" xfId="3033" xr:uid="{00000000-0005-0000-0000-0000C40B0000}"/>
    <cellStyle name="40% - akcent 2 2 19 6" xfId="3034" xr:uid="{00000000-0005-0000-0000-0000C50B0000}"/>
    <cellStyle name="40% - akcent 2 2 2" xfId="3035" xr:uid="{00000000-0005-0000-0000-0000C60B0000}"/>
    <cellStyle name="40% - akcent 2 2 2 2" xfId="3036" xr:uid="{00000000-0005-0000-0000-0000C70B0000}"/>
    <cellStyle name="40% - akcent 2 2 2 3" xfId="3037" xr:uid="{00000000-0005-0000-0000-0000C80B0000}"/>
    <cellStyle name="40% - akcent 2 2 2 4" xfId="3038" xr:uid="{00000000-0005-0000-0000-0000C90B0000}"/>
    <cellStyle name="40% - akcent 2 2 2 5" xfId="3039" xr:uid="{00000000-0005-0000-0000-0000CA0B0000}"/>
    <cellStyle name="40% - akcent 2 2 2 6" xfId="3040" xr:uid="{00000000-0005-0000-0000-0000CB0B0000}"/>
    <cellStyle name="40% - akcent 2 2 2 7" xfId="3041" xr:uid="{00000000-0005-0000-0000-0000CC0B0000}"/>
    <cellStyle name="40% - akcent 2 2 20" xfId="3042" xr:uid="{00000000-0005-0000-0000-0000CD0B0000}"/>
    <cellStyle name="40% - akcent 2 2 20 2" xfId="3043" xr:uid="{00000000-0005-0000-0000-0000CE0B0000}"/>
    <cellStyle name="40% - akcent 2 2 20 3" xfId="3044" xr:uid="{00000000-0005-0000-0000-0000CF0B0000}"/>
    <cellStyle name="40% - akcent 2 2 20 4" xfId="3045" xr:uid="{00000000-0005-0000-0000-0000D00B0000}"/>
    <cellStyle name="40% - akcent 2 2 20 5" xfId="3046" xr:uid="{00000000-0005-0000-0000-0000D10B0000}"/>
    <cellStyle name="40% - akcent 2 2 20 6" xfId="3047" xr:uid="{00000000-0005-0000-0000-0000D20B0000}"/>
    <cellStyle name="40% - akcent 2 2 21" xfId="3048" xr:uid="{00000000-0005-0000-0000-0000D30B0000}"/>
    <cellStyle name="40% - akcent 2 2 21 2" xfId="3049" xr:uid="{00000000-0005-0000-0000-0000D40B0000}"/>
    <cellStyle name="40% - akcent 2 2 21 3" xfId="3050" xr:uid="{00000000-0005-0000-0000-0000D50B0000}"/>
    <cellStyle name="40% - akcent 2 2 21 4" xfId="3051" xr:uid="{00000000-0005-0000-0000-0000D60B0000}"/>
    <cellStyle name="40% - akcent 2 2 21 5" xfId="3052" xr:uid="{00000000-0005-0000-0000-0000D70B0000}"/>
    <cellStyle name="40% - akcent 2 2 21 6" xfId="3053" xr:uid="{00000000-0005-0000-0000-0000D80B0000}"/>
    <cellStyle name="40% - akcent 2 2 22" xfId="3054" xr:uid="{00000000-0005-0000-0000-0000D90B0000}"/>
    <cellStyle name="40% - akcent 2 2 22 2" xfId="3055" xr:uid="{00000000-0005-0000-0000-0000DA0B0000}"/>
    <cellStyle name="40% - akcent 2 2 22 3" xfId="3056" xr:uid="{00000000-0005-0000-0000-0000DB0B0000}"/>
    <cellStyle name="40% - akcent 2 2 22 4" xfId="3057" xr:uid="{00000000-0005-0000-0000-0000DC0B0000}"/>
    <cellStyle name="40% - akcent 2 2 22 5" xfId="3058" xr:uid="{00000000-0005-0000-0000-0000DD0B0000}"/>
    <cellStyle name="40% - akcent 2 2 22 6" xfId="3059" xr:uid="{00000000-0005-0000-0000-0000DE0B0000}"/>
    <cellStyle name="40% - akcent 2 2 23" xfId="3060" xr:uid="{00000000-0005-0000-0000-0000DF0B0000}"/>
    <cellStyle name="40% - akcent 2 2 23 2" xfId="3061" xr:uid="{00000000-0005-0000-0000-0000E00B0000}"/>
    <cellStyle name="40% - akcent 2 2 23 3" xfId="3062" xr:uid="{00000000-0005-0000-0000-0000E10B0000}"/>
    <cellStyle name="40% - akcent 2 2 23 4" xfId="3063" xr:uid="{00000000-0005-0000-0000-0000E20B0000}"/>
    <cellStyle name="40% - akcent 2 2 23 5" xfId="3064" xr:uid="{00000000-0005-0000-0000-0000E30B0000}"/>
    <cellStyle name="40% - akcent 2 2 23 6" xfId="3065" xr:uid="{00000000-0005-0000-0000-0000E40B0000}"/>
    <cellStyle name="40% - akcent 2 2 24" xfId="3066" xr:uid="{00000000-0005-0000-0000-0000E50B0000}"/>
    <cellStyle name="40% - akcent 2 2 24 2" xfId="3067" xr:uid="{00000000-0005-0000-0000-0000E60B0000}"/>
    <cellStyle name="40% - akcent 2 2 24 3" xfId="3068" xr:uid="{00000000-0005-0000-0000-0000E70B0000}"/>
    <cellStyle name="40% - akcent 2 2 24 4" xfId="3069" xr:uid="{00000000-0005-0000-0000-0000E80B0000}"/>
    <cellStyle name="40% - akcent 2 2 24 5" xfId="3070" xr:uid="{00000000-0005-0000-0000-0000E90B0000}"/>
    <cellStyle name="40% - akcent 2 2 24 6" xfId="3071" xr:uid="{00000000-0005-0000-0000-0000EA0B0000}"/>
    <cellStyle name="40% - akcent 2 2 25" xfId="3072" xr:uid="{00000000-0005-0000-0000-0000EB0B0000}"/>
    <cellStyle name="40% - akcent 2 2 25 2" xfId="3073" xr:uid="{00000000-0005-0000-0000-0000EC0B0000}"/>
    <cellStyle name="40% - akcent 2 2 25 3" xfId="3074" xr:uid="{00000000-0005-0000-0000-0000ED0B0000}"/>
    <cellStyle name="40% - akcent 2 2 25 4" xfId="3075" xr:uid="{00000000-0005-0000-0000-0000EE0B0000}"/>
    <cellStyle name="40% - akcent 2 2 25 5" xfId="3076" xr:uid="{00000000-0005-0000-0000-0000EF0B0000}"/>
    <cellStyle name="40% - akcent 2 2 25 6" xfId="3077" xr:uid="{00000000-0005-0000-0000-0000F00B0000}"/>
    <cellStyle name="40% - akcent 2 2 26" xfId="3078" xr:uid="{00000000-0005-0000-0000-0000F10B0000}"/>
    <cellStyle name="40% - akcent 2 2 26 2" xfId="3079" xr:uid="{00000000-0005-0000-0000-0000F20B0000}"/>
    <cellStyle name="40% - akcent 2 2 26 3" xfId="3080" xr:uid="{00000000-0005-0000-0000-0000F30B0000}"/>
    <cellStyle name="40% - akcent 2 2 26 4" xfId="3081" xr:uid="{00000000-0005-0000-0000-0000F40B0000}"/>
    <cellStyle name="40% - akcent 2 2 26 5" xfId="3082" xr:uid="{00000000-0005-0000-0000-0000F50B0000}"/>
    <cellStyle name="40% - akcent 2 2 26 6" xfId="3083" xr:uid="{00000000-0005-0000-0000-0000F60B0000}"/>
    <cellStyle name="40% - akcent 2 2 27" xfId="3084" xr:uid="{00000000-0005-0000-0000-0000F70B0000}"/>
    <cellStyle name="40% - akcent 2 2 27 2" xfId="3085" xr:uid="{00000000-0005-0000-0000-0000F80B0000}"/>
    <cellStyle name="40% - akcent 2 2 27 3" xfId="3086" xr:uid="{00000000-0005-0000-0000-0000F90B0000}"/>
    <cellStyle name="40% - akcent 2 2 27 4" xfId="3087" xr:uid="{00000000-0005-0000-0000-0000FA0B0000}"/>
    <cellStyle name="40% - akcent 2 2 27 5" xfId="3088" xr:uid="{00000000-0005-0000-0000-0000FB0B0000}"/>
    <cellStyle name="40% - akcent 2 2 27 6" xfId="3089" xr:uid="{00000000-0005-0000-0000-0000FC0B0000}"/>
    <cellStyle name="40% - akcent 2 2 28" xfId="3090" xr:uid="{00000000-0005-0000-0000-0000FD0B0000}"/>
    <cellStyle name="40% - akcent 2 2 28 2" xfId="3091" xr:uid="{00000000-0005-0000-0000-0000FE0B0000}"/>
    <cellStyle name="40% - akcent 2 2 28 3" xfId="3092" xr:uid="{00000000-0005-0000-0000-0000FF0B0000}"/>
    <cellStyle name="40% - akcent 2 2 28 4" xfId="3093" xr:uid="{00000000-0005-0000-0000-0000000C0000}"/>
    <cellStyle name="40% - akcent 2 2 28 5" xfId="3094" xr:uid="{00000000-0005-0000-0000-0000010C0000}"/>
    <cellStyle name="40% - akcent 2 2 28 6" xfId="3095" xr:uid="{00000000-0005-0000-0000-0000020C0000}"/>
    <cellStyle name="40% - akcent 2 2 29" xfId="3096" xr:uid="{00000000-0005-0000-0000-0000030C0000}"/>
    <cellStyle name="40% - akcent 2 2 29 2" xfId="3097" xr:uid="{00000000-0005-0000-0000-0000040C0000}"/>
    <cellStyle name="40% - akcent 2 2 3" xfId="3098" xr:uid="{00000000-0005-0000-0000-0000050C0000}"/>
    <cellStyle name="40% - akcent 2 2 3 2" xfId="3099" xr:uid="{00000000-0005-0000-0000-0000060C0000}"/>
    <cellStyle name="40% - akcent 2 2 3 3" xfId="3100" xr:uid="{00000000-0005-0000-0000-0000070C0000}"/>
    <cellStyle name="40% - akcent 2 2 3 4" xfId="3101" xr:uid="{00000000-0005-0000-0000-0000080C0000}"/>
    <cellStyle name="40% - akcent 2 2 3 5" xfId="3102" xr:uid="{00000000-0005-0000-0000-0000090C0000}"/>
    <cellStyle name="40% - akcent 2 2 3 6" xfId="3103" xr:uid="{00000000-0005-0000-0000-00000A0C0000}"/>
    <cellStyle name="40% - akcent 2 2 3 7" xfId="3104" xr:uid="{00000000-0005-0000-0000-00000B0C0000}"/>
    <cellStyle name="40% - akcent 2 2 30" xfId="3105" xr:uid="{00000000-0005-0000-0000-00000C0C0000}"/>
    <cellStyle name="40% - akcent 2 2 30 2" xfId="3106" xr:uid="{00000000-0005-0000-0000-00000D0C0000}"/>
    <cellStyle name="40% - akcent 2 2 31" xfId="3107" xr:uid="{00000000-0005-0000-0000-00000E0C0000}"/>
    <cellStyle name="40% - akcent 2 2 31 2" xfId="3108" xr:uid="{00000000-0005-0000-0000-00000F0C0000}"/>
    <cellStyle name="40% - akcent 2 2 32" xfId="3109" xr:uid="{00000000-0005-0000-0000-0000100C0000}"/>
    <cellStyle name="40% - akcent 2 2 32 2" xfId="3110" xr:uid="{00000000-0005-0000-0000-0000110C0000}"/>
    <cellStyle name="40% - akcent 2 2 33" xfId="3111" xr:uid="{00000000-0005-0000-0000-0000120C0000}"/>
    <cellStyle name="40% - akcent 2 2 34" xfId="3112" xr:uid="{00000000-0005-0000-0000-0000130C0000}"/>
    <cellStyle name="40% - akcent 2 2 35" xfId="3113" xr:uid="{00000000-0005-0000-0000-0000140C0000}"/>
    <cellStyle name="40% - akcent 2 2 36" xfId="3114" xr:uid="{00000000-0005-0000-0000-0000150C0000}"/>
    <cellStyle name="40% - akcent 2 2 37" xfId="3115" xr:uid="{00000000-0005-0000-0000-0000160C0000}"/>
    <cellStyle name="40% - akcent 2 2 38" xfId="3116" xr:uid="{00000000-0005-0000-0000-0000170C0000}"/>
    <cellStyle name="40% - akcent 2 2 39" xfId="3117" xr:uid="{00000000-0005-0000-0000-0000180C0000}"/>
    <cellStyle name="40% - akcent 2 2 4" xfId="3118" xr:uid="{00000000-0005-0000-0000-0000190C0000}"/>
    <cellStyle name="40% - akcent 2 2 4 2" xfId="3119" xr:uid="{00000000-0005-0000-0000-00001A0C0000}"/>
    <cellStyle name="40% - akcent 2 2 4 3" xfId="3120" xr:uid="{00000000-0005-0000-0000-00001B0C0000}"/>
    <cellStyle name="40% - akcent 2 2 4 4" xfId="3121" xr:uid="{00000000-0005-0000-0000-00001C0C0000}"/>
    <cellStyle name="40% - akcent 2 2 4 5" xfId="3122" xr:uid="{00000000-0005-0000-0000-00001D0C0000}"/>
    <cellStyle name="40% - akcent 2 2 4 6" xfId="3123" xr:uid="{00000000-0005-0000-0000-00001E0C0000}"/>
    <cellStyle name="40% - akcent 2 2 4 7" xfId="3124" xr:uid="{00000000-0005-0000-0000-00001F0C0000}"/>
    <cellStyle name="40% - akcent 2 2 40" xfId="3125" xr:uid="{00000000-0005-0000-0000-0000200C0000}"/>
    <cellStyle name="40% - akcent 2 2 41" xfId="3126" xr:uid="{00000000-0005-0000-0000-0000210C0000}"/>
    <cellStyle name="40% - akcent 2 2 42" xfId="3127" xr:uid="{00000000-0005-0000-0000-0000220C0000}"/>
    <cellStyle name="40% - akcent 2 2 43" xfId="3128" xr:uid="{00000000-0005-0000-0000-0000230C0000}"/>
    <cellStyle name="40% - akcent 2 2 44" xfId="3129" xr:uid="{00000000-0005-0000-0000-0000240C0000}"/>
    <cellStyle name="40% - akcent 2 2 45" xfId="3130" xr:uid="{00000000-0005-0000-0000-0000250C0000}"/>
    <cellStyle name="40% - akcent 2 2 46" xfId="3131" xr:uid="{00000000-0005-0000-0000-0000260C0000}"/>
    <cellStyle name="40% - akcent 2 2 47" xfId="3132" xr:uid="{00000000-0005-0000-0000-0000270C0000}"/>
    <cellStyle name="40% - akcent 2 2 48" xfId="3133" xr:uid="{00000000-0005-0000-0000-0000280C0000}"/>
    <cellStyle name="40% - akcent 2 2 49" xfId="3134" xr:uid="{00000000-0005-0000-0000-0000290C0000}"/>
    <cellStyle name="40% - akcent 2 2 5" xfId="3135" xr:uid="{00000000-0005-0000-0000-00002A0C0000}"/>
    <cellStyle name="40% - akcent 2 2 5 2" xfId="3136" xr:uid="{00000000-0005-0000-0000-00002B0C0000}"/>
    <cellStyle name="40% - akcent 2 2 5 3" xfId="3137" xr:uid="{00000000-0005-0000-0000-00002C0C0000}"/>
    <cellStyle name="40% - akcent 2 2 5 4" xfId="3138" xr:uid="{00000000-0005-0000-0000-00002D0C0000}"/>
    <cellStyle name="40% - akcent 2 2 5 5" xfId="3139" xr:uid="{00000000-0005-0000-0000-00002E0C0000}"/>
    <cellStyle name="40% - akcent 2 2 5 6" xfId="3140" xr:uid="{00000000-0005-0000-0000-00002F0C0000}"/>
    <cellStyle name="40% - akcent 2 2 50" xfId="3141" xr:uid="{00000000-0005-0000-0000-0000300C0000}"/>
    <cellStyle name="40% - akcent 2 2 51" xfId="3142" xr:uid="{00000000-0005-0000-0000-0000310C0000}"/>
    <cellStyle name="40% - akcent 2 2 6" xfId="3143" xr:uid="{00000000-0005-0000-0000-0000320C0000}"/>
    <cellStyle name="40% - akcent 2 2 6 2" xfId="3144" xr:uid="{00000000-0005-0000-0000-0000330C0000}"/>
    <cellStyle name="40% - akcent 2 2 6 3" xfId="3145" xr:uid="{00000000-0005-0000-0000-0000340C0000}"/>
    <cellStyle name="40% - akcent 2 2 6 4" xfId="3146" xr:uid="{00000000-0005-0000-0000-0000350C0000}"/>
    <cellStyle name="40% - akcent 2 2 6 5" xfId="3147" xr:uid="{00000000-0005-0000-0000-0000360C0000}"/>
    <cellStyle name="40% - akcent 2 2 6 6" xfId="3148" xr:uid="{00000000-0005-0000-0000-0000370C0000}"/>
    <cellStyle name="40% - akcent 2 2 7" xfId="3149" xr:uid="{00000000-0005-0000-0000-0000380C0000}"/>
    <cellStyle name="40% - akcent 2 2 7 2" xfId="3150" xr:uid="{00000000-0005-0000-0000-0000390C0000}"/>
    <cellStyle name="40% - akcent 2 2 7 3" xfId="3151" xr:uid="{00000000-0005-0000-0000-00003A0C0000}"/>
    <cellStyle name="40% - akcent 2 2 7 4" xfId="3152" xr:uid="{00000000-0005-0000-0000-00003B0C0000}"/>
    <cellStyle name="40% - akcent 2 2 7 5" xfId="3153" xr:uid="{00000000-0005-0000-0000-00003C0C0000}"/>
    <cellStyle name="40% - akcent 2 2 7 6" xfId="3154" xr:uid="{00000000-0005-0000-0000-00003D0C0000}"/>
    <cellStyle name="40% - akcent 2 2 8" xfId="3155" xr:uid="{00000000-0005-0000-0000-00003E0C0000}"/>
    <cellStyle name="40% - akcent 2 2 8 2" xfId="3156" xr:uid="{00000000-0005-0000-0000-00003F0C0000}"/>
    <cellStyle name="40% - akcent 2 2 8 3" xfId="3157" xr:uid="{00000000-0005-0000-0000-0000400C0000}"/>
    <cellStyle name="40% - akcent 2 2 8 4" xfId="3158" xr:uid="{00000000-0005-0000-0000-0000410C0000}"/>
    <cellStyle name="40% - akcent 2 2 8 5" xfId="3159" xr:uid="{00000000-0005-0000-0000-0000420C0000}"/>
    <cellStyle name="40% - akcent 2 2 8 6" xfId="3160" xr:uid="{00000000-0005-0000-0000-0000430C0000}"/>
    <cellStyle name="40% - akcent 2 2 9" xfId="3161" xr:uid="{00000000-0005-0000-0000-0000440C0000}"/>
    <cellStyle name="40% - akcent 2 2 9 2" xfId="3162" xr:uid="{00000000-0005-0000-0000-0000450C0000}"/>
    <cellStyle name="40% - akcent 2 2 9 3" xfId="3163" xr:uid="{00000000-0005-0000-0000-0000460C0000}"/>
    <cellStyle name="40% - akcent 2 2 9 4" xfId="3164" xr:uid="{00000000-0005-0000-0000-0000470C0000}"/>
    <cellStyle name="40% - akcent 2 2 9 5" xfId="3165" xr:uid="{00000000-0005-0000-0000-0000480C0000}"/>
    <cellStyle name="40% - akcent 2 2 9 6" xfId="3166" xr:uid="{00000000-0005-0000-0000-0000490C0000}"/>
    <cellStyle name="40% - akcent 2 20" xfId="3167" xr:uid="{00000000-0005-0000-0000-00004A0C0000}"/>
    <cellStyle name="40% - akcent 2 21" xfId="3168" xr:uid="{00000000-0005-0000-0000-00004B0C0000}"/>
    <cellStyle name="40% - akcent 2 22" xfId="3169" xr:uid="{00000000-0005-0000-0000-00004C0C0000}"/>
    <cellStyle name="40% - akcent 2 23" xfId="3170" xr:uid="{00000000-0005-0000-0000-00004D0C0000}"/>
    <cellStyle name="40% - akcent 2 24" xfId="3171" xr:uid="{00000000-0005-0000-0000-00004E0C0000}"/>
    <cellStyle name="40% - akcent 2 25" xfId="3172" xr:uid="{00000000-0005-0000-0000-00004F0C0000}"/>
    <cellStyle name="40% - akcent 2 26" xfId="3173" xr:uid="{00000000-0005-0000-0000-0000500C0000}"/>
    <cellStyle name="40% - akcent 2 27" xfId="3174" xr:uid="{00000000-0005-0000-0000-0000510C0000}"/>
    <cellStyle name="40% - akcent 2 28" xfId="3175" xr:uid="{00000000-0005-0000-0000-0000520C0000}"/>
    <cellStyle name="40% - akcent 2 29" xfId="3176" xr:uid="{00000000-0005-0000-0000-0000530C0000}"/>
    <cellStyle name="40% - akcent 2 3" xfId="3177" xr:uid="{00000000-0005-0000-0000-0000540C0000}"/>
    <cellStyle name="40% - akcent 2 3 2" xfId="3178" xr:uid="{00000000-0005-0000-0000-0000550C0000}"/>
    <cellStyle name="40% - akcent 2 3 2 2" xfId="3179" xr:uid="{00000000-0005-0000-0000-0000560C0000}"/>
    <cellStyle name="40% - akcent 2 3 3" xfId="3180" xr:uid="{00000000-0005-0000-0000-0000570C0000}"/>
    <cellStyle name="40% - akcent 2 3 3 2" xfId="3181" xr:uid="{00000000-0005-0000-0000-0000580C0000}"/>
    <cellStyle name="40% - akcent 2 3 4" xfId="3182" xr:uid="{00000000-0005-0000-0000-0000590C0000}"/>
    <cellStyle name="40% - akcent 2 3 4 2" xfId="3183" xr:uid="{00000000-0005-0000-0000-00005A0C0000}"/>
    <cellStyle name="40% - akcent 2 3 5" xfId="3184" xr:uid="{00000000-0005-0000-0000-00005B0C0000}"/>
    <cellStyle name="40% - akcent 2 3 6" xfId="3185" xr:uid="{00000000-0005-0000-0000-00005C0C0000}"/>
    <cellStyle name="40% - akcent 2 3 7" xfId="3186" xr:uid="{00000000-0005-0000-0000-00005D0C0000}"/>
    <cellStyle name="40% - akcent 2 3 8" xfId="3187" xr:uid="{00000000-0005-0000-0000-00005E0C0000}"/>
    <cellStyle name="40% - akcent 2 30" xfId="3188" xr:uid="{00000000-0005-0000-0000-00005F0C0000}"/>
    <cellStyle name="40% - akcent 2 30 2" xfId="3189" xr:uid="{00000000-0005-0000-0000-0000600C0000}"/>
    <cellStyle name="40% - akcent 2 31" xfId="3190" xr:uid="{00000000-0005-0000-0000-0000610C0000}"/>
    <cellStyle name="40% - akcent 2 31 2" xfId="3191" xr:uid="{00000000-0005-0000-0000-0000620C0000}"/>
    <cellStyle name="40% - akcent 2 32" xfId="3192" xr:uid="{00000000-0005-0000-0000-0000630C0000}"/>
    <cellStyle name="40% - akcent 2 32 2" xfId="3193" xr:uid="{00000000-0005-0000-0000-0000640C0000}"/>
    <cellStyle name="40% - akcent 2 33" xfId="3194" xr:uid="{00000000-0005-0000-0000-0000650C0000}"/>
    <cellStyle name="40% - akcent 2 33 2" xfId="3195" xr:uid="{00000000-0005-0000-0000-0000660C0000}"/>
    <cellStyle name="40% - akcent 2 34" xfId="3196" xr:uid="{00000000-0005-0000-0000-0000670C0000}"/>
    <cellStyle name="40% - akcent 2 34 2" xfId="3197" xr:uid="{00000000-0005-0000-0000-0000680C0000}"/>
    <cellStyle name="40% - akcent 2 35" xfId="3198" xr:uid="{00000000-0005-0000-0000-0000690C0000}"/>
    <cellStyle name="40% - akcent 2 35 2" xfId="3199" xr:uid="{00000000-0005-0000-0000-00006A0C0000}"/>
    <cellStyle name="40% - akcent 2 36" xfId="3200" xr:uid="{00000000-0005-0000-0000-00006B0C0000}"/>
    <cellStyle name="40% - akcent 2 36 2" xfId="3201" xr:uid="{00000000-0005-0000-0000-00006C0C0000}"/>
    <cellStyle name="40% - akcent 2 37" xfId="3202" xr:uid="{00000000-0005-0000-0000-00006D0C0000}"/>
    <cellStyle name="40% - akcent 2 37 2" xfId="3203" xr:uid="{00000000-0005-0000-0000-00006E0C0000}"/>
    <cellStyle name="40% - akcent 2 38" xfId="3204" xr:uid="{00000000-0005-0000-0000-00006F0C0000}"/>
    <cellStyle name="40% - akcent 2 38 2" xfId="3205" xr:uid="{00000000-0005-0000-0000-0000700C0000}"/>
    <cellStyle name="40% - akcent 2 39" xfId="3206" xr:uid="{00000000-0005-0000-0000-0000710C0000}"/>
    <cellStyle name="40% - akcent 2 39 2" xfId="3207" xr:uid="{00000000-0005-0000-0000-0000720C0000}"/>
    <cellStyle name="40% - akcent 2 4" xfId="3208" xr:uid="{00000000-0005-0000-0000-0000730C0000}"/>
    <cellStyle name="40% - akcent 2 4 2" xfId="3209" xr:uid="{00000000-0005-0000-0000-0000740C0000}"/>
    <cellStyle name="40% - akcent 2 4 2 2" xfId="3210" xr:uid="{00000000-0005-0000-0000-0000750C0000}"/>
    <cellStyle name="40% - akcent 2 4 3" xfId="3211" xr:uid="{00000000-0005-0000-0000-0000760C0000}"/>
    <cellStyle name="40% - akcent 2 4 3 2" xfId="3212" xr:uid="{00000000-0005-0000-0000-0000770C0000}"/>
    <cellStyle name="40% - akcent 2 4 4" xfId="3213" xr:uid="{00000000-0005-0000-0000-0000780C0000}"/>
    <cellStyle name="40% - akcent 2 4 4 2" xfId="3214" xr:uid="{00000000-0005-0000-0000-0000790C0000}"/>
    <cellStyle name="40% - akcent 2 4 5" xfId="3215" xr:uid="{00000000-0005-0000-0000-00007A0C0000}"/>
    <cellStyle name="40% - akcent 2 4 6" xfId="3216" xr:uid="{00000000-0005-0000-0000-00007B0C0000}"/>
    <cellStyle name="40% - akcent 2 4 7" xfId="3217" xr:uid="{00000000-0005-0000-0000-00007C0C0000}"/>
    <cellStyle name="40% - akcent 2 4 8" xfId="3218" xr:uid="{00000000-0005-0000-0000-00007D0C0000}"/>
    <cellStyle name="40% - akcent 2 40" xfId="3219" xr:uid="{00000000-0005-0000-0000-00007E0C0000}"/>
    <cellStyle name="40% - akcent 2 40 2" xfId="3220" xr:uid="{00000000-0005-0000-0000-00007F0C0000}"/>
    <cellStyle name="40% - akcent 2 41" xfId="3221" xr:uid="{00000000-0005-0000-0000-0000800C0000}"/>
    <cellStyle name="40% - akcent 2 41 2" xfId="3222" xr:uid="{00000000-0005-0000-0000-0000810C0000}"/>
    <cellStyle name="40% - akcent 2 42" xfId="3223" xr:uid="{00000000-0005-0000-0000-0000820C0000}"/>
    <cellStyle name="40% - akcent 2 42 2" xfId="3224" xr:uid="{00000000-0005-0000-0000-0000830C0000}"/>
    <cellStyle name="40% - akcent 2 43" xfId="3225" xr:uid="{00000000-0005-0000-0000-0000840C0000}"/>
    <cellStyle name="40% - akcent 2 43 2" xfId="3226" xr:uid="{00000000-0005-0000-0000-0000850C0000}"/>
    <cellStyle name="40% - akcent 2 44" xfId="3227" xr:uid="{00000000-0005-0000-0000-0000860C0000}"/>
    <cellStyle name="40% - akcent 2 44 2" xfId="3228" xr:uid="{00000000-0005-0000-0000-0000870C0000}"/>
    <cellStyle name="40% - akcent 2 45" xfId="3229" xr:uid="{00000000-0005-0000-0000-0000880C0000}"/>
    <cellStyle name="40% - akcent 2 45 2" xfId="3230" xr:uid="{00000000-0005-0000-0000-0000890C0000}"/>
    <cellStyle name="40% - akcent 2 46" xfId="3231" xr:uid="{00000000-0005-0000-0000-00008A0C0000}"/>
    <cellStyle name="40% - akcent 2 46 2" xfId="3232" xr:uid="{00000000-0005-0000-0000-00008B0C0000}"/>
    <cellStyle name="40% - akcent 2 47" xfId="3233" xr:uid="{00000000-0005-0000-0000-00008C0C0000}"/>
    <cellStyle name="40% - akcent 2 47 2" xfId="3234" xr:uid="{00000000-0005-0000-0000-00008D0C0000}"/>
    <cellStyle name="40% - akcent 2 48" xfId="3235" xr:uid="{00000000-0005-0000-0000-00008E0C0000}"/>
    <cellStyle name="40% - akcent 2 48 2" xfId="3236" xr:uid="{00000000-0005-0000-0000-00008F0C0000}"/>
    <cellStyle name="40% - akcent 2 49" xfId="3237" xr:uid="{00000000-0005-0000-0000-0000900C0000}"/>
    <cellStyle name="40% - akcent 2 49 2" xfId="3238" xr:uid="{00000000-0005-0000-0000-0000910C0000}"/>
    <cellStyle name="40% - akcent 2 5" xfId="3239" xr:uid="{00000000-0005-0000-0000-0000920C0000}"/>
    <cellStyle name="40% - akcent 2 5 2" xfId="3240" xr:uid="{00000000-0005-0000-0000-0000930C0000}"/>
    <cellStyle name="40% - akcent 2 5 3" xfId="3241" xr:uid="{00000000-0005-0000-0000-0000940C0000}"/>
    <cellStyle name="40% - akcent 2 50" xfId="3242" xr:uid="{00000000-0005-0000-0000-0000950C0000}"/>
    <cellStyle name="40% - akcent 2 50 2" xfId="3243" xr:uid="{00000000-0005-0000-0000-0000960C0000}"/>
    <cellStyle name="40% - akcent 2 51" xfId="3244" xr:uid="{00000000-0005-0000-0000-0000970C0000}"/>
    <cellStyle name="40% - akcent 2 51 2" xfId="3245" xr:uid="{00000000-0005-0000-0000-0000980C0000}"/>
    <cellStyle name="40% - akcent 2 52" xfId="3246" xr:uid="{00000000-0005-0000-0000-0000990C0000}"/>
    <cellStyle name="40% - akcent 2 52 2" xfId="3247" xr:uid="{00000000-0005-0000-0000-00009A0C0000}"/>
    <cellStyle name="40% - akcent 2 53" xfId="3248" xr:uid="{00000000-0005-0000-0000-00009B0C0000}"/>
    <cellStyle name="40% - akcent 2 53 2" xfId="3249" xr:uid="{00000000-0005-0000-0000-00009C0C0000}"/>
    <cellStyle name="40% - akcent 2 54" xfId="3250" xr:uid="{00000000-0005-0000-0000-00009D0C0000}"/>
    <cellStyle name="40% - akcent 2 54 2" xfId="3251" xr:uid="{00000000-0005-0000-0000-00009E0C0000}"/>
    <cellStyle name="40% - akcent 2 55" xfId="3252" xr:uid="{00000000-0005-0000-0000-00009F0C0000}"/>
    <cellStyle name="40% - akcent 2 55 2" xfId="3253" xr:uid="{00000000-0005-0000-0000-0000A00C0000}"/>
    <cellStyle name="40% - akcent 2 56" xfId="3254" xr:uid="{00000000-0005-0000-0000-0000A10C0000}"/>
    <cellStyle name="40% - akcent 2 56 2" xfId="3255" xr:uid="{00000000-0005-0000-0000-0000A20C0000}"/>
    <cellStyle name="40% - akcent 2 57" xfId="3256" xr:uid="{00000000-0005-0000-0000-0000A30C0000}"/>
    <cellStyle name="40% - akcent 2 57 2" xfId="3257" xr:uid="{00000000-0005-0000-0000-0000A40C0000}"/>
    <cellStyle name="40% - akcent 2 58" xfId="3258" xr:uid="{00000000-0005-0000-0000-0000A50C0000}"/>
    <cellStyle name="40% - akcent 2 58 2" xfId="3259" xr:uid="{00000000-0005-0000-0000-0000A60C0000}"/>
    <cellStyle name="40% - akcent 2 59" xfId="3260" xr:uid="{00000000-0005-0000-0000-0000A70C0000}"/>
    <cellStyle name="40% - akcent 2 59 2" xfId="3261" xr:uid="{00000000-0005-0000-0000-0000A80C0000}"/>
    <cellStyle name="40% - akcent 2 6" xfId="3262" xr:uid="{00000000-0005-0000-0000-0000A90C0000}"/>
    <cellStyle name="40% - akcent 2 60" xfId="3263" xr:uid="{00000000-0005-0000-0000-0000AA0C0000}"/>
    <cellStyle name="40% - akcent 2 60 2" xfId="3264" xr:uid="{00000000-0005-0000-0000-0000AB0C0000}"/>
    <cellStyle name="40% - akcent 2 61" xfId="3265" xr:uid="{00000000-0005-0000-0000-0000AC0C0000}"/>
    <cellStyle name="40% - akcent 2 61 2" xfId="3266" xr:uid="{00000000-0005-0000-0000-0000AD0C0000}"/>
    <cellStyle name="40% - akcent 2 62" xfId="3267" xr:uid="{00000000-0005-0000-0000-0000AE0C0000}"/>
    <cellStyle name="40% - akcent 2 62 2" xfId="3268" xr:uid="{00000000-0005-0000-0000-0000AF0C0000}"/>
    <cellStyle name="40% - akcent 2 63" xfId="3269" xr:uid="{00000000-0005-0000-0000-0000B00C0000}"/>
    <cellStyle name="40% - akcent 2 63 2" xfId="3270" xr:uid="{00000000-0005-0000-0000-0000B10C0000}"/>
    <cellStyle name="40% - akcent 2 64" xfId="3271" xr:uid="{00000000-0005-0000-0000-0000B20C0000}"/>
    <cellStyle name="40% - akcent 2 64 2" xfId="3272" xr:uid="{00000000-0005-0000-0000-0000B30C0000}"/>
    <cellStyle name="40% - akcent 2 65" xfId="3273" xr:uid="{00000000-0005-0000-0000-0000B40C0000}"/>
    <cellStyle name="40% - akcent 2 65 2" xfId="3274" xr:uid="{00000000-0005-0000-0000-0000B50C0000}"/>
    <cellStyle name="40% - akcent 2 66" xfId="3275" xr:uid="{00000000-0005-0000-0000-0000B60C0000}"/>
    <cellStyle name="40% - akcent 2 66 2" xfId="3276" xr:uid="{00000000-0005-0000-0000-0000B70C0000}"/>
    <cellStyle name="40% - akcent 2 67" xfId="3277" xr:uid="{00000000-0005-0000-0000-0000B80C0000}"/>
    <cellStyle name="40% - akcent 2 67 2" xfId="3278" xr:uid="{00000000-0005-0000-0000-0000B90C0000}"/>
    <cellStyle name="40% - akcent 2 68" xfId="3279" xr:uid="{00000000-0005-0000-0000-0000BA0C0000}"/>
    <cellStyle name="40% - akcent 2 68 2" xfId="3280" xr:uid="{00000000-0005-0000-0000-0000BB0C0000}"/>
    <cellStyle name="40% - akcent 2 69" xfId="3281" xr:uid="{00000000-0005-0000-0000-0000BC0C0000}"/>
    <cellStyle name="40% - akcent 2 69 2" xfId="3282" xr:uid="{00000000-0005-0000-0000-0000BD0C0000}"/>
    <cellStyle name="40% - akcent 2 7" xfId="3283" xr:uid="{00000000-0005-0000-0000-0000BE0C0000}"/>
    <cellStyle name="40% - akcent 2 70" xfId="3284" xr:uid="{00000000-0005-0000-0000-0000BF0C0000}"/>
    <cellStyle name="40% - akcent 2 70 2" xfId="3285" xr:uid="{00000000-0005-0000-0000-0000C00C0000}"/>
    <cellStyle name="40% - akcent 2 71" xfId="3286" xr:uid="{00000000-0005-0000-0000-0000C10C0000}"/>
    <cellStyle name="40% - akcent 2 71 2" xfId="3287" xr:uid="{00000000-0005-0000-0000-0000C20C0000}"/>
    <cellStyle name="40% - akcent 2 72" xfId="3288" xr:uid="{00000000-0005-0000-0000-0000C30C0000}"/>
    <cellStyle name="40% - akcent 2 72 2" xfId="3289" xr:uid="{00000000-0005-0000-0000-0000C40C0000}"/>
    <cellStyle name="40% - akcent 2 73" xfId="3290" xr:uid="{00000000-0005-0000-0000-0000C50C0000}"/>
    <cellStyle name="40% - akcent 2 73 2" xfId="3291" xr:uid="{00000000-0005-0000-0000-0000C60C0000}"/>
    <cellStyle name="40% - akcent 2 74" xfId="3292" xr:uid="{00000000-0005-0000-0000-0000C70C0000}"/>
    <cellStyle name="40% - akcent 2 74 2" xfId="3293" xr:uid="{00000000-0005-0000-0000-0000C80C0000}"/>
    <cellStyle name="40% - akcent 2 75" xfId="3294" xr:uid="{00000000-0005-0000-0000-0000C90C0000}"/>
    <cellStyle name="40% - akcent 2 75 2" xfId="3295" xr:uid="{00000000-0005-0000-0000-0000CA0C0000}"/>
    <cellStyle name="40% - akcent 2 76" xfId="3296" xr:uid="{00000000-0005-0000-0000-0000CB0C0000}"/>
    <cellStyle name="40% - akcent 2 76 2" xfId="3297" xr:uid="{00000000-0005-0000-0000-0000CC0C0000}"/>
    <cellStyle name="40% - akcent 2 77" xfId="3298" xr:uid="{00000000-0005-0000-0000-0000CD0C0000}"/>
    <cellStyle name="40% - akcent 2 77 2" xfId="3299" xr:uid="{00000000-0005-0000-0000-0000CE0C0000}"/>
    <cellStyle name="40% - akcent 2 78" xfId="3300" xr:uid="{00000000-0005-0000-0000-0000CF0C0000}"/>
    <cellStyle name="40% - akcent 2 78 2" xfId="3301" xr:uid="{00000000-0005-0000-0000-0000D00C0000}"/>
    <cellStyle name="40% - akcent 2 79" xfId="3302" xr:uid="{00000000-0005-0000-0000-0000D10C0000}"/>
    <cellStyle name="40% - akcent 2 79 2" xfId="3303" xr:uid="{00000000-0005-0000-0000-0000D20C0000}"/>
    <cellStyle name="40% - akcent 2 8" xfId="3304" xr:uid="{00000000-0005-0000-0000-0000D30C0000}"/>
    <cellStyle name="40% - akcent 2 80" xfId="3305" xr:uid="{00000000-0005-0000-0000-0000D40C0000}"/>
    <cellStyle name="40% - akcent 2 80 2" xfId="3306" xr:uid="{00000000-0005-0000-0000-0000D50C0000}"/>
    <cellStyle name="40% - akcent 2 81" xfId="3307" xr:uid="{00000000-0005-0000-0000-0000D60C0000}"/>
    <cellStyle name="40% - akcent 2 81 2" xfId="3308" xr:uid="{00000000-0005-0000-0000-0000D70C0000}"/>
    <cellStyle name="40% - akcent 2 82" xfId="3309" xr:uid="{00000000-0005-0000-0000-0000D80C0000}"/>
    <cellStyle name="40% - akcent 2 82 2" xfId="3310" xr:uid="{00000000-0005-0000-0000-0000D90C0000}"/>
    <cellStyle name="40% - akcent 2 83" xfId="3311" xr:uid="{00000000-0005-0000-0000-0000DA0C0000}"/>
    <cellStyle name="40% - akcent 2 83 2" xfId="3312" xr:uid="{00000000-0005-0000-0000-0000DB0C0000}"/>
    <cellStyle name="40% - akcent 2 84" xfId="3313" xr:uid="{00000000-0005-0000-0000-0000DC0C0000}"/>
    <cellStyle name="40% - akcent 2 84 2" xfId="3314" xr:uid="{00000000-0005-0000-0000-0000DD0C0000}"/>
    <cellStyle name="40% - akcent 2 85" xfId="3315" xr:uid="{00000000-0005-0000-0000-0000DE0C0000}"/>
    <cellStyle name="40% - akcent 2 85 2" xfId="3316" xr:uid="{00000000-0005-0000-0000-0000DF0C0000}"/>
    <cellStyle name="40% - akcent 2 86" xfId="3317" xr:uid="{00000000-0005-0000-0000-0000E00C0000}"/>
    <cellStyle name="40% - akcent 2 86 2" xfId="3318" xr:uid="{00000000-0005-0000-0000-0000E10C0000}"/>
    <cellStyle name="40% - akcent 2 87" xfId="3319" xr:uid="{00000000-0005-0000-0000-0000E20C0000}"/>
    <cellStyle name="40% - akcent 2 87 2" xfId="3320" xr:uid="{00000000-0005-0000-0000-0000E30C0000}"/>
    <cellStyle name="40% - akcent 2 88" xfId="3321" xr:uid="{00000000-0005-0000-0000-0000E40C0000}"/>
    <cellStyle name="40% - akcent 2 88 2" xfId="3322" xr:uid="{00000000-0005-0000-0000-0000E50C0000}"/>
    <cellStyle name="40% - akcent 2 89" xfId="3323" xr:uid="{00000000-0005-0000-0000-0000E60C0000}"/>
    <cellStyle name="40% - akcent 2 89 2" xfId="3324" xr:uid="{00000000-0005-0000-0000-0000E70C0000}"/>
    <cellStyle name="40% - akcent 2 9" xfId="3325" xr:uid="{00000000-0005-0000-0000-0000E80C0000}"/>
    <cellStyle name="40% - akcent 2 90" xfId="3326" xr:uid="{00000000-0005-0000-0000-0000E90C0000}"/>
    <cellStyle name="40% - akcent 2 90 2" xfId="3327" xr:uid="{00000000-0005-0000-0000-0000EA0C0000}"/>
    <cellStyle name="40% - akcent 2 91" xfId="3328" xr:uid="{00000000-0005-0000-0000-0000EB0C0000}"/>
    <cellStyle name="40% - akcent 2 91 2" xfId="3329" xr:uid="{00000000-0005-0000-0000-0000EC0C0000}"/>
    <cellStyle name="40% - akcent 2 92" xfId="3330" xr:uid="{00000000-0005-0000-0000-0000ED0C0000}"/>
    <cellStyle name="40% - akcent 2 92 2" xfId="3331" xr:uid="{00000000-0005-0000-0000-0000EE0C0000}"/>
    <cellStyle name="40% - akcent 2 93" xfId="3332" xr:uid="{00000000-0005-0000-0000-0000EF0C0000}"/>
    <cellStyle name="40% - akcent 2 93 2" xfId="3333" xr:uid="{00000000-0005-0000-0000-0000F00C0000}"/>
    <cellStyle name="40% - akcent 2 94" xfId="3334" xr:uid="{00000000-0005-0000-0000-0000F10C0000}"/>
    <cellStyle name="40% - akcent 2 94 2" xfId="3335" xr:uid="{00000000-0005-0000-0000-0000F20C0000}"/>
    <cellStyle name="40% - akcent 2 95" xfId="3336" xr:uid="{00000000-0005-0000-0000-0000F30C0000}"/>
    <cellStyle name="40% - akcent 2 95 2" xfId="3337" xr:uid="{00000000-0005-0000-0000-0000F40C0000}"/>
    <cellStyle name="40% - akcent 2 96" xfId="3338" xr:uid="{00000000-0005-0000-0000-0000F50C0000}"/>
    <cellStyle name="40% - akcent 2 96 2" xfId="3339" xr:uid="{00000000-0005-0000-0000-0000F60C0000}"/>
    <cellStyle name="40% - akcent 2 97" xfId="3340" xr:uid="{00000000-0005-0000-0000-0000F70C0000}"/>
    <cellStyle name="40% - akcent 2 97 2" xfId="3341" xr:uid="{00000000-0005-0000-0000-0000F80C0000}"/>
    <cellStyle name="40% - akcent 2 98" xfId="3342" xr:uid="{00000000-0005-0000-0000-0000F90C0000}"/>
    <cellStyle name="40% - akcent 2 98 2" xfId="3343" xr:uid="{00000000-0005-0000-0000-0000FA0C0000}"/>
    <cellStyle name="40% - akcent 2 99" xfId="3344" xr:uid="{00000000-0005-0000-0000-0000FB0C0000}"/>
    <cellStyle name="40% - akcent 2 99 2" xfId="3345" xr:uid="{00000000-0005-0000-0000-0000FC0C0000}"/>
    <cellStyle name="40% - akcent 3 10" xfId="3346" xr:uid="{00000000-0005-0000-0000-0000FD0C0000}"/>
    <cellStyle name="40% - akcent 3 100" xfId="3347" xr:uid="{00000000-0005-0000-0000-0000FE0C0000}"/>
    <cellStyle name="40% - akcent 3 100 2" xfId="3348" xr:uid="{00000000-0005-0000-0000-0000FF0C0000}"/>
    <cellStyle name="40% - akcent 3 101" xfId="3349" xr:uid="{00000000-0005-0000-0000-0000000D0000}"/>
    <cellStyle name="40% - akcent 3 101 2" xfId="3350" xr:uid="{00000000-0005-0000-0000-0000010D0000}"/>
    <cellStyle name="40% - akcent 3 102" xfId="3351" xr:uid="{00000000-0005-0000-0000-0000020D0000}"/>
    <cellStyle name="40% - akcent 3 102 2" xfId="3352" xr:uid="{00000000-0005-0000-0000-0000030D0000}"/>
    <cellStyle name="40% - akcent 3 103" xfId="3353" xr:uid="{00000000-0005-0000-0000-0000040D0000}"/>
    <cellStyle name="40% - akcent 3 103 2" xfId="3354" xr:uid="{00000000-0005-0000-0000-0000050D0000}"/>
    <cellStyle name="40% - akcent 3 104" xfId="3355" xr:uid="{00000000-0005-0000-0000-0000060D0000}"/>
    <cellStyle name="40% - akcent 3 104 2" xfId="3356" xr:uid="{00000000-0005-0000-0000-0000070D0000}"/>
    <cellStyle name="40% - akcent 3 105" xfId="3357" xr:uid="{00000000-0005-0000-0000-0000080D0000}"/>
    <cellStyle name="40% - akcent 3 105 2" xfId="3358" xr:uid="{00000000-0005-0000-0000-0000090D0000}"/>
    <cellStyle name="40% - akcent 3 106" xfId="3359" xr:uid="{00000000-0005-0000-0000-00000A0D0000}"/>
    <cellStyle name="40% - akcent 3 106 2" xfId="3360" xr:uid="{00000000-0005-0000-0000-00000B0D0000}"/>
    <cellStyle name="40% - akcent 3 107" xfId="3361" xr:uid="{00000000-0005-0000-0000-00000C0D0000}"/>
    <cellStyle name="40% - akcent 3 107 2" xfId="3362" xr:uid="{00000000-0005-0000-0000-00000D0D0000}"/>
    <cellStyle name="40% - akcent 3 108" xfId="3363" xr:uid="{00000000-0005-0000-0000-00000E0D0000}"/>
    <cellStyle name="40% - akcent 3 108 2" xfId="3364" xr:uid="{00000000-0005-0000-0000-00000F0D0000}"/>
    <cellStyle name="40% - akcent 3 109" xfId="3365" xr:uid="{00000000-0005-0000-0000-0000100D0000}"/>
    <cellStyle name="40% - akcent 3 109 2" xfId="3366" xr:uid="{00000000-0005-0000-0000-0000110D0000}"/>
    <cellStyle name="40% - akcent 3 11" xfId="3367" xr:uid="{00000000-0005-0000-0000-0000120D0000}"/>
    <cellStyle name="40% - akcent 3 110" xfId="3368" xr:uid="{00000000-0005-0000-0000-0000130D0000}"/>
    <cellStyle name="40% - akcent 3 110 2" xfId="3369" xr:uid="{00000000-0005-0000-0000-0000140D0000}"/>
    <cellStyle name="40% - akcent 3 111" xfId="3370" xr:uid="{00000000-0005-0000-0000-0000150D0000}"/>
    <cellStyle name="40% - akcent 3 111 2" xfId="3371" xr:uid="{00000000-0005-0000-0000-0000160D0000}"/>
    <cellStyle name="40% - akcent 3 112" xfId="3372" xr:uid="{00000000-0005-0000-0000-0000170D0000}"/>
    <cellStyle name="40% - akcent 3 112 2" xfId="3373" xr:uid="{00000000-0005-0000-0000-0000180D0000}"/>
    <cellStyle name="40% - akcent 3 113" xfId="3374" xr:uid="{00000000-0005-0000-0000-0000190D0000}"/>
    <cellStyle name="40% - akcent 3 113 2" xfId="3375" xr:uid="{00000000-0005-0000-0000-00001A0D0000}"/>
    <cellStyle name="40% - akcent 3 114" xfId="3376" xr:uid="{00000000-0005-0000-0000-00001B0D0000}"/>
    <cellStyle name="40% - akcent 3 114 2" xfId="3377" xr:uid="{00000000-0005-0000-0000-00001C0D0000}"/>
    <cellStyle name="40% - akcent 3 115" xfId="3378" xr:uid="{00000000-0005-0000-0000-00001D0D0000}"/>
    <cellStyle name="40% - akcent 3 115 2" xfId="3379" xr:uid="{00000000-0005-0000-0000-00001E0D0000}"/>
    <cellStyle name="40% - akcent 3 116" xfId="3380" xr:uid="{00000000-0005-0000-0000-00001F0D0000}"/>
    <cellStyle name="40% - akcent 3 116 2" xfId="3381" xr:uid="{00000000-0005-0000-0000-0000200D0000}"/>
    <cellStyle name="40% - akcent 3 117" xfId="3382" xr:uid="{00000000-0005-0000-0000-0000210D0000}"/>
    <cellStyle name="40% - akcent 3 117 2" xfId="3383" xr:uid="{00000000-0005-0000-0000-0000220D0000}"/>
    <cellStyle name="40% - akcent 3 118" xfId="3384" xr:uid="{00000000-0005-0000-0000-0000230D0000}"/>
    <cellStyle name="40% - akcent 3 118 2" xfId="3385" xr:uid="{00000000-0005-0000-0000-0000240D0000}"/>
    <cellStyle name="40% - akcent 3 119" xfId="3386" xr:uid="{00000000-0005-0000-0000-0000250D0000}"/>
    <cellStyle name="40% - akcent 3 119 2" xfId="3387" xr:uid="{00000000-0005-0000-0000-0000260D0000}"/>
    <cellStyle name="40% - akcent 3 12" xfId="3388" xr:uid="{00000000-0005-0000-0000-0000270D0000}"/>
    <cellStyle name="40% - akcent 3 120" xfId="3389" xr:uid="{00000000-0005-0000-0000-0000280D0000}"/>
    <cellStyle name="40% - akcent 3 121" xfId="3390" xr:uid="{00000000-0005-0000-0000-0000290D0000}"/>
    <cellStyle name="40% - akcent 3 13" xfId="3391" xr:uid="{00000000-0005-0000-0000-00002A0D0000}"/>
    <cellStyle name="40% - akcent 3 14" xfId="3392" xr:uid="{00000000-0005-0000-0000-00002B0D0000}"/>
    <cellStyle name="40% - akcent 3 15" xfId="3393" xr:uid="{00000000-0005-0000-0000-00002C0D0000}"/>
    <cellStyle name="40% - akcent 3 16" xfId="3394" xr:uid="{00000000-0005-0000-0000-00002D0D0000}"/>
    <cellStyle name="40% - akcent 3 17" xfId="3395" xr:uid="{00000000-0005-0000-0000-00002E0D0000}"/>
    <cellStyle name="40% - akcent 3 18" xfId="3396" xr:uid="{00000000-0005-0000-0000-00002F0D0000}"/>
    <cellStyle name="40% - akcent 3 19" xfId="3397" xr:uid="{00000000-0005-0000-0000-0000300D0000}"/>
    <cellStyle name="40% - akcent 3 2" xfId="3398" xr:uid="{00000000-0005-0000-0000-0000310D0000}"/>
    <cellStyle name="40% - akcent 3 2 10" xfId="3399" xr:uid="{00000000-0005-0000-0000-0000320D0000}"/>
    <cellStyle name="40% - akcent 3 2 10 2" xfId="3400" xr:uid="{00000000-0005-0000-0000-0000330D0000}"/>
    <cellStyle name="40% - akcent 3 2 10 3" xfId="3401" xr:uid="{00000000-0005-0000-0000-0000340D0000}"/>
    <cellStyle name="40% - akcent 3 2 10 4" xfId="3402" xr:uid="{00000000-0005-0000-0000-0000350D0000}"/>
    <cellStyle name="40% - akcent 3 2 10 5" xfId="3403" xr:uid="{00000000-0005-0000-0000-0000360D0000}"/>
    <cellStyle name="40% - akcent 3 2 10 6" xfId="3404" xr:uid="{00000000-0005-0000-0000-0000370D0000}"/>
    <cellStyle name="40% - akcent 3 2 11" xfId="3405" xr:uid="{00000000-0005-0000-0000-0000380D0000}"/>
    <cellStyle name="40% - akcent 3 2 11 2" xfId="3406" xr:uid="{00000000-0005-0000-0000-0000390D0000}"/>
    <cellStyle name="40% - akcent 3 2 11 3" xfId="3407" xr:uid="{00000000-0005-0000-0000-00003A0D0000}"/>
    <cellStyle name="40% - akcent 3 2 11 4" xfId="3408" xr:uid="{00000000-0005-0000-0000-00003B0D0000}"/>
    <cellStyle name="40% - akcent 3 2 11 5" xfId="3409" xr:uid="{00000000-0005-0000-0000-00003C0D0000}"/>
    <cellStyle name="40% - akcent 3 2 11 6" xfId="3410" xr:uid="{00000000-0005-0000-0000-00003D0D0000}"/>
    <cellStyle name="40% - akcent 3 2 12" xfId="3411" xr:uid="{00000000-0005-0000-0000-00003E0D0000}"/>
    <cellStyle name="40% - akcent 3 2 12 2" xfId="3412" xr:uid="{00000000-0005-0000-0000-00003F0D0000}"/>
    <cellStyle name="40% - akcent 3 2 12 3" xfId="3413" xr:uid="{00000000-0005-0000-0000-0000400D0000}"/>
    <cellStyle name="40% - akcent 3 2 12 4" xfId="3414" xr:uid="{00000000-0005-0000-0000-0000410D0000}"/>
    <cellStyle name="40% - akcent 3 2 12 5" xfId="3415" xr:uid="{00000000-0005-0000-0000-0000420D0000}"/>
    <cellStyle name="40% - akcent 3 2 12 6" xfId="3416" xr:uid="{00000000-0005-0000-0000-0000430D0000}"/>
    <cellStyle name="40% - akcent 3 2 13" xfId="3417" xr:uid="{00000000-0005-0000-0000-0000440D0000}"/>
    <cellStyle name="40% - akcent 3 2 13 2" xfId="3418" xr:uid="{00000000-0005-0000-0000-0000450D0000}"/>
    <cellStyle name="40% - akcent 3 2 13 3" xfId="3419" xr:uid="{00000000-0005-0000-0000-0000460D0000}"/>
    <cellStyle name="40% - akcent 3 2 13 4" xfId="3420" xr:uid="{00000000-0005-0000-0000-0000470D0000}"/>
    <cellStyle name="40% - akcent 3 2 13 5" xfId="3421" xr:uid="{00000000-0005-0000-0000-0000480D0000}"/>
    <cellStyle name="40% - akcent 3 2 13 6" xfId="3422" xr:uid="{00000000-0005-0000-0000-0000490D0000}"/>
    <cellStyle name="40% - akcent 3 2 14" xfId="3423" xr:uid="{00000000-0005-0000-0000-00004A0D0000}"/>
    <cellStyle name="40% - akcent 3 2 14 2" xfId="3424" xr:uid="{00000000-0005-0000-0000-00004B0D0000}"/>
    <cellStyle name="40% - akcent 3 2 14 3" xfId="3425" xr:uid="{00000000-0005-0000-0000-00004C0D0000}"/>
    <cellStyle name="40% - akcent 3 2 14 4" xfId="3426" xr:uid="{00000000-0005-0000-0000-00004D0D0000}"/>
    <cellStyle name="40% - akcent 3 2 14 5" xfId="3427" xr:uid="{00000000-0005-0000-0000-00004E0D0000}"/>
    <cellStyle name="40% - akcent 3 2 14 6" xfId="3428" xr:uid="{00000000-0005-0000-0000-00004F0D0000}"/>
    <cellStyle name="40% - akcent 3 2 15" xfId="3429" xr:uid="{00000000-0005-0000-0000-0000500D0000}"/>
    <cellStyle name="40% - akcent 3 2 15 2" xfId="3430" xr:uid="{00000000-0005-0000-0000-0000510D0000}"/>
    <cellStyle name="40% - akcent 3 2 15 3" xfId="3431" xr:uid="{00000000-0005-0000-0000-0000520D0000}"/>
    <cellStyle name="40% - akcent 3 2 15 4" xfId="3432" xr:uid="{00000000-0005-0000-0000-0000530D0000}"/>
    <cellStyle name="40% - akcent 3 2 15 5" xfId="3433" xr:uid="{00000000-0005-0000-0000-0000540D0000}"/>
    <cellStyle name="40% - akcent 3 2 15 6" xfId="3434" xr:uid="{00000000-0005-0000-0000-0000550D0000}"/>
    <cellStyle name="40% - akcent 3 2 16" xfId="3435" xr:uid="{00000000-0005-0000-0000-0000560D0000}"/>
    <cellStyle name="40% - akcent 3 2 16 2" xfId="3436" xr:uid="{00000000-0005-0000-0000-0000570D0000}"/>
    <cellStyle name="40% - akcent 3 2 16 3" xfId="3437" xr:uid="{00000000-0005-0000-0000-0000580D0000}"/>
    <cellStyle name="40% - akcent 3 2 16 4" xfId="3438" xr:uid="{00000000-0005-0000-0000-0000590D0000}"/>
    <cellStyle name="40% - akcent 3 2 16 5" xfId="3439" xr:uid="{00000000-0005-0000-0000-00005A0D0000}"/>
    <cellStyle name="40% - akcent 3 2 16 6" xfId="3440" xr:uid="{00000000-0005-0000-0000-00005B0D0000}"/>
    <cellStyle name="40% - akcent 3 2 17" xfId="3441" xr:uid="{00000000-0005-0000-0000-00005C0D0000}"/>
    <cellStyle name="40% - akcent 3 2 17 2" xfId="3442" xr:uid="{00000000-0005-0000-0000-00005D0D0000}"/>
    <cellStyle name="40% - akcent 3 2 17 3" xfId="3443" xr:uid="{00000000-0005-0000-0000-00005E0D0000}"/>
    <cellStyle name="40% - akcent 3 2 17 4" xfId="3444" xr:uid="{00000000-0005-0000-0000-00005F0D0000}"/>
    <cellStyle name="40% - akcent 3 2 17 5" xfId="3445" xr:uid="{00000000-0005-0000-0000-0000600D0000}"/>
    <cellStyle name="40% - akcent 3 2 17 6" xfId="3446" xr:uid="{00000000-0005-0000-0000-0000610D0000}"/>
    <cellStyle name="40% - akcent 3 2 18" xfId="3447" xr:uid="{00000000-0005-0000-0000-0000620D0000}"/>
    <cellStyle name="40% - akcent 3 2 18 2" xfId="3448" xr:uid="{00000000-0005-0000-0000-0000630D0000}"/>
    <cellStyle name="40% - akcent 3 2 18 3" xfId="3449" xr:uid="{00000000-0005-0000-0000-0000640D0000}"/>
    <cellStyle name="40% - akcent 3 2 18 4" xfId="3450" xr:uid="{00000000-0005-0000-0000-0000650D0000}"/>
    <cellStyle name="40% - akcent 3 2 18 5" xfId="3451" xr:uid="{00000000-0005-0000-0000-0000660D0000}"/>
    <cellStyle name="40% - akcent 3 2 18 6" xfId="3452" xr:uid="{00000000-0005-0000-0000-0000670D0000}"/>
    <cellStyle name="40% - akcent 3 2 19" xfId="3453" xr:uid="{00000000-0005-0000-0000-0000680D0000}"/>
    <cellStyle name="40% - akcent 3 2 19 2" xfId="3454" xr:uid="{00000000-0005-0000-0000-0000690D0000}"/>
    <cellStyle name="40% - akcent 3 2 19 3" xfId="3455" xr:uid="{00000000-0005-0000-0000-00006A0D0000}"/>
    <cellStyle name="40% - akcent 3 2 19 4" xfId="3456" xr:uid="{00000000-0005-0000-0000-00006B0D0000}"/>
    <cellStyle name="40% - akcent 3 2 19 5" xfId="3457" xr:uid="{00000000-0005-0000-0000-00006C0D0000}"/>
    <cellStyle name="40% - akcent 3 2 19 6" xfId="3458" xr:uid="{00000000-0005-0000-0000-00006D0D0000}"/>
    <cellStyle name="40% - akcent 3 2 2" xfId="3459" xr:uid="{00000000-0005-0000-0000-00006E0D0000}"/>
    <cellStyle name="40% - akcent 3 2 2 2" xfId="3460" xr:uid="{00000000-0005-0000-0000-00006F0D0000}"/>
    <cellStyle name="40% - akcent 3 2 2 3" xfId="3461" xr:uid="{00000000-0005-0000-0000-0000700D0000}"/>
    <cellStyle name="40% - akcent 3 2 2 4" xfId="3462" xr:uid="{00000000-0005-0000-0000-0000710D0000}"/>
    <cellStyle name="40% - akcent 3 2 2 5" xfId="3463" xr:uid="{00000000-0005-0000-0000-0000720D0000}"/>
    <cellStyle name="40% - akcent 3 2 2 6" xfId="3464" xr:uid="{00000000-0005-0000-0000-0000730D0000}"/>
    <cellStyle name="40% - akcent 3 2 2 7" xfId="3465" xr:uid="{00000000-0005-0000-0000-0000740D0000}"/>
    <cellStyle name="40% - akcent 3 2 20" xfId="3466" xr:uid="{00000000-0005-0000-0000-0000750D0000}"/>
    <cellStyle name="40% - akcent 3 2 20 2" xfId="3467" xr:uid="{00000000-0005-0000-0000-0000760D0000}"/>
    <cellStyle name="40% - akcent 3 2 20 3" xfId="3468" xr:uid="{00000000-0005-0000-0000-0000770D0000}"/>
    <cellStyle name="40% - akcent 3 2 20 4" xfId="3469" xr:uid="{00000000-0005-0000-0000-0000780D0000}"/>
    <cellStyle name="40% - akcent 3 2 20 5" xfId="3470" xr:uid="{00000000-0005-0000-0000-0000790D0000}"/>
    <cellStyle name="40% - akcent 3 2 20 6" xfId="3471" xr:uid="{00000000-0005-0000-0000-00007A0D0000}"/>
    <cellStyle name="40% - akcent 3 2 21" xfId="3472" xr:uid="{00000000-0005-0000-0000-00007B0D0000}"/>
    <cellStyle name="40% - akcent 3 2 21 2" xfId="3473" xr:uid="{00000000-0005-0000-0000-00007C0D0000}"/>
    <cellStyle name="40% - akcent 3 2 21 3" xfId="3474" xr:uid="{00000000-0005-0000-0000-00007D0D0000}"/>
    <cellStyle name="40% - akcent 3 2 21 4" xfId="3475" xr:uid="{00000000-0005-0000-0000-00007E0D0000}"/>
    <cellStyle name="40% - akcent 3 2 21 5" xfId="3476" xr:uid="{00000000-0005-0000-0000-00007F0D0000}"/>
    <cellStyle name="40% - akcent 3 2 21 6" xfId="3477" xr:uid="{00000000-0005-0000-0000-0000800D0000}"/>
    <cellStyle name="40% - akcent 3 2 22" xfId="3478" xr:uid="{00000000-0005-0000-0000-0000810D0000}"/>
    <cellStyle name="40% - akcent 3 2 22 2" xfId="3479" xr:uid="{00000000-0005-0000-0000-0000820D0000}"/>
    <cellStyle name="40% - akcent 3 2 22 3" xfId="3480" xr:uid="{00000000-0005-0000-0000-0000830D0000}"/>
    <cellStyle name="40% - akcent 3 2 22 4" xfId="3481" xr:uid="{00000000-0005-0000-0000-0000840D0000}"/>
    <cellStyle name="40% - akcent 3 2 22 5" xfId="3482" xr:uid="{00000000-0005-0000-0000-0000850D0000}"/>
    <cellStyle name="40% - akcent 3 2 22 6" xfId="3483" xr:uid="{00000000-0005-0000-0000-0000860D0000}"/>
    <cellStyle name="40% - akcent 3 2 23" xfId="3484" xr:uid="{00000000-0005-0000-0000-0000870D0000}"/>
    <cellStyle name="40% - akcent 3 2 23 2" xfId="3485" xr:uid="{00000000-0005-0000-0000-0000880D0000}"/>
    <cellStyle name="40% - akcent 3 2 23 3" xfId="3486" xr:uid="{00000000-0005-0000-0000-0000890D0000}"/>
    <cellStyle name="40% - akcent 3 2 23 4" xfId="3487" xr:uid="{00000000-0005-0000-0000-00008A0D0000}"/>
    <cellStyle name="40% - akcent 3 2 23 5" xfId="3488" xr:uid="{00000000-0005-0000-0000-00008B0D0000}"/>
    <cellStyle name="40% - akcent 3 2 23 6" xfId="3489" xr:uid="{00000000-0005-0000-0000-00008C0D0000}"/>
    <cellStyle name="40% - akcent 3 2 24" xfId="3490" xr:uid="{00000000-0005-0000-0000-00008D0D0000}"/>
    <cellStyle name="40% - akcent 3 2 24 2" xfId="3491" xr:uid="{00000000-0005-0000-0000-00008E0D0000}"/>
    <cellStyle name="40% - akcent 3 2 24 3" xfId="3492" xr:uid="{00000000-0005-0000-0000-00008F0D0000}"/>
    <cellStyle name="40% - akcent 3 2 24 4" xfId="3493" xr:uid="{00000000-0005-0000-0000-0000900D0000}"/>
    <cellStyle name="40% - akcent 3 2 24 5" xfId="3494" xr:uid="{00000000-0005-0000-0000-0000910D0000}"/>
    <cellStyle name="40% - akcent 3 2 24 6" xfId="3495" xr:uid="{00000000-0005-0000-0000-0000920D0000}"/>
    <cellStyle name="40% - akcent 3 2 25" xfId="3496" xr:uid="{00000000-0005-0000-0000-0000930D0000}"/>
    <cellStyle name="40% - akcent 3 2 25 2" xfId="3497" xr:uid="{00000000-0005-0000-0000-0000940D0000}"/>
    <cellStyle name="40% - akcent 3 2 25 3" xfId="3498" xr:uid="{00000000-0005-0000-0000-0000950D0000}"/>
    <cellStyle name="40% - akcent 3 2 25 4" xfId="3499" xr:uid="{00000000-0005-0000-0000-0000960D0000}"/>
    <cellStyle name="40% - akcent 3 2 25 5" xfId="3500" xr:uid="{00000000-0005-0000-0000-0000970D0000}"/>
    <cellStyle name="40% - akcent 3 2 25 6" xfId="3501" xr:uid="{00000000-0005-0000-0000-0000980D0000}"/>
    <cellStyle name="40% - akcent 3 2 26" xfId="3502" xr:uid="{00000000-0005-0000-0000-0000990D0000}"/>
    <cellStyle name="40% - akcent 3 2 26 2" xfId="3503" xr:uid="{00000000-0005-0000-0000-00009A0D0000}"/>
    <cellStyle name="40% - akcent 3 2 26 3" xfId="3504" xr:uid="{00000000-0005-0000-0000-00009B0D0000}"/>
    <cellStyle name="40% - akcent 3 2 26 4" xfId="3505" xr:uid="{00000000-0005-0000-0000-00009C0D0000}"/>
    <cellStyle name="40% - akcent 3 2 26 5" xfId="3506" xr:uid="{00000000-0005-0000-0000-00009D0D0000}"/>
    <cellStyle name="40% - akcent 3 2 26 6" xfId="3507" xr:uid="{00000000-0005-0000-0000-00009E0D0000}"/>
    <cellStyle name="40% - akcent 3 2 27" xfId="3508" xr:uid="{00000000-0005-0000-0000-00009F0D0000}"/>
    <cellStyle name="40% - akcent 3 2 27 2" xfId="3509" xr:uid="{00000000-0005-0000-0000-0000A00D0000}"/>
    <cellStyle name="40% - akcent 3 2 27 3" xfId="3510" xr:uid="{00000000-0005-0000-0000-0000A10D0000}"/>
    <cellStyle name="40% - akcent 3 2 27 4" xfId="3511" xr:uid="{00000000-0005-0000-0000-0000A20D0000}"/>
    <cellStyle name="40% - akcent 3 2 27 5" xfId="3512" xr:uid="{00000000-0005-0000-0000-0000A30D0000}"/>
    <cellStyle name="40% - akcent 3 2 27 6" xfId="3513" xr:uid="{00000000-0005-0000-0000-0000A40D0000}"/>
    <cellStyle name="40% - akcent 3 2 28" xfId="3514" xr:uid="{00000000-0005-0000-0000-0000A50D0000}"/>
    <cellStyle name="40% - akcent 3 2 28 2" xfId="3515" xr:uid="{00000000-0005-0000-0000-0000A60D0000}"/>
    <cellStyle name="40% - akcent 3 2 28 3" xfId="3516" xr:uid="{00000000-0005-0000-0000-0000A70D0000}"/>
    <cellStyle name="40% - akcent 3 2 28 4" xfId="3517" xr:uid="{00000000-0005-0000-0000-0000A80D0000}"/>
    <cellStyle name="40% - akcent 3 2 28 5" xfId="3518" xr:uid="{00000000-0005-0000-0000-0000A90D0000}"/>
    <cellStyle name="40% - akcent 3 2 28 6" xfId="3519" xr:uid="{00000000-0005-0000-0000-0000AA0D0000}"/>
    <cellStyle name="40% - akcent 3 2 29" xfId="3520" xr:uid="{00000000-0005-0000-0000-0000AB0D0000}"/>
    <cellStyle name="40% - akcent 3 2 29 2" xfId="3521" xr:uid="{00000000-0005-0000-0000-0000AC0D0000}"/>
    <cellStyle name="40% - akcent 3 2 3" xfId="3522" xr:uid="{00000000-0005-0000-0000-0000AD0D0000}"/>
    <cellStyle name="40% - akcent 3 2 3 2" xfId="3523" xr:uid="{00000000-0005-0000-0000-0000AE0D0000}"/>
    <cellStyle name="40% - akcent 3 2 3 3" xfId="3524" xr:uid="{00000000-0005-0000-0000-0000AF0D0000}"/>
    <cellStyle name="40% - akcent 3 2 3 4" xfId="3525" xr:uid="{00000000-0005-0000-0000-0000B00D0000}"/>
    <cellStyle name="40% - akcent 3 2 3 5" xfId="3526" xr:uid="{00000000-0005-0000-0000-0000B10D0000}"/>
    <cellStyle name="40% - akcent 3 2 3 6" xfId="3527" xr:uid="{00000000-0005-0000-0000-0000B20D0000}"/>
    <cellStyle name="40% - akcent 3 2 3 7" xfId="3528" xr:uid="{00000000-0005-0000-0000-0000B30D0000}"/>
    <cellStyle name="40% - akcent 3 2 30" xfId="3529" xr:uid="{00000000-0005-0000-0000-0000B40D0000}"/>
    <cellStyle name="40% - akcent 3 2 30 2" xfId="3530" xr:uid="{00000000-0005-0000-0000-0000B50D0000}"/>
    <cellStyle name="40% - akcent 3 2 31" xfId="3531" xr:uid="{00000000-0005-0000-0000-0000B60D0000}"/>
    <cellStyle name="40% - akcent 3 2 31 2" xfId="3532" xr:uid="{00000000-0005-0000-0000-0000B70D0000}"/>
    <cellStyle name="40% - akcent 3 2 32" xfId="3533" xr:uid="{00000000-0005-0000-0000-0000B80D0000}"/>
    <cellStyle name="40% - akcent 3 2 32 2" xfId="3534" xr:uid="{00000000-0005-0000-0000-0000B90D0000}"/>
    <cellStyle name="40% - akcent 3 2 33" xfId="3535" xr:uid="{00000000-0005-0000-0000-0000BA0D0000}"/>
    <cellStyle name="40% - akcent 3 2 34" xfId="3536" xr:uid="{00000000-0005-0000-0000-0000BB0D0000}"/>
    <cellStyle name="40% - akcent 3 2 35" xfId="3537" xr:uid="{00000000-0005-0000-0000-0000BC0D0000}"/>
    <cellStyle name="40% - akcent 3 2 36" xfId="3538" xr:uid="{00000000-0005-0000-0000-0000BD0D0000}"/>
    <cellStyle name="40% - akcent 3 2 37" xfId="3539" xr:uid="{00000000-0005-0000-0000-0000BE0D0000}"/>
    <cellStyle name="40% - akcent 3 2 38" xfId="3540" xr:uid="{00000000-0005-0000-0000-0000BF0D0000}"/>
    <cellStyle name="40% - akcent 3 2 39" xfId="3541" xr:uid="{00000000-0005-0000-0000-0000C00D0000}"/>
    <cellStyle name="40% - akcent 3 2 4" xfId="3542" xr:uid="{00000000-0005-0000-0000-0000C10D0000}"/>
    <cellStyle name="40% - akcent 3 2 4 2" xfId="3543" xr:uid="{00000000-0005-0000-0000-0000C20D0000}"/>
    <cellStyle name="40% - akcent 3 2 4 3" xfId="3544" xr:uid="{00000000-0005-0000-0000-0000C30D0000}"/>
    <cellStyle name="40% - akcent 3 2 4 4" xfId="3545" xr:uid="{00000000-0005-0000-0000-0000C40D0000}"/>
    <cellStyle name="40% - akcent 3 2 4 5" xfId="3546" xr:uid="{00000000-0005-0000-0000-0000C50D0000}"/>
    <cellStyle name="40% - akcent 3 2 4 6" xfId="3547" xr:uid="{00000000-0005-0000-0000-0000C60D0000}"/>
    <cellStyle name="40% - akcent 3 2 4 7" xfId="3548" xr:uid="{00000000-0005-0000-0000-0000C70D0000}"/>
    <cellStyle name="40% - akcent 3 2 40" xfId="3549" xr:uid="{00000000-0005-0000-0000-0000C80D0000}"/>
    <cellStyle name="40% - akcent 3 2 41" xfId="3550" xr:uid="{00000000-0005-0000-0000-0000C90D0000}"/>
    <cellStyle name="40% - akcent 3 2 42" xfId="3551" xr:uid="{00000000-0005-0000-0000-0000CA0D0000}"/>
    <cellStyle name="40% - akcent 3 2 43" xfId="3552" xr:uid="{00000000-0005-0000-0000-0000CB0D0000}"/>
    <cellStyle name="40% - akcent 3 2 44" xfId="3553" xr:uid="{00000000-0005-0000-0000-0000CC0D0000}"/>
    <cellStyle name="40% - akcent 3 2 45" xfId="3554" xr:uid="{00000000-0005-0000-0000-0000CD0D0000}"/>
    <cellStyle name="40% - akcent 3 2 46" xfId="3555" xr:uid="{00000000-0005-0000-0000-0000CE0D0000}"/>
    <cellStyle name="40% - akcent 3 2 47" xfId="3556" xr:uid="{00000000-0005-0000-0000-0000CF0D0000}"/>
    <cellStyle name="40% - akcent 3 2 48" xfId="3557" xr:uid="{00000000-0005-0000-0000-0000D00D0000}"/>
    <cellStyle name="40% - akcent 3 2 49" xfId="3558" xr:uid="{00000000-0005-0000-0000-0000D10D0000}"/>
    <cellStyle name="40% - akcent 3 2 5" xfId="3559" xr:uid="{00000000-0005-0000-0000-0000D20D0000}"/>
    <cellStyle name="40% - akcent 3 2 5 2" xfId="3560" xr:uid="{00000000-0005-0000-0000-0000D30D0000}"/>
    <cellStyle name="40% - akcent 3 2 5 3" xfId="3561" xr:uid="{00000000-0005-0000-0000-0000D40D0000}"/>
    <cellStyle name="40% - akcent 3 2 5 4" xfId="3562" xr:uid="{00000000-0005-0000-0000-0000D50D0000}"/>
    <cellStyle name="40% - akcent 3 2 5 5" xfId="3563" xr:uid="{00000000-0005-0000-0000-0000D60D0000}"/>
    <cellStyle name="40% - akcent 3 2 5 6" xfId="3564" xr:uid="{00000000-0005-0000-0000-0000D70D0000}"/>
    <cellStyle name="40% - akcent 3 2 50" xfId="3565" xr:uid="{00000000-0005-0000-0000-0000D80D0000}"/>
    <cellStyle name="40% - akcent 3 2 51" xfId="3566" xr:uid="{00000000-0005-0000-0000-0000D90D0000}"/>
    <cellStyle name="40% - akcent 3 2 6" xfId="3567" xr:uid="{00000000-0005-0000-0000-0000DA0D0000}"/>
    <cellStyle name="40% - akcent 3 2 6 2" xfId="3568" xr:uid="{00000000-0005-0000-0000-0000DB0D0000}"/>
    <cellStyle name="40% - akcent 3 2 6 3" xfId="3569" xr:uid="{00000000-0005-0000-0000-0000DC0D0000}"/>
    <cellStyle name="40% - akcent 3 2 6 4" xfId="3570" xr:uid="{00000000-0005-0000-0000-0000DD0D0000}"/>
    <cellStyle name="40% - akcent 3 2 6 5" xfId="3571" xr:uid="{00000000-0005-0000-0000-0000DE0D0000}"/>
    <cellStyle name="40% - akcent 3 2 6 6" xfId="3572" xr:uid="{00000000-0005-0000-0000-0000DF0D0000}"/>
    <cellStyle name="40% - akcent 3 2 7" xfId="3573" xr:uid="{00000000-0005-0000-0000-0000E00D0000}"/>
    <cellStyle name="40% - akcent 3 2 7 2" xfId="3574" xr:uid="{00000000-0005-0000-0000-0000E10D0000}"/>
    <cellStyle name="40% - akcent 3 2 7 3" xfId="3575" xr:uid="{00000000-0005-0000-0000-0000E20D0000}"/>
    <cellStyle name="40% - akcent 3 2 7 4" xfId="3576" xr:uid="{00000000-0005-0000-0000-0000E30D0000}"/>
    <cellStyle name="40% - akcent 3 2 7 5" xfId="3577" xr:uid="{00000000-0005-0000-0000-0000E40D0000}"/>
    <cellStyle name="40% - akcent 3 2 7 6" xfId="3578" xr:uid="{00000000-0005-0000-0000-0000E50D0000}"/>
    <cellStyle name="40% - akcent 3 2 8" xfId="3579" xr:uid="{00000000-0005-0000-0000-0000E60D0000}"/>
    <cellStyle name="40% - akcent 3 2 8 2" xfId="3580" xr:uid="{00000000-0005-0000-0000-0000E70D0000}"/>
    <cellStyle name="40% - akcent 3 2 8 3" xfId="3581" xr:uid="{00000000-0005-0000-0000-0000E80D0000}"/>
    <cellStyle name="40% - akcent 3 2 8 4" xfId="3582" xr:uid="{00000000-0005-0000-0000-0000E90D0000}"/>
    <cellStyle name="40% - akcent 3 2 8 5" xfId="3583" xr:uid="{00000000-0005-0000-0000-0000EA0D0000}"/>
    <cellStyle name="40% - akcent 3 2 8 6" xfId="3584" xr:uid="{00000000-0005-0000-0000-0000EB0D0000}"/>
    <cellStyle name="40% - akcent 3 2 9" xfId="3585" xr:uid="{00000000-0005-0000-0000-0000EC0D0000}"/>
    <cellStyle name="40% - akcent 3 2 9 2" xfId="3586" xr:uid="{00000000-0005-0000-0000-0000ED0D0000}"/>
    <cellStyle name="40% - akcent 3 2 9 3" xfId="3587" xr:uid="{00000000-0005-0000-0000-0000EE0D0000}"/>
    <cellStyle name="40% - akcent 3 2 9 4" xfId="3588" xr:uid="{00000000-0005-0000-0000-0000EF0D0000}"/>
    <cellStyle name="40% - akcent 3 2 9 5" xfId="3589" xr:uid="{00000000-0005-0000-0000-0000F00D0000}"/>
    <cellStyle name="40% - akcent 3 2 9 6" xfId="3590" xr:uid="{00000000-0005-0000-0000-0000F10D0000}"/>
    <cellStyle name="40% - akcent 3 20" xfId="3591" xr:uid="{00000000-0005-0000-0000-0000F20D0000}"/>
    <cellStyle name="40% - akcent 3 21" xfId="3592" xr:uid="{00000000-0005-0000-0000-0000F30D0000}"/>
    <cellStyle name="40% - akcent 3 22" xfId="3593" xr:uid="{00000000-0005-0000-0000-0000F40D0000}"/>
    <cellStyle name="40% - akcent 3 23" xfId="3594" xr:uid="{00000000-0005-0000-0000-0000F50D0000}"/>
    <cellStyle name="40% - akcent 3 24" xfId="3595" xr:uid="{00000000-0005-0000-0000-0000F60D0000}"/>
    <cellStyle name="40% - akcent 3 25" xfId="3596" xr:uid="{00000000-0005-0000-0000-0000F70D0000}"/>
    <cellStyle name="40% - akcent 3 26" xfId="3597" xr:uid="{00000000-0005-0000-0000-0000F80D0000}"/>
    <cellStyle name="40% - akcent 3 27" xfId="3598" xr:uid="{00000000-0005-0000-0000-0000F90D0000}"/>
    <cellStyle name="40% - akcent 3 28" xfId="3599" xr:uid="{00000000-0005-0000-0000-0000FA0D0000}"/>
    <cellStyle name="40% - akcent 3 29" xfId="3600" xr:uid="{00000000-0005-0000-0000-0000FB0D0000}"/>
    <cellStyle name="40% - akcent 3 3" xfId="3601" xr:uid="{00000000-0005-0000-0000-0000FC0D0000}"/>
    <cellStyle name="40% - akcent 3 3 2" xfId="3602" xr:uid="{00000000-0005-0000-0000-0000FD0D0000}"/>
    <cellStyle name="40% - akcent 3 3 2 2" xfId="3603" xr:uid="{00000000-0005-0000-0000-0000FE0D0000}"/>
    <cellStyle name="40% - akcent 3 3 3" xfId="3604" xr:uid="{00000000-0005-0000-0000-0000FF0D0000}"/>
    <cellStyle name="40% - akcent 3 3 3 2" xfId="3605" xr:uid="{00000000-0005-0000-0000-0000000E0000}"/>
    <cellStyle name="40% - akcent 3 3 4" xfId="3606" xr:uid="{00000000-0005-0000-0000-0000010E0000}"/>
    <cellStyle name="40% - akcent 3 3 4 2" xfId="3607" xr:uid="{00000000-0005-0000-0000-0000020E0000}"/>
    <cellStyle name="40% - akcent 3 3 5" xfId="3608" xr:uid="{00000000-0005-0000-0000-0000030E0000}"/>
    <cellStyle name="40% - akcent 3 3 6" xfId="3609" xr:uid="{00000000-0005-0000-0000-0000040E0000}"/>
    <cellStyle name="40% - akcent 3 3 7" xfId="3610" xr:uid="{00000000-0005-0000-0000-0000050E0000}"/>
    <cellStyle name="40% - akcent 3 3 8" xfId="3611" xr:uid="{00000000-0005-0000-0000-0000060E0000}"/>
    <cellStyle name="40% - akcent 3 30" xfId="3612" xr:uid="{00000000-0005-0000-0000-0000070E0000}"/>
    <cellStyle name="40% - akcent 3 30 2" xfId="3613" xr:uid="{00000000-0005-0000-0000-0000080E0000}"/>
    <cellStyle name="40% - akcent 3 31" xfId="3614" xr:uid="{00000000-0005-0000-0000-0000090E0000}"/>
    <cellStyle name="40% - akcent 3 31 2" xfId="3615" xr:uid="{00000000-0005-0000-0000-00000A0E0000}"/>
    <cellStyle name="40% - akcent 3 32" xfId="3616" xr:uid="{00000000-0005-0000-0000-00000B0E0000}"/>
    <cellStyle name="40% - akcent 3 32 2" xfId="3617" xr:uid="{00000000-0005-0000-0000-00000C0E0000}"/>
    <cellStyle name="40% - akcent 3 33" xfId="3618" xr:uid="{00000000-0005-0000-0000-00000D0E0000}"/>
    <cellStyle name="40% - akcent 3 33 2" xfId="3619" xr:uid="{00000000-0005-0000-0000-00000E0E0000}"/>
    <cellStyle name="40% - akcent 3 34" xfId="3620" xr:uid="{00000000-0005-0000-0000-00000F0E0000}"/>
    <cellStyle name="40% - akcent 3 34 2" xfId="3621" xr:uid="{00000000-0005-0000-0000-0000100E0000}"/>
    <cellStyle name="40% - akcent 3 35" xfId="3622" xr:uid="{00000000-0005-0000-0000-0000110E0000}"/>
    <cellStyle name="40% - akcent 3 35 2" xfId="3623" xr:uid="{00000000-0005-0000-0000-0000120E0000}"/>
    <cellStyle name="40% - akcent 3 36" xfId="3624" xr:uid="{00000000-0005-0000-0000-0000130E0000}"/>
    <cellStyle name="40% - akcent 3 36 2" xfId="3625" xr:uid="{00000000-0005-0000-0000-0000140E0000}"/>
    <cellStyle name="40% - akcent 3 37" xfId="3626" xr:uid="{00000000-0005-0000-0000-0000150E0000}"/>
    <cellStyle name="40% - akcent 3 37 2" xfId="3627" xr:uid="{00000000-0005-0000-0000-0000160E0000}"/>
    <cellStyle name="40% - akcent 3 38" xfId="3628" xr:uid="{00000000-0005-0000-0000-0000170E0000}"/>
    <cellStyle name="40% - akcent 3 38 2" xfId="3629" xr:uid="{00000000-0005-0000-0000-0000180E0000}"/>
    <cellStyle name="40% - akcent 3 39" xfId="3630" xr:uid="{00000000-0005-0000-0000-0000190E0000}"/>
    <cellStyle name="40% - akcent 3 39 2" xfId="3631" xr:uid="{00000000-0005-0000-0000-00001A0E0000}"/>
    <cellStyle name="40% - akcent 3 4" xfId="3632" xr:uid="{00000000-0005-0000-0000-00001B0E0000}"/>
    <cellStyle name="40% - akcent 3 4 2" xfId="3633" xr:uid="{00000000-0005-0000-0000-00001C0E0000}"/>
    <cellStyle name="40% - akcent 3 4 2 2" xfId="3634" xr:uid="{00000000-0005-0000-0000-00001D0E0000}"/>
    <cellStyle name="40% - akcent 3 4 3" xfId="3635" xr:uid="{00000000-0005-0000-0000-00001E0E0000}"/>
    <cellStyle name="40% - akcent 3 4 3 2" xfId="3636" xr:uid="{00000000-0005-0000-0000-00001F0E0000}"/>
    <cellStyle name="40% - akcent 3 4 4" xfId="3637" xr:uid="{00000000-0005-0000-0000-0000200E0000}"/>
    <cellStyle name="40% - akcent 3 4 4 2" xfId="3638" xr:uid="{00000000-0005-0000-0000-0000210E0000}"/>
    <cellStyle name="40% - akcent 3 4 5" xfId="3639" xr:uid="{00000000-0005-0000-0000-0000220E0000}"/>
    <cellStyle name="40% - akcent 3 4 6" xfId="3640" xr:uid="{00000000-0005-0000-0000-0000230E0000}"/>
    <cellStyle name="40% - akcent 3 4 7" xfId="3641" xr:uid="{00000000-0005-0000-0000-0000240E0000}"/>
    <cellStyle name="40% - akcent 3 4 8" xfId="3642" xr:uid="{00000000-0005-0000-0000-0000250E0000}"/>
    <cellStyle name="40% - akcent 3 40" xfId="3643" xr:uid="{00000000-0005-0000-0000-0000260E0000}"/>
    <cellStyle name="40% - akcent 3 40 2" xfId="3644" xr:uid="{00000000-0005-0000-0000-0000270E0000}"/>
    <cellStyle name="40% - akcent 3 41" xfId="3645" xr:uid="{00000000-0005-0000-0000-0000280E0000}"/>
    <cellStyle name="40% - akcent 3 41 2" xfId="3646" xr:uid="{00000000-0005-0000-0000-0000290E0000}"/>
    <cellStyle name="40% - akcent 3 42" xfId="3647" xr:uid="{00000000-0005-0000-0000-00002A0E0000}"/>
    <cellStyle name="40% - akcent 3 42 2" xfId="3648" xr:uid="{00000000-0005-0000-0000-00002B0E0000}"/>
    <cellStyle name="40% - akcent 3 43" xfId="3649" xr:uid="{00000000-0005-0000-0000-00002C0E0000}"/>
    <cellStyle name="40% - akcent 3 43 2" xfId="3650" xr:uid="{00000000-0005-0000-0000-00002D0E0000}"/>
    <cellStyle name="40% - akcent 3 44" xfId="3651" xr:uid="{00000000-0005-0000-0000-00002E0E0000}"/>
    <cellStyle name="40% - akcent 3 44 2" xfId="3652" xr:uid="{00000000-0005-0000-0000-00002F0E0000}"/>
    <cellStyle name="40% - akcent 3 45" xfId="3653" xr:uid="{00000000-0005-0000-0000-0000300E0000}"/>
    <cellStyle name="40% - akcent 3 45 2" xfId="3654" xr:uid="{00000000-0005-0000-0000-0000310E0000}"/>
    <cellStyle name="40% - akcent 3 46" xfId="3655" xr:uid="{00000000-0005-0000-0000-0000320E0000}"/>
    <cellStyle name="40% - akcent 3 46 2" xfId="3656" xr:uid="{00000000-0005-0000-0000-0000330E0000}"/>
    <cellStyle name="40% - akcent 3 47" xfId="3657" xr:uid="{00000000-0005-0000-0000-0000340E0000}"/>
    <cellStyle name="40% - akcent 3 47 2" xfId="3658" xr:uid="{00000000-0005-0000-0000-0000350E0000}"/>
    <cellStyle name="40% - akcent 3 48" xfId="3659" xr:uid="{00000000-0005-0000-0000-0000360E0000}"/>
    <cellStyle name="40% - akcent 3 48 2" xfId="3660" xr:uid="{00000000-0005-0000-0000-0000370E0000}"/>
    <cellStyle name="40% - akcent 3 49" xfId="3661" xr:uid="{00000000-0005-0000-0000-0000380E0000}"/>
    <cellStyle name="40% - akcent 3 49 2" xfId="3662" xr:uid="{00000000-0005-0000-0000-0000390E0000}"/>
    <cellStyle name="40% - akcent 3 5" xfId="3663" xr:uid="{00000000-0005-0000-0000-00003A0E0000}"/>
    <cellStyle name="40% - akcent 3 5 2" xfId="3664" xr:uid="{00000000-0005-0000-0000-00003B0E0000}"/>
    <cellStyle name="40% - akcent 3 5 3" xfId="3665" xr:uid="{00000000-0005-0000-0000-00003C0E0000}"/>
    <cellStyle name="40% - akcent 3 50" xfId="3666" xr:uid="{00000000-0005-0000-0000-00003D0E0000}"/>
    <cellStyle name="40% - akcent 3 50 2" xfId="3667" xr:uid="{00000000-0005-0000-0000-00003E0E0000}"/>
    <cellStyle name="40% - akcent 3 51" xfId="3668" xr:uid="{00000000-0005-0000-0000-00003F0E0000}"/>
    <cellStyle name="40% - akcent 3 51 2" xfId="3669" xr:uid="{00000000-0005-0000-0000-0000400E0000}"/>
    <cellStyle name="40% - akcent 3 52" xfId="3670" xr:uid="{00000000-0005-0000-0000-0000410E0000}"/>
    <cellStyle name="40% - akcent 3 52 2" xfId="3671" xr:uid="{00000000-0005-0000-0000-0000420E0000}"/>
    <cellStyle name="40% - akcent 3 53" xfId="3672" xr:uid="{00000000-0005-0000-0000-0000430E0000}"/>
    <cellStyle name="40% - akcent 3 53 2" xfId="3673" xr:uid="{00000000-0005-0000-0000-0000440E0000}"/>
    <cellStyle name="40% - akcent 3 54" xfId="3674" xr:uid="{00000000-0005-0000-0000-0000450E0000}"/>
    <cellStyle name="40% - akcent 3 54 2" xfId="3675" xr:uid="{00000000-0005-0000-0000-0000460E0000}"/>
    <cellStyle name="40% - akcent 3 55" xfId="3676" xr:uid="{00000000-0005-0000-0000-0000470E0000}"/>
    <cellStyle name="40% - akcent 3 55 2" xfId="3677" xr:uid="{00000000-0005-0000-0000-0000480E0000}"/>
    <cellStyle name="40% - akcent 3 56" xfId="3678" xr:uid="{00000000-0005-0000-0000-0000490E0000}"/>
    <cellStyle name="40% - akcent 3 56 2" xfId="3679" xr:uid="{00000000-0005-0000-0000-00004A0E0000}"/>
    <cellStyle name="40% - akcent 3 57" xfId="3680" xr:uid="{00000000-0005-0000-0000-00004B0E0000}"/>
    <cellStyle name="40% - akcent 3 57 2" xfId="3681" xr:uid="{00000000-0005-0000-0000-00004C0E0000}"/>
    <cellStyle name="40% - akcent 3 58" xfId="3682" xr:uid="{00000000-0005-0000-0000-00004D0E0000}"/>
    <cellStyle name="40% - akcent 3 58 2" xfId="3683" xr:uid="{00000000-0005-0000-0000-00004E0E0000}"/>
    <cellStyle name="40% - akcent 3 59" xfId="3684" xr:uid="{00000000-0005-0000-0000-00004F0E0000}"/>
    <cellStyle name="40% - akcent 3 59 2" xfId="3685" xr:uid="{00000000-0005-0000-0000-0000500E0000}"/>
    <cellStyle name="40% - akcent 3 6" xfId="3686" xr:uid="{00000000-0005-0000-0000-0000510E0000}"/>
    <cellStyle name="40% - akcent 3 60" xfId="3687" xr:uid="{00000000-0005-0000-0000-0000520E0000}"/>
    <cellStyle name="40% - akcent 3 60 2" xfId="3688" xr:uid="{00000000-0005-0000-0000-0000530E0000}"/>
    <cellStyle name="40% - akcent 3 61" xfId="3689" xr:uid="{00000000-0005-0000-0000-0000540E0000}"/>
    <cellStyle name="40% - akcent 3 61 2" xfId="3690" xr:uid="{00000000-0005-0000-0000-0000550E0000}"/>
    <cellStyle name="40% - akcent 3 62" xfId="3691" xr:uid="{00000000-0005-0000-0000-0000560E0000}"/>
    <cellStyle name="40% - akcent 3 62 2" xfId="3692" xr:uid="{00000000-0005-0000-0000-0000570E0000}"/>
    <cellStyle name="40% - akcent 3 63" xfId="3693" xr:uid="{00000000-0005-0000-0000-0000580E0000}"/>
    <cellStyle name="40% - akcent 3 63 2" xfId="3694" xr:uid="{00000000-0005-0000-0000-0000590E0000}"/>
    <cellStyle name="40% - akcent 3 64" xfId="3695" xr:uid="{00000000-0005-0000-0000-00005A0E0000}"/>
    <cellStyle name="40% - akcent 3 64 2" xfId="3696" xr:uid="{00000000-0005-0000-0000-00005B0E0000}"/>
    <cellStyle name="40% - akcent 3 65" xfId="3697" xr:uid="{00000000-0005-0000-0000-00005C0E0000}"/>
    <cellStyle name="40% - akcent 3 65 2" xfId="3698" xr:uid="{00000000-0005-0000-0000-00005D0E0000}"/>
    <cellStyle name="40% - akcent 3 66" xfId="3699" xr:uid="{00000000-0005-0000-0000-00005E0E0000}"/>
    <cellStyle name="40% - akcent 3 66 2" xfId="3700" xr:uid="{00000000-0005-0000-0000-00005F0E0000}"/>
    <cellStyle name="40% - akcent 3 67" xfId="3701" xr:uid="{00000000-0005-0000-0000-0000600E0000}"/>
    <cellStyle name="40% - akcent 3 67 2" xfId="3702" xr:uid="{00000000-0005-0000-0000-0000610E0000}"/>
    <cellStyle name="40% - akcent 3 68" xfId="3703" xr:uid="{00000000-0005-0000-0000-0000620E0000}"/>
    <cellStyle name="40% - akcent 3 68 2" xfId="3704" xr:uid="{00000000-0005-0000-0000-0000630E0000}"/>
    <cellStyle name="40% - akcent 3 69" xfId="3705" xr:uid="{00000000-0005-0000-0000-0000640E0000}"/>
    <cellStyle name="40% - akcent 3 69 2" xfId="3706" xr:uid="{00000000-0005-0000-0000-0000650E0000}"/>
    <cellStyle name="40% - akcent 3 7" xfId="3707" xr:uid="{00000000-0005-0000-0000-0000660E0000}"/>
    <cellStyle name="40% - akcent 3 70" xfId="3708" xr:uid="{00000000-0005-0000-0000-0000670E0000}"/>
    <cellStyle name="40% - akcent 3 70 2" xfId="3709" xr:uid="{00000000-0005-0000-0000-0000680E0000}"/>
    <cellStyle name="40% - akcent 3 71" xfId="3710" xr:uid="{00000000-0005-0000-0000-0000690E0000}"/>
    <cellStyle name="40% - akcent 3 71 2" xfId="3711" xr:uid="{00000000-0005-0000-0000-00006A0E0000}"/>
    <cellStyle name="40% - akcent 3 72" xfId="3712" xr:uid="{00000000-0005-0000-0000-00006B0E0000}"/>
    <cellStyle name="40% - akcent 3 72 2" xfId="3713" xr:uid="{00000000-0005-0000-0000-00006C0E0000}"/>
    <cellStyle name="40% - akcent 3 73" xfId="3714" xr:uid="{00000000-0005-0000-0000-00006D0E0000}"/>
    <cellStyle name="40% - akcent 3 73 2" xfId="3715" xr:uid="{00000000-0005-0000-0000-00006E0E0000}"/>
    <cellStyle name="40% - akcent 3 74" xfId="3716" xr:uid="{00000000-0005-0000-0000-00006F0E0000}"/>
    <cellStyle name="40% - akcent 3 74 2" xfId="3717" xr:uid="{00000000-0005-0000-0000-0000700E0000}"/>
    <cellStyle name="40% - akcent 3 75" xfId="3718" xr:uid="{00000000-0005-0000-0000-0000710E0000}"/>
    <cellStyle name="40% - akcent 3 75 2" xfId="3719" xr:uid="{00000000-0005-0000-0000-0000720E0000}"/>
    <cellStyle name="40% - akcent 3 76" xfId="3720" xr:uid="{00000000-0005-0000-0000-0000730E0000}"/>
    <cellStyle name="40% - akcent 3 76 2" xfId="3721" xr:uid="{00000000-0005-0000-0000-0000740E0000}"/>
    <cellStyle name="40% - akcent 3 77" xfId="3722" xr:uid="{00000000-0005-0000-0000-0000750E0000}"/>
    <cellStyle name="40% - akcent 3 77 2" xfId="3723" xr:uid="{00000000-0005-0000-0000-0000760E0000}"/>
    <cellStyle name="40% - akcent 3 78" xfId="3724" xr:uid="{00000000-0005-0000-0000-0000770E0000}"/>
    <cellStyle name="40% - akcent 3 78 2" xfId="3725" xr:uid="{00000000-0005-0000-0000-0000780E0000}"/>
    <cellStyle name="40% - akcent 3 79" xfId="3726" xr:uid="{00000000-0005-0000-0000-0000790E0000}"/>
    <cellStyle name="40% - akcent 3 79 2" xfId="3727" xr:uid="{00000000-0005-0000-0000-00007A0E0000}"/>
    <cellStyle name="40% - akcent 3 8" xfId="3728" xr:uid="{00000000-0005-0000-0000-00007B0E0000}"/>
    <cellStyle name="40% - akcent 3 80" xfId="3729" xr:uid="{00000000-0005-0000-0000-00007C0E0000}"/>
    <cellStyle name="40% - akcent 3 80 2" xfId="3730" xr:uid="{00000000-0005-0000-0000-00007D0E0000}"/>
    <cellStyle name="40% - akcent 3 81" xfId="3731" xr:uid="{00000000-0005-0000-0000-00007E0E0000}"/>
    <cellStyle name="40% - akcent 3 81 2" xfId="3732" xr:uid="{00000000-0005-0000-0000-00007F0E0000}"/>
    <cellStyle name="40% - akcent 3 82" xfId="3733" xr:uid="{00000000-0005-0000-0000-0000800E0000}"/>
    <cellStyle name="40% - akcent 3 82 2" xfId="3734" xr:uid="{00000000-0005-0000-0000-0000810E0000}"/>
    <cellStyle name="40% - akcent 3 83" xfId="3735" xr:uid="{00000000-0005-0000-0000-0000820E0000}"/>
    <cellStyle name="40% - akcent 3 83 2" xfId="3736" xr:uid="{00000000-0005-0000-0000-0000830E0000}"/>
    <cellStyle name="40% - akcent 3 84" xfId="3737" xr:uid="{00000000-0005-0000-0000-0000840E0000}"/>
    <cellStyle name="40% - akcent 3 84 2" xfId="3738" xr:uid="{00000000-0005-0000-0000-0000850E0000}"/>
    <cellStyle name="40% - akcent 3 85" xfId="3739" xr:uid="{00000000-0005-0000-0000-0000860E0000}"/>
    <cellStyle name="40% - akcent 3 85 2" xfId="3740" xr:uid="{00000000-0005-0000-0000-0000870E0000}"/>
    <cellStyle name="40% - akcent 3 86" xfId="3741" xr:uid="{00000000-0005-0000-0000-0000880E0000}"/>
    <cellStyle name="40% - akcent 3 86 2" xfId="3742" xr:uid="{00000000-0005-0000-0000-0000890E0000}"/>
    <cellStyle name="40% - akcent 3 87" xfId="3743" xr:uid="{00000000-0005-0000-0000-00008A0E0000}"/>
    <cellStyle name="40% - akcent 3 87 2" xfId="3744" xr:uid="{00000000-0005-0000-0000-00008B0E0000}"/>
    <cellStyle name="40% - akcent 3 88" xfId="3745" xr:uid="{00000000-0005-0000-0000-00008C0E0000}"/>
    <cellStyle name="40% - akcent 3 88 2" xfId="3746" xr:uid="{00000000-0005-0000-0000-00008D0E0000}"/>
    <cellStyle name="40% - akcent 3 89" xfId="3747" xr:uid="{00000000-0005-0000-0000-00008E0E0000}"/>
    <cellStyle name="40% - akcent 3 89 2" xfId="3748" xr:uid="{00000000-0005-0000-0000-00008F0E0000}"/>
    <cellStyle name="40% - akcent 3 9" xfId="3749" xr:uid="{00000000-0005-0000-0000-0000900E0000}"/>
    <cellStyle name="40% - akcent 3 90" xfId="3750" xr:uid="{00000000-0005-0000-0000-0000910E0000}"/>
    <cellStyle name="40% - akcent 3 90 2" xfId="3751" xr:uid="{00000000-0005-0000-0000-0000920E0000}"/>
    <cellStyle name="40% - akcent 3 91" xfId="3752" xr:uid="{00000000-0005-0000-0000-0000930E0000}"/>
    <cellStyle name="40% - akcent 3 91 2" xfId="3753" xr:uid="{00000000-0005-0000-0000-0000940E0000}"/>
    <cellStyle name="40% - akcent 3 92" xfId="3754" xr:uid="{00000000-0005-0000-0000-0000950E0000}"/>
    <cellStyle name="40% - akcent 3 92 2" xfId="3755" xr:uid="{00000000-0005-0000-0000-0000960E0000}"/>
    <cellStyle name="40% - akcent 3 93" xfId="3756" xr:uid="{00000000-0005-0000-0000-0000970E0000}"/>
    <cellStyle name="40% - akcent 3 93 2" xfId="3757" xr:uid="{00000000-0005-0000-0000-0000980E0000}"/>
    <cellStyle name="40% - akcent 3 94" xfId="3758" xr:uid="{00000000-0005-0000-0000-0000990E0000}"/>
    <cellStyle name="40% - akcent 3 94 2" xfId="3759" xr:uid="{00000000-0005-0000-0000-00009A0E0000}"/>
    <cellStyle name="40% - akcent 3 95" xfId="3760" xr:uid="{00000000-0005-0000-0000-00009B0E0000}"/>
    <cellStyle name="40% - akcent 3 95 2" xfId="3761" xr:uid="{00000000-0005-0000-0000-00009C0E0000}"/>
    <cellStyle name="40% - akcent 3 96" xfId="3762" xr:uid="{00000000-0005-0000-0000-00009D0E0000}"/>
    <cellStyle name="40% - akcent 3 96 2" xfId="3763" xr:uid="{00000000-0005-0000-0000-00009E0E0000}"/>
    <cellStyle name="40% - akcent 3 97" xfId="3764" xr:uid="{00000000-0005-0000-0000-00009F0E0000}"/>
    <cellStyle name="40% - akcent 3 97 2" xfId="3765" xr:uid="{00000000-0005-0000-0000-0000A00E0000}"/>
    <cellStyle name="40% - akcent 3 98" xfId="3766" xr:uid="{00000000-0005-0000-0000-0000A10E0000}"/>
    <cellStyle name="40% - akcent 3 98 2" xfId="3767" xr:uid="{00000000-0005-0000-0000-0000A20E0000}"/>
    <cellStyle name="40% - akcent 3 99" xfId="3768" xr:uid="{00000000-0005-0000-0000-0000A30E0000}"/>
    <cellStyle name="40% - akcent 3 99 2" xfId="3769" xr:uid="{00000000-0005-0000-0000-0000A40E0000}"/>
    <cellStyle name="40% - akcent 4 10" xfId="3770" xr:uid="{00000000-0005-0000-0000-0000A50E0000}"/>
    <cellStyle name="40% - akcent 4 100" xfId="3771" xr:uid="{00000000-0005-0000-0000-0000A60E0000}"/>
    <cellStyle name="40% - akcent 4 100 2" xfId="3772" xr:uid="{00000000-0005-0000-0000-0000A70E0000}"/>
    <cellStyle name="40% - akcent 4 101" xfId="3773" xr:uid="{00000000-0005-0000-0000-0000A80E0000}"/>
    <cellStyle name="40% - akcent 4 101 2" xfId="3774" xr:uid="{00000000-0005-0000-0000-0000A90E0000}"/>
    <cellStyle name="40% - akcent 4 102" xfId="3775" xr:uid="{00000000-0005-0000-0000-0000AA0E0000}"/>
    <cellStyle name="40% - akcent 4 102 2" xfId="3776" xr:uid="{00000000-0005-0000-0000-0000AB0E0000}"/>
    <cellStyle name="40% - akcent 4 103" xfId="3777" xr:uid="{00000000-0005-0000-0000-0000AC0E0000}"/>
    <cellStyle name="40% - akcent 4 103 2" xfId="3778" xr:uid="{00000000-0005-0000-0000-0000AD0E0000}"/>
    <cellStyle name="40% - akcent 4 104" xfId="3779" xr:uid="{00000000-0005-0000-0000-0000AE0E0000}"/>
    <cellStyle name="40% - akcent 4 104 2" xfId="3780" xr:uid="{00000000-0005-0000-0000-0000AF0E0000}"/>
    <cellStyle name="40% - akcent 4 105" xfId="3781" xr:uid="{00000000-0005-0000-0000-0000B00E0000}"/>
    <cellStyle name="40% - akcent 4 105 2" xfId="3782" xr:uid="{00000000-0005-0000-0000-0000B10E0000}"/>
    <cellStyle name="40% - akcent 4 106" xfId="3783" xr:uid="{00000000-0005-0000-0000-0000B20E0000}"/>
    <cellStyle name="40% - akcent 4 106 2" xfId="3784" xr:uid="{00000000-0005-0000-0000-0000B30E0000}"/>
    <cellStyle name="40% - akcent 4 107" xfId="3785" xr:uid="{00000000-0005-0000-0000-0000B40E0000}"/>
    <cellStyle name="40% - akcent 4 107 2" xfId="3786" xr:uid="{00000000-0005-0000-0000-0000B50E0000}"/>
    <cellStyle name="40% - akcent 4 108" xfId="3787" xr:uid="{00000000-0005-0000-0000-0000B60E0000}"/>
    <cellStyle name="40% - akcent 4 108 2" xfId="3788" xr:uid="{00000000-0005-0000-0000-0000B70E0000}"/>
    <cellStyle name="40% - akcent 4 109" xfId="3789" xr:uid="{00000000-0005-0000-0000-0000B80E0000}"/>
    <cellStyle name="40% - akcent 4 109 2" xfId="3790" xr:uid="{00000000-0005-0000-0000-0000B90E0000}"/>
    <cellStyle name="40% - akcent 4 11" xfId="3791" xr:uid="{00000000-0005-0000-0000-0000BA0E0000}"/>
    <cellStyle name="40% - akcent 4 110" xfId="3792" xr:uid="{00000000-0005-0000-0000-0000BB0E0000}"/>
    <cellStyle name="40% - akcent 4 110 2" xfId="3793" xr:uid="{00000000-0005-0000-0000-0000BC0E0000}"/>
    <cellStyle name="40% - akcent 4 111" xfId="3794" xr:uid="{00000000-0005-0000-0000-0000BD0E0000}"/>
    <cellStyle name="40% - akcent 4 111 2" xfId="3795" xr:uid="{00000000-0005-0000-0000-0000BE0E0000}"/>
    <cellStyle name="40% - akcent 4 112" xfId="3796" xr:uid="{00000000-0005-0000-0000-0000BF0E0000}"/>
    <cellStyle name="40% - akcent 4 112 2" xfId="3797" xr:uid="{00000000-0005-0000-0000-0000C00E0000}"/>
    <cellStyle name="40% - akcent 4 113" xfId="3798" xr:uid="{00000000-0005-0000-0000-0000C10E0000}"/>
    <cellStyle name="40% - akcent 4 113 2" xfId="3799" xr:uid="{00000000-0005-0000-0000-0000C20E0000}"/>
    <cellStyle name="40% - akcent 4 114" xfId="3800" xr:uid="{00000000-0005-0000-0000-0000C30E0000}"/>
    <cellStyle name="40% - akcent 4 114 2" xfId="3801" xr:uid="{00000000-0005-0000-0000-0000C40E0000}"/>
    <cellStyle name="40% - akcent 4 115" xfId="3802" xr:uid="{00000000-0005-0000-0000-0000C50E0000}"/>
    <cellStyle name="40% - akcent 4 115 2" xfId="3803" xr:uid="{00000000-0005-0000-0000-0000C60E0000}"/>
    <cellStyle name="40% - akcent 4 116" xfId="3804" xr:uid="{00000000-0005-0000-0000-0000C70E0000}"/>
    <cellStyle name="40% - akcent 4 116 2" xfId="3805" xr:uid="{00000000-0005-0000-0000-0000C80E0000}"/>
    <cellStyle name="40% - akcent 4 117" xfId="3806" xr:uid="{00000000-0005-0000-0000-0000C90E0000}"/>
    <cellStyle name="40% - akcent 4 117 2" xfId="3807" xr:uid="{00000000-0005-0000-0000-0000CA0E0000}"/>
    <cellStyle name="40% - akcent 4 118" xfId="3808" xr:uid="{00000000-0005-0000-0000-0000CB0E0000}"/>
    <cellStyle name="40% - akcent 4 118 2" xfId="3809" xr:uid="{00000000-0005-0000-0000-0000CC0E0000}"/>
    <cellStyle name="40% - akcent 4 119" xfId="3810" xr:uid="{00000000-0005-0000-0000-0000CD0E0000}"/>
    <cellStyle name="40% - akcent 4 119 2" xfId="3811" xr:uid="{00000000-0005-0000-0000-0000CE0E0000}"/>
    <cellStyle name="40% - akcent 4 12" xfId="3812" xr:uid="{00000000-0005-0000-0000-0000CF0E0000}"/>
    <cellStyle name="40% - akcent 4 120" xfId="3813" xr:uid="{00000000-0005-0000-0000-0000D00E0000}"/>
    <cellStyle name="40% - akcent 4 121" xfId="3814" xr:uid="{00000000-0005-0000-0000-0000D10E0000}"/>
    <cellStyle name="40% - akcent 4 13" xfId="3815" xr:uid="{00000000-0005-0000-0000-0000D20E0000}"/>
    <cellStyle name="40% - akcent 4 14" xfId="3816" xr:uid="{00000000-0005-0000-0000-0000D30E0000}"/>
    <cellStyle name="40% - akcent 4 15" xfId="3817" xr:uid="{00000000-0005-0000-0000-0000D40E0000}"/>
    <cellStyle name="40% - akcent 4 16" xfId="3818" xr:uid="{00000000-0005-0000-0000-0000D50E0000}"/>
    <cellStyle name="40% - akcent 4 17" xfId="3819" xr:uid="{00000000-0005-0000-0000-0000D60E0000}"/>
    <cellStyle name="40% - akcent 4 18" xfId="3820" xr:uid="{00000000-0005-0000-0000-0000D70E0000}"/>
    <cellStyle name="40% - akcent 4 19" xfId="3821" xr:uid="{00000000-0005-0000-0000-0000D80E0000}"/>
    <cellStyle name="40% - akcent 4 2" xfId="3822" xr:uid="{00000000-0005-0000-0000-0000D90E0000}"/>
    <cellStyle name="40% - akcent 4 2 10" xfId="3823" xr:uid="{00000000-0005-0000-0000-0000DA0E0000}"/>
    <cellStyle name="40% - akcent 4 2 10 2" xfId="3824" xr:uid="{00000000-0005-0000-0000-0000DB0E0000}"/>
    <cellStyle name="40% - akcent 4 2 10 3" xfId="3825" xr:uid="{00000000-0005-0000-0000-0000DC0E0000}"/>
    <cellStyle name="40% - akcent 4 2 10 4" xfId="3826" xr:uid="{00000000-0005-0000-0000-0000DD0E0000}"/>
    <cellStyle name="40% - akcent 4 2 10 5" xfId="3827" xr:uid="{00000000-0005-0000-0000-0000DE0E0000}"/>
    <cellStyle name="40% - akcent 4 2 10 6" xfId="3828" xr:uid="{00000000-0005-0000-0000-0000DF0E0000}"/>
    <cellStyle name="40% - akcent 4 2 11" xfId="3829" xr:uid="{00000000-0005-0000-0000-0000E00E0000}"/>
    <cellStyle name="40% - akcent 4 2 11 2" xfId="3830" xr:uid="{00000000-0005-0000-0000-0000E10E0000}"/>
    <cellStyle name="40% - akcent 4 2 11 3" xfId="3831" xr:uid="{00000000-0005-0000-0000-0000E20E0000}"/>
    <cellStyle name="40% - akcent 4 2 11 4" xfId="3832" xr:uid="{00000000-0005-0000-0000-0000E30E0000}"/>
    <cellStyle name="40% - akcent 4 2 11 5" xfId="3833" xr:uid="{00000000-0005-0000-0000-0000E40E0000}"/>
    <cellStyle name="40% - akcent 4 2 11 6" xfId="3834" xr:uid="{00000000-0005-0000-0000-0000E50E0000}"/>
    <cellStyle name="40% - akcent 4 2 12" xfId="3835" xr:uid="{00000000-0005-0000-0000-0000E60E0000}"/>
    <cellStyle name="40% - akcent 4 2 12 2" xfId="3836" xr:uid="{00000000-0005-0000-0000-0000E70E0000}"/>
    <cellStyle name="40% - akcent 4 2 12 3" xfId="3837" xr:uid="{00000000-0005-0000-0000-0000E80E0000}"/>
    <cellStyle name="40% - akcent 4 2 12 4" xfId="3838" xr:uid="{00000000-0005-0000-0000-0000E90E0000}"/>
    <cellStyle name="40% - akcent 4 2 12 5" xfId="3839" xr:uid="{00000000-0005-0000-0000-0000EA0E0000}"/>
    <cellStyle name="40% - akcent 4 2 12 6" xfId="3840" xr:uid="{00000000-0005-0000-0000-0000EB0E0000}"/>
    <cellStyle name="40% - akcent 4 2 13" xfId="3841" xr:uid="{00000000-0005-0000-0000-0000EC0E0000}"/>
    <cellStyle name="40% - akcent 4 2 13 2" xfId="3842" xr:uid="{00000000-0005-0000-0000-0000ED0E0000}"/>
    <cellStyle name="40% - akcent 4 2 13 3" xfId="3843" xr:uid="{00000000-0005-0000-0000-0000EE0E0000}"/>
    <cellStyle name="40% - akcent 4 2 13 4" xfId="3844" xr:uid="{00000000-0005-0000-0000-0000EF0E0000}"/>
    <cellStyle name="40% - akcent 4 2 13 5" xfId="3845" xr:uid="{00000000-0005-0000-0000-0000F00E0000}"/>
    <cellStyle name="40% - akcent 4 2 13 6" xfId="3846" xr:uid="{00000000-0005-0000-0000-0000F10E0000}"/>
    <cellStyle name="40% - akcent 4 2 14" xfId="3847" xr:uid="{00000000-0005-0000-0000-0000F20E0000}"/>
    <cellStyle name="40% - akcent 4 2 14 2" xfId="3848" xr:uid="{00000000-0005-0000-0000-0000F30E0000}"/>
    <cellStyle name="40% - akcent 4 2 14 3" xfId="3849" xr:uid="{00000000-0005-0000-0000-0000F40E0000}"/>
    <cellStyle name="40% - akcent 4 2 14 4" xfId="3850" xr:uid="{00000000-0005-0000-0000-0000F50E0000}"/>
    <cellStyle name="40% - akcent 4 2 14 5" xfId="3851" xr:uid="{00000000-0005-0000-0000-0000F60E0000}"/>
    <cellStyle name="40% - akcent 4 2 14 6" xfId="3852" xr:uid="{00000000-0005-0000-0000-0000F70E0000}"/>
    <cellStyle name="40% - akcent 4 2 15" xfId="3853" xr:uid="{00000000-0005-0000-0000-0000F80E0000}"/>
    <cellStyle name="40% - akcent 4 2 15 2" xfId="3854" xr:uid="{00000000-0005-0000-0000-0000F90E0000}"/>
    <cellStyle name="40% - akcent 4 2 15 3" xfId="3855" xr:uid="{00000000-0005-0000-0000-0000FA0E0000}"/>
    <cellStyle name="40% - akcent 4 2 15 4" xfId="3856" xr:uid="{00000000-0005-0000-0000-0000FB0E0000}"/>
    <cellStyle name="40% - akcent 4 2 15 5" xfId="3857" xr:uid="{00000000-0005-0000-0000-0000FC0E0000}"/>
    <cellStyle name="40% - akcent 4 2 15 6" xfId="3858" xr:uid="{00000000-0005-0000-0000-0000FD0E0000}"/>
    <cellStyle name="40% - akcent 4 2 16" xfId="3859" xr:uid="{00000000-0005-0000-0000-0000FE0E0000}"/>
    <cellStyle name="40% - akcent 4 2 16 2" xfId="3860" xr:uid="{00000000-0005-0000-0000-0000FF0E0000}"/>
    <cellStyle name="40% - akcent 4 2 16 3" xfId="3861" xr:uid="{00000000-0005-0000-0000-0000000F0000}"/>
    <cellStyle name="40% - akcent 4 2 16 4" xfId="3862" xr:uid="{00000000-0005-0000-0000-0000010F0000}"/>
    <cellStyle name="40% - akcent 4 2 16 5" xfId="3863" xr:uid="{00000000-0005-0000-0000-0000020F0000}"/>
    <cellStyle name="40% - akcent 4 2 16 6" xfId="3864" xr:uid="{00000000-0005-0000-0000-0000030F0000}"/>
    <cellStyle name="40% - akcent 4 2 17" xfId="3865" xr:uid="{00000000-0005-0000-0000-0000040F0000}"/>
    <cellStyle name="40% - akcent 4 2 17 2" xfId="3866" xr:uid="{00000000-0005-0000-0000-0000050F0000}"/>
    <cellStyle name="40% - akcent 4 2 17 3" xfId="3867" xr:uid="{00000000-0005-0000-0000-0000060F0000}"/>
    <cellStyle name="40% - akcent 4 2 17 4" xfId="3868" xr:uid="{00000000-0005-0000-0000-0000070F0000}"/>
    <cellStyle name="40% - akcent 4 2 17 5" xfId="3869" xr:uid="{00000000-0005-0000-0000-0000080F0000}"/>
    <cellStyle name="40% - akcent 4 2 17 6" xfId="3870" xr:uid="{00000000-0005-0000-0000-0000090F0000}"/>
    <cellStyle name="40% - akcent 4 2 18" xfId="3871" xr:uid="{00000000-0005-0000-0000-00000A0F0000}"/>
    <cellStyle name="40% - akcent 4 2 18 2" xfId="3872" xr:uid="{00000000-0005-0000-0000-00000B0F0000}"/>
    <cellStyle name="40% - akcent 4 2 18 3" xfId="3873" xr:uid="{00000000-0005-0000-0000-00000C0F0000}"/>
    <cellStyle name="40% - akcent 4 2 18 4" xfId="3874" xr:uid="{00000000-0005-0000-0000-00000D0F0000}"/>
    <cellStyle name="40% - akcent 4 2 18 5" xfId="3875" xr:uid="{00000000-0005-0000-0000-00000E0F0000}"/>
    <cellStyle name="40% - akcent 4 2 18 6" xfId="3876" xr:uid="{00000000-0005-0000-0000-00000F0F0000}"/>
    <cellStyle name="40% - akcent 4 2 19" xfId="3877" xr:uid="{00000000-0005-0000-0000-0000100F0000}"/>
    <cellStyle name="40% - akcent 4 2 19 2" xfId="3878" xr:uid="{00000000-0005-0000-0000-0000110F0000}"/>
    <cellStyle name="40% - akcent 4 2 19 3" xfId="3879" xr:uid="{00000000-0005-0000-0000-0000120F0000}"/>
    <cellStyle name="40% - akcent 4 2 19 4" xfId="3880" xr:uid="{00000000-0005-0000-0000-0000130F0000}"/>
    <cellStyle name="40% - akcent 4 2 19 5" xfId="3881" xr:uid="{00000000-0005-0000-0000-0000140F0000}"/>
    <cellStyle name="40% - akcent 4 2 19 6" xfId="3882" xr:uid="{00000000-0005-0000-0000-0000150F0000}"/>
    <cellStyle name="40% - akcent 4 2 2" xfId="3883" xr:uid="{00000000-0005-0000-0000-0000160F0000}"/>
    <cellStyle name="40% - akcent 4 2 2 2" xfId="3884" xr:uid="{00000000-0005-0000-0000-0000170F0000}"/>
    <cellStyle name="40% - akcent 4 2 2 3" xfId="3885" xr:uid="{00000000-0005-0000-0000-0000180F0000}"/>
    <cellStyle name="40% - akcent 4 2 2 4" xfId="3886" xr:uid="{00000000-0005-0000-0000-0000190F0000}"/>
    <cellStyle name="40% - akcent 4 2 2 5" xfId="3887" xr:uid="{00000000-0005-0000-0000-00001A0F0000}"/>
    <cellStyle name="40% - akcent 4 2 2 6" xfId="3888" xr:uid="{00000000-0005-0000-0000-00001B0F0000}"/>
    <cellStyle name="40% - akcent 4 2 2 7" xfId="3889" xr:uid="{00000000-0005-0000-0000-00001C0F0000}"/>
    <cellStyle name="40% - akcent 4 2 20" xfId="3890" xr:uid="{00000000-0005-0000-0000-00001D0F0000}"/>
    <cellStyle name="40% - akcent 4 2 20 2" xfId="3891" xr:uid="{00000000-0005-0000-0000-00001E0F0000}"/>
    <cellStyle name="40% - akcent 4 2 20 3" xfId="3892" xr:uid="{00000000-0005-0000-0000-00001F0F0000}"/>
    <cellStyle name="40% - akcent 4 2 20 4" xfId="3893" xr:uid="{00000000-0005-0000-0000-0000200F0000}"/>
    <cellStyle name="40% - akcent 4 2 20 5" xfId="3894" xr:uid="{00000000-0005-0000-0000-0000210F0000}"/>
    <cellStyle name="40% - akcent 4 2 20 6" xfId="3895" xr:uid="{00000000-0005-0000-0000-0000220F0000}"/>
    <cellStyle name="40% - akcent 4 2 21" xfId="3896" xr:uid="{00000000-0005-0000-0000-0000230F0000}"/>
    <cellStyle name="40% - akcent 4 2 21 2" xfId="3897" xr:uid="{00000000-0005-0000-0000-0000240F0000}"/>
    <cellStyle name="40% - akcent 4 2 21 3" xfId="3898" xr:uid="{00000000-0005-0000-0000-0000250F0000}"/>
    <cellStyle name="40% - akcent 4 2 21 4" xfId="3899" xr:uid="{00000000-0005-0000-0000-0000260F0000}"/>
    <cellStyle name="40% - akcent 4 2 21 5" xfId="3900" xr:uid="{00000000-0005-0000-0000-0000270F0000}"/>
    <cellStyle name="40% - akcent 4 2 21 6" xfId="3901" xr:uid="{00000000-0005-0000-0000-0000280F0000}"/>
    <cellStyle name="40% - akcent 4 2 22" xfId="3902" xr:uid="{00000000-0005-0000-0000-0000290F0000}"/>
    <cellStyle name="40% - akcent 4 2 22 2" xfId="3903" xr:uid="{00000000-0005-0000-0000-00002A0F0000}"/>
    <cellStyle name="40% - akcent 4 2 22 3" xfId="3904" xr:uid="{00000000-0005-0000-0000-00002B0F0000}"/>
    <cellStyle name="40% - akcent 4 2 22 4" xfId="3905" xr:uid="{00000000-0005-0000-0000-00002C0F0000}"/>
    <cellStyle name="40% - akcent 4 2 22 5" xfId="3906" xr:uid="{00000000-0005-0000-0000-00002D0F0000}"/>
    <cellStyle name="40% - akcent 4 2 22 6" xfId="3907" xr:uid="{00000000-0005-0000-0000-00002E0F0000}"/>
    <cellStyle name="40% - akcent 4 2 23" xfId="3908" xr:uid="{00000000-0005-0000-0000-00002F0F0000}"/>
    <cellStyle name="40% - akcent 4 2 23 2" xfId="3909" xr:uid="{00000000-0005-0000-0000-0000300F0000}"/>
    <cellStyle name="40% - akcent 4 2 23 3" xfId="3910" xr:uid="{00000000-0005-0000-0000-0000310F0000}"/>
    <cellStyle name="40% - akcent 4 2 23 4" xfId="3911" xr:uid="{00000000-0005-0000-0000-0000320F0000}"/>
    <cellStyle name="40% - akcent 4 2 23 5" xfId="3912" xr:uid="{00000000-0005-0000-0000-0000330F0000}"/>
    <cellStyle name="40% - akcent 4 2 23 6" xfId="3913" xr:uid="{00000000-0005-0000-0000-0000340F0000}"/>
    <cellStyle name="40% - akcent 4 2 24" xfId="3914" xr:uid="{00000000-0005-0000-0000-0000350F0000}"/>
    <cellStyle name="40% - akcent 4 2 24 2" xfId="3915" xr:uid="{00000000-0005-0000-0000-0000360F0000}"/>
    <cellStyle name="40% - akcent 4 2 24 3" xfId="3916" xr:uid="{00000000-0005-0000-0000-0000370F0000}"/>
    <cellStyle name="40% - akcent 4 2 24 4" xfId="3917" xr:uid="{00000000-0005-0000-0000-0000380F0000}"/>
    <cellStyle name="40% - akcent 4 2 24 5" xfId="3918" xr:uid="{00000000-0005-0000-0000-0000390F0000}"/>
    <cellStyle name="40% - akcent 4 2 24 6" xfId="3919" xr:uid="{00000000-0005-0000-0000-00003A0F0000}"/>
    <cellStyle name="40% - akcent 4 2 25" xfId="3920" xr:uid="{00000000-0005-0000-0000-00003B0F0000}"/>
    <cellStyle name="40% - akcent 4 2 25 2" xfId="3921" xr:uid="{00000000-0005-0000-0000-00003C0F0000}"/>
    <cellStyle name="40% - akcent 4 2 25 3" xfId="3922" xr:uid="{00000000-0005-0000-0000-00003D0F0000}"/>
    <cellStyle name="40% - akcent 4 2 25 4" xfId="3923" xr:uid="{00000000-0005-0000-0000-00003E0F0000}"/>
    <cellStyle name="40% - akcent 4 2 25 5" xfId="3924" xr:uid="{00000000-0005-0000-0000-00003F0F0000}"/>
    <cellStyle name="40% - akcent 4 2 25 6" xfId="3925" xr:uid="{00000000-0005-0000-0000-0000400F0000}"/>
    <cellStyle name="40% - akcent 4 2 26" xfId="3926" xr:uid="{00000000-0005-0000-0000-0000410F0000}"/>
    <cellStyle name="40% - akcent 4 2 26 2" xfId="3927" xr:uid="{00000000-0005-0000-0000-0000420F0000}"/>
    <cellStyle name="40% - akcent 4 2 26 3" xfId="3928" xr:uid="{00000000-0005-0000-0000-0000430F0000}"/>
    <cellStyle name="40% - akcent 4 2 26 4" xfId="3929" xr:uid="{00000000-0005-0000-0000-0000440F0000}"/>
    <cellStyle name="40% - akcent 4 2 26 5" xfId="3930" xr:uid="{00000000-0005-0000-0000-0000450F0000}"/>
    <cellStyle name="40% - akcent 4 2 26 6" xfId="3931" xr:uid="{00000000-0005-0000-0000-0000460F0000}"/>
    <cellStyle name="40% - akcent 4 2 27" xfId="3932" xr:uid="{00000000-0005-0000-0000-0000470F0000}"/>
    <cellStyle name="40% - akcent 4 2 27 2" xfId="3933" xr:uid="{00000000-0005-0000-0000-0000480F0000}"/>
    <cellStyle name="40% - akcent 4 2 27 3" xfId="3934" xr:uid="{00000000-0005-0000-0000-0000490F0000}"/>
    <cellStyle name="40% - akcent 4 2 27 4" xfId="3935" xr:uid="{00000000-0005-0000-0000-00004A0F0000}"/>
    <cellStyle name="40% - akcent 4 2 27 5" xfId="3936" xr:uid="{00000000-0005-0000-0000-00004B0F0000}"/>
    <cellStyle name="40% - akcent 4 2 27 6" xfId="3937" xr:uid="{00000000-0005-0000-0000-00004C0F0000}"/>
    <cellStyle name="40% - akcent 4 2 28" xfId="3938" xr:uid="{00000000-0005-0000-0000-00004D0F0000}"/>
    <cellStyle name="40% - akcent 4 2 28 2" xfId="3939" xr:uid="{00000000-0005-0000-0000-00004E0F0000}"/>
    <cellStyle name="40% - akcent 4 2 28 3" xfId="3940" xr:uid="{00000000-0005-0000-0000-00004F0F0000}"/>
    <cellStyle name="40% - akcent 4 2 28 4" xfId="3941" xr:uid="{00000000-0005-0000-0000-0000500F0000}"/>
    <cellStyle name="40% - akcent 4 2 28 5" xfId="3942" xr:uid="{00000000-0005-0000-0000-0000510F0000}"/>
    <cellStyle name="40% - akcent 4 2 28 6" xfId="3943" xr:uid="{00000000-0005-0000-0000-0000520F0000}"/>
    <cellStyle name="40% - akcent 4 2 29" xfId="3944" xr:uid="{00000000-0005-0000-0000-0000530F0000}"/>
    <cellStyle name="40% - akcent 4 2 29 2" xfId="3945" xr:uid="{00000000-0005-0000-0000-0000540F0000}"/>
    <cellStyle name="40% - akcent 4 2 3" xfId="3946" xr:uid="{00000000-0005-0000-0000-0000550F0000}"/>
    <cellStyle name="40% - akcent 4 2 3 2" xfId="3947" xr:uid="{00000000-0005-0000-0000-0000560F0000}"/>
    <cellStyle name="40% - akcent 4 2 3 3" xfId="3948" xr:uid="{00000000-0005-0000-0000-0000570F0000}"/>
    <cellStyle name="40% - akcent 4 2 3 4" xfId="3949" xr:uid="{00000000-0005-0000-0000-0000580F0000}"/>
    <cellStyle name="40% - akcent 4 2 3 5" xfId="3950" xr:uid="{00000000-0005-0000-0000-0000590F0000}"/>
    <cellStyle name="40% - akcent 4 2 3 6" xfId="3951" xr:uid="{00000000-0005-0000-0000-00005A0F0000}"/>
    <cellStyle name="40% - akcent 4 2 3 7" xfId="3952" xr:uid="{00000000-0005-0000-0000-00005B0F0000}"/>
    <cellStyle name="40% - akcent 4 2 30" xfId="3953" xr:uid="{00000000-0005-0000-0000-00005C0F0000}"/>
    <cellStyle name="40% - akcent 4 2 30 2" xfId="3954" xr:uid="{00000000-0005-0000-0000-00005D0F0000}"/>
    <cellStyle name="40% - akcent 4 2 31" xfId="3955" xr:uid="{00000000-0005-0000-0000-00005E0F0000}"/>
    <cellStyle name="40% - akcent 4 2 31 2" xfId="3956" xr:uid="{00000000-0005-0000-0000-00005F0F0000}"/>
    <cellStyle name="40% - akcent 4 2 32" xfId="3957" xr:uid="{00000000-0005-0000-0000-0000600F0000}"/>
    <cellStyle name="40% - akcent 4 2 32 2" xfId="3958" xr:uid="{00000000-0005-0000-0000-0000610F0000}"/>
    <cellStyle name="40% - akcent 4 2 33" xfId="3959" xr:uid="{00000000-0005-0000-0000-0000620F0000}"/>
    <cellStyle name="40% - akcent 4 2 34" xfId="3960" xr:uid="{00000000-0005-0000-0000-0000630F0000}"/>
    <cellStyle name="40% - akcent 4 2 35" xfId="3961" xr:uid="{00000000-0005-0000-0000-0000640F0000}"/>
    <cellStyle name="40% - akcent 4 2 36" xfId="3962" xr:uid="{00000000-0005-0000-0000-0000650F0000}"/>
    <cellStyle name="40% - akcent 4 2 37" xfId="3963" xr:uid="{00000000-0005-0000-0000-0000660F0000}"/>
    <cellStyle name="40% - akcent 4 2 38" xfId="3964" xr:uid="{00000000-0005-0000-0000-0000670F0000}"/>
    <cellStyle name="40% - akcent 4 2 39" xfId="3965" xr:uid="{00000000-0005-0000-0000-0000680F0000}"/>
    <cellStyle name="40% - akcent 4 2 4" xfId="3966" xr:uid="{00000000-0005-0000-0000-0000690F0000}"/>
    <cellStyle name="40% - akcent 4 2 4 2" xfId="3967" xr:uid="{00000000-0005-0000-0000-00006A0F0000}"/>
    <cellStyle name="40% - akcent 4 2 4 3" xfId="3968" xr:uid="{00000000-0005-0000-0000-00006B0F0000}"/>
    <cellStyle name="40% - akcent 4 2 4 4" xfId="3969" xr:uid="{00000000-0005-0000-0000-00006C0F0000}"/>
    <cellStyle name="40% - akcent 4 2 4 5" xfId="3970" xr:uid="{00000000-0005-0000-0000-00006D0F0000}"/>
    <cellStyle name="40% - akcent 4 2 4 6" xfId="3971" xr:uid="{00000000-0005-0000-0000-00006E0F0000}"/>
    <cellStyle name="40% - akcent 4 2 4 7" xfId="3972" xr:uid="{00000000-0005-0000-0000-00006F0F0000}"/>
    <cellStyle name="40% - akcent 4 2 40" xfId="3973" xr:uid="{00000000-0005-0000-0000-0000700F0000}"/>
    <cellStyle name="40% - akcent 4 2 41" xfId="3974" xr:uid="{00000000-0005-0000-0000-0000710F0000}"/>
    <cellStyle name="40% - akcent 4 2 42" xfId="3975" xr:uid="{00000000-0005-0000-0000-0000720F0000}"/>
    <cellStyle name="40% - akcent 4 2 43" xfId="3976" xr:uid="{00000000-0005-0000-0000-0000730F0000}"/>
    <cellStyle name="40% - akcent 4 2 44" xfId="3977" xr:uid="{00000000-0005-0000-0000-0000740F0000}"/>
    <cellStyle name="40% - akcent 4 2 45" xfId="3978" xr:uid="{00000000-0005-0000-0000-0000750F0000}"/>
    <cellStyle name="40% - akcent 4 2 46" xfId="3979" xr:uid="{00000000-0005-0000-0000-0000760F0000}"/>
    <cellStyle name="40% - akcent 4 2 47" xfId="3980" xr:uid="{00000000-0005-0000-0000-0000770F0000}"/>
    <cellStyle name="40% - akcent 4 2 48" xfId="3981" xr:uid="{00000000-0005-0000-0000-0000780F0000}"/>
    <cellStyle name="40% - akcent 4 2 49" xfId="3982" xr:uid="{00000000-0005-0000-0000-0000790F0000}"/>
    <cellStyle name="40% - akcent 4 2 5" xfId="3983" xr:uid="{00000000-0005-0000-0000-00007A0F0000}"/>
    <cellStyle name="40% - akcent 4 2 5 2" xfId="3984" xr:uid="{00000000-0005-0000-0000-00007B0F0000}"/>
    <cellStyle name="40% - akcent 4 2 5 3" xfId="3985" xr:uid="{00000000-0005-0000-0000-00007C0F0000}"/>
    <cellStyle name="40% - akcent 4 2 5 4" xfId="3986" xr:uid="{00000000-0005-0000-0000-00007D0F0000}"/>
    <cellStyle name="40% - akcent 4 2 5 5" xfId="3987" xr:uid="{00000000-0005-0000-0000-00007E0F0000}"/>
    <cellStyle name="40% - akcent 4 2 5 6" xfId="3988" xr:uid="{00000000-0005-0000-0000-00007F0F0000}"/>
    <cellStyle name="40% - akcent 4 2 50" xfId="3989" xr:uid="{00000000-0005-0000-0000-0000800F0000}"/>
    <cellStyle name="40% - akcent 4 2 51" xfId="3990" xr:uid="{00000000-0005-0000-0000-0000810F0000}"/>
    <cellStyle name="40% - akcent 4 2 6" xfId="3991" xr:uid="{00000000-0005-0000-0000-0000820F0000}"/>
    <cellStyle name="40% - akcent 4 2 6 2" xfId="3992" xr:uid="{00000000-0005-0000-0000-0000830F0000}"/>
    <cellStyle name="40% - akcent 4 2 6 3" xfId="3993" xr:uid="{00000000-0005-0000-0000-0000840F0000}"/>
    <cellStyle name="40% - akcent 4 2 6 4" xfId="3994" xr:uid="{00000000-0005-0000-0000-0000850F0000}"/>
    <cellStyle name="40% - akcent 4 2 6 5" xfId="3995" xr:uid="{00000000-0005-0000-0000-0000860F0000}"/>
    <cellStyle name="40% - akcent 4 2 6 6" xfId="3996" xr:uid="{00000000-0005-0000-0000-0000870F0000}"/>
    <cellStyle name="40% - akcent 4 2 7" xfId="3997" xr:uid="{00000000-0005-0000-0000-0000880F0000}"/>
    <cellStyle name="40% - akcent 4 2 7 2" xfId="3998" xr:uid="{00000000-0005-0000-0000-0000890F0000}"/>
    <cellStyle name="40% - akcent 4 2 7 3" xfId="3999" xr:uid="{00000000-0005-0000-0000-00008A0F0000}"/>
    <cellStyle name="40% - akcent 4 2 7 4" xfId="4000" xr:uid="{00000000-0005-0000-0000-00008B0F0000}"/>
    <cellStyle name="40% - akcent 4 2 7 5" xfId="4001" xr:uid="{00000000-0005-0000-0000-00008C0F0000}"/>
    <cellStyle name="40% - akcent 4 2 7 6" xfId="4002" xr:uid="{00000000-0005-0000-0000-00008D0F0000}"/>
    <cellStyle name="40% - akcent 4 2 8" xfId="4003" xr:uid="{00000000-0005-0000-0000-00008E0F0000}"/>
    <cellStyle name="40% - akcent 4 2 8 2" xfId="4004" xr:uid="{00000000-0005-0000-0000-00008F0F0000}"/>
    <cellStyle name="40% - akcent 4 2 8 3" xfId="4005" xr:uid="{00000000-0005-0000-0000-0000900F0000}"/>
    <cellStyle name="40% - akcent 4 2 8 4" xfId="4006" xr:uid="{00000000-0005-0000-0000-0000910F0000}"/>
    <cellStyle name="40% - akcent 4 2 8 5" xfId="4007" xr:uid="{00000000-0005-0000-0000-0000920F0000}"/>
    <cellStyle name="40% - akcent 4 2 8 6" xfId="4008" xr:uid="{00000000-0005-0000-0000-0000930F0000}"/>
    <cellStyle name="40% - akcent 4 2 9" xfId="4009" xr:uid="{00000000-0005-0000-0000-0000940F0000}"/>
    <cellStyle name="40% - akcent 4 2 9 2" xfId="4010" xr:uid="{00000000-0005-0000-0000-0000950F0000}"/>
    <cellStyle name="40% - akcent 4 2 9 3" xfId="4011" xr:uid="{00000000-0005-0000-0000-0000960F0000}"/>
    <cellStyle name="40% - akcent 4 2 9 4" xfId="4012" xr:uid="{00000000-0005-0000-0000-0000970F0000}"/>
    <cellStyle name="40% - akcent 4 2 9 5" xfId="4013" xr:uid="{00000000-0005-0000-0000-0000980F0000}"/>
    <cellStyle name="40% - akcent 4 2 9 6" xfId="4014" xr:uid="{00000000-0005-0000-0000-0000990F0000}"/>
    <cellStyle name="40% - akcent 4 20" xfId="4015" xr:uid="{00000000-0005-0000-0000-00009A0F0000}"/>
    <cellStyle name="40% - akcent 4 21" xfId="4016" xr:uid="{00000000-0005-0000-0000-00009B0F0000}"/>
    <cellStyle name="40% - akcent 4 22" xfId="4017" xr:uid="{00000000-0005-0000-0000-00009C0F0000}"/>
    <cellStyle name="40% - akcent 4 23" xfId="4018" xr:uid="{00000000-0005-0000-0000-00009D0F0000}"/>
    <cellStyle name="40% - akcent 4 24" xfId="4019" xr:uid="{00000000-0005-0000-0000-00009E0F0000}"/>
    <cellStyle name="40% - akcent 4 25" xfId="4020" xr:uid="{00000000-0005-0000-0000-00009F0F0000}"/>
    <cellStyle name="40% - akcent 4 26" xfId="4021" xr:uid="{00000000-0005-0000-0000-0000A00F0000}"/>
    <cellStyle name="40% - akcent 4 27" xfId="4022" xr:uid="{00000000-0005-0000-0000-0000A10F0000}"/>
    <cellStyle name="40% - akcent 4 28" xfId="4023" xr:uid="{00000000-0005-0000-0000-0000A20F0000}"/>
    <cellStyle name="40% - akcent 4 29" xfId="4024" xr:uid="{00000000-0005-0000-0000-0000A30F0000}"/>
    <cellStyle name="40% - akcent 4 3" xfId="4025" xr:uid="{00000000-0005-0000-0000-0000A40F0000}"/>
    <cellStyle name="40% - akcent 4 3 2" xfId="4026" xr:uid="{00000000-0005-0000-0000-0000A50F0000}"/>
    <cellStyle name="40% - akcent 4 3 2 2" xfId="4027" xr:uid="{00000000-0005-0000-0000-0000A60F0000}"/>
    <cellStyle name="40% - akcent 4 3 3" xfId="4028" xr:uid="{00000000-0005-0000-0000-0000A70F0000}"/>
    <cellStyle name="40% - akcent 4 3 3 2" xfId="4029" xr:uid="{00000000-0005-0000-0000-0000A80F0000}"/>
    <cellStyle name="40% - akcent 4 3 4" xfId="4030" xr:uid="{00000000-0005-0000-0000-0000A90F0000}"/>
    <cellStyle name="40% - akcent 4 3 4 2" xfId="4031" xr:uid="{00000000-0005-0000-0000-0000AA0F0000}"/>
    <cellStyle name="40% - akcent 4 3 5" xfId="4032" xr:uid="{00000000-0005-0000-0000-0000AB0F0000}"/>
    <cellStyle name="40% - akcent 4 3 6" xfId="4033" xr:uid="{00000000-0005-0000-0000-0000AC0F0000}"/>
    <cellStyle name="40% - akcent 4 3 7" xfId="4034" xr:uid="{00000000-0005-0000-0000-0000AD0F0000}"/>
    <cellStyle name="40% - akcent 4 3 8" xfId="4035" xr:uid="{00000000-0005-0000-0000-0000AE0F0000}"/>
    <cellStyle name="40% - akcent 4 30" xfId="4036" xr:uid="{00000000-0005-0000-0000-0000AF0F0000}"/>
    <cellStyle name="40% - akcent 4 30 2" xfId="4037" xr:uid="{00000000-0005-0000-0000-0000B00F0000}"/>
    <cellStyle name="40% - akcent 4 31" xfId="4038" xr:uid="{00000000-0005-0000-0000-0000B10F0000}"/>
    <cellStyle name="40% - akcent 4 31 2" xfId="4039" xr:uid="{00000000-0005-0000-0000-0000B20F0000}"/>
    <cellStyle name="40% - akcent 4 32" xfId="4040" xr:uid="{00000000-0005-0000-0000-0000B30F0000}"/>
    <cellStyle name="40% - akcent 4 32 2" xfId="4041" xr:uid="{00000000-0005-0000-0000-0000B40F0000}"/>
    <cellStyle name="40% - akcent 4 33" xfId="4042" xr:uid="{00000000-0005-0000-0000-0000B50F0000}"/>
    <cellStyle name="40% - akcent 4 33 2" xfId="4043" xr:uid="{00000000-0005-0000-0000-0000B60F0000}"/>
    <cellStyle name="40% - akcent 4 34" xfId="4044" xr:uid="{00000000-0005-0000-0000-0000B70F0000}"/>
    <cellStyle name="40% - akcent 4 34 2" xfId="4045" xr:uid="{00000000-0005-0000-0000-0000B80F0000}"/>
    <cellStyle name="40% - akcent 4 35" xfId="4046" xr:uid="{00000000-0005-0000-0000-0000B90F0000}"/>
    <cellStyle name="40% - akcent 4 35 2" xfId="4047" xr:uid="{00000000-0005-0000-0000-0000BA0F0000}"/>
    <cellStyle name="40% - akcent 4 36" xfId="4048" xr:uid="{00000000-0005-0000-0000-0000BB0F0000}"/>
    <cellStyle name="40% - akcent 4 36 2" xfId="4049" xr:uid="{00000000-0005-0000-0000-0000BC0F0000}"/>
    <cellStyle name="40% - akcent 4 37" xfId="4050" xr:uid="{00000000-0005-0000-0000-0000BD0F0000}"/>
    <cellStyle name="40% - akcent 4 37 2" xfId="4051" xr:uid="{00000000-0005-0000-0000-0000BE0F0000}"/>
    <cellStyle name="40% - akcent 4 38" xfId="4052" xr:uid="{00000000-0005-0000-0000-0000BF0F0000}"/>
    <cellStyle name="40% - akcent 4 38 2" xfId="4053" xr:uid="{00000000-0005-0000-0000-0000C00F0000}"/>
    <cellStyle name="40% - akcent 4 39" xfId="4054" xr:uid="{00000000-0005-0000-0000-0000C10F0000}"/>
    <cellStyle name="40% - akcent 4 39 2" xfId="4055" xr:uid="{00000000-0005-0000-0000-0000C20F0000}"/>
    <cellStyle name="40% - akcent 4 4" xfId="4056" xr:uid="{00000000-0005-0000-0000-0000C30F0000}"/>
    <cellStyle name="40% - akcent 4 4 2" xfId="4057" xr:uid="{00000000-0005-0000-0000-0000C40F0000}"/>
    <cellStyle name="40% - akcent 4 4 2 2" xfId="4058" xr:uid="{00000000-0005-0000-0000-0000C50F0000}"/>
    <cellStyle name="40% - akcent 4 4 3" xfId="4059" xr:uid="{00000000-0005-0000-0000-0000C60F0000}"/>
    <cellStyle name="40% - akcent 4 4 3 2" xfId="4060" xr:uid="{00000000-0005-0000-0000-0000C70F0000}"/>
    <cellStyle name="40% - akcent 4 4 4" xfId="4061" xr:uid="{00000000-0005-0000-0000-0000C80F0000}"/>
    <cellStyle name="40% - akcent 4 4 4 2" xfId="4062" xr:uid="{00000000-0005-0000-0000-0000C90F0000}"/>
    <cellStyle name="40% - akcent 4 4 5" xfId="4063" xr:uid="{00000000-0005-0000-0000-0000CA0F0000}"/>
    <cellStyle name="40% - akcent 4 4 6" xfId="4064" xr:uid="{00000000-0005-0000-0000-0000CB0F0000}"/>
    <cellStyle name="40% - akcent 4 4 7" xfId="4065" xr:uid="{00000000-0005-0000-0000-0000CC0F0000}"/>
    <cellStyle name="40% - akcent 4 4 8" xfId="4066" xr:uid="{00000000-0005-0000-0000-0000CD0F0000}"/>
    <cellStyle name="40% - akcent 4 40" xfId="4067" xr:uid="{00000000-0005-0000-0000-0000CE0F0000}"/>
    <cellStyle name="40% - akcent 4 40 2" xfId="4068" xr:uid="{00000000-0005-0000-0000-0000CF0F0000}"/>
    <cellStyle name="40% - akcent 4 41" xfId="4069" xr:uid="{00000000-0005-0000-0000-0000D00F0000}"/>
    <cellStyle name="40% - akcent 4 41 2" xfId="4070" xr:uid="{00000000-0005-0000-0000-0000D10F0000}"/>
    <cellStyle name="40% - akcent 4 42" xfId="4071" xr:uid="{00000000-0005-0000-0000-0000D20F0000}"/>
    <cellStyle name="40% - akcent 4 42 2" xfId="4072" xr:uid="{00000000-0005-0000-0000-0000D30F0000}"/>
    <cellStyle name="40% - akcent 4 43" xfId="4073" xr:uid="{00000000-0005-0000-0000-0000D40F0000}"/>
    <cellStyle name="40% - akcent 4 43 2" xfId="4074" xr:uid="{00000000-0005-0000-0000-0000D50F0000}"/>
    <cellStyle name="40% - akcent 4 44" xfId="4075" xr:uid="{00000000-0005-0000-0000-0000D60F0000}"/>
    <cellStyle name="40% - akcent 4 44 2" xfId="4076" xr:uid="{00000000-0005-0000-0000-0000D70F0000}"/>
    <cellStyle name="40% - akcent 4 45" xfId="4077" xr:uid="{00000000-0005-0000-0000-0000D80F0000}"/>
    <cellStyle name="40% - akcent 4 45 2" xfId="4078" xr:uid="{00000000-0005-0000-0000-0000D90F0000}"/>
    <cellStyle name="40% - akcent 4 46" xfId="4079" xr:uid="{00000000-0005-0000-0000-0000DA0F0000}"/>
    <cellStyle name="40% - akcent 4 46 2" xfId="4080" xr:uid="{00000000-0005-0000-0000-0000DB0F0000}"/>
    <cellStyle name="40% - akcent 4 47" xfId="4081" xr:uid="{00000000-0005-0000-0000-0000DC0F0000}"/>
    <cellStyle name="40% - akcent 4 47 2" xfId="4082" xr:uid="{00000000-0005-0000-0000-0000DD0F0000}"/>
    <cellStyle name="40% - akcent 4 48" xfId="4083" xr:uid="{00000000-0005-0000-0000-0000DE0F0000}"/>
    <cellStyle name="40% - akcent 4 48 2" xfId="4084" xr:uid="{00000000-0005-0000-0000-0000DF0F0000}"/>
    <cellStyle name="40% - akcent 4 49" xfId="4085" xr:uid="{00000000-0005-0000-0000-0000E00F0000}"/>
    <cellStyle name="40% - akcent 4 49 2" xfId="4086" xr:uid="{00000000-0005-0000-0000-0000E10F0000}"/>
    <cellStyle name="40% - akcent 4 5" xfId="4087" xr:uid="{00000000-0005-0000-0000-0000E20F0000}"/>
    <cellStyle name="40% - akcent 4 5 2" xfId="4088" xr:uid="{00000000-0005-0000-0000-0000E30F0000}"/>
    <cellStyle name="40% - akcent 4 5 3" xfId="4089" xr:uid="{00000000-0005-0000-0000-0000E40F0000}"/>
    <cellStyle name="40% - akcent 4 50" xfId="4090" xr:uid="{00000000-0005-0000-0000-0000E50F0000}"/>
    <cellStyle name="40% - akcent 4 50 2" xfId="4091" xr:uid="{00000000-0005-0000-0000-0000E60F0000}"/>
    <cellStyle name="40% - akcent 4 51" xfId="4092" xr:uid="{00000000-0005-0000-0000-0000E70F0000}"/>
    <cellStyle name="40% - akcent 4 51 2" xfId="4093" xr:uid="{00000000-0005-0000-0000-0000E80F0000}"/>
    <cellStyle name="40% - akcent 4 52" xfId="4094" xr:uid="{00000000-0005-0000-0000-0000E90F0000}"/>
    <cellStyle name="40% - akcent 4 52 2" xfId="4095" xr:uid="{00000000-0005-0000-0000-0000EA0F0000}"/>
    <cellStyle name="40% - akcent 4 53" xfId="4096" xr:uid="{00000000-0005-0000-0000-0000EB0F0000}"/>
    <cellStyle name="40% - akcent 4 53 2" xfId="4097" xr:uid="{00000000-0005-0000-0000-0000EC0F0000}"/>
    <cellStyle name="40% - akcent 4 54" xfId="4098" xr:uid="{00000000-0005-0000-0000-0000ED0F0000}"/>
    <cellStyle name="40% - akcent 4 54 2" xfId="4099" xr:uid="{00000000-0005-0000-0000-0000EE0F0000}"/>
    <cellStyle name="40% - akcent 4 55" xfId="4100" xr:uid="{00000000-0005-0000-0000-0000EF0F0000}"/>
    <cellStyle name="40% - akcent 4 55 2" xfId="4101" xr:uid="{00000000-0005-0000-0000-0000F00F0000}"/>
    <cellStyle name="40% - akcent 4 56" xfId="4102" xr:uid="{00000000-0005-0000-0000-0000F10F0000}"/>
    <cellStyle name="40% - akcent 4 56 2" xfId="4103" xr:uid="{00000000-0005-0000-0000-0000F20F0000}"/>
    <cellStyle name="40% - akcent 4 57" xfId="4104" xr:uid="{00000000-0005-0000-0000-0000F30F0000}"/>
    <cellStyle name="40% - akcent 4 57 2" xfId="4105" xr:uid="{00000000-0005-0000-0000-0000F40F0000}"/>
    <cellStyle name="40% - akcent 4 58" xfId="4106" xr:uid="{00000000-0005-0000-0000-0000F50F0000}"/>
    <cellStyle name="40% - akcent 4 58 2" xfId="4107" xr:uid="{00000000-0005-0000-0000-0000F60F0000}"/>
    <cellStyle name="40% - akcent 4 59" xfId="4108" xr:uid="{00000000-0005-0000-0000-0000F70F0000}"/>
    <cellStyle name="40% - akcent 4 59 2" xfId="4109" xr:uid="{00000000-0005-0000-0000-0000F80F0000}"/>
    <cellStyle name="40% - akcent 4 6" xfId="4110" xr:uid="{00000000-0005-0000-0000-0000F90F0000}"/>
    <cellStyle name="40% - akcent 4 60" xfId="4111" xr:uid="{00000000-0005-0000-0000-0000FA0F0000}"/>
    <cellStyle name="40% - akcent 4 60 2" xfId="4112" xr:uid="{00000000-0005-0000-0000-0000FB0F0000}"/>
    <cellStyle name="40% - akcent 4 61" xfId="4113" xr:uid="{00000000-0005-0000-0000-0000FC0F0000}"/>
    <cellStyle name="40% - akcent 4 61 2" xfId="4114" xr:uid="{00000000-0005-0000-0000-0000FD0F0000}"/>
    <cellStyle name="40% - akcent 4 62" xfId="4115" xr:uid="{00000000-0005-0000-0000-0000FE0F0000}"/>
    <cellStyle name="40% - akcent 4 62 2" xfId="4116" xr:uid="{00000000-0005-0000-0000-0000FF0F0000}"/>
    <cellStyle name="40% - akcent 4 63" xfId="4117" xr:uid="{00000000-0005-0000-0000-000000100000}"/>
    <cellStyle name="40% - akcent 4 63 2" xfId="4118" xr:uid="{00000000-0005-0000-0000-000001100000}"/>
    <cellStyle name="40% - akcent 4 64" xfId="4119" xr:uid="{00000000-0005-0000-0000-000002100000}"/>
    <cellStyle name="40% - akcent 4 64 2" xfId="4120" xr:uid="{00000000-0005-0000-0000-000003100000}"/>
    <cellStyle name="40% - akcent 4 65" xfId="4121" xr:uid="{00000000-0005-0000-0000-000004100000}"/>
    <cellStyle name="40% - akcent 4 65 2" xfId="4122" xr:uid="{00000000-0005-0000-0000-000005100000}"/>
    <cellStyle name="40% - akcent 4 66" xfId="4123" xr:uid="{00000000-0005-0000-0000-000006100000}"/>
    <cellStyle name="40% - akcent 4 66 2" xfId="4124" xr:uid="{00000000-0005-0000-0000-000007100000}"/>
    <cellStyle name="40% - akcent 4 67" xfId="4125" xr:uid="{00000000-0005-0000-0000-000008100000}"/>
    <cellStyle name="40% - akcent 4 67 2" xfId="4126" xr:uid="{00000000-0005-0000-0000-000009100000}"/>
    <cellStyle name="40% - akcent 4 68" xfId="4127" xr:uid="{00000000-0005-0000-0000-00000A100000}"/>
    <cellStyle name="40% - akcent 4 68 2" xfId="4128" xr:uid="{00000000-0005-0000-0000-00000B100000}"/>
    <cellStyle name="40% - akcent 4 69" xfId="4129" xr:uid="{00000000-0005-0000-0000-00000C100000}"/>
    <cellStyle name="40% - akcent 4 69 2" xfId="4130" xr:uid="{00000000-0005-0000-0000-00000D100000}"/>
    <cellStyle name="40% - akcent 4 7" xfId="4131" xr:uid="{00000000-0005-0000-0000-00000E100000}"/>
    <cellStyle name="40% - akcent 4 70" xfId="4132" xr:uid="{00000000-0005-0000-0000-00000F100000}"/>
    <cellStyle name="40% - akcent 4 70 2" xfId="4133" xr:uid="{00000000-0005-0000-0000-000010100000}"/>
    <cellStyle name="40% - akcent 4 71" xfId="4134" xr:uid="{00000000-0005-0000-0000-000011100000}"/>
    <cellStyle name="40% - akcent 4 71 2" xfId="4135" xr:uid="{00000000-0005-0000-0000-000012100000}"/>
    <cellStyle name="40% - akcent 4 72" xfId="4136" xr:uid="{00000000-0005-0000-0000-000013100000}"/>
    <cellStyle name="40% - akcent 4 72 2" xfId="4137" xr:uid="{00000000-0005-0000-0000-000014100000}"/>
    <cellStyle name="40% - akcent 4 73" xfId="4138" xr:uid="{00000000-0005-0000-0000-000015100000}"/>
    <cellStyle name="40% - akcent 4 73 2" xfId="4139" xr:uid="{00000000-0005-0000-0000-000016100000}"/>
    <cellStyle name="40% - akcent 4 74" xfId="4140" xr:uid="{00000000-0005-0000-0000-000017100000}"/>
    <cellStyle name="40% - akcent 4 74 2" xfId="4141" xr:uid="{00000000-0005-0000-0000-000018100000}"/>
    <cellStyle name="40% - akcent 4 75" xfId="4142" xr:uid="{00000000-0005-0000-0000-000019100000}"/>
    <cellStyle name="40% - akcent 4 75 2" xfId="4143" xr:uid="{00000000-0005-0000-0000-00001A100000}"/>
    <cellStyle name="40% - akcent 4 76" xfId="4144" xr:uid="{00000000-0005-0000-0000-00001B100000}"/>
    <cellStyle name="40% - akcent 4 76 2" xfId="4145" xr:uid="{00000000-0005-0000-0000-00001C100000}"/>
    <cellStyle name="40% - akcent 4 77" xfId="4146" xr:uid="{00000000-0005-0000-0000-00001D100000}"/>
    <cellStyle name="40% - akcent 4 77 2" xfId="4147" xr:uid="{00000000-0005-0000-0000-00001E100000}"/>
    <cellStyle name="40% - akcent 4 78" xfId="4148" xr:uid="{00000000-0005-0000-0000-00001F100000}"/>
    <cellStyle name="40% - akcent 4 78 2" xfId="4149" xr:uid="{00000000-0005-0000-0000-000020100000}"/>
    <cellStyle name="40% - akcent 4 79" xfId="4150" xr:uid="{00000000-0005-0000-0000-000021100000}"/>
    <cellStyle name="40% - akcent 4 79 2" xfId="4151" xr:uid="{00000000-0005-0000-0000-000022100000}"/>
    <cellStyle name="40% - akcent 4 8" xfId="4152" xr:uid="{00000000-0005-0000-0000-000023100000}"/>
    <cellStyle name="40% - akcent 4 80" xfId="4153" xr:uid="{00000000-0005-0000-0000-000024100000}"/>
    <cellStyle name="40% - akcent 4 80 2" xfId="4154" xr:uid="{00000000-0005-0000-0000-000025100000}"/>
    <cellStyle name="40% - akcent 4 81" xfId="4155" xr:uid="{00000000-0005-0000-0000-000026100000}"/>
    <cellStyle name="40% - akcent 4 81 2" xfId="4156" xr:uid="{00000000-0005-0000-0000-000027100000}"/>
    <cellStyle name="40% - akcent 4 82" xfId="4157" xr:uid="{00000000-0005-0000-0000-000028100000}"/>
    <cellStyle name="40% - akcent 4 82 2" xfId="4158" xr:uid="{00000000-0005-0000-0000-000029100000}"/>
    <cellStyle name="40% - akcent 4 83" xfId="4159" xr:uid="{00000000-0005-0000-0000-00002A100000}"/>
    <cellStyle name="40% - akcent 4 83 2" xfId="4160" xr:uid="{00000000-0005-0000-0000-00002B100000}"/>
    <cellStyle name="40% - akcent 4 84" xfId="4161" xr:uid="{00000000-0005-0000-0000-00002C100000}"/>
    <cellStyle name="40% - akcent 4 84 2" xfId="4162" xr:uid="{00000000-0005-0000-0000-00002D100000}"/>
    <cellStyle name="40% - akcent 4 85" xfId="4163" xr:uid="{00000000-0005-0000-0000-00002E100000}"/>
    <cellStyle name="40% - akcent 4 85 2" xfId="4164" xr:uid="{00000000-0005-0000-0000-00002F100000}"/>
    <cellStyle name="40% - akcent 4 86" xfId="4165" xr:uid="{00000000-0005-0000-0000-000030100000}"/>
    <cellStyle name="40% - akcent 4 86 2" xfId="4166" xr:uid="{00000000-0005-0000-0000-000031100000}"/>
    <cellStyle name="40% - akcent 4 87" xfId="4167" xr:uid="{00000000-0005-0000-0000-000032100000}"/>
    <cellStyle name="40% - akcent 4 87 2" xfId="4168" xr:uid="{00000000-0005-0000-0000-000033100000}"/>
    <cellStyle name="40% - akcent 4 88" xfId="4169" xr:uid="{00000000-0005-0000-0000-000034100000}"/>
    <cellStyle name="40% - akcent 4 88 2" xfId="4170" xr:uid="{00000000-0005-0000-0000-000035100000}"/>
    <cellStyle name="40% - akcent 4 89" xfId="4171" xr:uid="{00000000-0005-0000-0000-000036100000}"/>
    <cellStyle name="40% - akcent 4 89 2" xfId="4172" xr:uid="{00000000-0005-0000-0000-000037100000}"/>
    <cellStyle name="40% - akcent 4 9" xfId="4173" xr:uid="{00000000-0005-0000-0000-000038100000}"/>
    <cellStyle name="40% - akcent 4 90" xfId="4174" xr:uid="{00000000-0005-0000-0000-000039100000}"/>
    <cellStyle name="40% - akcent 4 90 2" xfId="4175" xr:uid="{00000000-0005-0000-0000-00003A100000}"/>
    <cellStyle name="40% - akcent 4 91" xfId="4176" xr:uid="{00000000-0005-0000-0000-00003B100000}"/>
    <cellStyle name="40% - akcent 4 91 2" xfId="4177" xr:uid="{00000000-0005-0000-0000-00003C100000}"/>
    <cellStyle name="40% - akcent 4 92" xfId="4178" xr:uid="{00000000-0005-0000-0000-00003D100000}"/>
    <cellStyle name="40% - akcent 4 92 2" xfId="4179" xr:uid="{00000000-0005-0000-0000-00003E100000}"/>
    <cellStyle name="40% - akcent 4 93" xfId="4180" xr:uid="{00000000-0005-0000-0000-00003F100000}"/>
    <cellStyle name="40% - akcent 4 93 2" xfId="4181" xr:uid="{00000000-0005-0000-0000-000040100000}"/>
    <cellStyle name="40% - akcent 4 94" xfId="4182" xr:uid="{00000000-0005-0000-0000-000041100000}"/>
    <cellStyle name="40% - akcent 4 94 2" xfId="4183" xr:uid="{00000000-0005-0000-0000-000042100000}"/>
    <cellStyle name="40% - akcent 4 95" xfId="4184" xr:uid="{00000000-0005-0000-0000-000043100000}"/>
    <cellStyle name="40% - akcent 4 95 2" xfId="4185" xr:uid="{00000000-0005-0000-0000-000044100000}"/>
    <cellStyle name="40% - akcent 4 96" xfId="4186" xr:uid="{00000000-0005-0000-0000-000045100000}"/>
    <cellStyle name="40% - akcent 4 96 2" xfId="4187" xr:uid="{00000000-0005-0000-0000-000046100000}"/>
    <cellStyle name="40% - akcent 4 97" xfId="4188" xr:uid="{00000000-0005-0000-0000-000047100000}"/>
    <cellStyle name="40% - akcent 4 97 2" xfId="4189" xr:uid="{00000000-0005-0000-0000-000048100000}"/>
    <cellStyle name="40% - akcent 4 98" xfId="4190" xr:uid="{00000000-0005-0000-0000-000049100000}"/>
    <cellStyle name="40% - akcent 4 98 2" xfId="4191" xr:uid="{00000000-0005-0000-0000-00004A100000}"/>
    <cellStyle name="40% - akcent 4 99" xfId="4192" xr:uid="{00000000-0005-0000-0000-00004B100000}"/>
    <cellStyle name="40% - akcent 4 99 2" xfId="4193" xr:uid="{00000000-0005-0000-0000-00004C100000}"/>
    <cellStyle name="40% - akcent 5 10" xfId="4194" xr:uid="{00000000-0005-0000-0000-00004D100000}"/>
    <cellStyle name="40% - akcent 5 100" xfId="4195" xr:uid="{00000000-0005-0000-0000-00004E100000}"/>
    <cellStyle name="40% - akcent 5 100 2" xfId="4196" xr:uid="{00000000-0005-0000-0000-00004F100000}"/>
    <cellStyle name="40% - akcent 5 101" xfId="4197" xr:uid="{00000000-0005-0000-0000-000050100000}"/>
    <cellStyle name="40% - akcent 5 101 2" xfId="4198" xr:uid="{00000000-0005-0000-0000-000051100000}"/>
    <cellStyle name="40% - akcent 5 102" xfId="4199" xr:uid="{00000000-0005-0000-0000-000052100000}"/>
    <cellStyle name="40% - akcent 5 102 2" xfId="4200" xr:uid="{00000000-0005-0000-0000-000053100000}"/>
    <cellStyle name="40% - akcent 5 103" xfId="4201" xr:uid="{00000000-0005-0000-0000-000054100000}"/>
    <cellStyle name="40% - akcent 5 103 2" xfId="4202" xr:uid="{00000000-0005-0000-0000-000055100000}"/>
    <cellStyle name="40% - akcent 5 104" xfId="4203" xr:uid="{00000000-0005-0000-0000-000056100000}"/>
    <cellStyle name="40% - akcent 5 104 2" xfId="4204" xr:uid="{00000000-0005-0000-0000-000057100000}"/>
    <cellStyle name="40% - akcent 5 105" xfId="4205" xr:uid="{00000000-0005-0000-0000-000058100000}"/>
    <cellStyle name="40% - akcent 5 105 2" xfId="4206" xr:uid="{00000000-0005-0000-0000-000059100000}"/>
    <cellStyle name="40% - akcent 5 106" xfId="4207" xr:uid="{00000000-0005-0000-0000-00005A100000}"/>
    <cellStyle name="40% - akcent 5 106 2" xfId="4208" xr:uid="{00000000-0005-0000-0000-00005B100000}"/>
    <cellStyle name="40% - akcent 5 107" xfId="4209" xr:uid="{00000000-0005-0000-0000-00005C100000}"/>
    <cellStyle name="40% - akcent 5 107 2" xfId="4210" xr:uid="{00000000-0005-0000-0000-00005D100000}"/>
    <cellStyle name="40% - akcent 5 108" xfId="4211" xr:uid="{00000000-0005-0000-0000-00005E100000}"/>
    <cellStyle name="40% - akcent 5 108 2" xfId="4212" xr:uid="{00000000-0005-0000-0000-00005F100000}"/>
    <cellStyle name="40% - akcent 5 109" xfId="4213" xr:uid="{00000000-0005-0000-0000-000060100000}"/>
    <cellStyle name="40% - akcent 5 109 2" xfId="4214" xr:uid="{00000000-0005-0000-0000-000061100000}"/>
    <cellStyle name="40% - akcent 5 11" xfId="4215" xr:uid="{00000000-0005-0000-0000-000062100000}"/>
    <cellStyle name="40% - akcent 5 110" xfId="4216" xr:uid="{00000000-0005-0000-0000-000063100000}"/>
    <cellStyle name="40% - akcent 5 110 2" xfId="4217" xr:uid="{00000000-0005-0000-0000-000064100000}"/>
    <cellStyle name="40% - akcent 5 111" xfId="4218" xr:uid="{00000000-0005-0000-0000-000065100000}"/>
    <cellStyle name="40% - akcent 5 111 2" xfId="4219" xr:uid="{00000000-0005-0000-0000-000066100000}"/>
    <cellStyle name="40% - akcent 5 112" xfId="4220" xr:uid="{00000000-0005-0000-0000-000067100000}"/>
    <cellStyle name="40% - akcent 5 112 2" xfId="4221" xr:uid="{00000000-0005-0000-0000-000068100000}"/>
    <cellStyle name="40% - akcent 5 113" xfId="4222" xr:uid="{00000000-0005-0000-0000-000069100000}"/>
    <cellStyle name="40% - akcent 5 113 2" xfId="4223" xr:uid="{00000000-0005-0000-0000-00006A100000}"/>
    <cellStyle name="40% - akcent 5 114" xfId="4224" xr:uid="{00000000-0005-0000-0000-00006B100000}"/>
    <cellStyle name="40% - akcent 5 114 2" xfId="4225" xr:uid="{00000000-0005-0000-0000-00006C100000}"/>
    <cellStyle name="40% - akcent 5 115" xfId="4226" xr:uid="{00000000-0005-0000-0000-00006D100000}"/>
    <cellStyle name="40% - akcent 5 115 2" xfId="4227" xr:uid="{00000000-0005-0000-0000-00006E100000}"/>
    <cellStyle name="40% - akcent 5 116" xfId="4228" xr:uid="{00000000-0005-0000-0000-00006F100000}"/>
    <cellStyle name="40% - akcent 5 116 2" xfId="4229" xr:uid="{00000000-0005-0000-0000-000070100000}"/>
    <cellStyle name="40% - akcent 5 117" xfId="4230" xr:uid="{00000000-0005-0000-0000-000071100000}"/>
    <cellStyle name="40% - akcent 5 117 2" xfId="4231" xr:uid="{00000000-0005-0000-0000-000072100000}"/>
    <cellStyle name="40% - akcent 5 118" xfId="4232" xr:uid="{00000000-0005-0000-0000-000073100000}"/>
    <cellStyle name="40% - akcent 5 118 2" xfId="4233" xr:uid="{00000000-0005-0000-0000-000074100000}"/>
    <cellStyle name="40% - akcent 5 119" xfId="4234" xr:uid="{00000000-0005-0000-0000-000075100000}"/>
    <cellStyle name="40% - akcent 5 119 2" xfId="4235" xr:uid="{00000000-0005-0000-0000-000076100000}"/>
    <cellStyle name="40% - akcent 5 12" xfId="4236" xr:uid="{00000000-0005-0000-0000-000077100000}"/>
    <cellStyle name="40% - akcent 5 120" xfId="4237" xr:uid="{00000000-0005-0000-0000-000078100000}"/>
    <cellStyle name="40% - akcent 5 121" xfId="4238" xr:uid="{00000000-0005-0000-0000-000079100000}"/>
    <cellStyle name="40% - akcent 5 13" xfId="4239" xr:uid="{00000000-0005-0000-0000-00007A100000}"/>
    <cellStyle name="40% - akcent 5 14" xfId="4240" xr:uid="{00000000-0005-0000-0000-00007B100000}"/>
    <cellStyle name="40% - akcent 5 15" xfId="4241" xr:uid="{00000000-0005-0000-0000-00007C100000}"/>
    <cellStyle name="40% - akcent 5 16" xfId="4242" xr:uid="{00000000-0005-0000-0000-00007D100000}"/>
    <cellStyle name="40% - akcent 5 17" xfId="4243" xr:uid="{00000000-0005-0000-0000-00007E100000}"/>
    <cellStyle name="40% - akcent 5 18" xfId="4244" xr:uid="{00000000-0005-0000-0000-00007F100000}"/>
    <cellStyle name="40% - akcent 5 19" xfId="4245" xr:uid="{00000000-0005-0000-0000-000080100000}"/>
    <cellStyle name="40% - akcent 5 2" xfId="4246" xr:uid="{00000000-0005-0000-0000-000081100000}"/>
    <cellStyle name="40% - akcent 5 2 10" xfId="4247" xr:uid="{00000000-0005-0000-0000-000082100000}"/>
    <cellStyle name="40% - akcent 5 2 10 2" xfId="4248" xr:uid="{00000000-0005-0000-0000-000083100000}"/>
    <cellStyle name="40% - akcent 5 2 10 3" xfId="4249" xr:uid="{00000000-0005-0000-0000-000084100000}"/>
    <cellStyle name="40% - akcent 5 2 10 4" xfId="4250" xr:uid="{00000000-0005-0000-0000-000085100000}"/>
    <cellStyle name="40% - akcent 5 2 10 5" xfId="4251" xr:uid="{00000000-0005-0000-0000-000086100000}"/>
    <cellStyle name="40% - akcent 5 2 10 6" xfId="4252" xr:uid="{00000000-0005-0000-0000-000087100000}"/>
    <cellStyle name="40% - akcent 5 2 11" xfId="4253" xr:uid="{00000000-0005-0000-0000-000088100000}"/>
    <cellStyle name="40% - akcent 5 2 11 2" xfId="4254" xr:uid="{00000000-0005-0000-0000-000089100000}"/>
    <cellStyle name="40% - akcent 5 2 11 3" xfId="4255" xr:uid="{00000000-0005-0000-0000-00008A100000}"/>
    <cellStyle name="40% - akcent 5 2 11 4" xfId="4256" xr:uid="{00000000-0005-0000-0000-00008B100000}"/>
    <cellStyle name="40% - akcent 5 2 11 5" xfId="4257" xr:uid="{00000000-0005-0000-0000-00008C100000}"/>
    <cellStyle name="40% - akcent 5 2 11 6" xfId="4258" xr:uid="{00000000-0005-0000-0000-00008D100000}"/>
    <cellStyle name="40% - akcent 5 2 12" xfId="4259" xr:uid="{00000000-0005-0000-0000-00008E100000}"/>
    <cellStyle name="40% - akcent 5 2 12 2" xfId="4260" xr:uid="{00000000-0005-0000-0000-00008F100000}"/>
    <cellStyle name="40% - akcent 5 2 12 3" xfId="4261" xr:uid="{00000000-0005-0000-0000-000090100000}"/>
    <cellStyle name="40% - akcent 5 2 12 4" xfId="4262" xr:uid="{00000000-0005-0000-0000-000091100000}"/>
    <cellStyle name="40% - akcent 5 2 12 5" xfId="4263" xr:uid="{00000000-0005-0000-0000-000092100000}"/>
    <cellStyle name="40% - akcent 5 2 12 6" xfId="4264" xr:uid="{00000000-0005-0000-0000-000093100000}"/>
    <cellStyle name="40% - akcent 5 2 13" xfId="4265" xr:uid="{00000000-0005-0000-0000-000094100000}"/>
    <cellStyle name="40% - akcent 5 2 13 2" xfId="4266" xr:uid="{00000000-0005-0000-0000-000095100000}"/>
    <cellStyle name="40% - akcent 5 2 13 3" xfId="4267" xr:uid="{00000000-0005-0000-0000-000096100000}"/>
    <cellStyle name="40% - akcent 5 2 13 4" xfId="4268" xr:uid="{00000000-0005-0000-0000-000097100000}"/>
    <cellStyle name="40% - akcent 5 2 13 5" xfId="4269" xr:uid="{00000000-0005-0000-0000-000098100000}"/>
    <cellStyle name="40% - akcent 5 2 13 6" xfId="4270" xr:uid="{00000000-0005-0000-0000-000099100000}"/>
    <cellStyle name="40% - akcent 5 2 14" xfId="4271" xr:uid="{00000000-0005-0000-0000-00009A100000}"/>
    <cellStyle name="40% - akcent 5 2 14 2" xfId="4272" xr:uid="{00000000-0005-0000-0000-00009B100000}"/>
    <cellStyle name="40% - akcent 5 2 14 3" xfId="4273" xr:uid="{00000000-0005-0000-0000-00009C100000}"/>
    <cellStyle name="40% - akcent 5 2 14 4" xfId="4274" xr:uid="{00000000-0005-0000-0000-00009D100000}"/>
    <cellStyle name="40% - akcent 5 2 14 5" xfId="4275" xr:uid="{00000000-0005-0000-0000-00009E100000}"/>
    <cellStyle name="40% - akcent 5 2 14 6" xfId="4276" xr:uid="{00000000-0005-0000-0000-00009F100000}"/>
    <cellStyle name="40% - akcent 5 2 15" xfId="4277" xr:uid="{00000000-0005-0000-0000-0000A0100000}"/>
    <cellStyle name="40% - akcent 5 2 15 2" xfId="4278" xr:uid="{00000000-0005-0000-0000-0000A1100000}"/>
    <cellStyle name="40% - akcent 5 2 15 3" xfId="4279" xr:uid="{00000000-0005-0000-0000-0000A2100000}"/>
    <cellStyle name="40% - akcent 5 2 15 4" xfId="4280" xr:uid="{00000000-0005-0000-0000-0000A3100000}"/>
    <cellStyle name="40% - akcent 5 2 15 5" xfId="4281" xr:uid="{00000000-0005-0000-0000-0000A4100000}"/>
    <cellStyle name="40% - akcent 5 2 15 6" xfId="4282" xr:uid="{00000000-0005-0000-0000-0000A5100000}"/>
    <cellStyle name="40% - akcent 5 2 16" xfId="4283" xr:uid="{00000000-0005-0000-0000-0000A6100000}"/>
    <cellStyle name="40% - akcent 5 2 16 2" xfId="4284" xr:uid="{00000000-0005-0000-0000-0000A7100000}"/>
    <cellStyle name="40% - akcent 5 2 16 3" xfId="4285" xr:uid="{00000000-0005-0000-0000-0000A8100000}"/>
    <cellStyle name="40% - akcent 5 2 16 4" xfId="4286" xr:uid="{00000000-0005-0000-0000-0000A9100000}"/>
    <cellStyle name="40% - akcent 5 2 16 5" xfId="4287" xr:uid="{00000000-0005-0000-0000-0000AA100000}"/>
    <cellStyle name="40% - akcent 5 2 16 6" xfId="4288" xr:uid="{00000000-0005-0000-0000-0000AB100000}"/>
    <cellStyle name="40% - akcent 5 2 17" xfId="4289" xr:uid="{00000000-0005-0000-0000-0000AC100000}"/>
    <cellStyle name="40% - akcent 5 2 17 2" xfId="4290" xr:uid="{00000000-0005-0000-0000-0000AD100000}"/>
    <cellStyle name="40% - akcent 5 2 17 3" xfId="4291" xr:uid="{00000000-0005-0000-0000-0000AE100000}"/>
    <cellStyle name="40% - akcent 5 2 17 4" xfId="4292" xr:uid="{00000000-0005-0000-0000-0000AF100000}"/>
    <cellStyle name="40% - akcent 5 2 17 5" xfId="4293" xr:uid="{00000000-0005-0000-0000-0000B0100000}"/>
    <cellStyle name="40% - akcent 5 2 17 6" xfId="4294" xr:uid="{00000000-0005-0000-0000-0000B1100000}"/>
    <cellStyle name="40% - akcent 5 2 18" xfId="4295" xr:uid="{00000000-0005-0000-0000-0000B2100000}"/>
    <cellStyle name="40% - akcent 5 2 18 2" xfId="4296" xr:uid="{00000000-0005-0000-0000-0000B3100000}"/>
    <cellStyle name="40% - akcent 5 2 18 3" xfId="4297" xr:uid="{00000000-0005-0000-0000-0000B4100000}"/>
    <cellStyle name="40% - akcent 5 2 18 4" xfId="4298" xr:uid="{00000000-0005-0000-0000-0000B5100000}"/>
    <cellStyle name="40% - akcent 5 2 18 5" xfId="4299" xr:uid="{00000000-0005-0000-0000-0000B6100000}"/>
    <cellStyle name="40% - akcent 5 2 18 6" xfId="4300" xr:uid="{00000000-0005-0000-0000-0000B7100000}"/>
    <cellStyle name="40% - akcent 5 2 19" xfId="4301" xr:uid="{00000000-0005-0000-0000-0000B8100000}"/>
    <cellStyle name="40% - akcent 5 2 19 2" xfId="4302" xr:uid="{00000000-0005-0000-0000-0000B9100000}"/>
    <cellStyle name="40% - akcent 5 2 19 3" xfId="4303" xr:uid="{00000000-0005-0000-0000-0000BA100000}"/>
    <cellStyle name="40% - akcent 5 2 19 4" xfId="4304" xr:uid="{00000000-0005-0000-0000-0000BB100000}"/>
    <cellStyle name="40% - akcent 5 2 19 5" xfId="4305" xr:uid="{00000000-0005-0000-0000-0000BC100000}"/>
    <cellStyle name="40% - akcent 5 2 19 6" xfId="4306" xr:uid="{00000000-0005-0000-0000-0000BD100000}"/>
    <cellStyle name="40% - akcent 5 2 2" xfId="4307" xr:uid="{00000000-0005-0000-0000-0000BE100000}"/>
    <cellStyle name="40% - akcent 5 2 2 2" xfId="4308" xr:uid="{00000000-0005-0000-0000-0000BF100000}"/>
    <cellStyle name="40% - akcent 5 2 2 3" xfId="4309" xr:uid="{00000000-0005-0000-0000-0000C0100000}"/>
    <cellStyle name="40% - akcent 5 2 2 4" xfId="4310" xr:uid="{00000000-0005-0000-0000-0000C1100000}"/>
    <cellStyle name="40% - akcent 5 2 2 5" xfId="4311" xr:uid="{00000000-0005-0000-0000-0000C2100000}"/>
    <cellStyle name="40% - akcent 5 2 2 6" xfId="4312" xr:uid="{00000000-0005-0000-0000-0000C3100000}"/>
    <cellStyle name="40% - akcent 5 2 2 7" xfId="4313" xr:uid="{00000000-0005-0000-0000-0000C4100000}"/>
    <cellStyle name="40% - akcent 5 2 20" xfId="4314" xr:uid="{00000000-0005-0000-0000-0000C5100000}"/>
    <cellStyle name="40% - akcent 5 2 20 2" xfId="4315" xr:uid="{00000000-0005-0000-0000-0000C6100000}"/>
    <cellStyle name="40% - akcent 5 2 20 3" xfId="4316" xr:uid="{00000000-0005-0000-0000-0000C7100000}"/>
    <cellStyle name="40% - akcent 5 2 20 4" xfId="4317" xr:uid="{00000000-0005-0000-0000-0000C8100000}"/>
    <cellStyle name="40% - akcent 5 2 20 5" xfId="4318" xr:uid="{00000000-0005-0000-0000-0000C9100000}"/>
    <cellStyle name="40% - akcent 5 2 20 6" xfId="4319" xr:uid="{00000000-0005-0000-0000-0000CA100000}"/>
    <cellStyle name="40% - akcent 5 2 21" xfId="4320" xr:uid="{00000000-0005-0000-0000-0000CB100000}"/>
    <cellStyle name="40% - akcent 5 2 21 2" xfId="4321" xr:uid="{00000000-0005-0000-0000-0000CC100000}"/>
    <cellStyle name="40% - akcent 5 2 21 3" xfId="4322" xr:uid="{00000000-0005-0000-0000-0000CD100000}"/>
    <cellStyle name="40% - akcent 5 2 21 4" xfId="4323" xr:uid="{00000000-0005-0000-0000-0000CE100000}"/>
    <cellStyle name="40% - akcent 5 2 21 5" xfId="4324" xr:uid="{00000000-0005-0000-0000-0000CF100000}"/>
    <cellStyle name="40% - akcent 5 2 21 6" xfId="4325" xr:uid="{00000000-0005-0000-0000-0000D0100000}"/>
    <cellStyle name="40% - akcent 5 2 22" xfId="4326" xr:uid="{00000000-0005-0000-0000-0000D1100000}"/>
    <cellStyle name="40% - akcent 5 2 22 2" xfId="4327" xr:uid="{00000000-0005-0000-0000-0000D2100000}"/>
    <cellStyle name="40% - akcent 5 2 22 3" xfId="4328" xr:uid="{00000000-0005-0000-0000-0000D3100000}"/>
    <cellStyle name="40% - akcent 5 2 22 4" xfId="4329" xr:uid="{00000000-0005-0000-0000-0000D4100000}"/>
    <cellStyle name="40% - akcent 5 2 22 5" xfId="4330" xr:uid="{00000000-0005-0000-0000-0000D5100000}"/>
    <cellStyle name="40% - akcent 5 2 22 6" xfId="4331" xr:uid="{00000000-0005-0000-0000-0000D6100000}"/>
    <cellStyle name="40% - akcent 5 2 23" xfId="4332" xr:uid="{00000000-0005-0000-0000-0000D7100000}"/>
    <cellStyle name="40% - akcent 5 2 23 2" xfId="4333" xr:uid="{00000000-0005-0000-0000-0000D8100000}"/>
    <cellStyle name="40% - akcent 5 2 23 3" xfId="4334" xr:uid="{00000000-0005-0000-0000-0000D9100000}"/>
    <cellStyle name="40% - akcent 5 2 23 4" xfId="4335" xr:uid="{00000000-0005-0000-0000-0000DA100000}"/>
    <cellStyle name="40% - akcent 5 2 23 5" xfId="4336" xr:uid="{00000000-0005-0000-0000-0000DB100000}"/>
    <cellStyle name="40% - akcent 5 2 23 6" xfId="4337" xr:uid="{00000000-0005-0000-0000-0000DC100000}"/>
    <cellStyle name="40% - akcent 5 2 24" xfId="4338" xr:uid="{00000000-0005-0000-0000-0000DD100000}"/>
    <cellStyle name="40% - akcent 5 2 24 2" xfId="4339" xr:uid="{00000000-0005-0000-0000-0000DE100000}"/>
    <cellStyle name="40% - akcent 5 2 24 3" xfId="4340" xr:uid="{00000000-0005-0000-0000-0000DF100000}"/>
    <cellStyle name="40% - akcent 5 2 24 4" xfId="4341" xr:uid="{00000000-0005-0000-0000-0000E0100000}"/>
    <cellStyle name="40% - akcent 5 2 24 5" xfId="4342" xr:uid="{00000000-0005-0000-0000-0000E1100000}"/>
    <cellStyle name="40% - akcent 5 2 24 6" xfId="4343" xr:uid="{00000000-0005-0000-0000-0000E2100000}"/>
    <cellStyle name="40% - akcent 5 2 25" xfId="4344" xr:uid="{00000000-0005-0000-0000-0000E3100000}"/>
    <cellStyle name="40% - akcent 5 2 25 2" xfId="4345" xr:uid="{00000000-0005-0000-0000-0000E4100000}"/>
    <cellStyle name="40% - akcent 5 2 25 3" xfId="4346" xr:uid="{00000000-0005-0000-0000-0000E5100000}"/>
    <cellStyle name="40% - akcent 5 2 25 4" xfId="4347" xr:uid="{00000000-0005-0000-0000-0000E6100000}"/>
    <cellStyle name="40% - akcent 5 2 25 5" xfId="4348" xr:uid="{00000000-0005-0000-0000-0000E7100000}"/>
    <cellStyle name="40% - akcent 5 2 25 6" xfId="4349" xr:uid="{00000000-0005-0000-0000-0000E8100000}"/>
    <cellStyle name="40% - akcent 5 2 26" xfId="4350" xr:uid="{00000000-0005-0000-0000-0000E9100000}"/>
    <cellStyle name="40% - akcent 5 2 26 2" xfId="4351" xr:uid="{00000000-0005-0000-0000-0000EA100000}"/>
    <cellStyle name="40% - akcent 5 2 26 3" xfId="4352" xr:uid="{00000000-0005-0000-0000-0000EB100000}"/>
    <cellStyle name="40% - akcent 5 2 26 4" xfId="4353" xr:uid="{00000000-0005-0000-0000-0000EC100000}"/>
    <cellStyle name="40% - akcent 5 2 26 5" xfId="4354" xr:uid="{00000000-0005-0000-0000-0000ED100000}"/>
    <cellStyle name="40% - akcent 5 2 26 6" xfId="4355" xr:uid="{00000000-0005-0000-0000-0000EE100000}"/>
    <cellStyle name="40% - akcent 5 2 27" xfId="4356" xr:uid="{00000000-0005-0000-0000-0000EF100000}"/>
    <cellStyle name="40% - akcent 5 2 27 2" xfId="4357" xr:uid="{00000000-0005-0000-0000-0000F0100000}"/>
    <cellStyle name="40% - akcent 5 2 27 3" xfId="4358" xr:uid="{00000000-0005-0000-0000-0000F1100000}"/>
    <cellStyle name="40% - akcent 5 2 27 4" xfId="4359" xr:uid="{00000000-0005-0000-0000-0000F2100000}"/>
    <cellStyle name="40% - akcent 5 2 27 5" xfId="4360" xr:uid="{00000000-0005-0000-0000-0000F3100000}"/>
    <cellStyle name="40% - akcent 5 2 27 6" xfId="4361" xr:uid="{00000000-0005-0000-0000-0000F4100000}"/>
    <cellStyle name="40% - akcent 5 2 28" xfId="4362" xr:uid="{00000000-0005-0000-0000-0000F5100000}"/>
    <cellStyle name="40% - akcent 5 2 28 2" xfId="4363" xr:uid="{00000000-0005-0000-0000-0000F6100000}"/>
    <cellStyle name="40% - akcent 5 2 28 3" xfId="4364" xr:uid="{00000000-0005-0000-0000-0000F7100000}"/>
    <cellStyle name="40% - akcent 5 2 28 4" xfId="4365" xr:uid="{00000000-0005-0000-0000-0000F8100000}"/>
    <cellStyle name="40% - akcent 5 2 28 5" xfId="4366" xr:uid="{00000000-0005-0000-0000-0000F9100000}"/>
    <cellStyle name="40% - akcent 5 2 28 6" xfId="4367" xr:uid="{00000000-0005-0000-0000-0000FA100000}"/>
    <cellStyle name="40% - akcent 5 2 29" xfId="4368" xr:uid="{00000000-0005-0000-0000-0000FB100000}"/>
    <cellStyle name="40% - akcent 5 2 29 2" xfId="4369" xr:uid="{00000000-0005-0000-0000-0000FC100000}"/>
    <cellStyle name="40% - akcent 5 2 3" xfId="4370" xr:uid="{00000000-0005-0000-0000-0000FD100000}"/>
    <cellStyle name="40% - akcent 5 2 3 2" xfId="4371" xr:uid="{00000000-0005-0000-0000-0000FE100000}"/>
    <cellStyle name="40% - akcent 5 2 3 3" xfId="4372" xr:uid="{00000000-0005-0000-0000-0000FF100000}"/>
    <cellStyle name="40% - akcent 5 2 3 4" xfId="4373" xr:uid="{00000000-0005-0000-0000-000000110000}"/>
    <cellStyle name="40% - akcent 5 2 3 5" xfId="4374" xr:uid="{00000000-0005-0000-0000-000001110000}"/>
    <cellStyle name="40% - akcent 5 2 3 6" xfId="4375" xr:uid="{00000000-0005-0000-0000-000002110000}"/>
    <cellStyle name="40% - akcent 5 2 3 7" xfId="4376" xr:uid="{00000000-0005-0000-0000-000003110000}"/>
    <cellStyle name="40% - akcent 5 2 30" xfId="4377" xr:uid="{00000000-0005-0000-0000-000004110000}"/>
    <cellStyle name="40% - akcent 5 2 30 2" xfId="4378" xr:uid="{00000000-0005-0000-0000-000005110000}"/>
    <cellStyle name="40% - akcent 5 2 31" xfId="4379" xr:uid="{00000000-0005-0000-0000-000006110000}"/>
    <cellStyle name="40% - akcent 5 2 31 2" xfId="4380" xr:uid="{00000000-0005-0000-0000-000007110000}"/>
    <cellStyle name="40% - akcent 5 2 32" xfId="4381" xr:uid="{00000000-0005-0000-0000-000008110000}"/>
    <cellStyle name="40% - akcent 5 2 32 2" xfId="4382" xr:uid="{00000000-0005-0000-0000-000009110000}"/>
    <cellStyle name="40% - akcent 5 2 33" xfId="4383" xr:uid="{00000000-0005-0000-0000-00000A110000}"/>
    <cellStyle name="40% - akcent 5 2 34" xfId="4384" xr:uid="{00000000-0005-0000-0000-00000B110000}"/>
    <cellStyle name="40% - akcent 5 2 35" xfId="4385" xr:uid="{00000000-0005-0000-0000-00000C110000}"/>
    <cellStyle name="40% - akcent 5 2 36" xfId="4386" xr:uid="{00000000-0005-0000-0000-00000D110000}"/>
    <cellStyle name="40% - akcent 5 2 37" xfId="4387" xr:uid="{00000000-0005-0000-0000-00000E110000}"/>
    <cellStyle name="40% - akcent 5 2 38" xfId="4388" xr:uid="{00000000-0005-0000-0000-00000F110000}"/>
    <cellStyle name="40% - akcent 5 2 39" xfId="4389" xr:uid="{00000000-0005-0000-0000-000010110000}"/>
    <cellStyle name="40% - akcent 5 2 4" xfId="4390" xr:uid="{00000000-0005-0000-0000-000011110000}"/>
    <cellStyle name="40% - akcent 5 2 4 2" xfId="4391" xr:uid="{00000000-0005-0000-0000-000012110000}"/>
    <cellStyle name="40% - akcent 5 2 4 3" xfId="4392" xr:uid="{00000000-0005-0000-0000-000013110000}"/>
    <cellStyle name="40% - akcent 5 2 4 4" xfId="4393" xr:uid="{00000000-0005-0000-0000-000014110000}"/>
    <cellStyle name="40% - akcent 5 2 4 5" xfId="4394" xr:uid="{00000000-0005-0000-0000-000015110000}"/>
    <cellStyle name="40% - akcent 5 2 4 6" xfId="4395" xr:uid="{00000000-0005-0000-0000-000016110000}"/>
    <cellStyle name="40% - akcent 5 2 4 7" xfId="4396" xr:uid="{00000000-0005-0000-0000-000017110000}"/>
    <cellStyle name="40% - akcent 5 2 40" xfId="4397" xr:uid="{00000000-0005-0000-0000-000018110000}"/>
    <cellStyle name="40% - akcent 5 2 41" xfId="4398" xr:uid="{00000000-0005-0000-0000-000019110000}"/>
    <cellStyle name="40% - akcent 5 2 42" xfId="4399" xr:uid="{00000000-0005-0000-0000-00001A110000}"/>
    <cellStyle name="40% - akcent 5 2 43" xfId="4400" xr:uid="{00000000-0005-0000-0000-00001B110000}"/>
    <cellStyle name="40% - akcent 5 2 44" xfId="4401" xr:uid="{00000000-0005-0000-0000-00001C110000}"/>
    <cellStyle name="40% - akcent 5 2 45" xfId="4402" xr:uid="{00000000-0005-0000-0000-00001D110000}"/>
    <cellStyle name="40% - akcent 5 2 46" xfId="4403" xr:uid="{00000000-0005-0000-0000-00001E110000}"/>
    <cellStyle name="40% - akcent 5 2 47" xfId="4404" xr:uid="{00000000-0005-0000-0000-00001F110000}"/>
    <cellStyle name="40% - akcent 5 2 48" xfId="4405" xr:uid="{00000000-0005-0000-0000-000020110000}"/>
    <cellStyle name="40% - akcent 5 2 49" xfId="4406" xr:uid="{00000000-0005-0000-0000-000021110000}"/>
    <cellStyle name="40% - akcent 5 2 5" xfId="4407" xr:uid="{00000000-0005-0000-0000-000022110000}"/>
    <cellStyle name="40% - akcent 5 2 5 2" xfId="4408" xr:uid="{00000000-0005-0000-0000-000023110000}"/>
    <cellStyle name="40% - akcent 5 2 5 3" xfId="4409" xr:uid="{00000000-0005-0000-0000-000024110000}"/>
    <cellStyle name="40% - akcent 5 2 5 4" xfId="4410" xr:uid="{00000000-0005-0000-0000-000025110000}"/>
    <cellStyle name="40% - akcent 5 2 5 5" xfId="4411" xr:uid="{00000000-0005-0000-0000-000026110000}"/>
    <cellStyle name="40% - akcent 5 2 5 6" xfId="4412" xr:uid="{00000000-0005-0000-0000-000027110000}"/>
    <cellStyle name="40% - akcent 5 2 50" xfId="4413" xr:uid="{00000000-0005-0000-0000-000028110000}"/>
    <cellStyle name="40% - akcent 5 2 51" xfId="4414" xr:uid="{00000000-0005-0000-0000-000029110000}"/>
    <cellStyle name="40% - akcent 5 2 6" xfId="4415" xr:uid="{00000000-0005-0000-0000-00002A110000}"/>
    <cellStyle name="40% - akcent 5 2 6 2" xfId="4416" xr:uid="{00000000-0005-0000-0000-00002B110000}"/>
    <cellStyle name="40% - akcent 5 2 6 3" xfId="4417" xr:uid="{00000000-0005-0000-0000-00002C110000}"/>
    <cellStyle name="40% - akcent 5 2 6 4" xfId="4418" xr:uid="{00000000-0005-0000-0000-00002D110000}"/>
    <cellStyle name="40% - akcent 5 2 6 5" xfId="4419" xr:uid="{00000000-0005-0000-0000-00002E110000}"/>
    <cellStyle name="40% - akcent 5 2 6 6" xfId="4420" xr:uid="{00000000-0005-0000-0000-00002F110000}"/>
    <cellStyle name="40% - akcent 5 2 7" xfId="4421" xr:uid="{00000000-0005-0000-0000-000030110000}"/>
    <cellStyle name="40% - akcent 5 2 7 2" xfId="4422" xr:uid="{00000000-0005-0000-0000-000031110000}"/>
    <cellStyle name="40% - akcent 5 2 7 3" xfId="4423" xr:uid="{00000000-0005-0000-0000-000032110000}"/>
    <cellStyle name="40% - akcent 5 2 7 4" xfId="4424" xr:uid="{00000000-0005-0000-0000-000033110000}"/>
    <cellStyle name="40% - akcent 5 2 7 5" xfId="4425" xr:uid="{00000000-0005-0000-0000-000034110000}"/>
    <cellStyle name="40% - akcent 5 2 7 6" xfId="4426" xr:uid="{00000000-0005-0000-0000-000035110000}"/>
    <cellStyle name="40% - akcent 5 2 8" xfId="4427" xr:uid="{00000000-0005-0000-0000-000036110000}"/>
    <cellStyle name="40% - akcent 5 2 8 2" xfId="4428" xr:uid="{00000000-0005-0000-0000-000037110000}"/>
    <cellStyle name="40% - akcent 5 2 8 3" xfId="4429" xr:uid="{00000000-0005-0000-0000-000038110000}"/>
    <cellStyle name="40% - akcent 5 2 8 4" xfId="4430" xr:uid="{00000000-0005-0000-0000-000039110000}"/>
    <cellStyle name="40% - akcent 5 2 8 5" xfId="4431" xr:uid="{00000000-0005-0000-0000-00003A110000}"/>
    <cellStyle name="40% - akcent 5 2 8 6" xfId="4432" xr:uid="{00000000-0005-0000-0000-00003B110000}"/>
    <cellStyle name="40% - akcent 5 2 9" xfId="4433" xr:uid="{00000000-0005-0000-0000-00003C110000}"/>
    <cellStyle name="40% - akcent 5 2 9 2" xfId="4434" xr:uid="{00000000-0005-0000-0000-00003D110000}"/>
    <cellStyle name="40% - akcent 5 2 9 3" xfId="4435" xr:uid="{00000000-0005-0000-0000-00003E110000}"/>
    <cellStyle name="40% - akcent 5 2 9 4" xfId="4436" xr:uid="{00000000-0005-0000-0000-00003F110000}"/>
    <cellStyle name="40% - akcent 5 2 9 5" xfId="4437" xr:uid="{00000000-0005-0000-0000-000040110000}"/>
    <cellStyle name="40% - akcent 5 2 9 6" xfId="4438" xr:uid="{00000000-0005-0000-0000-000041110000}"/>
    <cellStyle name="40% - akcent 5 20" xfId="4439" xr:uid="{00000000-0005-0000-0000-000042110000}"/>
    <cellStyle name="40% - akcent 5 21" xfId="4440" xr:uid="{00000000-0005-0000-0000-000043110000}"/>
    <cellStyle name="40% - akcent 5 22" xfId="4441" xr:uid="{00000000-0005-0000-0000-000044110000}"/>
    <cellStyle name="40% - akcent 5 23" xfId="4442" xr:uid="{00000000-0005-0000-0000-000045110000}"/>
    <cellStyle name="40% - akcent 5 24" xfId="4443" xr:uid="{00000000-0005-0000-0000-000046110000}"/>
    <cellStyle name="40% - akcent 5 25" xfId="4444" xr:uid="{00000000-0005-0000-0000-000047110000}"/>
    <cellStyle name="40% - akcent 5 26" xfId="4445" xr:uid="{00000000-0005-0000-0000-000048110000}"/>
    <cellStyle name="40% - akcent 5 27" xfId="4446" xr:uid="{00000000-0005-0000-0000-000049110000}"/>
    <cellStyle name="40% - akcent 5 28" xfId="4447" xr:uid="{00000000-0005-0000-0000-00004A110000}"/>
    <cellStyle name="40% - akcent 5 29" xfId="4448" xr:uid="{00000000-0005-0000-0000-00004B110000}"/>
    <cellStyle name="40% - akcent 5 3" xfId="4449" xr:uid="{00000000-0005-0000-0000-00004C110000}"/>
    <cellStyle name="40% - akcent 5 3 2" xfId="4450" xr:uid="{00000000-0005-0000-0000-00004D110000}"/>
    <cellStyle name="40% - akcent 5 3 2 2" xfId="4451" xr:uid="{00000000-0005-0000-0000-00004E110000}"/>
    <cellStyle name="40% - akcent 5 3 3" xfId="4452" xr:uid="{00000000-0005-0000-0000-00004F110000}"/>
    <cellStyle name="40% - akcent 5 3 3 2" xfId="4453" xr:uid="{00000000-0005-0000-0000-000050110000}"/>
    <cellStyle name="40% - akcent 5 3 4" xfId="4454" xr:uid="{00000000-0005-0000-0000-000051110000}"/>
    <cellStyle name="40% - akcent 5 3 4 2" xfId="4455" xr:uid="{00000000-0005-0000-0000-000052110000}"/>
    <cellStyle name="40% - akcent 5 3 5" xfId="4456" xr:uid="{00000000-0005-0000-0000-000053110000}"/>
    <cellStyle name="40% - akcent 5 3 6" xfId="4457" xr:uid="{00000000-0005-0000-0000-000054110000}"/>
    <cellStyle name="40% - akcent 5 3 7" xfId="4458" xr:uid="{00000000-0005-0000-0000-000055110000}"/>
    <cellStyle name="40% - akcent 5 3 8" xfId="4459" xr:uid="{00000000-0005-0000-0000-000056110000}"/>
    <cellStyle name="40% - akcent 5 30" xfId="4460" xr:uid="{00000000-0005-0000-0000-000057110000}"/>
    <cellStyle name="40% - akcent 5 30 2" xfId="4461" xr:uid="{00000000-0005-0000-0000-000058110000}"/>
    <cellStyle name="40% - akcent 5 31" xfId="4462" xr:uid="{00000000-0005-0000-0000-000059110000}"/>
    <cellStyle name="40% - akcent 5 31 2" xfId="4463" xr:uid="{00000000-0005-0000-0000-00005A110000}"/>
    <cellStyle name="40% - akcent 5 32" xfId="4464" xr:uid="{00000000-0005-0000-0000-00005B110000}"/>
    <cellStyle name="40% - akcent 5 32 2" xfId="4465" xr:uid="{00000000-0005-0000-0000-00005C110000}"/>
    <cellStyle name="40% - akcent 5 33" xfId="4466" xr:uid="{00000000-0005-0000-0000-00005D110000}"/>
    <cellStyle name="40% - akcent 5 33 2" xfId="4467" xr:uid="{00000000-0005-0000-0000-00005E110000}"/>
    <cellStyle name="40% - akcent 5 34" xfId="4468" xr:uid="{00000000-0005-0000-0000-00005F110000}"/>
    <cellStyle name="40% - akcent 5 34 2" xfId="4469" xr:uid="{00000000-0005-0000-0000-000060110000}"/>
    <cellStyle name="40% - akcent 5 35" xfId="4470" xr:uid="{00000000-0005-0000-0000-000061110000}"/>
    <cellStyle name="40% - akcent 5 35 2" xfId="4471" xr:uid="{00000000-0005-0000-0000-000062110000}"/>
    <cellStyle name="40% - akcent 5 36" xfId="4472" xr:uid="{00000000-0005-0000-0000-000063110000}"/>
    <cellStyle name="40% - akcent 5 36 2" xfId="4473" xr:uid="{00000000-0005-0000-0000-000064110000}"/>
    <cellStyle name="40% - akcent 5 37" xfId="4474" xr:uid="{00000000-0005-0000-0000-000065110000}"/>
    <cellStyle name="40% - akcent 5 37 2" xfId="4475" xr:uid="{00000000-0005-0000-0000-000066110000}"/>
    <cellStyle name="40% - akcent 5 38" xfId="4476" xr:uid="{00000000-0005-0000-0000-000067110000}"/>
    <cellStyle name="40% - akcent 5 38 2" xfId="4477" xr:uid="{00000000-0005-0000-0000-000068110000}"/>
    <cellStyle name="40% - akcent 5 39" xfId="4478" xr:uid="{00000000-0005-0000-0000-000069110000}"/>
    <cellStyle name="40% - akcent 5 39 2" xfId="4479" xr:uid="{00000000-0005-0000-0000-00006A110000}"/>
    <cellStyle name="40% - akcent 5 4" xfId="4480" xr:uid="{00000000-0005-0000-0000-00006B110000}"/>
    <cellStyle name="40% - akcent 5 4 2" xfId="4481" xr:uid="{00000000-0005-0000-0000-00006C110000}"/>
    <cellStyle name="40% - akcent 5 4 2 2" xfId="4482" xr:uid="{00000000-0005-0000-0000-00006D110000}"/>
    <cellStyle name="40% - akcent 5 4 3" xfId="4483" xr:uid="{00000000-0005-0000-0000-00006E110000}"/>
    <cellStyle name="40% - akcent 5 4 3 2" xfId="4484" xr:uid="{00000000-0005-0000-0000-00006F110000}"/>
    <cellStyle name="40% - akcent 5 4 4" xfId="4485" xr:uid="{00000000-0005-0000-0000-000070110000}"/>
    <cellStyle name="40% - akcent 5 4 4 2" xfId="4486" xr:uid="{00000000-0005-0000-0000-000071110000}"/>
    <cellStyle name="40% - akcent 5 4 5" xfId="4487" xr:uid="{00000000-0005-0000-0000-000072110000}"/>
    <cellStyle name="40% - akcent 5 4 6" xfId="4488" xr:uid="{00000000-0005-0000-0000-000073110000}"/>
    <cellStyle name="40% - akcent 5 4 7" xfId="4489" xr:uid="{00000000-0005-0000-0000-000074110000}"/>
    <cellStyle name="40% - akcent 5 4 8" xfId="4490" xr:uid="{00000000-0005-0000-0000-000075110000}"/>
    <cellStyle name="40% - akcent 5 40" xfId="4491" xr:uid="{00000000-0005-0000-0000-000076110000}"/>
    <cellStyle name="40% - akcent 5 40 2" xfId="4492" xr:uid="{00000000-0005-0000-0000-000077110000}"/>
    <cellStyle name="40% - akcent 5 41" xfId="4493" xr:uid="{00000000-0005-0000-0000-000078110000}"/>
    <cellStyle name="40% - akcent 5 41 2" xfId="4494" xr:uid="{00000000-0005-0000-0000-000079110000}"/>
    <cellStyle name="40% - akcent 5 42" xfId="4495" xr:uid="{00000000-0005-0000-0000-00007A110000}"/>
    <cellStyle name="40% - akcent 5 42 2" xfId="4496" xr:uid="{00000000-0005-0000-0000-00007B110000}"/>
    <cellStyle name="40% - akcent 5 43" xfId="4497" xr:uid="{00000000-0005-0000-0000-00007C110000}"/>
    <cellStyle name="40% - akcent 5 43 2" xfId="4498" xr:uid="{00000000-0005-0000-0000-00007D110000}"/>
    <cellStyle name="40% - akcent 5 44" xfId="4499" xr:uid="{00000000-0005-0000-0000-00007E110000}"/>
    <cellStyle name="40% - akcent 5 44 2" xfId="4500" xr:uid="{00000000-0005-0000-0000-00007F110000}"/>
    <cellStyle name="40% - akcent 5 45" xfId="4501" xr:uid="{00000000-0005-0000-0000-000080110000}"/>
    <cellStyle name="40% - akcent 5 45 2" xfId="4502" xr:uid="{00000000-0005-0000-0000-000081110000}"/>
    <cellStyle name="40% - akcent 5 46" xfId="4503" xr:uid="{00000000-0005-0000-0000-000082110000}"/>
    <cellStyle name="40% - akcent 5 46 2" xfId="4504" xr:uid="{00000000-0005-0000-0000-000083110000}"/>
    <cellStyle name="40% - akcent 5 47" xfId="4505" xr:uid="{00000000-0005-0000-0000-000084110000}"/>
    <cellStyle name="40% - akcent 5 47 2" xfId="4506" xr:uid="{00000000-0005-0000-0000-000085110000}"/>
    <cellStyle name="40% - akcent 5 48" xfId="4507" xr:uid="{00000000-0005-0000-0000-000086110000}"/>
    <cellStyle name="40% - akcent 5 48 2" xfId="4508" xr:uid="{00000000-0005-0000-0000-000087110000}"/>
    <cellStyle name="40% - akcent 5 49" xfId="4509" xr:uid="{00000000-0005-0000-0000-000088110000}"/>
    <cellStyle name="40% - akcent 5 49 2" xfId="4510" xr:uid="{00000000-0005-0000-0000-000089110000}"/>
    <cellStyle name="40% - akcent 5 5" xfId="4511" xr:uid="{00000000-0005-0000-0000-00008A110000}"/>
    <cellStyle name="40% - akcent 5 5 2" xfId="4512" xr:uid="{00000000-0005-0000-0000-00008B110000}"/>
    <cellStyle name="40% - akcent 5 5 3" xfId="4513" xr:uid="{00000000-0005-0000-0000-00008C110000}"/>
    <cellStyle name="40% - akcent 5 50" xfId="4514" xr:uid="{00000000-0005-0000-0000-00008D110000}"/>
    <cellStyle name="40% - akcent 5 50 2" xfId="4515" xr:uid="{00000000-0005-0000-0000-00008E110000}"/>
    <cellStyle name="40% - akcent 5 51" xfId="4516" xr:uid="{00000000-0005-0000-0000-00008F110000}"/>
    <cellStyle name="40% - akcent 5 51 2" xfId="4517" xr:uid="{00000000-0005-0000-0000-000090110000}"/>
    <cellStyle name="40% - akcent 5 52" xfId="4518" xr:uid="{00000000-0005-0000-0000-000091110000}"/>
    <cellStyle name="40% - akcent 5 52 2" xfId="4519" xr:uid="{00000000-0005-0000-0000-000092110000}"/>
    <cellStyle name="40% - akcent 5 53" xfId="4520" xr:uid="{00000000-0005-0000-0000-000093110000}"/>
    <cellStyle name="40% - akcent 5 53 2" xfId="4521" xr:uid="{00000000-0005-0000-0000-000094110000}"/>
    <cellStyle name="40% - akcent 5 54" xfId="4522" xr:uid="{00000000-0005-0000-0000-000095110000}"/>
    <cellStyle name="40% - akcent 5 54 2" xfId="4523" xr:uid="{00000000-0005-0000-0000-000096110000}"/>
    <cellStyle name="40% - akcent 5 55" xfId="4524" xr:uid="{00000000-0005-0000-0000-000097110000}"/>
    <cellStyle name="40% - akcent 5 55 2" xfId="4525" xr:uid="{00000000-0005-0000-0000-000098110000}"/>
    <cellStyle name="40% - akcent 5 56" xfId="4526" xr:uid="{00000000-0005-0000-0000-000099110000}"/>
    <cellStyle name="40% - akcent 5 56 2" xfId="4527" xr:uid="{00000000-0005-0000-0000-00009A110000}"/>
    <cellStyle name="40% - akcent 5 57" xfId="4528" xr:uid="{00000000-0005-0000-0000-00009B110000}"/>
    <cellStyle name="40% - akcent 5 57 2" xfId="4529" xr:uid="{00000000-0005-0000-0000-00009C110000}"/>
    <cellStyle name="40% - akcent 5 58" xfId="4530" xr:uid="{00000000-0005-0000-0000-00009D110000}"/>
    <cellStyle name="40% - akcent 5 58 2" xfId="4531" xr:uid="{00000000-0005-0000-0000-00009E110000}"/>
    <cellStyle name="40% - akcent 5 59" xfId="4532" xr:uid="{00000000-0005-0000-0000-00009F110000}"/>
    <cellStyle name="40% - akcent 5 59 2" xfId="4533" xr:uid="{00000000-0005-0000-0000-0000A0110000}"/>
    <cellStyle name="40% - akcent 5 6" xfId="4534" xr:uid="{00000000-0005-0000-0000-0000A1110000}"/>
    <cellStyle name="40% - akcent 5 60" xfId="4535" xr:uid="{00000000-0005-0000-0000-0000A2110000}"/>
    <cellStyle name="40% - akcent 5 60 2" xfId="4536" xr:uid="{00000000-0005-0000-0000-0000A3110000}"/>
    <cellStyle name="40% - akcent 5 61" xfId="4537" xr:uid="{00000000-0005-0000-0000-0000A4110000}"/>
    <cellStyle name="40% - akcent 5 61 2" xfId="4538" xr:uid="{00000000-0005-0000-0000-0000A5110000}"/>
    <cellStyle name="40% - akcent 5 62" xfId="4539" xr:uid="{00000000-0005-0000-0000-0000A6110000}"/>
    <cellStyle name="40% - akcent 5 62 2" xfId="4540" xr:uid="{00000000-0005-0000-0000-0000A7110000}"/>
    <cellStyle name="40% - akcent 5 63" xfId="4541" xr:uid="{00000000-0005-0000-0000-0000A8110000}"/>
    <cellStyle name="40% - akcent 5 63 2" xfId="4542" xr:uid="{00000000-0005-0000-0000-0000A9110000}"/>
    <cellStyle name="40% - akcent 5 64" xfId="4543" xr:uid="{00000000-0005-0000-0000-0000AA110000}"/>
    <cellStyle name="40% - akcent 5 64 2" xfId="4544" xr:uid="{00000000-0005-0000-0000-0000AB110000}"/>
    <cellStyle name="40% - akcent 5 65" xfId="4545" xr:uid="{00000000-0005-0000-0000-0000AC110000}"/>
    <cellStyle name="40% - akcent 5 65 2" xfId="4546" xr:uid="{00000000-0005-0000-0000-0000AD110000}"/>
    <cellStyle name="40% - akcent 5 66" xfId="4547" xr:uid="{00000000-0005-0000-0000-0000AE110000}"/>
    <cellStyle name="40% - akcent 5 66 2" xfId="4548" xr:uid="{00000000-0005-0000-0000-0000AF110000}"/>
    <cellStyle name="40% - akcent 5 67" xfId="4549" xr:uid="{00000000-0005-0000-0000-0000B0110000}"/>
    <cellStyle name="40% - akcent 5 67 2" xfId="4550" xr:uid="{00000000-0005-0000-0000-0000B1110000}"/>
    <cellStyle name="40% - akcent 5 68" xfId="4551" xr:uid="{00000000-0005-0000-0000-0000B2110000}"/>
    <cellStyle name="40% - akcent 5 68 2" xfId="4552" xr:uid="{00000000-0005-0000-0000-0000B3110000}"/>
    <cellStyle name="40% - akcent 5 69" xfId="4553" xr:uid="{00000000-0005-0000-0000-0000B4110000}"/>
    <cellStyle name="40% - akcent 5 69 2" xfId="4554" xr:uid="{00000000-0005-0000-0000-0000B5110000}"/>
    <cellStyle name="40% - akcent 5 7" xfId="4555" xr:uid="{00000000-0005-0000-0000-0000B6110000}"/>
    <cellStyle name="40% - akcent 5 70" xfId="4556" xr:uid="{00000000-0005-0000-0000-0000B7110000}"/>
    <cellStyle name="40% - akcent 5 70 2" xfId="4557" xr:uid="{00000000-0005-0000-0000-0000B8110000}"/>
    <cellStyle name="40% - akcent 5 71" xfId="4558" xr:uid="{00000000-0005-0000-0000-0000B9110000}"/>
    <cellStyle name="40% - akcent 5 71 2" xfId="4559" xr:uid="{00000000-0005-0000-0000-0000BA110000}"/>
    <cellStyle name="40% - akcent 5 72" xfId="4560" xr:uid="{00000000-0005-0000-0000-0000BB110000}"/>
    <cellStyle name="40% - akcent 5 72 2" xfId="4561" xr:uid="{00000000-0005-0000-0000-0000BC110000}"/>
    <cellStyle name="40% - akcent 5 73" xfId="4562" xr:uid="{00000000-0005-0000-0000-0000BD110000}"/>
    <cellStyle name="40% - akcent 5 73 2" xfId="4563" xr:uid="{00000000-0005-0000-0000-0000BE110000}"/>
    <cellStyle name="40% - akcent 5 74" xfId="4564" xr:uid="{00000000-0005-0000-0000-0000BF110000}"/>
    <cellStyle name="40% - akcent 5 74 2" xfId="4565" xr:uid="{00000000-0005-0000-0000-0000C0110000}"/>
    <cellStyle name="40% - akcent 5 75" xfId="4566" xr:uid="{00000000-0005-0000-0000-0000C1110000}"/>
    <cellStyle name="40% - akcent 5 75 2" xfId="4567" xr:uid="{00000000-0005-0000-0000-0000C2110000}"/>
    <cellStyle name="40% - akcent 5 76" xfId="4568" xr:uid="{00000000-0005-0000-0000-0000C3110000}"/>
    <cellStyle name="40% - akcent 5 76 2" xfId="4569" xr:uid="{00000000-0005-0000-0000-0000C4110000}"/>
    <cellStyle name="40% - akcent 5 77" xfId="4570" xr:uid="{00000000-0005-0000-0000-0000C5110000}"/>
    <cellStyle name="40% - akcent 5 77 2" xfId="4571" xr:uid="{00000000-0005-0000-0000-0000C6110000}"/>
    <cellStyle name="40% - akcent 5 78" xfId="4572" xr:uid="{00000000-0005-0000-0000-0000C7110000}"/>
    <cellStyle name="40% - akcent 5 78 2" xfId="4573" xr:uid="{00000000-0005-0000-0000-0000C8110000}"/>
    <cellStyle name="40% - akcent 5 79" xfId="4574" xr:uid="{00000000-0005-0000-0000-0000C9110000}"/>
    <cellStyle name="40% - akcent 5 79 2" xfId="4575" xr:uid="{00000000-0005-0000-0000-0000CA110000}"/>
    <cellStyle name="40% - akcent 5 8" xfId="4576" xr:uid="{00000000-0005-0000-0000-0000CB110000}"/>
    <cellStyle name="40% - akcent 5 80" xfId="4577" xr:uid="{00000000-0005-0000-0000-0000CC110000}"/>
    <cellStyle name="40% - akcent 5 80 2" xfId="4578" xr:uid="{00000000-0005-0000-0000-0000CD110000}"/>
    <cellStyle name="40% - akcent 5 81" xfId="4579" xr:uid="{00000000-0005-0000-0000-0000CE110000}"/>
    <cellStyle name="40% - akcent 5 81 2" xfId="4580" xr:uid="{00000000-0005-0000-0000-0000CF110000}"/>
    <cellStyle name="40% - akcent 5 82" xfId="4581" xr:uid="{00000000-0005-0000-0000-0000D0110000}"/>
    <cellStyle name="40% - akcent 5 82 2" xfId="4582" xr:uid="{00000000-0005-0000-0000-0000D1110000}"/>
    <cellStyle name="40% - akcent 5 83" xfId="4583" xr:uid="{00000000-0005-0000-0000-0000D2110000}"/>
    <cellStyle name="40% - akcent 5 83 2" xfId="4584" xr:uid="{00000000-0005-0000-0000-0000D3110000}"/>
    <cellStyle name="40% - akcent 5 84" xfId="4585" xr:uid="{00000000-0005-0000-0000-0000D4110000}"/>
    <cellStyle name="40% - akcent 5 84 2" xfId="4586" xr:uid="{00000000-0005-0000-0000-0000D5110000}"/>
    <cellStyle name="40% - akcent 5 85" xfId="4587" xr:uid="{00000000-0005-0000-0000-0000D6110000}"/>
    <cellStyle name="40% - akcent 5 85 2" xfId="4588" xr:uid="{00000000-0005-0000-0000-0000D7110000}"/>
    <cellStyle name="40% - akcent 5 86" xfId="4589" xr:uid="{00000000-0005-0000-0000-0000D8110000}"/>
    <cellStyle name="40% - akcent 5 86 2" xfId="4590" xr:uid="{00000000-0005-0000-0000-0000D9110000}"/>
    <cellStyle name="40% - akcent 5 87" xfId="4591" xr:uid="{00000000-0005-0000-0000-0000DA110000}"/>
    <cellStyle name="40% - akcent 5 87 2" xfId="4592" xr:uid="{00000000-0005-0000-0000-0000DB110000}"/>
    <cellStyle name="40% - akcent 5 88" xfId="4593" xr:uid="{00000000-0005-0000-0000-0000DC110000}"/>
    <cellStyle name="40% - akcent 5 88 2" xfId="4594" xr:uid="{00000000-0005-0000-0000-0000DD110000}"/>
    <cellStyle name="40% - akcent 5 89" xfId="4595" xr:uid="{00000000-0005-0000-0000-0000DE110000}"/>
    <cellStyle name="40% - akcent 5 89 2" xfId="4596" xr:uid="{00000000-0005-0000-0000-0000DF110000}"/>
    <cellStyle name="40% - akcent 5 9" xfId="4597" xr:uid="{00000000-0005-0000-0000-0000E0110000}"/>
    <cellStyle name="40% - akcent 5 90" xfId="4598" xr:uid="{00000000-0005-0000-0000-0000E1110000}"/>
    <cellStyle name="40% - akcent 5 90 2" xfId="4599" xr:uid="{00000000-0005-0000-0000-0000E2110000}"/>
    <cellStyle name="40% - akcent 5 91" xfId="4600" xr:uid="{00000000-0005-0000-0000-0000E3110000}"/>
    <cellStyle name="40% - akcent 5 91 2" xfId="4601" xr:uid="{00000000-0005-0000-0000-0000E4110000}"/>
    <cellStyle name="40% - akcent 5 92" xfId="4602" xr:uid="{00000000-0005-0000-0000-0000E5110000}"/>
    <cellStyle name="40% - akcent 5 92 2" xfId="4603" xr:uid="{00000000-0005-0000-0000-0000E6110000}"/>
    <cellStyle name="40% - akcent 5 93" xfId="4604" xr:uid="{00000000-0005-0000-0000-0000E7110000}"/>
    <cellStyle name="40% - akcent 5 93 2" xfId="4605" xr:uid="{00000000-0005-0000-0000-0000E8110000}"/>
    <cellStyle name="40% - akcent 5 94" xfId="4606" xr:uid="{00000000-0005-0000-0000-0000E9110000}"/>
    <cellStyle name="40% - akcent 5 94 2" xfId="4607" xr:uid="{00000000-0005-0000-0000-0000EA110000}"/>
    <cellStyle name="40% - akcent 5 95" xfId="4608" xr:uid="{00000000-0005-0000-0000-0000EB110000}"/>
    <cellStyle name="40% - akcent 5 95 2" xfId="4609" xr:uid="{00000000-0005-0000-0000-0000EC110000}"/>
    <cellStyle name="40% - akcent 5 96" xfId="4610" xr:uid="{00000000-0005-0000-0000-0000ED110000}"/>
    <cellStyle name="40% - akcent 5 96 2" xfId="4611" xr:uid="{00000000-0005-0000-0000-0000EE110000}"/>
    <cellStyle name="40% - akcent 5 97" xfId="4612" xr:uid="{00000000-0005-0000-0000-0000EF110000}"/>
    <cellStyle name="40% - akcent 5 97 2" xfId="4613" xr:uid="{00000000-0005-0000-0000-0000F0110000}"/>
    <cellStyle name="40% - akcent 5 98" xfId="4614" xr:uid="{00000000-0005-0000-0000-0000F1110000}"/>
    <cellStyle name="40% - akcent 5 98 2" xfId="4615" xr:uid="{00000000-0005-0000-0000-0000F2110000}"/>
    <cellStyle name="40% - akcent 5 99" xfId="4616" xr:uid="{00000000-0005-0000-0000-0000F3110000}"/>
    <cellStyle name="40% - akcent 5 99 2" xfId="4617" xr:uid="{00000000-0005-0000-0000-0000F4110000}"/>
    <cellStyle name="40% - akcent 6 10" xfId="4618" xr:uid="{00000000-0005-0000-0000-0000F5110000}"/>
    <cellStyle name="40% - akcent 6 100" xfId="4619" xr:uid="{00000000-0005-0000-0000-0000F6110000}"/>
    <cellStyle name="40% - akcent 6 100 2" xfId="4620" xr:uid="{00000000-0005-0000-0000-0000F7110000}"/>
    <cellStyle name="40% - akcent 6 101" xfId="4621" xr:uid="{00000000-0005-0000-0000-0000F8110000}"/>
    <cellStyle name="40% - akcent 6 101 2" xfId="4622" xr:uid="{00000000-0005-0000-0000-0000F9110000}"/>
    <cellStyle name="40% - akcent 6 102" xfId="4623" xr:uid="{00000000-0005-0000-0000-0000FA110000}"/>
    <cellStyle name="40% - akcent 6 102 2" xfId="4624" xr:uid="{00000000-0005-0000-0000-0000FB110000}"/>
    <cellStyle name="40% - akcent 6 103" xfId="4625" xr:uid="{00000000-0005-0000-0000-0000FC110000}"/>
    <cellStyle name="40% - akcent 6 103 2" xfId="4626" xr:uid="{00000000-0005-0000-0000-0000FD110000}"/>
    <cellStyle name="40% - akcent 6 104" xfId="4627" xr:uid="{00000000-0005-0000-0000-0000FE110000}"/>
    <cellStyle name="40% - akcent 6 104 2" xfId="4628" xr:uid="{00000000-0005-0000-0000-0000FF110000}"/>
    <cellStyle name="40% - akcent 6 105" xfId="4629" xr:uid="{00000000-0005-0000-0000-000000120000}"/>
    <cellStyle name="40% - akcent 6 105 2" xfId="4630" xr:uid="{00000000-0005-0000-0000-000001120000}"/>
    <cellStyle name="40% - akcent 6 106" xfId="4631" xr:uid="{00000000-0005-0000-0000-000002120000}"/>
    <cellStyle name="40% - akcent 6 106 2" xfId="4632" xr:uid="{00000000-0005-0000-0000-000003120000}"/>
    <cellStyle name="40% - akcent 6 107" xfId="4633" xr:uid="{00000000-0005-0000-0000-000004120000}"/>
    <cellStyle name="40% - akcent 6 107 2" xfId="4634" xr:uid="{00000000-0005-0000-0000-000005120000}"/>
    <cellStyle name="40% - akcent 6 108" xfId="4635" xr:uid="{00000000-0005-0000-0000-000006120000}"/>
    <cellStyle name="40% - akcent 6 108 2" xfId="4636" xr:uid="{00000000-0005-0000-0000-000007120000}"/>
    <cellStyle name="40% - akcent 6 109" xfId="4637" xr:uid="{00000000-0005-0000-0000-000008120000}"/>
    <cellStyle name="40% - akcent 6 109 2" xfId="4638" xr:uid="{00000000-0005-0000-0000-000009120000}"/>
    <cellStyle name="40% - akcent 6 11" xfId="4639" xr:uid="{00000000-0005-0000-0000-00000A120000}"/>
    <cellStyle name="40% - akcent 6 110" xfId="4640" xr:uid="{00000000-0005-0000-0000-00000B120000}"/>
    <cellStyle name="40% - akcent 6 110 2" xfId="4641" xr:uid="{00000000-0005-0000-0000-00000C120000}"/>
    <cellStyle name="40% - akcent 6 111" xfId="4642" xr:uid="{00000000-0005-0000-0000-00000D120000}"/>
    <cellStyle name="40% - akcent 6 111 2" xfId="4643" xr:uid="{00000000-0005-0000-0000-00000E120000}"/>
    <cellStyle name="40% - akcent 6 112" xfId="4644" xr:uid="{00000000-0005-0000-0000-00000F120000}"/>
    <cellStyle name="40% - akcent 6 112 2" xfId="4645" xr:uid="{00000000-0005-0000-0000-000010120000}"/>
    <cellStyle name="40% - akcent 6 113" xfId="4646" xr:uid="{00000000-0005-0000-0000-000011120000}"/>
    <cellStyle name="40% - akcent 6 113 2" xfId="4647" xr:uid="{00000000-0005-0000-0000-000012120000}"/>
    <cellStyle name="40% - akcent 6 114" xfId="4648" xr:uid="{00000000-0005-0000-0000-000013120000}"/>
    <cellStyle name="40% - akcent 6 114 2" xfId="4649" xr:uid="{00000000-0005-0000-0000-000014120000}"/>
    <cellStyle name="40% - akcent 6 115" xfId="4650" xr:uid="{00000000-0005-0000-0000-000015120000}"/>
    <cellStyle name="40% - akcent 6 115 2" xfId="4651" xr:uid="{00000000-0005-0000-0000-000016120000}"/>
    <cellStyle name="40% - akcent 6 116" xfId="4652" xr:uid="{00000000-0005-0000-0000-000017120000}"/>
    <cellStyle name="40% - akcent 6 116 2" xfId="4653" xr:uid="{00000000-0005-0000-0000-000018120000}"/>
    <cellStyle name="40% - akcent 6 117" xfId="4654" xr:uid="{00000000-0005-0000-0000-000019120000}"/>
    <cellStyle name="40% - akcent 6 117 2" xfId="4655" xr:uid="{00000000-0005-0000-0000-00001A120000}"/>
    <cellStyle name="40% - akcent 6 118" xfId="4656" xr:uid="{00000000-0005-0000-0000-00001B120000}"/>
    <cellStyle name="40% - akcent 6 118 2" xfId="4657" xr:uid="{00000000-0005-0000-0000-00001C120000}"/>
    <cellStyle name="40% - akcent 6 119" xfId="4658" xr:uid="{00000000-0005-0000-0000-00001D120000}"/>
    <cellStyle name="40% - akcent 6 119 2" xfId="4659" xr:uid="{00000000-0005-0000-0000-00001E120000}"/>
    <cellStyle name="40% - akcent 6 12" xfId="4660" xr:uid="{00000000-0005-0000-0000-00001F120000}"/>
    <cellStyle name="40% - akcent 6 120" xfId="4661" xr:uid="{00000000-0005-0000-0000-000020120000}"/>
    <cellStyle name="40% - akcent 6 121" xfId="4662" xr:uid="{00000000-0005-0000-0000-000021120000}"/>
    <cellStyle name="40% - akcent 6 13" xfId="4663" xr:uid="{00000000-0005-0000-0000-000022120000}"/>
    <cellStyle name="40% - akcent 6 14" xfId="4664" xr:uid="{00000000-0005-0000-0000-000023120000}"/>
    <cellStyle name="40% - akcent 6 15" xfId="4665" xr:uid="{00000000-0005-0000-0000-000024120000}"/>
    <cellStyle name="40% - akcent 6 16" xfId="4666" xr:uid="{00000000-0005-0000-0000-000025120000}"/>
    <cellStyle name="40% - akcent 6 17" xfId="4667" xr:uid="{00000000-0005-0000-0000-000026120000}"/>
    <cellStyle name="40% - akcent 6 18" xfId="4668" xr:uid="{00000000-0005-0000-0000-000027120000}"/>
    <cellStyle name="40% - akcent 6 19" xfId="4669" xr:uid="{00000000-0005-0000-0000-000028120000}"/>
    <cellStyle name="40% - akcent 6 2" xfId="4670" xr:uid="{00000000-0005-0000-0000-000029120000}"/>
    <cellStyle name="40% - akcent 6 2 10" xfId="4671" xr:uid="{00000000-0005-0000-0000-00002A120000}"/>
    <cellStyle name="40% - akcent 6 2 10 2" xfId="4672" xr:uid="{00000000-0005-0000-0000-00002B120000}"/>
    <cellStyle name="40% - akcent 6 2 10 3" xfId="4673" xr:uid="{00000000-0005-0000-0000-00002C120000}"/>
    <cellStyle name="40% - akcent 6 2 10 4" xfId="4674" xr:uid="{00000000-0005-0000-0000-00002D120000}"/>
    <cellStyle name="40% - akcent 6 2 10 5" xfId="4675" xr:uid="{00000000-0005-0000-0000-00002E120000}"/>
    <cellStyle name="40% - akcent 6 2 10 6" xfId="4676" xr:uid="{00000000-0005-0000-0000-00002F120000}"/>
    <cellStyle name="40% - akcent 6 2 11" xfId="4677" xr:uid="{00000000-0005-0000-0000-000030120000}"/>
    <cellStyle name="40% - akcent 6 2 11 2" xfId="4678" xr:uid="{00000000-0005-0000-0000-000031120000}"/>
    <cellStyle name="40% - akcent 6 2 11 3" xfId="4679" xr:uid="{00000000-0005-0000-0000-000032120000}"/>
    <cellStyle name="40% - akcent 6 2 11 4" xfId="4680" xr:uid="{00000000-0005-0000-0000-000033120000}"/>
    <cellStyle name="40% - akcent 6 2 11 5" xfId="4681" xr:uid="{00000000-0005-0000-0000-000034120000}"/>
    <cellStyle name="40% - akcent 6 2 11 6" xfId="4682" xr:uid="{00000000-0005-0000-0000-000035120000}"/>
    <cellStyle name="40% - akcent 6 2 12" xfId="4683" xr:uid="{00000000-0005-0000-0000-000036120000}"/>
    <cellStyle name="40% - akcent 6 2 12 2" xfId="4684" xr:uid="{00000000-0005-0000-0000-000037120000}"/>
    <cellStyle name="40% - akcent 6 2 12 3" xfId="4685" xr:uid="{00000000-0005-0000-0000-000038120000}"/>
    <cellStyle name="40% - akcent 6 2 12 4" xfId="4686" xr:uid="{00000000-0005-0000-0000-000039120000}"/>
    <cellStyle name="40% - akcent 6 2 12 5" xfId="4687" xr:uid="{00000000-0005-0000-0000-00003A120000}"/>
    <cellStyle name="40% - akcent 6 2 12 6" xfId="4688" xr:uid="{00000000-0005-0000-0000-00003B120000}"/>
    <cellStyle name="40% - akcent 6 2 13" xfId="4689" xr:uid="{00000000-0005-0000-0000-00003C120000}"/>
    <cellStyle name="40% - akcent 6 2 13 2" xfId="4690" xr:uid="{00000000-0005-0000-0000-00003D120000}"/>
    <cellStyle name="40% - akcent 6 2 13 3" xfId="4691" xr:uid="{00000000-0005-0000-0000-00003E120000}"/>
    <cellStyle name="40% - akcent 6 2 13 4" xfId="4692" xr:uid="{00000000-0005-0000-0000-00003F120000}"/>
    <cellStyle name="40% - akcent 6 2 13 5" xfId="4693" xr:uid="{00000000-0005-0000-0000-000040120000}"/>
    <cellStyle name="40% - akcent 6 2 13 6" xfId="4694" xr:uid="{00000000-0005-0000-0000-000041120000}"/>
    <cellStyle name="40% - akcent 6 2 14" xfId="4695" xr:uid="{00000000-0005-0000-0000-000042120000}"/>
    <cellStyle name="40% - akcent 6 2 14 2" xfId="4696" xr:uid="{00000000-0005-0000-0000-000043120000}"/>
    <cellStyle name="40% - akcent 6 2 14 3" xfId="4697" xr:uid="{00000000-0005-0000-0000-000044120000}"/>
    <cellStyle name="40% - akcent 6 2 14 4" xfId="4698" xr:uid="{00000000-0005-0000-0000-000045120000}"/>
    <cellStyle name="40% - akcent 6 2 14 5" xfId="4699" xr:uid="{00000000-0005-0000-0000-000046120000}"/>
    <cellStyle name="40% - akcent 6 2 14 6" xfId="4700" xr:uid="{00000000-0005-0000-0000-000047120000}"/>
    <cellStyle name="40% - akcent 6 2 15" xfId="4701" xr:uid="{00000000-0005-0000-0000-000048120000}"/>
    <cellStyle name="40% - akcent 6 2 15 2" xfId="4702" xr:uid="{00000000-0005-0000-0000-000049120000}"/>
    <cellStyle name="40% - akcent 6 2 15 3" xfId="4703" xr:uid="{00000000-0005-0000-0000-00004A120000}"/>
    <cellStyle name="40% - akcent 6 2 15 4" xfId="4704" xr:uid="{00000000-0005-0000-0000-00004B120000}"/>
    <cellStyle name="40% - akcent 6 2 15 5" xfId="4705" xr:uid="{00000000-0005-0000-0000-00004C120000}"/>
    <cellStyle name="40% - akcent 6 2 15 6" xfId="4706" xr:uid="{00000000-0005-0000-0000-00004D120000}"/>
    <cellStyle name="40% - akcent 6 2 16" xfId="4707" xr:uid="{00000000-0005-0000-0000-00004E120000}"/>
    <cellStyle name="40% - akcent 6 2 16 2" xfId="4708" xr:uid="{00000000-0005-0000-0000-00004F120000}"/>
    <cellStyle name="40% - akcent 6 2 16 3" xfId="4709" xr:uid="{00000000-0005-0000-0000-000050120000}"/>
    <cellStyle name="40% - akcent 6 2 16 4" xfId="4710" xr:uid="{00000000-0005-0000-0000-000051120000}"/>
    <cellStyle name="40% - akcent 6 2 16 5" xfId="4711" xr:uid="{00000000-0005-0000-0000-000052120000}"/>
    <cellStyle name="40% - akcent 6 2 16 6" xfId="4712" xr:uid="{00000000-0005-0000-0000-000053120000}"/>
    <cellStyle name="40% - akcent 6 2 17" xfId="4713" xr:uid="{00000000-0005-0000-0000-000054120000}"/>
    <cellStyle name="40% - akcent 6 2 17 2" xfId="4714" xr:uid="{00000000-0005-0000-0000-000055120000}"/>
    <cellStyle name="40% - akcent 6 2 17 3" xfId="4715" xr:uid="{00000000-0005-0000-0000-000056120000}"/>
    <cellStyle name="40% - akcent 6 2 17 4" xfId="4716" xr:uid="{00000000-0005-0000-0000-000057120000}"/>
    <cellStyle name="40% - akcent 6 2 17 5" xfId="4717" xr:uid="{00000000-0005-0000-0000-000058120000}"/>
    <cellStyle name="40% - akcent 6 2 17 6" xfId="4718" xr:uid="{00000000-0005-0000-0000-000059120000}"/>
    <cellStyle name="40% - akcent 6 2 18" xfId="4719" xr:uid="{00000000-0005-0000-0000-00005A120000}"/>
    <cellStyle name="40% - akcent 6 2 18 2" xfId="4720" xr:uid="{00000000-0005-0000-0000-00005B120000}"/>
    <cellStyle name="40% - akcent 6 2 18 3" xfId="4721" xr:uid="{00000000-0005-0000-0000-00005C120000}"/>
    <cellStyle name="40% - akcent 6 2 18 4" xfId="4722" xr:uid="{00000000-0005-0000-0000-00005D120000}"/>
    <cellStyle name="40% - akcent 6 2 18 5" xfId="4723" xr:uid="{00000000-0005-0000-0000-00005E120000}"/>
    <cellStyle name="40% - akcent 6 2 18 6" xfId="4724" xr:uid="{00000000-0005-0000-0000-00005F120000}"/>
    <cellStyle name="40% - akcent 6 2 19" xfId="4725" xr:uid="{00000000-0005-0000-0000-000060120000}"/>
    <cellStyle name="40% - akcent 6 2 19 2" xfId="4726" xr:uid="{00000000-0005-0000-0000-000061120000}"/>
    <cellStyle name="40% - akcent 6 2 19 3" xfId="4727" xr:uid="{00000000-0005-0000-0000-000062120000}"/>
    <cellStyle name="40% - akcent 6 2 19 4" xfId="4728" xr:uid="{00000000-0005-0000-0000-000063120000}"/>
    <cellStyle name="40% - akcent 6 2 19 5" xfId="4729" xr:uid="{00000000-0005-0000-0000-000064120000}"/>
    <cellStyle name="40% - akcent 6 2 19 6" xfId="4730" xr:uid="{00000000-0005-0000-0000-000065120000}"/>
    <cellStyle name="40% - akcent 6 2 2" xfId="4731" xr:uid="{00000000-0005-0000-0000-000066120000}"/>
    <cellStyle name="40% - akcent 6 2 2 2" xfId="4732" xr:uid="{00000000-0005-0000-0000-000067120000}"/>
    <cellStyle name="40% - akcent 6 2 2 3" xfId="4733" xr:uid="{00000000-0005-0000-0000-000068120000}"/>
    <cellStyle name="40% - akcent 6 2 2 4" xfId="4734" xr:uid="{00000000-0005-0000-0000-000069120000}"/>
    <cellStyle name="40% - akcent 6 2 2 5" xfId="4735" xr:uid="{00000000-0005-0000-0000-00006A120000}"/>
    <cellStyle name="40% - akcent 6 2 2 6" xfId="4736" xr:uid="{00000000-0005-0000-0000-00006B120000}"/>
    <cellStyle name="40% - akcent 6 2 2 7" xfId="4737" xr:uid="{00000000-0005-0000-0000-00006C120000}"/>
    <cellStyle name="40% - akcent 6 2 20" xfId="4738" xr:uid="{00000000-0005-0000-0000-00006D120000}"/>
    <cellStyle name="40% - akcent 6 2 20 2" xfId="4739" xr:uid="{00000000-0005-0000-0000-00006E120000}"/>
    <cellStyle name="40% - akcent 6 2 20 3" xfId="4740" xr:uid="{00000000-0005-0000-0000-00006F120000}"/>
    <cellStyle name="40% - akcent 6 2 20 4" xfId="4741" xr:uid="{00000000-0005-0000-0000-000070120000}"/>
    <cellStyle name="40% - akcent 6 2 20 5" xfId="4742" xr:uid="{00000000-0005-0000-0000-000071120000}"/>
    <cellStyle name="40% - akcent 6 2 20 6" xfId="4743" xr:uid="{00000000-0005-0000-0000-000072120000}"/>
    <cellStyle name="40% - akcent 6 2 21" xfId="4744" xr:uid="{00000000-0005-0000-0000-000073120000}"/>
    <cellStyle name="40% - akcent 6 2 21 2" xfId="4745" xr:uid="{00000000-0005-0000-0000-000074120000}"/>
    <cellStyle name="40% - akcent 6 2 21 3" xfId="4746" xr:uid="{00000000-0005-0000-0000-000075120000}"/>
    <cellStyle name="40% - akcent 6 2 21 4" xfId="4747" xr:uid="{00000000-0005-0000-0000-000076120000}"/>
    <cellStyle name="40% - akcent 6 2 21 5" xfId="4748" xr:uid="{00000000-0005-0000-0000-000077120000}"/>
    <cellStyle name="40% - akcent 6 2 21 6" xfId="4749" xr:uid="{00000000-0005-0000-0000-000078120000}"/>
    <cellStyle name="40% - akcent 6 2 22" xfId="4750" xr:uid="{00000000-0005-0000-0000-000079120000}"/>
    <cellStyle name="40% - akcent 6 2 22 2" xfId="4751" xr:uid="{00000000-0005-0000-0000-00007A120000}"/>
    <cellStyle name="40% - akcent 6 2 22 3" xfId="4752" xr:uid="{00000000-0005-0000-0000-00007B120000}"/>
    <cellStyle name="40% - akcent 6 2 22 4" xfId="4753" xr:uid="{00000000-0005-0000-0000-00007C120000}"/>
    <cellStyle name="40% - akcent 6 2 22 5" xfId="4754" xr:uid="{00000000-0005-0000-0000-00007D120000}"/>
    <cellStyle name="40% - akcent 6 2 22 6" xfId="4755" xr:uid="{00000000-0005-0000-0000-00007E120000}"/>
    <cellStyle name="40% - akcent 6 2 23" xfId="4756" xr:uid="{00000000-0005-0000-0000-00007F120000}"/>
    <cellStyle name="40% - akcent 6 2 23 2" xfId="4757" xr:uid="{00000000-0005-0000-0000-000080120000}"/>
    <cellStyle name="40% - akcent 6 2 23 3" xfId="4758" xr:uid="{00000000-0005-0000-0000-000081120000}"/>
    <cellStyle name="40% - akcent 6 2 23 4" xfId="4759" xr:uid="{00000000-0005-0000-0000-000082120000}"/>
    <cellStyle name="40% - akcent 6 2 23 5" xfId="4760" xr:uid="{00000000-0005-0000-0000-000083120000}"/>
    <cellStyle name="40% - akcent 6 2 23 6" xfId="4761" xr:uid="{00000000-0005-0000-0000-000084120000}"/>
    <cellStyle name="40% - akcent 6 2 24" xfId="4762" xr:uid="{00000000-0005-0000-0000-000085120000}"/>
    <cellStyle name="40% - akcent 6 2 24 2" xfId="4763" xr:uid="{00000000-0005-0000-0000-000086120000}"/>
    <cellStyle name="40% - akcent 6 2 24 3" xfId="4764" xr:uid="{00000000-0005-0000-0000-000087120000}"/>
    <cellStyle name="40% - akcent 6 2 24 4" xfId="4765" xr:uid="{00000000-0005-0000-0000-000088120000}"/>
    <cellStyle name="40% - akcent 6 2 24 5" xfId="4766" xr:uid="{00000000-0005-0000-0000-000089120000}"/>
    <cellStyle name="40% - akcent 6 2 24 6" xfId="4767" xr:uid="{00000000-0005-0000-0000-00008A120000}"/>
    <cellStyle name="40% - akcent 6 2 25" xfId="4768" xr:uid="{00000000-0005-0000-0000-00008B120000}"/>
    <cellStyle name="40% - akcent 6 2 25 2" xfId="4769" xr:uid="{00000000-0005-0000-0000-00008C120000}"/>
    <cellStyle name="40% - akcent 6 2 25 3" xfId="4770" xr:uid="{00000000-0005-0000-0000-00008D120000}"/>
    <cellStyle name="40% - akcent 6 2 25 4" xfId="4771" xr:uid="{00000000-0005-0000-0000-00008E120000}"/>
    <cellStyle name="40% - akcent 6 2 25 5" xfId="4772" xr:uid="{00000000-0005-0000-0000-00008F120000}"/>
    <cellStyle name="40% - akcent 6 2 25 6" xfId="4773" xr:uid="{00000000-0005-0000-0000-000090120000}"/>
    <cellStyle name="40% - akcent 6 2 26" xfId="4774" xr:uid="{00000000-0005-0000-0000-000091120000}"/>
    <cellStyle name="40% - akcent 6 2 26 2" xfId="4775" xr:uid="{00000000-0005-0000-0000-000092120000}"/>
    <cellStyle name="40% - akcent 6 2 26 3" xfId="4776" xr:uid="{00000000-0005-0000-0000-000093120000}"/>
    <cellStyle name="40% - akcent 6 2 26 4" xfId="4777" xr:uid="{00000000-0005-0000-0000-000094120000}"/>
    <cellStyle name="40% - akcent 6 2 26 5" xfId="4778" xr:uid="{00000000-0005-0000-0000-000095120000}"/>
    <cellStyle name="40% - akcent 6 2 26 6" xfId="4779" xr:uid="{00000000-0005-0000-0000-000096120000}"/>
    <cellStyle name="40% - akcent 6 2 27" xfId="4780" xr:uid="{00000000-0005-0000-0000-000097120000}"/>
    <cellStyle name="40% - akcent 6 2 27 2" xfId="4781" xr:uid="{00000000-0005-0000-0000-000098120000}"/>
    <cellStyle name="40% - akcent 6 2 27 3" xfId="4782" xr:uid="{00000000-0005-0000-0000-000099120000}"/>
    <cellStyle name="40% - akcent 6 2 27 4" xfId="4783" xr:uid="{00000000-0005-0000-0000-00009A120000}"/>
    <cellStyle name="40% - akcent 6 2 27 5" xfId="4784" xr:uid="{00000000-0005-0000-0000-00009B120000}"/>
    <cellStyle name="40% - akcent 6 2 27 6" xfId="4785" xr:uid="{00000000-0005-0000-0000-00009C120000}"/>
    <cellStyle name="40% - akcent 6 2 28" xfId="4786" xr:uid="{00000000-0005-0000-0000-00009D120000}"/>
    <cellStyle name="40% - akcent 6 2 28 2" xfId="4787" xr:uid="{00000000-0005-0000-0000-00009E120000}"/>
    <cellStyle name="40% - akcent 6 2 28 3" xfId="4788" xr:uid="{00000000-0005-0000-0000-00009F120000}"/>
    <cellStyle name="40% - akcent 6 2 28 4" xfId="4789" xr:uid="{00000000-0005-0000-0000-0000A0120000}"/>
    <cellStyle name="40% - akcent 6 2 28 5" xfId="4790" xr:uid="{00000000-0005-0000-0000-0000A1120000}"/>
    <cellStyle name="40% - akcent 6 2 28 6" xfId="4791" xr:uid="{00000000-0005-0000-0000-0000A2120000}"/>
    <cellStyle name="40% - akcent 6 2 29" xfId="4792" xr:uid="{00000000-0005-0000-0000-0000A3120000}"/>
    <cellStyle name="40% - akcent 6 2 29 2" xfId="4793" xr:uid="{00000000-0005-0000-0000-0000A4120000}"/>
    <cellStyle name="40% - akcent 6 2 3" xfId="4794" xr:uid="{00000000-0005-0000-0000-0000A5120000}"/>
    <cellStyle name="40% - akcent 6 2 3 2" xfId="4795" xr:uid="{00000000-0005-0000-0000-0000A6120000}"/>
    <cellStyle name="40% - akcent 6 2 3 3" xfId="4796" xr:uid="{00000000-0005-0000-0000-0000A7120000}"/>
    <cellStyle name="40% - akcent 6 2 3 4" xfId="4797" xr:uid="{00000000-0005-0000-0000-0000A8120000}"/>
    <cellStyle name="40% - akcent 6 2 3 5" xfId="4798" xr:uid="{00000000-0005-0000-0000-0000A9120000}"/>
    <cellStyle name="40% - akcent 6 2 3 6" xfId="4799" xr:uid="{00000000-0005-0000-0000-0000AA120000}"/>
    <cellStyle name="40% - akcent 6 2 3 7" xfId="4800" xr:uid="{00000000-0005-0000-0000-0000AB120000}"/>
    <cellStyle name="40% - akcent 6 2 30" xfId="4801" xr:uid="{00000000-0005-0000-0000-0000AC120000}"/>
    <cellStyle name="40% - akcent 6 2 30 2" xfId="4802" xr:uid="{00000000-0005-0000-0000-0000AD120000}"/>
    <cellStyle name="40% - akcent 6 2 31" xfId="4803" xr:uid="{00000000-0005-0000-0000-0000AE120000}"/>
    <cellStyle name="40% - akcent 6 2 31 2" xfId="4804" xr:uid="{00000000-0005-0000-0000-0000AF120000}"/>
    <cellStyle name="40% - akcent 6 2 32" xfId="4805" xr:uid="{00000000-0005-0000-0000-0000B0120000}"/>
    <cellStyle name="40% - akcent 6 2 32 2" xfId="4806" xr:uid="{00000000-0005-0000-0000-0000B1120000}"/>
    <cellStyle name="40% - akcent 6 2 33" xfId="4807" xr:uid="{00000000-0005-0000-0000-0000B2120000}"/>
    <cellStyle name="40% - akcent 6 2 34" xfId="4808" xr:uid="{00000000-0005-0000-0000-0000B3120000}"/>
    <cellStyle name="40% - akcent 6 2 35" xfId="4809" xr:uid="{00000000-0005-0000-0000-0000B4120000}"/>
    <cellStyle name="40% - akcent 6 2 36" xfId="4810" xr:uid="{00000000-0005-0000-0000-0000B5120000}"/>
    <cellStyle name="40% - akcent 6 2 37" xfId="4811" xr:uid="{00000000-0005-0000-0000-0000B6120000}"/>
    <cellStyle name="40% - akcent 6 2 38" xfId="4812" xr:uid="{00000000-0005-0000-0000-0000B7120000}"/>
    <cellStyle name="40% - akcent 6 2 39" xfId="4813" xr:uid="{00000000-0005-0000-0000-0000B8120000}"/>
    <cellStyle name="40% - akcent 6 2 4" xfId="4814" xr:uid="{00000000-0005-0000-0000-0000B9120000}"/>
    <cellStyle name="40% - akcent 6 2 4 2" xfId="4815" xr:uid="{00000000-0005-0000-0000-0000BA120000}"/>
    <cellStyle name="40% - akcent 6 2 4 3" xfId="4816" xr:uid="{00000000-0005-0000-0000-0000BB120000}"/>
    <cellStyle name="40% - akcent 6 2 4 4" xfId="4817" xr:uid="{00000000-0005-0000-0000-0000BC120000}"/>
    <cellStyle name="40% - akcent 6 2 4 5" xfId="4818" xr:uid="{00000000-0005-0000-0000-0000BD120000}"/>
    <cellStyle name="40% - akcent 6 2 4 6" xfId="4819" xr:uid="{00000000-0005-0000-0000-0000BE120000}"/>
    <cellStyle name="40% - akcent 6 2 4 7" xfId="4820" xr:uid="{00000000-0005-0000-0000-0000BF120000}"/>
    <cellStyle name="40% - akcent 6 2 40" xfId="4821" xr:uid="{00000000-0005-0000-0000-0000C0120000}"/>
    <cellStyle name="40% - akcent 6 2 41" xfId="4822" xr:uid="{00000000-0005-0000-0000-0000C1120000}"/>
    <cellStyle name="40% - akcent 6 2 42" xfId="4823" xr:uid="{00000000-0005-0000-0000-0000C2120000}"/>
    <cellStyle name="40% - akcent 6 2 43" xfId="4824" xr:uid="{00000000-0005-0000-0000-0000C3120000}"/>
    <cellStyle name="40% - akcent 6 2 44" xfId="4825" xr:uid="{00000000-0005-0000-0000-0000C4120000}"/>
    <cellStyle name="40% - akcent 6 2 45" xfId="4826" xr:uid="{00000000-0005-0000-0000-0000C5120000}"/>
    <cellStyle name="40% - akcent 6 2 46" xfId="4827" xr:uid="{00000000-0005-0000-0000-0000C6120000}"/>
    <cellStyle name="40% - akcent 6 2 47" xfId="4828" xr:uid="{00000000-0005-0000-0000-0000C7120000}"/>
    <cellStyle name="40% - akcent 6 2 48" xfId="4829" xr:uid="{00000000-0005-0000-0000-0000C8120000}"/>
    <cellStyle name="40% - akcent 6 2 49" xfId="4830" xr:uid="{00000000-0005-0000-0000-0000C9120000}"/>
    <cellStyle name="40% - akcent 6 2 5" xfId="4831" xr:uid="{00000000-0005-0000-0000-0000CA120000}"/>
    <cellStyle name="40% - akcent 6 2 5 2" xfId="4832" xr:uid="{00000000-0005-0000-0000-0000CB120000}"/>
    <cellStyle name="40% - akcent 6 2 5 3" xfId="4833" xr:uid="{00000000-0005-0000-0000-0000CC120000}"/>
    <cellStyle name="40% - akcent 6 2 5 4" xfId="4834" xr:uid="{00000000-0005-0000-0000-0000CD120000}"/>
    <cellStyle name="40% - akcent 6 2 5 5" xfId="4835" xr:uid="{00000000-0005-0000-0000-0000CE120000}"/>
    <cellStyle name="40% - akcent 6 2 5 6" xfId="4836" xr:uid="{00000000-0005-0000-0000-0000CF120000}"/>
    <cellStyle name="40% - akcent 6 2 50" xfId="4837" xr:uid="{00000000-0005-0000-0000-0000D0120000}"/>
    <cellStyle name="40% - akcent 6 2 51" xfId="4838" xr:uid="{00000000-0005-0000-0000-0000D1120000}"/>
    <cellStyle name="40% - akcent 6 2 6" xfId="4839" xr:uid="{00000000-0005-0000-0000-0000D2120000}"/>
    <cellStyle name="40% - akcent 6 2 6 2" xfId="4840" xr:uid="{00000000-0005-0000-0000-0000D3120000}"/>
    <cellStyle name="40% - akcent 6 2 6 3" xfId="4841" xr:uid="{00000000-0005-0000-0000-0000D4120000}"/>
    <cellStyle name="40% - akcent 6 2 6 4" xfId="4842" xr:uid="{00000000-0005-0000-0000-0000D5120000}"/>
    <cellStyle name="40% - akcent 6 2 6 5" xfId="4843" xr:uid="{00000000-0005-0000-0000-0000D6120000}"/>
    <cellStyle name="40% - akcent 6 2 6 6" xfId="4844" xr:uid="{00000000-0005-0000-0000-0000D7120000}"/>
    <cellStyle name="40% - akcent 6 2 7" xfId="4845" xr:uid="{00000000-0005-0000-0000-0000D8120000}"/>
    <cellStyle name="40% - akcent 6 2 7 2" xfId="4846" xr:uid="{00000000-0005-0000-0000-0000D9120000}"/>
    <cellStyle name="40% - akcent 6 2 7 3" xfId="4847" xr:uid="{00000000-0005-0000-0000-0000DA120000}"/>
    <cellStyle name="40% - akcent 6 2 7 4" xfId="4848" xr:uid="{00000000-0005-0000-0000-0000DB120000}"/>
    <cellStyle name="40% - akcent 6 2 7 5" xfId="4849" xr:uid="{00000000-0005-0000-0000-0000DC120000}"/>
    <cellStyle name="40% - akcent 6 2 7 6" xfId="4850" xr:uid="{00000000-0005-0000-0000-0000DD120000}"/>
    <cellStyle name="40% - akcent 6 2 8" xfId="4851" xr:uid="{00000000-0005-0000-0000-0000DE120000}"/>
    <cellStyle name="40% - akcent 6 2 8 2" xfId="4852" xr:uid="{00000000-0005-0000-0000-0000DF120000}"/>
    <cellStyle name="40% - akcent 6 2 8 3" xfId="4853" xr:uid="{00000000-0005-0000-0000-0000E0120000}"/>
    <cellStyle name="40% - akcent 6 2 8 4" xfId="4854" xr:uid="{00000000-0005-0000-0000-0000E1120000}"/>
    <cellStyle name="40% - akcent 6 2 8 5" xfId="4855" xr:uid="{00000000-0005-0000-0000-0000E2120000}"/>
    <cellStyle name="40% - akcent 6 2 8 6" xfId="4856" xr:uid="{00000000-0005-0000-0000-0000E3120000}"/>
    <cellStyle name="40% - akcent 6 2 9" xfId="4857" xr:uid="{00000000-0005-0000-0000-0000E4120000}"/>
    <cellStyle name="40% - akcent 6 2 9 2" xfId="4858" xr:uid="{00000000-0005-0000-0000-0000E5120000}"/>
    <cellStyle name="40% - akcent 6 2 9 3" xfId="4859" xr:uid="{00000000-0005-0000-0000-0000E6120000}"/>
    <cellStyle name="40% - akcent 6 2 9 4" xfId="4860" xr:uid="{00000000-0005-0000-0000-0000E7120000}"/>
    <cellStyle name="40% - akcent 6 2 9 5" xfId="4861" xr:uid="{00000000-0005-0000-0000-0000E8120000}"/>
    <cellStyle name="40% - akcent 6 2 9 6" xfId="4862" xr:uid="{00000000-0005-0000-0000-0000E9120000}"/>
    <cellStyle name="40% - akcent 6 20" xfId="4863" xr:uid="{00000000-0005-0000-0000-0000EA120000}"/>
    <cellStyle name="40% - akcent 6 21" xfId="4864" xr:uid="{00000000-0005-0000-0000-0000EB120000}"/>
    <cellStyle name="40% - akcent 6 22" xfId="4865" xr:uid="{00000000-0005-0000-0000-0000EC120000}"/>
    <cellStyle name="40% - akcent 6 23" xfId="4866" xr:uid="{00000000-0005-0000-0000-0000ED120000}"/>
    <cellStyle name="40% - akcent 6 24" xfId="4867" xr:uid="{00000000-0005-0000-0000-0000EE120000}"/>
    <cellStyle name="40% - akcent 6 25" xfId="4868" xr:uid="{00000000-0005-0000-0000-0000EF120000}"/>
    <cellStyle name="40% - akcent 6 26" xfId="4869" xr:uid="{00000000-0005-0000-0000-0000F0120000}"/>
    <cellStyle name="40% - akcent 6 27" xfId="4870" xr:uid="{00000000-0005-0000-0000-0000F1120000}"/>
    <cellStyle name="40% - akcent 6 28" xfId="4871" xr:uid="{00000000-0005-0000-0000-0000F2120000}"/>
    <cellStyle name="40% - akcent 6 29" xfId="4872" xr:uid="{00000000-0005-0000-0000-0000F3120000}"/>
    <cellStyle name="40% - akcent 6 3" xfId="4873" xr:uid="{00000000-0005-0000-0000-0000F4120000}"/>
    <cellStyle name="40% - akcent 6 3 2" xfId="4874" xr:uid="{00000000-0005-0000-0000-0000F5120000}"/>
    <cellStyle name="40% - akcent 6 3 2 2" xfId="4875" xr:uid="{00000000-0005-0000-0000-0000F6120000}"/>
    <cellStyle name="40% - akcent 6 3 3" xfId="4876" xr:uid="{00000000-0005-0000-0000-0000F7120000}"/>
    <cellStyle name="40% - akcent 6 3 3 2" xfId="4877" xr:uid="{00000000-0005-0000-0000-0000F8120000}"/>
    <cellStyle name="40% - akcent 6 3 4" xfId="4878" xr:uid="{00000000-0005-0000-0000-0000F9120000}"/>
    <cellStyle name="40% - akcent 6 3 4 2" xfId="4879" xr:uid="{00000000-0005-0000-0000-0000FA120000}"/>
    <cellStyle name="40% - akcent 6 3 5" xfId="4880" xr:uid="{00000000-0005-0000-0000-0000FB120000}"/>
    <cellStyle name="40% - akcent 6 3 6" xfId="4881" xr:uid="{00000000-0005-0000-0000-0000FC120000}"/>
    <cellStyle name="40% - akcent 6 3 7" xfId="4882" xr:uid="{00000000-0005-0000-0000-0000FD120000}"/>
    <cellStyle name="40% - akcent 6 3 8" xfId="4883" xr:uid="{00000000-0005-0000-0000-0000FE120000}"/>
    <cellStyle name="40% - akcent 6 30" xfId="4884" xr:uid="{00000000-0005-0000-0000-0000FF120000}"/>
    <cellStyle name="40% - akcent 6 30 2" xfId="4885" xr:uid="{00000000-0005-0000-0000-000000130000}"/>
    <cellStyle name="40% - akcent 6 31" xfId="4886" xr:uid="{00000000-0005-0000-0000-000001130000}"/>
    <cellStyle name="40% - akcent 6 31 2" xfId="4887" xr:uid="{00000000-0005-0000-0000-000002130000}"/>
    <cellStyle name="40% - akcent 6 32" xfId="4888" xr:uid="{00000000-0005-0000-0000-000003130000}"/>
    <cellStyle name="40% - akcent 6 32 2" xfId="4889" xr:uid="{00000000-0005-0000-0000-000004130000}"/>
    <cellStyle name="40% - akcent 6 33" xfId="4890" xr:uid="{00000000-0005-0000-0000-000005130000}"/>
    <cellStyle name="40% - akcent 6 33 2" xfId="4891" xr:uid="{00000000-0005-0000-0000-000006130000}"/>
    <cellStyle name="40% - akcent 6 34" xfId="4892" xr:uid="{00000000-0005-0000-0000-000007130000}"/>
    <cellStyle name="40% - akcent 6 34 2" xfId="4893" xr:uid="{00000000-0005-0000-0000-000008130000}"/>
    <cellStyle name="40% - akcent 6 35" xfId="4894" xr:uid="{00000000-0005-0000-0000-000009130000}"/>
    <cellStyle name="40% - akcent 6 35 2" xfId="4895" xr:uid="{00000000-0005-0000-0000-00000A130000}"/>
    <cellStyle name="40% - akcent 6 36" xfId="4896" xr:uid="{00000000-0005-0000-0000-00000B130000}"/>
    <cellStyle name="40% - akcent 6 36 2" xfId="4897" xr:uid="{00000000-0005-0000-0000-00000C130000}"/>
    <cellStyle name="40% - akcent 6 37" xfId="4898" xr:uid="{00000000-0005-0000-0000-00000D130000}"/>
    <cellStyle name="40% - akcent 6 37 2" xfId="4899" xr:uid="{00000000-0005-0000-0000-00000E130000}"/>
    <cellStyle name="40% - akcent 6 38" xfId="4900" xr:uid="{00000000-0005-0000-0000-00000F130000}"/>
    <cellStyle name="40% - akcent 6 38 2" xfId="4901" xr:uid="{00000000-0005-0000-0000-000010130000}"/>
    <cellStyle name="40% - akcent 6 39" xfId="4902" xr:uid="{00000000-0005-0000-0000-000011130000}"/>
    <cellStyle name="40% - akcent 6 39 2" xfId="4903" xr:uid="{00000000-0005-0000-0000-000012130000}"/>
    <cellStyle name="40% - akcent 6 4" xfId="4904" xr:uid="{00000000-0005-0000-0000-000013130000}"/>
    <cellStyle name="40% - akcent 6 4 2" xfId="4905" xr:uid="{00000000-0005-0000-0000-000014130000}"/>
    <cellStyle name="40% - akcent 6 4 2 2" xfId="4906" xr:uid="{00000000-0005-0000-0000-000015130000}"/>
    <cellStyle name="40% - akcent 6 4 3" xfId="4907" xr:uid="{00000000-0005-0000-0000-000016130000}"/>
    <cellStyle name="40% - akcent 6 4 3 2" xfId="4908" xr:uid="{00000000-0005-0000-0000-000017130000}"/>
    <cellStyle name="40% - akcent 6 4 4" xfId="4909" xr:uid="{00000000-0005-0000-0000-000018130000}"/>
    <cellStyle name="40% - akcent 6 4 4 2" xfId="4910" xr:uid="{00000000-0005-0000-0000-000019130000}"/>
    <cellStyle name="40% - akcent 6 4 5" xfId="4911" xr:uid="{00000000-0005-0000-0000-00001A130000}"/>
    <cellStyle name="40% - akcent 6 4 6" xfId="4912" xr:uid="{00000000-0005-0000-0000-00001B130000}"/>
    <cellStyle name="40% - akcent 6 4 7" xfId="4913" xr:uid="{00000000-0005-0000-0000-00001C130000}"/>
    <cellStyle name="40% - akcent 6 4 8" xfId="4914" xr:uid="{00000000-0005-0000-0000-00001D130000}"/>
    <cellStyle name="40% - akcent 6 40" xfId="4915" xr:uid="{00000000-0005-0000-0000-00001E130000}"/>
    <cellStyle name="40% - akcent 6 40 2" xfId="4916" xr:uid="{00000000-0005-0000-0000-00001F130000}"/>
    <cellStyle name="40% - akcent 6 41" xfId="4917" xr:uid="{00000000-0005-0000-0000-000020130000}"/>
    <cellStyle name="40% - akcent 6 41 2" xfId="4918" xr:uid="{00000000-0005-0000-0000-000021130000}"/>
    <cellStyle name="40% - akcent 6 42" xfId="4919" xr:uid="{00000000-0005-0000-0000-000022130000}"/>
    <cellStyle name="40% - akcent 6 42 2" xfId="4920" xr:uid="{00000000-0005-0000-0000-000023130000}"/>
    <cellStyle name="40% - akcent 6 43" xfId="4921" xr:uid="{00000000-0005-0000-0000-000024130000}"/>
    <cellStyle name="40% - akcent 6 43 2" xfId="4922" xr:uid="{00000000-0005-0000-0000-000025130000}"/>
    <cellStyle name="40% - akcent 6 44" xfId="4923" xr:uid="{00000000-0005-0000-0000-000026130000}"/>
    <cellStyle name="40% - akcent 6 44 2" xfId="4924" xr:uid="{00000000-0005-0000-0000-000027130000}"/>
    <cellStyle name="40% - akcent 6 45" xfId="4925" xr:uid="{00000000-0005-0000-0000-000028130000}"/>
    <cellStyle name="40% - akcent 6 45 2" xfId="4926" xr:uid="{00000000-0005-0000-0000-000029130000}"/>
    <cellStyle name="40% - akcent 6 46" xfId="4927" xr:uid="{00000000-0005-0000-0000-00002A130000}"/>
    <cellStyle name="40% - akcent 6 46 2" xfId="4928" xr:uid="{00000000-0005-0000-0000-00002B130000}"/>
    <cellStyle name="40% - akcent 6 47" xfId="4929" xr:uid="{00000000-0005-0000-0000-00002C130000}"/>
    <cellStyle name="40% - akcent 6 47 2" xfId="4930" xr:uid="{00000000-0005-0000-0000-00002D130000}"/>
    <cellStyle name="40% - akcent 6 48" xfId="4931" xr:uid="{00000000-0005-0000-0000-00002E130000}"/>
    <cellStyle name="40% - akcent 6 48 2" xfId="4932" xr:uid="{00000000-0005-0000-0000-00002F130000}"/>
    <cellStyle name="40% - akcent 6 49" xfId="4933" xr:uid="{00000000-0005-0000-0000-000030130000}"/>
    <cellStyle name="40% - akcent 6 49 2" xfId="4934" xr:uid="{00000000-0005-0000-0000-000031130000}"/>
    <cellStyle name="40% - akcent 6 5" xfId="4935" xr:uid="{00000000-0005-0000-0000-000032130000}"/>
    <cellStyle name="40% - akcent 6 5 2" xfId="4936" xr:uid="{00000000-0005-0000-0000-000033130000}"/>
    <cellStyle name="40% - akcent 6 5 3" xfId="4937" xr:uid="{00000000-0005-0000-0000-000034130000}"/>
    <cellStyle name="40% - akcent 6 50" xfId="4938" xr:uid="{00000000-0005-0000-0000-000035130000}"/>
    <cellStyle name="40% - akcent 6 50 2" xfId="4939" xr:uid="{00000000-0005-0000-0000-000036130000}"/>
    <cellStyle name="40% - akcent 6 51" xfId="4940" xr:uid="{00000000-0005-0000-0000-000037130000}"/>
    <cellStyle name="40% - akcent 6 51 2" xfId="4941" xr:uid="{00000000-0005-0000-0000-000038130000}"/>
    <cellStyle name="40% - akcent 6 52" xfId="4942" xr:uid="{00000000-0005-0000-0000-000039130000}"/>
    <cellStyle name="40% - akcent 6 52 2" xfId="4943" xr:uid="{00000000-0005-0000-0000-00003A130000}"/>
    <cellStyle name="40% - akcent 6 53" xfId="4944" xr:uid="{00000000-0005-0000-0000-00003B130000}"/>
    <cellStyle name="40% - akcent 6 53 2" xfId="4945" xr:uid="{00000000-0005-0000-0000-00003C130000}"/>
    <cellStyle name="40% - akcent 6 54" xfId="4946" xr:uid="{00000000-0005-0000-0000-00003D130000}"/>
    <cellStyle name="40% - akcent 6 54 2" xfId="4947" xr:uid="{00000000-0005-0000-0000-00003E130000}"/>
    <cellStyle name="40% - akcent 6 55" xfId="4948" xr:uid="{00000000-0005-0000-0000-00003F130000}"/>
    <cellStyle name="40% - akcent 6 55 2" xfId="4949" xr:uid="{00000000-0005-0000-0000-000040130000}"/>
    <cellStyle name="40% - akcent 6 56" xfId="4950" xr:uid="{00000000-0005-0000-0000-000041130000}"/>
    <cellStyle name="40% - akcent 6 56 2" xfId="4951" xr:uid="{00000000-0005-0000-0000-000042130000}"/>
    <cellStyle name="40% - akcent 6 57" xfId="4952" xr:uid="{00000000-0005-0000-0000-000043130000}"/>
    <cellStyle name="40% - akcent 6 57 2" xfId="4953" xr:uid="{00000000-0005-0000-0000-000044130000}"/>
    <cellStyle name="40% - akcent 6 58" xfId="4954" xr:uid="{00000000-0005-0000-0000-000045130000}"/>
    <cellStyle name="40% - akcent 6 58 2" xfId="4955" xr:uid="{00000000-0005-0000-0000-000046130000}"/>
    <cellStyle name="40% - akcent 6 59" xfId="4956" xr:uid="{00000000-0005-0000-0000-000047130000}"/>
    <cellStyle name="40% - akcent 6 59 2" xfId="4957" xr:uid="{00000000-0005-0000-0000-000048130000}"/>
    <cellStyle name="40% - akcent 6 6" xfId="4958" xr:uid="{00000000-0005-0000-0000-000049130000}"/>
    <cellStyle name="40% - akcent 6 60" xfId="4959" xr:uid="{00000000-0005-0000-0000-00004A130000}"/>
    <cellStyle name="40% - akcent 6 60 2" xfId="4960" xr:uid="{00000000-0005-0000-0000-00004B130000}"/>
    <cellStyle name="40% - akcent 6 61" xfId="4961" xr:uid="{00000000-0005-0000-0000-00004C130000}"/>
    <cellStyle name="40% - akcent 6 61 2" xfId="4962" xr:uid="{00000000-0005-0000-0000-00004D130000}"/>
    <cellStyle name="40% - akcent 6 62" xfId="4963" xr:uid="{00000000-0005-0000-0000-00004E130000}"/>
    <cellStyle name="40% - akcent 6 62 2" xfId="4964" xr:uid="{00000000-0005-0000-0000-00004F130000}"/>
    <cellStyle name="40% - akcent 6 63" xfId="4965" xr:uid="{00000000-0005-0000-0000-000050130000}"/>
    <cellStyle name="40% - akcent 6 63 2" xfId="4966" xr:uid="{00000000-0005-0000-0000-000051130000}"/>
    <cellStyle name="40% - akcent 6 64" xfId="4967" xr:uid="{00000000-0005-0000-0000-000052130000}"/>
    <cellStyle name="40% - akcent 6 64 2" xfId="4968" xr:uid="{00000000-0005-0000-0000-000053130000}"/>
    <cellStyle name="40% - akcent 6 65" xfId="4969" xr:uid="{00000000-0005-0000-0000-000054130000}"/>
    <cellStyle name="40% - akcent 6 65 2" xfId="4970" xr:uid="{00000000-0005-0000-0000-000055130000}"/>
    <cellStyle name="40% - akcent 6 66" xfId="4971" xr:uid="{00000000-0005-0000-0000-000056130000}"/>
    <cellStyle name="40% - akcent 6 66 2" xfId="4972" xr:uid="{00000000-0005-0000-0000-000057130000}"/>
    <cellStyle name="40% - akcent 6 67" xfId="4973" xr:uid="{00000000-0005-0000-0000-000058130000}"/>
    <cellStyle name="40% - akcent 6 67 2" xfId="4974" xr:uid="{00000000-0005-0000-0000-000059130000}"/>
    <cellStyle name="40% - akcent 6 68" xfId="4975" xr:uid="{00000000-0005-0000-0000-00005A130000}"/>
    <cellStyle name="40% - akcent 6 68 2" xfId="4976" xr:uid="{00000000-0005-0000-0000-00005B130000}"/>
    <cellStyle name="40% - akcent 6 69" xfId="4977" xr:uid="{00000000-0005-0000-0000-00005C130000}"/>
    <cellStyle name="40% - akcent 6 69 2" xfId="4978" xr:uid="{00000000-0005-0000-0000-00005D130000}"/>
    <cellStyle name="40% - akcent 6 7" xfId="4979" xr:uid="{00000000-0005-0000-0000-00005E130000}"/>
    <cellStyle name="40% - akcent 6 70" xfId="4980" xr:uid="{00000000-0005-0000-0000-00005F130000}"/>
    <cellStyle name="40% - akcent 6 70 2" xfId="4981" xr:uid="{00000000-0005-0000-0000-000060130000}"/>
    <cellStyle name="40% - akcent 6 71" xfId="4982" xr:uid="{00000000-0005-0000-0000-000061130000}"/>
    <cellStyle name="40% - akcent 6 71 2" xfId="4983" xr:uid="{00000000-0005-0000-0000-000062130000}"/>
    <cellStyle name="40% - akcent 6 72" xfId="4984" xr:uid="{00000000-0005-0000-0000-000063130000}"/>
    <cellStyle name="40% - akcent 6 72 2" xfId="4985" xr:uid="{00000000-0005-0000-0000-000064130000}"/>
    <cellStyle name="40% - akcent 6 73" xfId="4986" xr:uid="{00000000-0005-0000-0000-000065130000}"/>
    <cellStyle name="40% - akcent 6 73 2" xfId="4987" xr:uid="{00000000-0005-0000-0000-000066130000}"/>
    <cellStyle name="40% - akcent 6 74" xfId="4988" xr:uid="{00000000-0005-0000-0000-000067130000}"/>
    <cellStyle name="40% - akcent 6 74 2" xfId="4989" xr:uid="{00000000-0005-0000-0000-000068130000}"/>
    <cellStyle name="40% - akcent 6 75" xfId="4990" xr:uid="{00000000-0005-0000-0000-000069130000}"/>
    <cellStyle name="40% - akcent 6 75 2" xfId="4991" xr:uid="{00000000-0005-0000-0000-00006A130000}"/>
    <cellStyle name="40% - akcent 6 76" xfId="4992" xr:uid="{00000000-0005-0000-0000-00006B130000}"/>
    <cellStyle name="40% - akcent 6 76 2" xfId="4993" xr:uid="{00000000-0005-0000-0000-00006C130000}"/>
    <cellStyle name="40% - akcent 6 77" xfId="4994" xr:uid="{00000000-0005-0000-0000-00006D130000}"/>
    <cellStyle name="40% - akcent 6 77 2" xfId="4995" xr:uid="{00000000-0005-0000-0000-00006E130000}"/>
    <cellStyle name="40% - akcent 6 78" xfId="4996" xr:uid="{00000000-0005-0000-0000-00006F130000}"/>
    <cellStyle name="40% - akcent 6 78 2" xfId="4997" xr:uid="{00000000-0005-0000-0000-000070130000}"/>
    <cellStyle name="40% - akcent 6 79" xfId="4998" xr:uid="{00000000-0005-0000-0000-000071130000}"/>
    <cellStyle name="40% - akcent 6 79 2" xfId="4999" xr:uid="{00000000-0005-0000-0000-000072130000}"/>
    <cellStyle name="40% - akcent 6 8" xfId="5000" xr:uid="{00000000-0005-0000-0000-000073130000}"/>
    <cellStyle name="40% - akcent 6 80" xfId="5001" xr:uid="{00000000-0005-0000-0000-000074130000}"/>
    <cellStyle name="40% - akcent 6 80 2" xfId="5002" xr:uid="{00000000-0005-0000-0000-000075130000}"/>
    <cellStyle name="40% - akcent 6 81" xfId="5003" xr:uid="{00000000-0005-0000-0000-000076130000}"/>
    <cellStyle name="40% - akcent 6 81 2" xfId="5004" xr:uid="{00000000-0005-0000-0000-000077130000}"/>
    <cellStyle name="40% - akcent 6 82" xfId="5005" xr:uid="{00000000-0005-0000-0000-000078130000}"/>
    <cellStyle name="40% - akcent 6 82 2" xfId="5006" xr:uid="{00000000-0005-0000-0000-000079130000}"/>
    <cellStyle name="40% - akcent 6 83" xfId="5007" xr:uid="{00000000-0005-0000-0000-00007A130000}"/>
    <cellStyle name="40% - akcent 6 83 2" xfId="5008" xr:uid="{00000000-0005-0000-0000-00007B130000}"/>
    <cellStyle name="40% - akcent 6 84" xfId="5009" xr:uid="{00000000-0005-0000-0000-00007C130000}"/>
    <cellStyle name="40% - akcent 6 84 2" xfId="5010" xr:uid="{00000000-0005-0000-0000-00007D130000}"/>
    <cellStyle name="40% - akcent 6 85" xfId="5011" xr:uid="{00000000-0005-0000-0000-00007E130000}"/>
    <cellStyle name="40% - akcent 6 85 2" xfId="5012" xr:uid="{00000000-0005-0000-0000-00007F130000}"/>
    <cellStyle name="40% - akcent 6 86" xfId="5013" xr:uid="{00000000-0005-0000-0000-000080130000}"/>
    <cellStyle name="40% - akcent 6 86 2" xfId="5014" xr:uid="{00000000-0005-0000-0000-000081130000}"/>
    <cellStyle name="40% - akcent 6 87" xfId="5015" xr:uid="{00000000-0005-0000-0000-000082130000}"/>
    <cellStyle name="40% - akcent 6 87 2" xfId="5016" xr:uid="{00000000-0005-0000-0000-000083130000}"/>
    <cellStyle name="40% - akcent 6 88" xfId="5017" xr:uid="{00000000-0005-0000-0000-000084130000}"/>
    <cellStyle name="40% - akcent 6 88 2" xfId="5018" xr:uid="{00000000-0005-0000-0000-000085130000}"/>
    <cellStyle name="40% - akcent 6 89" xfId="5019" xr:uid="{00000000-0005-0000-0000-000086130000}"/>
    <cellStyle name="40% - akcent 6 89 2" xfId="5020" xr:uid="{00000000-0005-0000-0000-000087130000}"/>
    <cellStyle name="40% - akcent 6 9" xfId="5021" xr:uid="{00000000-0005-0000-0000-000088130000}"/>
    <cellStyle name="40% - akcent 6 90" xfId="5022" xr:uid="{00000000-0005-0000-0000-000089130000}"/>
    <cellStyle name="40% - akcent 6 90 2" xfId="5023" xr:uid="{00000000-0005-0000-0000-00008A130000}"/>
    <cellStyle name="40% - akcent 6 91" xfId="5024" xr:uid="{00000000-0005-0000-0000-00008B130000}"/>
    <cellStyle name="40% - akcent 6 91 2" xfId="5025" xr:uid="{00000000-0005-0000-0000-00008C130000}"/>
    <cellStyle name="40% - akcent 6 92" xfId="5026" xr:uid="{00000000-0005-0000-0000-00008D130000}"/>
    <cellStyle name="40% - akcent 6 92 2" xfId="5027" xr:uid="{00000000-0005-0000-0000-00008E130000}"/>
    <cellStyle name="40% - akcent 6 93" xfId="5028" xr:uid="{00000000-0005-0000-0000-00008F130000}"/>
    <cellStyle name="40% - akcent 6 93 2" xfId="5029" xr:uid="{00000000-0005-0000-0000-000090130000}"/>
    <cellStyle name="40% - akcent 6 94" xfId="5030" xr:uid="{00000000-0005-0000-0000-000091130000}"/>
    <cellStyle name="40% - akcent 6 94 2" xfId="5031" xr:uid="{00000000-0005-0000-0000-000092130000}"/>
    <cellStyle name="40% - akcent 6 95" xfId="5032" xr:uid="{00000000-0005-0000-0000-000093130000}"/>
    <cellStyle name="40% - akcent 6 95 2" xfId="5033" xr:uid="{00000000-0005-0000-0000-000094130000}"/>
    <cellStyle name="40% - akcent 6 96" xfId="5034" xr:uid="{00000000-0005-0000-0000-000095130000}"/>
    <cellStyle name="40% - akcent 6 96 2" xfId="5035" xr:uid="{00000000-0005-0000-0000-000096130000}"/>
    <cellStyle name="40% - akcent 6 97" xfId="5036" xr:uid="{00000000-0005-0000-0000-000097130000}"/>
    <cellStyle name="40% - akcent 6 97 2" xfId="5037" xr:uid="{00000000-0005-0000-0000-000098130000}"/>
    <cellStyle name="40% - akcent 6 98" xfId="5038" xr:uid="{00000000-0005-0000-0000-000099130000}"/>
    <cellStyle name="40% - akcent 6 98 2" xfId="5039" xr:uid="{00000000-0005-0000-0000-00009A130000}"/>
    <cellStyle name="40% - akcent 6 99" xfId="5040" xr:uid="{00000000-0005-0000-0000-00009B130000}"/>
    <cellStyle name="40% - akcent 6 99 2" xfId="5041" xr:uid="{00000000-0005-0000-0000-00009C130000}"/>
    <cellStyle name="60% - akcent 1 2" xfId="5042" xr:uid="{00000000-0005-0000-0000-00009D130000}"/>
    <cellStyle name="60% - akcent 1 2 10" xfId="5043" xr:uid="{00000000-0005-0000-0000-00009E130000}"/>
    <cellStyle name="60% - akcent 1 2 10 2" xfId="5044" xr:uid="{00000000-0005-0000-0000-00009F130000}"/>
    <cellStyle name="60% - akcent 1 2 10 3" xfId="5045" xr:uid="{00000000-0005-0000-0000-0000A0130000}"/>
    <cellStyle name="60% - akcent 1 2 10 4" xfId="5046" xr:uid="{00000000-0005-0000-0000-0000A1130000}"/>
    <cellStyle name="60% - akcent 1 2 10 5" xfId="5047" xr:uid="{00000000-0005-0000-0000-0000A2130000}"/>
    <cellStyle name="60% - akcent 1 2 10 6" xfId="5048" xr:uid="{00000000-0005-0000-0000-0000A3130000}"/>
    <cellStyle name="60% - akcent 1 2 11" xfId="5049" xr:uid="{00000000-0005-0000-0000-0000A4130000}"/>
    <cellStyle name="60% - akcent 1 2 11 2" xfId="5050" xr:uid="{00000000-0005-0000-0000-0000A5130000}"/>
    <cellStyle name="60% - akcent 1 2 11 3" xfId="5051" xr:uid="{00000000-0005-0000-0000-0000A6130000}"/>
    <cellStyle name="60% - akcent 1 2 11 4" xfId="5052" xr:uid="{00000000-0005-0000-0000-0000A7130000}"/>
    <cellStyle name="60% - akcent 1 2 11 5" xfId="5053" xr:uid="{00000000-0005-0000-0000-0000A8130000}"/>
    <cellStyle name="60% - akcent 1 2 11 6" xfId="5054" xr:uid="{00000000-0005-0000-0000-0000A9130000}"/>
    <cellStyle name="60% - akcent 1 2 12" xfId="5055" xr:uid="{00000000-0005-0000-0000-0000AA130000}"/>
    <cellStyle name="60% - akcent 1 2 12 2" xfId="5056" xr:uid="{00000000-0005-0000-0000-0000AB130000}"/>
    <cellStyle name="60% - akcent 1 2 12 3" xfId="5057" xr:uid="{00000000-0005-0000-0000-0000AC130000}"/>
    <cellStyle name="60% - akcent 1 2 12 4" xfId="5058" xr:uid="{00000000-0005-0000-0000-0000AD130000}"/>
    <cellStyle name="60% - akcent 1 2 12 5" xfId="5059" xr:uid="{00000000-0005-0000-0000-0000AE130000}"/>
    <cellStyle name="60% - akcent 1 2 12 6" xfId="5060" xr:uid="{00000000-0005-0000-0000-0000AF130000}"/>
    <cellStyle name="60% - akcent 1 2 13" xfId="5061" xr:uid="{00000000-0005-0000-0000-0000B0130000}"/>
    <cellStyle name="60% - akcent 1 2 13 2" xfId="5062" xr:uid="{00000000-0005-0000-0000-0000B1130000}"/>
    <cellStyle name="60% - akcent 1 2 13 3" xfId="5063" xr:uid="{00000000-0005-0000-0000-0000B2130000}"/>
    <cellStyle name="60% - akcent 1 2 13 4" xfId="5064" xr:uid="{00000000-0005-0000-0000-0000B3130000}"/>
    <cellStyle name="60% - akcent 1 2 13 5" xfId="5065" xr:uid="{00000000-0005-0000-0000-0000B4130000}"/>
    <cellStyle name="60% - akcent 1 2 13 6" xfId="5066" xr:uid="{00000000-0005-0000-0000-0000B5130000}"/>
    <cellStyle name="60% - akcent 1 2 14" xfId="5067" xr:uid="{00000000-0005-0000-0000-0000B6130000}"/>
    <cellStyle name="60% - akcent 1 2 14 2" xfId="5068" xr:uid="{00000000-0005-0000-0000-0000B7130000}"/>
    <cellStyle name="60% - akcent 1 2 14 3" xfId="5069" xr:uid="{00000000-0005-0000-0000-0000B8130000}"/>
    <cellStyle name="60% - akcent 1 2 14 4" xfId="5070" xr:uid="{00000000-0005-0000-0000-0000B9130000}"/>
    <cellStyle name="60% - akcent 1 2 14 5" xfId="5071" xr:uid="{00000000-0005-0000-0000-0000BA130000}"/>
    <cellStyle name="60% - akcent 1 2 14 6" xfId="5072" xr:uid="{00000000-0005-0000-0000-0000BB130000}"/>
    <cellStyle name="60% - akcent 1 2 15" xfId="5073" xr:uid="{00000000-0005-0000-0000-0000BC130000}"/>
    <cellStyle name="60% - akcent 1 2 15 2" xfId="5074" xr:uid="{00000000-0005-0000-0000-0000BD130000}"/>
    <cellStyle name="60% - akcent 1 2 15 3" xfId="5075" xr:uid="{00000000-0005-0000-0000-0000BE130000}"/>
    <cellStyle name="60% - akcent 1 2 15 4" xfId="5076" xr:uid="{00000000-0005-0000-0000-0000BF130000}"/>
    <cellStyle name="60% - akcent 1 2 15 5" xfId="5077" xr:uid="{00000000-0005-0000-0000-0000C0130000}"/>
    <cellStyle name="60% - akcent 1 2 15 6" xfId="5078" xr:uid="{00000000-0005-0000-0000-0000C1130000}"/>
    <cellStyle name="60% - akcent 1 2 16" xfId="5079" xr:uid="{00000000-0005-0000-0000-0000C2130000}"/>
    <cellStyle name="60% - akcent 1 2 16 2" xfId="5080" xr:uid="{00000000-0005-0000-0000-0000C3130000}"/>
    <cellStyle name="60% - akcent 1 2 16 3" xfId="5081" xr:uid="{00000000-0005-0000-0000-0000C4130000}"/>
    <cellStyle name="60% - akcent 1 2 16 4" xfId="5082" xr:uid="{00000000-0005-0000-0000-0000C5130000}"/>
    <cellStyle name="60% - akcent 1 2 16 5" xfId="5083" xr:uid="{00000000-0005-0000-0000-0000C6130000}"/>
    <cellStyle name="60% - akcent 1 2 16 6" xfId="5084" xr:uid="{00000000-0005-0000-0000-0000C7130000}"/>
    <cellStyle name="60% - akcent 1 2 17" xfId="5085" xr:uid="{00000000-0005-0000-0000-0000C8130000}"/>
    <cellStyle name="60% - akcent 1 2 17 2" xfId="5086" xr:uid="{00000000-0005-0000-0000-0000C9130000}"/>
    <cellStyle name="60% - akcent 1 2 17 3" xfId="5087" xr:uid="{00000000-0005-0000-0000-0000CA130000}"/>
    <cellStyle name="60% - akcent 1 2 17 4" xfId="5088" xr:uid="{00000000-0005-0000-0000-0000CB130000}"/>
    <cellStyle name="60% - akcent 1 2 17 5" xfId="5089" xr:uid="{00000000-0005-0000-0000-0000CC130000}"/>
    <cellStyle name="60% - akcent 1 2 17 6" xfId="5090" xr:uid="{00000000-0005-0000-0000-0000CD130000}"/>
    <cellStyle name="60% - akcent 1 2 18" xfId="5091" xr:uid="{00000000-0005-0000-0000-0000CE130000}"/>
    <cellStyle name="60% - akcent 1 2 18 2" xfId="5092" xr:uid="{00000000-0005-0000-0000-0000CF130000}"/>
    <cellStyle name="60% - akcent 1 2 18 3" xfId="5093" xr:uid="{00000000-0005-0000-0000-0000D0130000}"/>
    <cellStyle name="60% - akcent 1 2 18 4" xfId="5094" xr:uid="{00000000-0005-0000-0000-0000D1130000}"/>
    <cellStyle name="60% - akcent 1 2 18 5" xfId="5095" xr:uid="{00000000-0005-0000-0000-0000D2130000}"/>
    <cellStyle name="60% - akcent 1 2 18 6" xfId="5096" xr:uid="{00000000-0005-0000-0000-0000D3130000}"/>
    <cellStyle name="60% - akcent 1 2 19" xfId="5097" xr:uid="{00000000-0005-0000-0000-0000D4130000}"/>
    <cellStyle name="60% - akcent 1 2 19 2" xfId="5098" xr:uid="{00000000-0005-0000-0000-0000D5130000}"/>
    <cellStyle name="60% - akcent 1 2 19 3" xfId="5099" xr:uid="{00000000-0005-0000-0000-0000D6130000}"/>
    <cellStyle name="60% - akcent 1 2 19 4" xfId="5100" xr:uid="{00000000-0005-0000-0000-0000D7130000}"/>
    <cellStyle name="60% - akcent 1 2 19 5" xfId="5101" xr:uid="{00000000-0005-0000-0000-0000D8130000}"/>
    <cellStyle name="60% - akcent 1 2 19 6" xfId="5102" xr:uid="{00000000-0005-0000-0000-0000D9130000}"/>
    <cellStyle name="60% - akcent 1 2 2" xfId="5103" xr:uid="{00000000-0005-0000-0000-0000DA130000}"/>
    <cellStyle name="60% - akcent 1 2 2 2" xfId="5104" xr:uid="{00000000-0005-0000-0000-0000DB130000}"/>
    <cellStyle name="60% - akcent 1 2 2 3" xfId="5105" xr:uid="{00000000-0005-0000-0000-0000DC130000}"/>
    <cellStyle name="60% - akcent 1 2 2 4" xfId="5106" xr:uid="{00000000-0005-0000-0000-0000DD130000}"/>
    <cellStyle name="60% - akcent 1 2 2 5" xfId="5107" xr:uid="{00000000-0005-0000-0000-0000DE130000}"/>
    <cellStyle name="60% - akcent 1 2 2 6" xfId="5108" xr:uid="{00000000-0005-0000-0000-0000DF130000}"/>
    <cellStyle name="60% - akcent 1 2 2 7" xfId="5109" xr:uid="{00000000-0005-0000-0000-0000E0130000}"/>
    <cellStyle name="60% - akcent 1 2 20" xfId="5110" xr:uid="{00000000-0005-0000-0000-0000E1130000}"/>
    <cellStyle name="60% - akcent 1 2 20 2" xfId="5111" xr:uid="{00000000-0005-0000-0000-0000E2130000}"/>
    <cellStyle name="60% - akcent 1 2 20 3" xfId="5112" xr:uid="{00000000-0005-0000-0000-0000E3130000}"/>
    <cellStyle name="60% - akcent 1 2 20 4" xfId="5113" xr:uid="{00000000-0005-0000-0000-0000E4130000}"/>
    <cellStyle name="60% - akcent 1 2 20 5" xfId="5114" xr:uid="{00000000-0005-0000-0000-0000E5130000}"/>
    <cellStyle name="60% - akcent 1 2 20 6" xfId="5115" xr:uid="{00000000-0005-0000-0000-0000E6130000}"/>
    <cellStyle name="60% - akcent 1 2 21" xfId="5116" xr:uid="{00000000-0005-0000-0000-0000E7130000}"/>
    <cellStyle name="60% - akcent 1 2 21 2" xfId="5117" xr:uid="{00000000-0005-0000-0000-0000E8130000}"/>
    <cellStyle name="60% - akcent 1 2 21 3" xfId="5118" xr:uid="{00000000-0005-0000-0000-0000E9130000}"/>
    <cellStyle name="60% - akcent 1 2 21 4" xfId="5119" xr:uid="{00000000-0005-0000-0000-0000EA130000}"/>
    <cellStyle name="60% - akcent 1 2 21 5" xfId="5120" xr:uid="{00000000-0005-0000-0000-0000EB130000}"/>
    <cellStyle name="60% - akcent 1 2 21 6" xfId="5121" xr:uid="{00000000-0005-0000-0000-0000EC130000}"/>
    <cellStyle name="60% - akcent 1 2 22" xfId="5122" xr:uid="{00000000-0005-0000-0000-0000ED130000}"/>
    <cellStyle name="60% - akcent 1 2 22 2" xfId="5123" xr:uid="{00000000-0005-0000-0000-0000EE130000}"/>
    <cellStyle name="60% - akcent 1 2 22 3" xfId="5124" xr:uid="{00000000-0005-0000-0000-0000EF130000}"/>
    <cellStyle name="60% - akcent 1 2 22 4" xfId="5125" xr:uid="{00000000-0005-0000-0000-0000F0130000}"/>
    <cellStyle name="60% - akcent 1 2 22 5" xfId="5126" xr:uid="{00000000-0005-0000-0000-0000F1130000}"/>
    <cellStyle name="60% - akcent 1 2 22 6" xfId="5127" xr:uid="{00000000-0005-0000-0000-0000F2130000}"/>
    <cellStyle name="60% - akcent 1 2 23" xfId="5128" xr:uid="{00000000-0005-0000-0000-0000F3130000}"/>
    <cellStyle name="60% - akcent 1 2 23 2" xfId="5129" xr:uid="{00000000-0005-0000-0000-0000F4130000}"/>
    <cellStyle name="60% - akcent 1 2 23 3" xfId="5130" xr:uid="{00000000-0005-0000-0000-0000F5130000}"/>
    <cellStyle name="60% - akcent 1 2 23 4" xfId="5131" xr:uid="{00000000-0005-0000-0000-0000F6130000}"/>
    <cellStyle name="60% - akcent 1 2 23 5" xfId="5132" xr:uid="{00000000-0005-0000-0000-0000F7130000}"/>
    <cellStyle name="60% - akcent 1 2 23 6" xfId="5133" xr:uid="{00000000-0005-0000-0000-0000F8130000}"/>
    <cellStyle name="60% - akcent 1 2 24" xfId="5134" xr:uid="{00000000-0005-0000-0000-0000F9130000}"/>
    <cellStyle name="60% - akcent 1 2 24 2" xfId="5135" xr:uid="{00000000-0005-0000-0000-0000FA130000}"/>
    <cellStyle name="60% - akcent 1 2 24 3" xfId="5136" xr:uid="{00000000-0005-0000-0000-0000FB130000}"/>
    <cellStyle name="60% - akcent 1 2 24 4" xfId="5137" xr:uid="{00000000-0005-0000-0000-0000FC130000}"/>
    <cellStyle name="60% - akcent 1 2 24 5" xfId="5138" xr:uid="{00000000-0005-0000-0000-0000FD130000}"/>
    <cellStyle name="60% - akcent 1 2 24 6" xfId="5139" xr:uid="{00000000-0005-0000-0000-0000FE130000}"/>
    <cellStyle name="60% - akcent 1 2 25" xfId="5140" xr:uid="{00000000-0005-0000-0000-0000FF130000}"/>
    <cellStyle name="60% - akcent 1 2 25 2" xfId="5141" xr:uid="{00000000-0005-0000-0000-000000140000}"/>
    <cellStyle name="60% - akcent 1 2 25 3" xfId="5142" xr:uid="{00000000-0005-0000-0000-000001140000}"/>
    <cellStyle name="60% - akcent 1 2 25 4" xfId="5143" xr:uid="{00000000-0005-0000-0000-000002140000}"/>
    <cellStyle name="60% - akcent 1 2 25 5" xfId="5144" xr:uid="{00000000-0005-0000-0000-000003140000}"/>
    <cellStyle name="60% - akcent 1 2 25 6" xfId="5145" xr:uid="{00000000-0005-0000-0000-000004140000}"/>
    <cellStyle name="60% - akcent 1 2 26" xfId="5146" xr:uid="{00000000-0005-0000-0000-000005140000}"/>
    <cellStyle name="60% - akcent 1 2 26 2" xfId="5147" xr:uid="{00000000-0005-0000-0000-000006140000}"/>
    <cellStyle name="60% - akcent 1 2 26 3" xfId="5148" xr:uid="{00000000-0005-0000-0000-000007140000}"/>
    <cellStyle name="60% - akcent 1 2 26 4" xfId="5149" xr:uid="{00000000-0005-0000-0000-000008140000}"/>
    <cellStyle name="60% - akcent 1 2 26 5" xfId="5150" xr:uid="{00000000-0005-0000-0000-000009140000}"/>
    <cellStyle name="60% - akcent 1 2 26 6" xfId="5151" xr:uid="{00000000-0005-0000-0000-00000A140000}"/>
    <cellStyle name="60% - akcent 1 2 27" xfId="5152" xr:uid="{00000000-0005-0000-0000-00000B140000}"/>
    <cellStyle name="60% - akcent 1 2 27 2" xfId="5153" xr:uid="{00000000-0005-0000-0000-00000C140000}"/>
    <cellStyle name="60% - akcent 1 2 27 3" xfId="5154" xr:uid="{00000000-0005-0000-0000-00000D140000}"/>
    <cellStyle name="60% - akcent 1 2 27 4" xfId="5155" xr:uid="{00000000-0005-0000-0000-00000E140000}"/>
    <cellStyle name="60% - akcent 1 2 27 5" xfId="5156" xr:uid="{00000000-0005-0000-0000-00000F140000}"/>
    <cellStyle name="60% - akcent 1 2 27 6" xfId="5157" xr:uid="{00000000-0005-0000-0000-000010140000}"/>
    <cellStyle name="60% - akcent 1 2 28" xfId="5158" xr:uid="{00000000-0005-0000-0000-000011140000}"/>
    <cellStyle name="60% - akcent 1 2 28 2" xfId="5159" xr:uid="{00000000-0005-0000-0000-000012140000}"/>
    <cellStyle name="60% - akcent 1 2 28 3" xfId="5160" xr:uid="{00000000-0005-0000-0000-000013140000}"/>
    <cellStyle name="60% - akcent 1 2 28 4" xfId="5161" xr:uid="{00000000-0005-0000-0000-000014140000}"/>
    <cellStyle name="60% - akcent 1 2 28 5" xfId="5162" xr:uid="{00000000-0005-0000-0000-000015140000}"/>
    <cellStyle name="60% - akcent 1 2 28 6" xfId="5163" xr:uid="{00000000-0005-0000-0000-000016140000}"/>
    <cellStyle name="60% - akcent 1 2 29" xfId="5164" xr:uid="{00000000-0005-0000-0000-000017140000}"/>
    <cellStyle name="60% - akcent 1 2 29 2" xfId="5165" xr:uid="{00000000-0005-0000-0000-000018140000}"/>
    <cellStyle name="60% - akcent 1 2 3" xfId="5166" xr:uid="{00000000-0005-0000-0000-000019140000}"/>
    <cellStyle name="60% - akcent 1 2 3 2" xfId="5167" xr:uid="{00000000-0005-0000-0000-00001A140000}"/>
    <cellStyle name="60% - akcent 1 2 3 3" xfId="5168" xr:uid="{00000000-0005-0000-0000-00001B140000}"/>
    <cellStyle name="60% - akcent 1 2 3 4" xfId="5169" xr:uid="{00000000-0005-0000-0000-00001C140000}"/>
    <cellStyle name="60% - akcent 1 2 3 5" xfId="5170" xr:uid="{00000000-0005-0000-0000-00001D140000}"/>
    <cellStyle name="60% - akcent 1 2 3 6" xfId="5171" xr:uid="{00000000-0005-0000-0000-00001E140000}"/>
    <cellStyle name="60% - akcent 1 2 30" xfId="5172" xr:uid="{00000000-0005-0000-0000-00001F140000}"/>
    <cellStyle name="60% - akcent 1 2 30 2" xfId="5173" xr:uid="{00000000-0005-0000-0000-000020140000}"/>
    <cellStyle name="60% - akcent 1 2 31" xfId="5174" xr:uid="{00000000-0005-0000-0000-000021140000}"/>
    <cellStyle name="60% - akcent 1 2 31 2" xfId="5175" xr:uid="{00000000-0005-0000-0000-000022140000}"/>
    <cellStyle name="60% - akcent 1 2 32" xfId="5176" xr:uid="{00000000-0005-0000-0000-000023140000}"/>
    <cellStyle name="60% - akcent 1 2 32 2" xfId="5177" xr:uid="{00000000-0005-0000-0000-000024140000}"/>
    <cellStyle name="60% - akcent 1 2 33" xfId="5178" xr:uid="{00000000-0005-0000-0000-000025140000}"/>
    <cellStyle name="60% - akcent 1 2 34" xfId="5179" xr:uid="{00000000-0005-0000-0000-000026140000}"/>
    <cellStyle name="60% - akcent 1 2 35" xfId="5180" xr:uid="{00000000-0005-0000-0000-000027140000}"/>
    <cellStyle name="60% - akcent 1 2 36" xfId="5181" xr:uid="{00000000-0005-0000-0000-000028140000}"/>
    <cellStyle name="60% - akcent 1 2 37" xfId="5182" xr:uid="{00000000-0005-0000-0000-000029140000}"/>
    <cellStyle name="60% - akcent 1 2 38" xfId="5183" xr:uid="{00000000-0005-0000-0000-00002A140000}"/>
    <cellStyle name="60% - akcent 1 2 39" xfId="5184" xr:uid="{00000000-0005-0000-0000-00002B140000}"/>
    <cellStyle name="60% - akcent 1 2 4" xfId="5185" xr:uid="{00000000-0005-0000-0000-00002C140000}"/>
    <cellStyle name="60% - akcent 1 2 4 2" xfId="5186" xr:uid="{00000000-0005-0000-0000-00002D140000}"/>
    <cellStyle name="60% - akcent 1 2 4 3" xfId="5187" xr:uid="{00000000-0005-0000-0000-00002E140000}"/>
    <cellStyle name="60% - akcent 1 2 4 4" xfId="5188" xr:uid="{00000000-0005-0000-0000-00002F140000}"/>
    <cellStyle name="60% - akcent 1 2 4 5" xfId="5189" xr:uid="{00000000-0005-0000-0000-000030140000}"/>
    <cellStyle name="60% - akcent 1 2 4 6" xfId="5190" xr:uid="{00000000-0005-0000-0000-000031140000}"/>
    <cellStyle name="60% - akcent 1 2 40" xfId="5191" xr:uid="{00000000-0005-0000-0000-000032140000}"/>
    <cellStyle name="60% - akcent 1 2 41" xfId="5192" xr:uid="{00000000-0005-0000-0000-000033140000}"/>
    <cellStyle name="60% - akcent 1 2 42" xfId="5193" xr:uid="{00000000-0005-0000-0000-000034140000}"/>
    <cellStyle name="60% - akcent 1 2 43" xfId="5194" xr:uid="{00000000-0005-0000-0000-000035140000}"/>
    <cellStyle name="60% - akcent 1 2 44" xfId="5195" xr:uid="{00000000-0005-0000-0000-000036140000}"/>
    <cellStyle name="60% - akcent 1 2 45" xfId="5196" xr:uid="{00000000-0005-0000-0000-000037140000}"/>
    <cellStyle name="60% - akcent 1 2 46" xfId="5197" xr:uid="{00000000-0005-0000-0000-000038140000}"/>
    <cellStyle name="60% - akcent 1 2 47" xfId="5198" xr:uid="{00000000-0005-0000-0000-000039140000}"/>
    <cellStyle name="60% - akcent 1 2 48" xfId="5199" xr:uid="{00000000-0005-0000-0000-00003A140000}"/>
    <cellStyle name="60% - akcent 1 2 49" xfId="5200" xr:uid="{00000000-0005-0000-0000-00003B140000}"/>
    <cellStyle name="60% - akcent 1 2 5" xfId="5201" xr:uid="{00000000-0005-0000-0000-00003C140000}"/>
    <cellStyle name="60% - akcent 1 2 5 2" xfId="5202" xr:uid="{00000000-0005-0000-0000-00003D140000}"/>
    <cellStyle name="60% - akcent 1 2 5 3" xfId="5203" xr:uid="{00000000-0005-0000-0000-00003E140000}"/>
    <cellStyle name="60% - akcent 1 2 5 4" xfId="5204" xr:uid="{00000000-0005-0000-0000-00003F140000}"/>
    <cellStyle name="60% - akcent 1 2 5 5" xfId="5205" xr:uid="{00000000-0005-0000-0000-000040140000}"/>
    <cellStyle name="60% - akcent 1 2 5 6" xfId="5206" xr:uid="{00000000-0005-0000-0000-000041140000}"/>
    <cellStyle name="60% - akcent 1 2 50" xfId="5207" xr:uid="{00000000-0005-0000-0000-000042140000}"/>
    <cellStyle name="60% - akcent 1 2 51" xfId="5208" xr:uid="{00000000-0005-0000-0000-000043140000}"/>
    <cellStyle name="60% - akcent 1 2 52" xfId="5209" xr:uid="{00000000-0005-0000-0000-000044140000}"/>
    <cellStyle name="60% - akcent 1 2 6" xfId="5210" xr:uid="{00000000-0005-0000-0000-000045140000}"/>
    <cellStyle name="60% - akcent 1 2 6 2" xfId="5211" xr:uid="{00000000-0005-0000-0000-000046140000}"/>
    <cellStyle name="60% - akcent 1 2 6 3" xfId="5212" xr:uid="{00000000-0005-0000-0000-000047140000}"/>
    <cellStyle name="60% - akcent 1 2 6 4" xfId="5213" xr:uid="{00000000-0005-0000-0000-000048140000}"/>
    <cellStyle name="60% - akcent 1 2 6 5" xfId="5214" xr:uid="{00000000-0005-0000-0000-000049140000}"/>
    <cellStyle name="60% - akcent 1 2 6 6" xfId="5215" xr:uid="{00000000-0005-0000-0000-00004A140000}"/>
    <cellStyle name="60% - akcent 1 2 7" xfId="5216" xr:uid="{00000000-0005-0000-0000-00004B140000}"/>
    <cellStyle name="60% - akcent 1 2 7 2" xfId="5217" xr:uid="{00000000-0005-0000-0000-00004C140000}"/>
    <cellStyle name="60% - akcent 1 2 7 3" xfId="5218" xr:uid="{00000000-0005-0000-0000-00004D140000}"/>
    <cellStyle name="60% - akcent 1 2 7 4" xfId="5219" xr:uid="{00000000-0005-0000-0000-00004E140000}"/>
    <cellStyle name="60% - akcent 1 2 7 5" xfId="5220" xr:uid="{00000000-0005-0000-0000-00004F140000}"/>
    <cellStyle name="60% - akcent 1 2 7 6" xfId="5221" xr:uid="{00000000-0005-0000-0000-000050140000}"/>
    <cellStyle name="60% - akcent 1 2 8" xfId="5222" xr:uid="{00000000-0005-0000-0000-000051140000}"/>
    <cellStyle name="60% - akcent 1 2 8 2" xfId="5223" xr:uid="{00000000-0005-0000-0000-000052140000}"/>
    <cellStyle name="60% - akcent 1 2 8 3" xfId="5224" xr:uid="{00000000-0005-0000-0000-000053140000}"/>
    <cellStyle name="60% - akcent 1 2 8 4" xfId="5225" xr:uid="{00000000-0005-0000-0000-000054140000}"/>
    <cellStyle name="60% - akcent 1 2 8 5" xfId="5226" xr:uid="{00000000-0005-0000-0000-000055140000}"/>
    <cellStyle name="60% - akcent 1 2 8 6" xfId="5227" xr:uid="{00000000-0005-0000-0000-000056140000}"/>
    <cellStyle name="60% - akcent 1 2 9" xfId="5228" xr:uid="{00000000-0005-0000-0000-000057140000}"/>
    <cellStyle name="60% - akcent 1 2 9 2" xfId="5229" xr:uid="{00000000-0005-0000-0000-000058140000}"/>
    <cellStyle name="60% - akcent 1 2 9 3" xfId="5230" xr:uid="{00000000-0005-0000-0000-000059140000}"/>
    <cellStyle name="60% - akcent 1 2 9 4" xfId="5231" xr:uid="{00000000-0005-0000-0000-00005A140000}"/>
    <cellStyle name="60% - akcent 1 2 9 5" xfId="5232" xr:uid="{00000000-0005-0000-0000-00005B140000}"/>
    <cellStyle name="60% - akcent 1 2 9 6" xfId="5233" xr:uid="{00000000-0005-0000-0000-00005C140000}"/>
    <cellStyle name="60% - akcent 1 3" xfId="5234" xr:uid="{00000000-0005-0000-0000-00005D140000}"/>
    <cellStyle name="60% - akcent 1 3 2" xfId="5235" xr:uid="{00000000-0005-0000-0000-00005E140000}"/>
    <cellStyle name="60% - akcent 1 3 2 2" xfId="5236" xr:uid="{00000000-0005-0000-0000-00005F140000}"/>
    <cellStyle name="60% - akcent 1 3 3" xfId="5237" xr:uid="{00000000-0005-0000-0000-000060140000}"/>
    <cellStyle name="60% - akcent 1 3 4" xfId="5238" xr:uid="{00000000-0005-0000-0000-000061140000}"/>
    <cellStyle name="60% - akcent 1 3 5" xfId="5239" xr:uid="{00000000-0005-0000-0000-000062140000}"/>
    <cellStyle name="60% - akcent 1 3 6" xfId="5240" xr:uid="{00000000-0005-0000-0000-000063140000}"/>
    <cellStyle name="60% - akcent 1 3 7" xfId="5241" xr:uid="{00000000-0005-0000-0000-000064140000}"/>
    <cellStyle name="60% - akcent 1 3 8" xfId="5242" xr:uid="{00000000-0005-0000-0000-000065140000}"/>
    <cellStyle name="60% - akcent 1 4" xfId="5243" xr:uid="{00000000-0005-0000-0000-000066140000}"/>
    <cellStyle name="60% - akcent 1 4 2" xfId="5244" xr:uid="{00000000-0005-0000-0000-000067140000}"/>
    <cellStyle name="60% - akcent 1 4 3" xfId="5245" xr:uid="{00000000-0005-0000-0000-000068140000}"/>
    <cellStyle name="60% - akcent 1 4 4" xfId="5246" xr:uid="{00000000-0005-0000-0000-000069140000}"/>
    <cellStyle name="60% - akcent 1 4 5" xfId="5247" xr:uid="{00000000-0005-0000-0000-00006A140000}"/>
    <cellStyle name="60% - akcent 1 4 6" xfId="5248" xr:uid="{00000000-0005-0000-0000-00006B140000}"/>
    <cellStyle name="60% - akcent 1 4 7" xfId="5249" xr:uid="{00000000-0005-0000-0000-00006C140000}"/>
    <cellStyle name="60% - akcent 1 4 8" xfId="5250" xr:uid="{00000000-0005-0000-0000-00006D140000}"/>
    <cellStyle name="60% - akcent 1 5" xfId="5251" xr:uid="{00000000-0005-0000-0000-00006E140000}"/>
    <cellStyle name="60% - akcent 1 5 2" xfId="5252" xr:uid="{00000000-0005-0000-0000-00006F140000}"/>
    <cellStyle name="60% - akcent 1 6" xfId="5253" xr:uid="{00000000-0005-0000-0000-000070140000}"/>
    <cellStyle name="60% - akcent 1 7" xfId="5254" xr:uid="{00000000-0005-0000-0000-000071140000}"/>
    <cellStyle name="60% - akcent 2 2" xfId="5255" xr:uid="{00000000-0005-0000-0000-000072140000}"/>
    <cellStyle name="60% - akcent 2 2 10" xfId="5256" xr:uid="{00000000-0005-0000-0000-000073140000}"/>
    <cellStyle name="60% - akcent 2 2 10 2" xfId="5257" xr:uid="{00000000-0005-0000-0000-000074140000}"/>
    <cellStyle name="60% - akcent 2 2 10 3" xfId="5258" xr:uid="{00000000-0005-0000-0000-000075140000}"/>
    <cellStyle name="60% - akcent 2 2 10 4" xfId="5259" xr:uid="{00000000-0005-0000-0000-000076140000}"/>
    <cellStyle name="60% - akcent 2 2 10 5" xfId="5260" xr:uid="{00000000-0005-0000-0000-000077140000}"/>
    <cellStyle name="60% - akcent 2 2 10 6" xfId="5261" xr:uid="{00000000-0005-0000-0000-000078140000}"/>
    <cellStyle name="60% - akcent 2 2 11" xfId="5262" xr:uid="{00000000-0005-0000-0000-000079140000}"/>
    <cellStyle name="60% - akcent 2 2 11 2" xfId="5263" xr:uid="{00000000-0005-0000-0000-00007A140000}"/>
    <cellStyle name="60% - akcent 2 2 11 3" xfId="5264" xr:uid="{00000000-0005-0000-0000-00007B140000}"/>
    <cellStyle name="60% - akcent 2 2 11 4" xfId="5265" xr:uid="{00000000-0005-0000-0000-00007C140000}"/>
    <cellStyle name="60% - akcent 2 2 11 5" xfId="5266" xr:uid="{00000000-0005-0000-0000-00007D140000}"/>
    <cellStyle name="60% - akcent 2 2 11 6" xfId="5267" xr:uid="{00000000-0005-0000-0000-00007E140000}"/>
    <cellStyle name="60% - akcent 2 2 12" xfId="5268" xr:uid="{00000000-0005-0000-0000-00007F140000}"/>
    <cellStyle name="60% - akcent 2 2 12 2" xfId="5269" xr:uid="{00000000-0005-0000-0000-000080140000}"/>
    <cellStyle name="60% - akcent 2 2 12 3" xfId="5270" xr:uid="{00000000-0005-0000-0000-000081140000}"/>
    <cellStyle name="60% - akcent 2 2 12 4" xfId="5271" xr:uid="{00000000-0005-0000-0000-000082140000}"/>
    <cellStyle name="60% - akcent 2 2 12 5" xfId="5272" xr:uid="{00000000-0005-0000-0000-000083140000}"/>
    <cellStyle name="60% - akcent 2 2 12 6" xfId="5273" xr:uid="{00000000-0005-0000-0000-000084140000}"/>
    <cellStyle name="60% - akcent 2 2 13" xfId="5274" xr:uid="{00000000-0005-0000-0000-000085140000}"/>
    <cellStyle name="60% - akcent 2 2 13 2" xfId="5275" xr:uid="{00000000-0005-0000-0000-000086140000}"/>
    <cellStyle name="60% - akcent 2 2 13 3" xfId="5276" xr:uid="{00000000-0005-0000-0000-000087140000}"/>
    <cellStyle name="60% - akcent 2 2 13 4" xfId="5277" xr:uid="{00000000-0005-0000-0000-000088140000}"/>
    <cellStyle name="60% - akcent 2 2 13 5" xfId="5278" xr:uid="{00000000-0005-0000-0000-000089140000}"/>
    <cellStyle name="60% - akcent 2 2 13 6" xfId="5279" xr:uid="{00000000-0005-0000-0000-00008A140000}"/>
    <cellStyle name="60% - akcent 2 2 14" xfId="5280" xr:uid="{00000000-0005-0000-0000-00008B140000}"/>
    <cellStyle name="60% - akcent 2 2 14 2" xfId="5281" xr:uid="{00000000-0005-0000-0000-00008C140000}"/>
    <cellStyle name="60% - akcent 2 2 14 3" xfId="5282" xr:uid="{00000000-0005-0000-0000-00008D140000}"/>
    <cellStyle name="60% - akcent 2 2 14 4" xfId="5283" xr:uid="{00000000-0005-0000-0000-00008E140000}"/>
    <cellStyle name="60% - akcent 2 2 14 5" xfId="5284" xr:uid="{00000000-0005-0000-0000-00008F140000}"/>
    <cellStyle name="60% - akcent 2 2 14 6" xfId="5285" xr:uid="{00000000-0005-0000-0000-000090140000}"/>
    <cellStyle name="60% - akcent 2 2 15" xfId="5286" xr:uid="{00000000-0005-0000-0000-000091140000}"/>
    <cellStyle name="60% - akcent 2 2 15 2" xfId="5287" xr:uid="{00000000-0005-0000-0000-000092140000}"/>
    <cellStyle name="60% - akcent 2 2 15 3" xfId="5288" xr:uid="{00000000-0005-0000-0000-000093140000}"/>
    <cellStyle name="60% - akcent 2 2 15 4" xfId="5289" xr:uid="{00000000-0005-0000-0000-000094140000}"/>
    <cellStyle name="60% - akcent 2 2 15 5" xfId="5290" xr:uid="{00000000-0005-0000-0000-000095140000}"/>
    <cellStyle name="60% - akcent 2 2 15 6" xfId="5291" xr:uid="{00000000-0005-0000-0000-000096140000}"/>
    <cellStyle name="60% - akcent 2 2 16" xfId="5292" xr:uid="{00000000-0005-0000-0000-000097140000}"/>
    <cellStyle name="60% - akcent 2 2 16 2" xfId="5293" xr:uid="{00000000-0005-0000-0000-000098140000}"/>
    <cellStyle name="60% - akcent 2 2 16 3" xfId="5294" xr:uid="{00000000-0005-0000-0000-000099140000}"/>
    <cellStyle name="60% - akcent 2 2 16 4" xfId="5295" xr:uid="{00000000-0005-0000-0000-00009A140000}"/>
    <cellStyle name="60% - akcent 2 2 16 5" xfId="5296" xr:uid="{00000000-0005-0000-0000-00009B140000}"/>
    <cellStyle name="60% - akcent 2 2 16 6" xfId="5297" xr:uid="{00000000-0005-0000-0000-00009C140000}"/>
    <cellStyle name="60% - akcent 2 2 17" xfId="5298" xr:uid="{00000000-0005-0000-0000-00009D140000}"/>
    <cellStyle name="60% - akcent 2 2 17 2" xfId="5299" xr:uid="{00000000-0005-0000-0000-00009E140000}"/>
    <cellStyle name="60% - akcent 2 2 17 3" xfId="5300" xr:uid="{00000000-0005-0000-0000-00009F140000}"/>
    <cellStyle name="60% - akcent 2 2 17 4" xfId="5301" xr:uid="{00000000-0005-0000-0000-0000A0140000}"/>
    <cellStyle name="60% - akcent 2 2 17 5" xfId="5302" xr:uid="{00000000-0005-0000-0000-0000A1140000}"/>
    <cellStyle name="60% - akcent 2 2 17 6" xfId="5303" xr:uid="{00000000-0005-0000-0000-0000A2140000}"/>
    <cellStyle name="60% - akcent 2 2 18" xfId="5304" xr:uid="{00000000-0005-0000-0000-0000A3140000}"/>
    <cellStyle name="60% - akcent 2 2 18 2" xfId="5305" xr:uid="{00000000-0005-0000-0000-0000A4140000}"/>
    <cellStyle name="60% - akcent 2 2 18 3" xfId="5306" xr:uid="{00000000-0005-0000-0000-0000A5140000}"/>
    <cellStyle name="60% - akcent 2 2 18 4" xfId="5307" xr:uid="{00000000-0005-0000-0000-0000A6140000}"/>
    <cellStyle name="60% - akcent 2 2 18 5" xfId="5308" xr:uid="{00000000-0005-0000-0000-0000A7140000}"/>
    <cellStyle name="60% - akcent 2 2 18 6" xfId="5309" xr:uid="{00000000-0005-0000-0000-0000A8140000}"/>
    <cellStyle name="60% - akcent 2 2 19" xfId="5310" xr:uid="{00000000-0005-0000-0000-0000A9140000}"/>
    <cellStyle name="60% - akcent 2 2 19 2" xfId="5311" xr:uid="{00000000-0005-0000-0000-0000AA140000}"/>
    <cellStyle name="60% - akcent 2 2 19 3" xfId="5312" xr:uid="{00000000-0005-0000-0000-0000AB140000}"/>
    <cellStyle name="60% - akcent 2 2 19 4" xfId="5313" xr:uid="{00000000-0005-0000-0000-0000AC140000}"/>
    <cellStyle name="60% - akcent 2 2 19 5" xfId="5314" xr:uid="{00000000-0005-0000-0000-0000AD140000}"/>
    <cellStyle name="60% - akcent 2 2 19 6" xfId="5315" xr:uid="{00000000-0005-0000-0000-0000AE140000}"/>
    <cellStyle name="60% - akcent 2 2 2" xfId="5316" xr:uid="{00000000-0005-0000-0000-0000AF140000}"/>
    <cellStyle name="60% - akcent 2 2 2 2" xfId="5317" xr:uid="{00000000-0005-0000-0000-0000B0140000}"/>
    <cellStyle name="60% - akcent 2 2 2 3" xfId="5318" xr:uid="{00000000-0005-0000-0000-0000B1140000}"/>
    <cellStyle name="60% - akcent 2 2 2 4" xfId="5319" xr:uid="{00000000-0005-0000-0000-0000B2140000}"/>
    <cellStyle name="60% - akcent 2 2 2 5" xfId="5320" xr:uid="{00000000-0005-0000-0000-0000B3140000}"/>
    <cellStyle name="60% - akcent 2 2 2 6" xfId="5321" xr:uid="{00000000-0005-0000-0000-0000B4140000}"/>
    <cellStyle name="60% - akcent 2 2 2 7" xfId="5322" xr:uid="{00000000-0005-0000-0000-0000B5140000}"/>
    <cellStyle name="60% - akcent 2 2 20" xfId="5323" xr:uid="{00000000-0005-0000-0000-0000B6140000}"/>
    <cellStyle name="60% - akcent 2 2 20 2" xfId="5324" xr:uid="{00000000-0005-0000-0000-0000B7140000}"/>
    <cellStyle name="60% - akcent 2 2 20 3" xfId="5325" xr:uid="{00000000-0005-0000-0000-0000B8140000}"/>
    <cellStyle name="60% - akcent 2 2 20 4" xfId="5326" xr:uid="{00000000-0005-0000-0000-0000B9140000}"/>
    <cellStyle name="60% - akcent 2 2 20 5" xfId="5327" xr:uid="{00000000-0005-0000-0000-0000BA140000}"/>
    <cellStyle name="60% - akcent 2 2 20 6" xfId="5328" xr:uid="{00000000-0005-0000-0000-0000BB140000}"/>
    <cellStyle name="60% - akcent 2 2 21" xfId="5329" xr:uid="{00000000-0005-0000-0000-0000BC140000}"/>
    <cellStyle name="60% - akcent 2 2 21 2" xfId="5330" xr:uid="{00000000-0005-0000-0000-0000BD140000}"/>
    <cellStyle name="60% - akcent 2 2 21 3" xfId="5331" xr:uid="{00000000-0005-0000-0000-0000BE140000}"/>
    <cellStyle name="60% - akcent 2 2 21 4" xfId="5332" xr:uid="{00000000-0005-0000-0000-0000BF140000}"/>
    <cellStyle name="60% - akcent 2 2 21 5" xfId="5333" xr:uid="{00000000-0005-0000-0000-0000C0140000}"/>
    <cellStyle name="60% - akcent 2 2 21 6" xfId="5334" xr:uid="{00000000-0005-0000-0000-0000C1140000}"/>
    <cellStyle name="60% - akcent 2 2 22" xfId="5335" xr:uid="{00000000-0005-0000-0000-0000C2140000}"/>
    <cellStyle name="60% - akcent 2 2 22 2" xfId="5336" xr:uid="{00000000-0005-0000-0000-0000C3140000}"/>
    <cellStyle name="60% - akcent 2 2 22 3" xfId="5337" xr:uid="{00000000-0005-0000-0000-0000C4140000}"/>
    <cellStyle name="60% - akcent 2 2 22 4" xfId="5338" xr:uid="{00000000-0005-0000-0000-0000C5140000}"/>
    <cellStyle name="60% - akcent 2 2 22 5" xfId="5339" xr:uid="{00000000-0005-0000-0000-0000C6140000}"/>
    <cellStyle name="60% - akcent 2 2 22 6" xfId="5340" xr:uid="{00000000-0005-0000-0000-0000C7140000}"/>
    <cellStyle name="60% - akcent 2 2 23" xfId="5341" xr:uid="{00000000-0005-0000-0000-0000C8140000}"/>
    <cellStyle name="60% - akcent 2 2 23 2" xfId="5342" xr:uid="{00000000-0005-0000-0000-0000C9140000}"/>
    <cellStyle name="60% - akcent 2 2 23 3" xfId="5343" xr:uid="{00000000-0005-0000-0000-0000CA140000}"/>
    <cellStyle name="60% - akcent 2 2 23 4" xfId="5344" xr:uid="{00000000-0005-0000-0000-0000CB140000}"/>
    <cellStyle name="60% - akcent 2 2 23 5" xfId="5345" xr:uid="{00000000-0005-0000-0000-0000CC140000}"/>
    <cellStyle name="60% - akcent 2 2 23 6" xfId="5346" xr:uid="{00000000-0005-0000-0000-0000CD140000}"/>
    <cellStyle name="60% - akcent 2 2 24" xfId="5347" xr:uid="{00000000-0005-0000-0000-0000CE140000}"/>
    <cellStyle name="60% - akcent 2 2 24 2" xfId="5348" xr:uid="{00000000-0005-0000-0000-0000CF140000}"/>
    <cellStyle name="60% - akcent 2 2 24 3" xfId="5349" xr:uid="{00000000-0005-0000-0000-0000D0140000}"/>
    <cellStyle name="60% - akcent 2 2 24 4" xfId="5350" xr:uid="{00000000-0005-0000-0000-0000D1140000}"/>
    <cellStyle name="60% - akcent 2 2 24 5" xfId="5351" xr:uid="{00000000-0005-0000-0000-0000D2140000}"/>
    <cellStyle name="60% - akcent 2 2 24 6" xfId="5352" xr:uid="{00000000-0005-0000-0000-0000D3140000}"/>
    <cellStyle name="60% - akcent 2 2 25" xfId="5353" xr:uid="{00000000-0005-0000-0000-0000D4140000}"/>
    <cellStyle name="60% - akcent 2 2 25 2" xfId="5354" xr:uid="{00000000-0005-0000-0000-0000D5140000}"/>
    <cellStyle name="60% - akcent 2 2 25 3" xfId="5355" xr:uid="{00000000-0005-0000-0000-0000D6140000}"/>
    <cellStyle name="60% - akcent 2 2 25 4" xfId="5356" xr:uid="{00000000-0005-0000-0000-0000D7140000}"/>
    <cellStyle name="60% - akcent 2 2 25 5" xfId="5357" xr:uid="{00000000-0005-0000-0000-0000D8140000}"/>
    <cellStyle name="60% - akcent 2 2 25 6" xfId="5358" xr:uid="{00000000-0005-0000-0000-0000D9140000}"/>
    <cellStyle name="60% - akcent 2 2 26" xfId="5359" xr:uid="{00000000-0005-0000-0000-0000DA140000}"/>
    <cellStyle name="60% - akcent 2 2 26 2" xfId="5360" xr:uid="{00000000-0005-0000-0000-0000DB140000}"/>
    <cellStyle name="60% - akcent 2 2 26 3" xfId="5361" xr:uid="{00000000-0005-0000-0000-0000DC140000}"/>
    <cellStyle name="60% - akcent 2 2 26 4" xfId="5362" xr:uid="{00000000-0005-0000-0000-0000DD140000}"/>
    <cellStyle name="60% - akcent 2 2 26 5" xfId="5363" xr:uid="{00000000-0005-0000-0000-0000DE140000}"/>
    <cellStyle name="60% - akcent 2 2 26 6" xfId="5364" xr:uid="{00000000-0005-0000-0000-0000DF140000}"/>
    <cellStyle name="60% - akcent 2 2 27" xfId="5365" xr:uid="{00000000-0005-0000-0000-0000E0140000}"/>
    <cellStyle name="60% - akcent 2 2 27 2" xfId="5366" xr:uid="{00000000-0005-0000-0000-0000E1140000}"/>
    <cellStyle name="60% - akcent 2 2 27 3" xfId="5367" xr:uid="{00000000-0005-0000-0000-0000E2140000}"/>
    <cellStyle name="60% - akcent 2 2 27 4" xfId="5368" xr:uid="{00000000-0005-0000-0000-0000E3140000}"/>
    <cellStyle name="60% - akcent 2 2 27 5" xfId="5369" xr:uid="{00000000-0005-0000-0000-0000E4140000}"/>
    <cellStyle name="60% - akcent 2 2 27 6" xfId="5370" xr:uid="{00000000-0005-0000-0000-0000E5140000}"/>
    <cellStyle name="60% - akcent 2 2 28" xfId="5371" xr:uid="{00000000-0005-0000-0000-0000E6140000}"/>
    <cellStyle name="60% - akcent 2 2 28 2" xfId="5372" xr:uid="{00000000-0005-0000-0000-0000E7140000}"/>
    <cellStyle name="60% - akcent 2 2 28 3" xfId="5373" xr:uid="{00000000-0005-0000-0000-0000E8140000}"/>
    <cellStyle name="60% - akcent 2 2 28 4" xfId="5374" xr:uid="{00000000-0005-0000-0000-0000E9140000}"/>
    <cellStyle name="60% - akcent 2 2 28 5" xfId="5375" xr:uid="{00000000-0005-0000-0000-0000EA140000}"/>
    <cellStyle name="60% - akcent 2 2 28 6" xfId="5376" xr:uid="{00000000-0005-0000-0000-0000EB140000}"/>
    <cellStyle name="60% - akcent 2 2 29" xfId="5377" xr:uid="{00000000-0005-0000-0000-0000EC140000}"/>
    <cellStyle name="60% - akcent 2 2 29 2" xfId="5378" xr:uid="{00000000-0005-0000-0000-0000ED140000}"/>
    <cellStyle name="60% - akcent 2 2 3" xfId="5379" xr:uid="{00000000-0005-0000-0000-0000EE140000}"/>
    <cellStyle name="60% - akcent 2 2 3 2" xfId="5380" xr:uid="{00000000-0005-0000-0000-0000EF140000}"/>
    <cellStyle name="60% - akcent 2 2 3 3" xfId="5381" xr:uid="{00000000-0005-0000-0000-0000F0140000}"/>
    <cellStyle name="60% - akcent 2 2 3 4" xfId="5382" xr:uid="{00000000-0005-0000-0000-0000F1140000}"/>
    <cellStyle name="60% - akcent 2 2 3 5" xfId="5383" xr:uid="{00000000-0005-0000-0000-0000F2140000}"/>
    <cellStyle name="60% - akcent 2 2 3 6" xfId="5384" xr:uid="{00000000-0005-0000-0000-0000F3140000}"/>
    <cellStyle name="60% - akcent 2 2 30" xfId="5385" xr:uid="{00000000-0005-0000-0000-0000F4140000}"/>
    <cellStyle name="60% - akcent 2 2 30 2" xfId="5386" xr:uid="{00000000-0005-0000-0000-0000F5140000}"/>
    <cellStyle name="60% - akcent 2 2 31" xfId="5387" xr:uid="{00000000-0005-0000-0000-0000F6140000}"/>
    <cellStyle name="60% - akcent 2 2 31 2" xfId="5388" xr:uid="{00000000-0005-0000-0000-0000F7140000}"/>
    <cellStyle name="60% - akcent 2 2 32" xfId="5389" xr:uid="{00000000-0005-0000-0000-0000F8140000}"/>
    <cellStyle name="60% - akcent 2 2 32 2" xfId="5390" xr:uid="{00000000-0005-0000-0000-0000F9140000}"/>
    <cellStyle name="60% - akcent 2 2 33" xfId="5391" xr:uid="{00000000-0005-0000-0000-0000FA140000}"/>
    <cellStyle name="60% - akcent 2 2 34" xfId="5392" xr:uid="{00000000-0005-0000-0000-0000FB140000}"/>
    <cellStyle name="60% - akcent 2 2 35" xfId="5393" xr:uid="{00000000-0005-0000-0000-0000FC140000}"/>
    <cellStyle name="60% - akcent 2 2 36" xfId="5394" xr:uid="{00000000-0005-0000-0000-0000FD140000}"/>
    <cellStyle name="60% - akcent 2 2 37" xfId="5395" xr:uid="{00000000-0005-0000-0000-0000FE140000}"/>
    <cellStyle name="60% - akcent 2 2 38" xfId="5396" xr:uid="{00000000-0005-0000-0000-0000FF140000}"/>
    <cellStyle name="60% - akcent 2 2 39" xfId="5397" xr:uid="{00000000-0005-0000-0000-000000150000}"/>
    <cellStyle name="60% - akcent 2 2 4" xfId="5398" xr:uid="{00000000-0005-0000-0000-000001150000}"/>
    <cellStyle name="60% - akcent 2 2 4 2" xfId="5399" xr:uid="{00000000-0005-0000-0000-000002150000}"/>
    <cellStyle name="60% - akcent 2 2 4 3" xfId="5400" xr:uid="{00000000-0005-0000-0000-000003150000}"/>
    <cellStyle name="60% - akcent 2 2 4 4" xfId="5401" xr:uid="{00000000-0005-0000-0000-000004150000}"/>
    <cellStyle name="60% - akcent 2 2 4 5" xfId="5402" xr:uid="{00000000-0005-0000-0000-000005150000}"/>
    <cellStyle name="60% - akcent 2 2 4 6" xfId="5403" xr:uid="{00000000-0005-0000-0000-000006150000}"/>
    <cellStyle name="60% - akcent 2 2 40" xfId="5404" xr:uid="{00000000-0005-0000-0000-000007150000}"/>
    <cellStyle name="60% - akcent 2 2 41" xfId="5405" xr:uid="{00000000-0005-0000-0000-000008150000}"/>
    <cellStyle name="60% - akcent 2 2 42" xfId="5406" xr:uid="{00000000-0005-0000-0000-000009150000}"/>
    <cellStyle name="60% - akcent 2 2 43" xfId="5407" xr:uid="{00000000-0005-0000-0000-00000A150000}"/>
    <cellStyle name="60% - akcent 2 2 44" xfId="5408" xr:uid="{00000000-0005-0000-0000-00000B150000}"/>
    <cellStyle name="60% - akcent 2 2 45" xfId="5409" xr:uid="{00000000-0005-0000-0000-00000C150000}"/>
    <cellStyle name="60% - akcent 2 2 46" xfId="5410" xr:uid="{00000000-0005-0000-0000-00000D150000}"/>
    <cellStyle name="60% - akcent 2 2 47" xfId="5411" xr:uid="{00000000-0005-0000-0000-00000E150000}"/>
    <cellStyle name="60% - akcent 2 2 48" xfId="5412" xr:uid="{00000000-0005-0000-0000-00000F150000}"/>
    <cellStyle name="60% - akcent 2 2 49" xfId="5413" xr:uid="{00000000-0005-0000-0000-000010150000}"/>
    <cellStyle name="60% - akcent 2 2 5" xfId="5414" xr:uid="{00000000-0005-0000-0000-000011150000}"/>
    <cellStyle name="60% - akcent 2 2 5 2" xfId="5415" xr:uid="{00000000-0005-0000-0000-000012150000}"/>
    <cellStyle name="60% - akcent 2 2 5 3" xfId="5416" xr:uid="{00000000-0005-0000-0000-000013150000}"/>
    <cellStyle name="60% - akcent 2 2 5 4" xfId="5417" xr:uid="{00000000-0005-0000-0000-000014150000}"/>
    <cellStyle name="60% - akcent 2 2 5 5" xfId="5418" xr:uid="{00000000-0005-0000-0000-000015150000}"/>
    <cellStyle name="60% - akcent 2 2 5 6" xfId="5419" xr:uid="{00000000-0005-0000-0000-000016150000}"/>
    <cellStyle name="60% - akcent 2 2 50" xfId="5420" xr:uid="{00000000-0005-0000-0000-000017150000}"/>
    <cellStyle name="60% - akcent 2 2 51" xfId="5421" xr:uid="{00000000-0005-0000-0000-000018150000}"/>
    <cellStyle name="60% - akcent 2 2 52" xfId="5422" xr:uid="{00000000-0005-0000-0000-000019150000}"/>
    <cellStyle name="60% - akcent 2 2 6" xfId="5423" xr:uid="{00000000-0005-0000-0000-00001A150000}"/>
    <cellStyle name="60% - akcent 2 2 6 2" xfId="5424" xr:uid="{00000000-0005-0000-0000-00001B150000}"/>
    <cellStyle name="60% - akcent 2 2 6 3" xfId="5425" xr:uid="{00000000-0005-0000-0000-00001C150000}"/>
    <cellStyle name="60% - akcent 2 2 6 4" xfId="5426" xr:uid="{00000000-0005-0000-0000-00001D150000}"/>
    <cellStyle name="60% - akcent 2 2 6 5" xfId="5427" xr:uid="{00000000-0005-0000-0000-00001E150000}"/>
    <cellStyle name="60% - akcent 2 2 6 6" xfId="5428" xr:uid="{00000000-0005-0000-0000-00001F150000}"/>
    <cellStyle name="60% - akcent 2 2 7" xfId="5429" xr:uid="{00000000-0005-0000-0000-000020150000}"/>
    <cellStyle name="60% - akcent 2 2 7 2" xfId="5430" xr:uid="{00000000-0005-0000-0000-000021150000}"/>
    <cellStyle name="60% - akcent 2 2 7 3" xfId="5431" xr:uid="{00000000-0005-0000-0000-000022150000}"/>
    <cellStyle name="60% - akcent 2 2 7 4" xfId="5432" xr:uid="{00000000-0005-0000-0000-000023150000}"/>
    <cellStyle name="60% - akcent 2 2 7 5" xfId="5433" xr:uid="{00000000-0005-0000-0000-000024150000}"/>
    <cellStyle name="60% - akcent 2 2 7 6" xfId="5434" xr:uid="{00000000-0005-0000-0000-000025150000}"/>
    <cellStyle name="60% - akcent 2 2 8" xfId="5435" xr:uid="{00000000-0005-0000-0000-000026150000}"/>
    <cellStyle name="60% - akcent 2 2 8 2" xfId="5436" xr:uid="{00000000-0005-0000-0000-000027150000}"/>
    <cellStyle name="60% - akcent 2 2 8 3" xfId="5437" xr:uid="{00000000-0005-0000-0000-000028150000}"/>
    <cellStyle name="60% - akcent 2 2 8 4" xfId="5438" xr:uid="{00000000-0005-0000-0000-000029150000}"/>
    <cellStyle name="60% - akcent 2 2 8 5" xfId="5439" xr:uid="{00000000-0005-0000-0000-00002A150000}"/>
    <cellStyle name="60% - akcent 2 2 8 6" xfId="5440" xr:uid="{00000000-0005-0000-0000-00002B150000}"/>
    <cellStyle name="60% - akcent 2 2 9" xfId="5441" xr:uid="{00000000-0005-0000-0000-00002C150000}"/>
    <cellStyle name="60% - akcent 2 2 9 2" xfId="5442" xr:uid="{00000000-0005-0000-0000-00002D150000}"/>
    <cellStyle name="60% - akcent 2 2 9 3" xfId="5443" xr:uid="{00000000-0005-0000-0000-00002E150000}"/>
    <cellStyle name="60% - akcent 2 2 9 4" xfId="5444" xr:uid="{00000000-0005-0000-0000-00002F150000}"/>
    <cellStyle name="60% - akcent 2 2 9 5" xfId="5445" xr:uid="{00000000-0005-0000-0000-000030150000}"/>
    <cellStyle name="60% - akcent 2 2 9 6" xfId="5446" xr:uid="{00000000-0005-0000-0000-000031150000}"/>
    <cellStyle name="60% - akcent 2 3" xfId="5447" xr:uid="{00000000-0005-0000-0000-000032150000}"/>
    <cellStyle name="60% - akcent 2 3 2" xfId="5448" xr:uid="{00000000-0005-0000-0000-000033150000}"/>
    <cellStyle name="60% - akcent 2 3 2 2" xfId="5449" xr:uid="{00000000-0005-0000-0000-000034150000}"/>
    <cellStyle name="60% - akcent 2 3 3" xfId="5450" xr:uid="{00000000-0005-0000-0000-000035150000}"/>
    <cellStyle name="60% - akcent 2 3 4" xfId="5451" xr:uid="{00000000-0005-0000-0000-000036150000}"/>
    <cellStyle name="60% - akcent 2 3 5" xfId="5452" xr:uid="{00000000-0005-0000-0000-000037150000}"/>
    <cellStyle name="60% - akcent 2 3 6" xfId="5453" xr:uid="{00000000-0005-0000-0000-000038150000}"/>
    <cellStyle name="60% - akcent 2 3 7" xfId="5454" xr:uid="{00000000-0005-0000-0000-000039150000}"/>
    <cellStyle name="60% - akcent 2 3 8" xfId="5455" xr:uid="{00000000-0005-0000-0000-00003A150000}"/>
    <cellStyle name="60% - akcent 2 4" xfId="5456" xr:uid="{00000000-0005-0000-0000-00003B150000}"/>
    <cellStyle name="60% - akcent 2 4 2" xfId="5457" xr:uid="{00000000-0005-0000-0000-00003C150000}"/>
    <cellStyle name="60% - akcent 2 4 3" xfId="5458" xr:uid="{00000000-0005-0000-0000-00003D150000}"/>
    <cellStyle name="60% - akcent 2 4 4" xfId="5459" xr:uid="{00000000-0005-0000-0000-00003E150000}"/>
    <cellStyle name="60% - akcent 2 4 5" xfId="5460" xr:uid="{00000000-0005-0000-0000-00003F150000}"/>
    <cellStyle name="60% - akcent 2 4 6" xfId="5461" xr:uid="{00000000-0005-0000-0000-000040150000}"/>
    <cellStyle name="60% - akcent 2 4 7" xfId="5462" xr:uid="{00000000-0005-0000-0000-000041150000}"/>
    <cellStyle name="60% - akcent 2 4 8" xfId="5463" xr:uid="{00000000-0005-0000-0000-000042150000}"/>
    <cellStyle name="60% - akcent 2 5" xfId="5464" xr:uid="{00000000-0005-0000-0000-000043150000}"/>
    <cellStyle name="60% - akcent 2 5 2" xfId="5465" xr:uid="{00000000-0005-0000-0000-000044150000}"/>
    <cellStyle name="60% - akcent 2 6" xfId="5466" xr:uid="{00000000-0005-0000-0000-000045150000}"/>
    <cellStyle name="60% - akcent 2 7" xfId="5467" xr:uid="{00000000-0005-0000-0000-000046150000}"/>
    <cellStyle name="60% - akcent 3 2" xfId="5468" xr:uid="{00000000-0005-0000-0000-000047150000}"/>
    <cellStyle name="60% - akcent 3 2 10" xfId="5469" xr:uid="{00000000-0005-0000-0000-000048150000}"/>
    <cellStyle name="60% - akcent 3 2 10 2" xfId="5470" xr:uid="{00000000-0005-0000-0000-000049150000}"/>
    <cellStyle name="60% - akcent 3 2 10 3" xfId="5471" xr:uid="{00000000-0005-0000-0000-00004A150000}"/>
    <cellStyle name="60% - akcent 3 2 10 4" xfId="5472" xr:uid="{00000000-0005-0000-0000-00004B150000}"/>
    <cellStyle name="60% - akcent 3 2 10 5" xfId="5473" xr:uid="{00000000-0005-0000-0000-00004C150000}"/>
    <cellStyle name="60% - akcent 3 2 10 6" xfId="5474" xr:uid="{00000000-0005-0000-0000-00004D150000}"/>
    <cellStyle name="60% - akcent 3 2 11" xfId="5475" xr:uid="{00000000-0005-0000-0000-00004E150000}"/>
    <cellStyle name="60% - akcent 3 2 11 2" xfId="5476" xr:uid="{00000000-0005-0000-0000-00004F150000}"/>
    <cellStyle name="60% - akcent 3 2 11 3" xfId="5477" xr:uid="{00000000-0005-0000-0000-000050150000}"/>
    <cellStyle name="60% - akcent 3 2 11 4" xfId="5478" xr:uid="{00000000-0005-0000-0000-000051150000}"/>
    <cellStyle name="60% - akcent 3 2 11 5" xfId="5479" xr:uid="{00000000-0005-0000-0000-000052150000}"/>
    <cellStyle name="60% - akcent 3 2 11 6" xfId="5480" xr:uid="{00000000-0005-0000-0000-000053150000}"/>
    <cellStyle name="60% - akcent 3 2 12" xfId="5481" xr:uid="{00000000-0005-0000-0000-000054150000}"/>
    <cellStyle name="60% - akcent 3 2 12 2" xfId="5482" xr:uid="{00000000-0005-0000-0000-000055150000}"/>
    <cellStyle name="60% - akcent 3 2 12 3" xfId="5483" xr:uid="{00000000-0005-0000-0000-000056150000}"/>
    <cellStyle name="60% - akcent 3 2 12 4" xfId="5484" xr:uid="{00000000-0005-0000-0000-000057150000}"/>
    <cellStyle name="60% - akcent 3 2 12 5" xfId="5485" xr:uid="{00000000-0005-0000-0000-000058150000}"/>
    <cellStyle name="60% - akcent 3 2 12 6" xfId="5486" xr:uid="{00000000-0005-0000-0000-000059150000}"/>
    <cellStyle name="60% - akcent 3 2 13" xfId="5487" xr:uid="{00000000-0005-0000-0000-00005A150000}"/>
    <cellStyle name="60% - akcent 3 2 13 2" xfId="5488" xr:uid="{00000000-0005-0000-0000-00005B150000}"/>
    <cellStyle name="60% - akcent 3 2 13 3" xfId="5489" xr:uid="{00000000-0005-0000-0000-00005C150000}"/>
    <cellStyle name="60% - akcent 3 2 13 4" xfId="5490" xr:uid="{00000000-0005-0000-0000-00005D150000}"/>
    <cellStyle name="60% - akcent 3 2 13 5" xfId="5491" xr:uid="{00000000-0005-0000-0000-00005E150000}"/>
    <cellStyle name="60% - akcent 3 2 13 6" xfId="5492" xr:uid="{00000000-0005-0000-0000-00005F150000}"/>
    <cellStyle name="60% - akcent 3 2 14" xfId="5493" xr:uid="{00000000-0005-0000-0000-000060150000}"/>
    <cellStyle name="60% - akcent 3 2 14 2" xfId="5494" xr:uid="{00000000-0005-0000-0000-000061150000}"/>
    <cellStyle name="60% - akcent 3 2 14 3" xfId="5495" xr:uid="{00000000-0005-0000-0000-000062150000}"/>
    <cellStyle name="60% - akcent 3 2 14 4" xfId="5496" xr:uid="{00000000-0005-0000-0000-000063150000}"/>
    <cellStyle name="60% - akcent 3 2 14 5" xfId="5497" xr:uid="{00000000-0005-0000-0000-000064150000}"/>
    <cellStyle name="60% - akcent 3 2 14 6" xfId="5498" xr:uid="{00000000-0005-0000-0000-000065150000}"/>
    <cellStyle name="60% - akcent 3 2 15" xfId="5499" xr:uid="{00000000-0005-0000-0000-000066150000}"/>
    <cellStyle name="60% - akcent 3 2 15 2" xfId="5500" xr:uid="{00000000-0005-0000-0000-000067150000}"/>
    <cellStyle name="60% - akcent 3 2 15 3" xfId="5501" xr:uid="{00000000-0005-0000-0000-000068150000}"/>
    <cellStyle name="60% - akcent 3 2 15 4" xfId="5502" xr:uid="{00000000-0005-0000-0000-000069150000}"/>
    <cellStyle name="60% - akcent 3 2 15 5" xfId="5503" xr:uid="{00000000-0005-0000-0000-00006A150000}"/>
    <cellStyle name="60% - akcent 3 2 15 6" xfId="5504" xr:uid="{00000000-0005-0000-0000-00006B150000}"/>
    <cellStyle name="60% - akcent 3 2 16" xfId="5505" xr:uid="{00000000-0005-0000-0000-00006C150000}"/>
    <cellStyle name="60% - akcent 3 2 16 2" xfId="5506" xr:uid="{00000000-0005-0000-0000-00006D150000}"/>
    <cellStyle name="60% - akcent 3 2 16 3" xfId="5507" xr:uid="{00000000-0005-0000-0000-00006E150000}"/>
    <cellStyle name="60% - akcent 3 2 16 4" xfId="5508" xr:uid="{00000000-0005-0000-0000-00006F150000}"/>
    <cellStyle name="60% - akcent 3 2 16 5" xfId="5509" xr:uid="{00000000-0005-0000-0000-000070150000}"/>
    <cellStyle name="60% - akcent 3 2 16 6" xfId="5510" xr:uid="{00000000-0005-0000-0000-000071150000}"/>
    <cellStyle name="60% - akcent 3 2 17" xfId="5511" xr:uid="{00000000-0005-0000-0000-000072150000}"/>
    <cellStyle name="60% - akcent 3 2 17 2" xfId="5512" xr:uid="{00000000-0005-0000-0000-000073150000}"/>
    <cellStyle name="60% - akcent 3 2 17 3" xfId="5513" xr:uid="{00000000-0005-0000-0000-000074150000}"/>
    <cellStyle name="60% - akcent 3 2 17 4" xfId="5514" xr:uid="{00000000-0005-0000-0000-000075150000}"/>
    <cellStyle name="60% - akcent 3 2 17 5" xfId="5515" xr:uid="{00000000-0005-0000-0000-000076150000}"/>
    <cellStyle name="60% - akcent 3 2 17 6" xfId="5516" xr:uid="{00000000-0005-0000-0000-000077150000}"/>
    <cellStyle name="60% - akcent 3 2 18" xfId="5517" xr:uid="{00000000-0005-0000-0000-000078150000}"/>
    <cellStyle name="60% - akcent 3 2 18 2" xfId="5518" xr:uid="{00000000-0005-0000-0000-000079150000}"/>
    <cellStyle name="60% - akcent 3 2 18 3" xfId="5519" xr:uid="{00000000-0005-0000-0000-00007A150000}"/>
    <cellStyle name="60% - akcent 3 2 18 4" xfId="5520" xr:uid="{00000000-0005-0000-0000-00007B150000}"/>
    <cellStyle name="60% - akcent 3 2 18 5" xfId="5521" xr:uid="{00000000-0005-0000-0000-00007C150000}"/>
    <cellStyle name="60% - akcent 3 2 18 6" xfId="5522" xr:uid="{00000000-0005-0000-0000-00007D150000}"/>
    <cellStyle name="60% - akcent 3 2 19" xfId="5523" xr:uid="{00000000-0005-0000-0000-00007E150000}"/>
    <cellStyle name="60% - akcent 3 2 19 2" xfId="5524" xr:uid="{00000000-0005-0000-0000-00007F150000}"/>
    <cellStyle name="60% - akcent 3 2 19 3" xfId="5525" xr:uid="{00000000-0005-0000-0000-000080150000}"/>
    <cellStyle name="60% - akcent 3 2 19 4" xfId="5526" xr:uid="{00000000-0005-0000-0000-000081150000}"/>
    <cellStyle name="60% - akcent 3 2 19 5" xfId="5527" xr:uid="{00000000-0005-0000-0000-000082150000}"/>
    <cellStyle name="60% - akcent 3 2 19 6" xfId="5528" xr:uid="{00000000-0005-0000-0000-000083150000}"/>
    <cellStyle name="60% - akcent 3 2 2" xfId="5529" xr:uid="{00000000-0005-0000-0000-000084150000}"/>
    <cellStyle name="60% - akcent 3 2 2 2" xfId="5530" xr:uid="{00000000-0005-0000-0000-000085150000}"/>
    <cellStyle name="60% - akcent 3 2 2 3" xfId="5531" xr:uid="{00000000-0005-0000-0000-000086150000}"/>
    <cellStyle name="60% - akcent 3 2 2 4" xfId="5532" xr:uid="{00000000-0005-0000-0000-000087150000}"/>
    <cellStyle name="60% - akcent 3 2 2 5" xfId="5533" xr:uid="{00000000-0005-0000-0000-000088150000}"/>
    <cellStyle name="60% - akcent 3 2 2 6" xfId="5534" xr:uid="{00000000-0005-0000-0000-000089150000}"/>
    <cellStyle name="60% - akcent 3 2 2 7" xfId="5535" xr:uid="{00000000-0005-0000-0000-00008A150000}"/>
    <cellStyle name="60% - akcent 3 2 20" xfId="5536" xr:uid="{00000000-0005-0000-0000-00008B150000}"/>
    <cellStyle name="60% - akcent 3 2 20 2" xfId="5537" xr:uid="{00000000-0005-0000-0000-00008C150000}"/>
    <cellStyle name="60% - akcent 3 2 20 3" xfId="5538" xr:uid="{00000000-0005-0000-0000-00008D150000}"/>
    <cellStyle name="60% - akcent 3 2 20 4" xfId="5539" xr:uid="{00000000-0005-0000-0000-00008E150000}"/>
    <cellStyle name="60% - akcent 3 2 20 5" xfId="5540" xr:uid="{00000000-0005-0000-0000-00008F150000}"/>
    <cellStyle name="60% - akcent 3 2 20 6" xfId="5541" xr:uid="{00000000-0005-0000-0000-000090150000}"/>
    <cellStyle name="60% - akcent 3 2 21" xfId="5542" xr:uid="{00000000-0005-0000-0000-000091150000}"/>
    <cellStyle name="60% - akcent 3 2 21 2" xfId="5543" xr:uid="{00000000-0005-0000-0000-000092150000}"/>
    <cellStyle name="60% - akcent 3 2 21 3" xfId="5544" xr:uid="{00000000-0005-0000-0000-000093150000}"/>
    <cellStyle name="60% - akcent 3 2 21 4" xfId="5545" xr:uid="{00000000-0005-0000-0000-000094150000}"/>
    <cellStyle name="60% - akcent 3 2 21 5" xfId="5546" xr:uid="{00000000-0005-0000-0000-000095150000}"/>
    <cellStyle name="60% - akcent 3 2 21 6" xfId="5547" xr:uid="{00000000-0005-0000-0000-000096150000}"/>
    <cellStyle name="60% - akcent 3 2 22" xfId="5548" xr:uid="{00000000-0005-0000-0000-000097150000}"/>
    <cellStyle name="60% - akcent 3 2 22 2" xfId="5549" xr:uid="{00000000-0005-0000-0000-000098150000}"/>
    <cellStyle name="60% - akcent 3 2 22 3" xfId="5550" xr:uid="{00000000-0005-0000-0000-000099150000}"/>
    <cellStyle name="60% - akcent 3 2 22 4" xfId="5551" xr:uid="{00000000-0005-0000-0000-00009A150000}"/>
    <cellStyle name="60% - akcent 3 2 22 5" xfId="5552" xr:uid="{00000000-0005-0000-0000-00009B150000}"/>
    <cellStyle name="60% - akcent 3 2 22 6" xfId="5553" xr:uid="{00000000-0005-0000-0000-00009C150000}"/>
    <cellStyle name="60% - akcent 3 2 23" xfId="5554" xr:uid="{00000000-0005-0000-0000-00009D150000}"/>
    <cellStyle name="60% - akcent 3 2 23 2" xfId="5555" xr:uid="{00000000-0005-0000-0000-00009E150000}"/>
    <cellStyle name="60% - akcent 3 2 23 3" xfId="5556" xr:uid="{00000000-0005-0000-0000-00009F150000}"/>
    <cellStyle name="60% - akcent 3 2 23 4" xfId="5557" xr:uid="{00000000-0005-0000-0000-0000A0150000}"/>
    <cellStyle name="60% - akcent 3 2 23 5" xfId="5558" xr:uid="{00000000-0005-0000-0000-0000A1150000}"/>
    <cellStyle name="60% - akcent 3 2 23 6" xfId="5559" xr:uid="{00000000-0005-0000-0000-0000A2150000}"/>
    <cellStyle name="60% - akcent 3 2 24" xfId="5560" xr:uid="{00000000-0005-0000-0000-0000A3150000}"/>
    <cellStyle name="60% - akcent 3 2 24 2" xfId="5561" xr:uid="{00000000-0005-0000-0000-0000A4150000}"/>
    <cellStyle name="60% - akcent 3 2 24 3" xfId="5562" xr:uid="{00000000-0005-0000-0000-0000A5150000}"/>
    <cellStyle name="60% - akcent 3 2 24 4" xfId="5563" xr:uid="{00000000-0005-0000-0000-0000A6150000}"/>
    <cellStyle name="60% - akcent 3 2 24 5" xfId="5564" xr:uid="{00000000-0005-0000-0000-0000A7150000}"/>
    <cellStyle name="60% - akcent 3 2 24 6" xfId="5565" xr:uid="{00000000-0005-0000-0000-0000A8150000}"/>
    <cellStyle name="60% - akcent 3 2 25" xfId="5566" xr:uid="{00000000-0005-0000-0000-0000A9150000}"/>
    <cellStyle name="60% - akcent 3 2 25 2" xfId="5567" xr:uid="{00000000-0005-0000-0000-0000AA150000}"/>
    <cellStyle name="60% - akcent 3 2 25 3" xfId="5568" xr:uid="{00000000-0005-0000-0000-0000AB150000}"/>
    <cellStyle name="60% - akcent 3 2 25 4" xfId="5569" xr:uid="{00000000-0005-0000-0000-0000AC150000}"/>
    <cellStyle name="60% - akcent 3 2 25 5" xfId="5570" xr:uid="{00000000-0005-0000-0000-0000AD150000}"/>
    <cellStyle name="60% - akcent 3 2 25 6" xfId="5571" xr:uid="{00000000-0005-0000-0000-0000AE150000}"/>
    <cellStyle name="60% - akcent 3 2 26" xfId="5572" xr:uid="{00000000-0005-0000-0000-0000AF150000}"/>
    <cellStyle name="60% - akcent 3 2 26 2" xfId="5573" xr:uid="{00000000-0005-0000-0000-0000B0150000}"/>
    <cellStyle name="60% - akcent 3 2 26 3" xfId="5574" xr:uid="{00000000-0005-0000-0000-0000B1150000}"/>
    <cellStyle name="60% - akcent 3 2 26 4" xfId="5575" xr:uid="{00000000-0005-0000-0000-0000B2150000}"/>
    <cellStyle name="60% - akcent 3 2 26 5" xfId="5576" xr:uid="{00000000-0005-0000-0000-0000B3150000}"/>
    <cellStyle name="60% - akcent 3 2 26 6" xfId="5577" xr:uid="{00000000-0005-0000-0000-0000B4150000}"/>
    <cellStyle name="60% - akcent 3 2 27" xfId="5578" xr:uid="{00000000-0005-0000-0000-0000B5150000}"/>
    <cellStyle name="60% - akcent 3 2 27 2" xfId="5579" xr:uid="{00000000-0005-0000-0000-0000B6150000}"/>
    <cellStyle name="60% - akcent 3 2 27 3" xfId="5580" xr:uid="{00000000-0005-0000-0000-0000B7150000}"/>
    <cellStyle name="60% - akcent 3 2 27 4" xfId="5581" xr:uid="{00000000-0005-0000-0000-0000B8150000}"/>
    <cellStyle name="60% - akcent 3 2 27 5" xfId="5582" xr:uid="{00000000-0005-0000-0000-0000B9150000}"/>
    <cellStyle name="60% - akcent 3 2 27 6" xfId="5583" xr:uid="{00000000-0005-0000-0000-0000BA150000}"/>
    <cellStyle name="60% - akcent 3 2 28" xfId="5584" xr:uid="{00000000-0005-0000-0000-0000BB150000}"/>
    <cellStyle name="60% - akcent 3 2 28 2" xfId="5585" xr:uid="{00000000-0005-0000-0000-0000BC150000}"/>
    <cellStyle name="60% - akcent 3 2 28 3" xfId="5586" xr:uid="{00000000-0005-0000-0000-0000BD150000}"/>
    <cellStyle name="60% - akcent 3 2 28 4" xfId="5587" xr:uid="{00000000-0005-0000-0000-0000BE150000}"/>
    <cellStyle name="60% - akcent 3 2 28 5" xfId="5588" xr:uid="{00000000-0005-0000-0000-0000BF150000}"/>
    <cellStyle name="60% - akcent 3 2 28 6" xfId="5589" xr:uid="{00000000-0005-0000-0000-0000C0150000}"/>
    <cellStyle name="60% - akcent 3 2 29" xfId="5590" xr:uid="{00000000-0005-0000-0000-0000C1150000}"/>
    <cellStyle name="60% - akcent 3 2 29 2" xfId="5591" xr:uid="{00000000-0005-0000-0000-0000C2150000}"/>
    <cellStyle name="60% - akcent 3 2 3" xfId="5592" xr:uid="{00000000-0005-0000-0000-0000C3150000}"/>
    <cellStyle name="60% - akcent 3 2 3 2" xfId="5593" xr:uid="{00000000-0005-0000-0000-0000C4150000}"/>
    <cellStyle name="60% - akcent 3 2 3 3" xfId="5594" xr:uid="{00000000-0005-0000-0000-0000C5150000}"/>
    <cellStyle name="60% - akcent 3 2 3 4" xfId="5595" xr:uid="{00000000-0005-0000-0000-0000C6150000}"/>
    <cellStyle name="60% - akcent 3 2 3 5" xfId="5596" xr:uid="{00000000-0005-0000-0000-0000C7150000}"/>
    <cellStyle name="60% - akcent 3 2 3 6" xfId="5597" xr:uid="{00000000-0005-0000-0000-0000C8150000}"/>
    <cellStyle name="60% - akcent 3 2 30" xfId="5598" xr:uid="{00000000-0005-0000-0000-0000C9150000}"/>
    <cellStyle name="60% - akcent 3 2 30 2" xfId="5599" xr:uid="{00000000-0005-0000-0000-0000CA150000}"/>
    <cellStyle name="60% - akcent 3 2 31" xfId="5600" xr:uid="{00000000-0005-0000-0000-0000CB150000}"/>
    <cellStyle name="60% - akcent 3 2 31 2" xfId="5601" xr:uid="{00000000-0005-0000-0000-0000CC150000}"/>
    <cellStyle name="60% - akcent 3 2 32" xfId="5602" xr:uid="{00000000-0005-0000-0000-0000CD150000}"/>
    <cellStyle name="60% - akcent 3 2 32 2" xfId="5603" xr:uid="{00000000-0005-0000-0000-0000CE150000}"/>
    <cellStyle name="60% - akcent 3 2 33" xfId="5604" xr:uid="{00000000-0005-0000-0000-0000CF150000}"/>
    <cellStyle name="60% - akcent 3 2 34" xfId="5605" xr:uid="{00000000-0005-0000-0000-0000D0150000}"/>
    <cellStyle name="60% - akcent 3 2 35" xfId="5606" xr:uid="{00000000-0005-0000-0000-0000D1150000}"/>
    <cellStyle name="60% - akcent 3 2 36" xfId="5607" xr:uid="{00000000-0005-0000-0000-0000D2150000}"/>
    <cellStyle name="60% - akcent 3 2 37" xfId="5608" xr:uid="{00000000-0005-0000-0000-0000D3150000}"/>
    <cellStyle name="60% - akcent 3 2 38" xfId="5609" xr:uid="{00000000-0005-0000-0000-0000D4150000}"/>
    <cellStyle name="60% - akcent 3 2 39" xfId="5610" xr:uid="{00000000-0005-0000-0000-0000D5150000}"/>
    <cellStyle name="60% - akcent 3 2 4" xfId="5611" xr:uid="{00000000-0005-0000-0000-0000D6150000}"/>
    <cellStyle name="60% - akcent 3 2 4 2" xfId="5612" xr:uid="{00000000-0005-0000-0000-0000D7150000}"/>
    <cellStyle name="60% - akcent 3 2 4 3" xfId="5613" xr:uid="{00000000-0005-0000-0000-0000D8150000}"/>
    <cellStyle name="60% - akcent 3 2 4 4" xfId="5614" xr:uid="{00000000-0005-0000-0000-0000D9150000}"/>
    <cellStyle name="60% - akcent 3 2 4 5" xfId="5615" xr:uid="{00000000-0005-0000-0000-0000DA150000}"/>
    <cellStyle name="60% - akcent 3 2 4 6" xfId="5616" xr:uid="{00000000-0005-0000-0000-0000DB150000}"/>
    <cellStyle name="60% - akcent 3 2 40" xfId="5617" xr:uid="{00000000-0005-0000-0000-0000DC150000}"/>
    <cellStyle name="60% - akcent 3 2 41" xfId="5618" xr:uid="{00000000-0005-0000-0000-0000DD150000}"/>
    <cellStyle name="60% - akcent 3 2 42" xfId="5619" xr:uid="{00000000-0005-0000-0000-0000DE150000}"/>
    <cellStyle name="60% - akcent 3 2 43" xfId="5620" xr:uid="{00000000-0005-0000-0000-0000DF150000}"/>
    <cellStyle name="60% - akcent 3 2 44" xfId="5621" xr:uid="{00000000-0005-0000-0000-0000E0150000}"/>
    <cellStyle name="60% - akcent 3 2 45" xfId="5622" xr:uid="{00000000-0005-0000-0000-0000E1150000}"/>
    <cellStyle name="60% - akcent 3 2 46" xfId="5623" xr:uid="{00000000-0005-0000-0000-0000E2150000}"/>
    <cellStyle name="60% - akcent 3 2 47" xfId="5624" xr:uid="{00000000-0005-0000-0000-0000E3150000}"/>
    <cellStyle name="60% - akcent 3 2 48" xfId="5625" xr:uid="{00000000-0005-0000-0000-0000E4150000}"/>
    <cellStyle name="60% - akcent 3 2 49" xfId="5626" xr:uid="{00000000-0005-0000-0000-0000E5150000}"/>
    <cellStyle name="60% - akcent 3 2 5" xfId="5627" xr:uid="{00000000-0005-0000-0000-0000E6150000}"/>
    <cellStyle name="60% - akcent 3 2 5 2" xfId="5628" xr:uid="{00000000-0005-0000-0000-0000E7150000}"/>
    <cellStyle name="60% - akcent 3 2 5 3" xfId="5629" xr:uid="{00000000-0005-0000-0000-0000E8150000}"/>
    <cellStyle name="60% - akcent 3 2 5 4" xfId="5630" xr:uid="{00000000-0005-0000-0000-0000E9150000}"/>
    <cellStyle name="60% - akcent 3 2 5 5" xfId="5631" xr:uid="{00000000-0005-0000-0000-0000EA150000}"/>
    <cellStyle name="60% - akcent 3 2 5 6" xfId="5632" xr:uid="{00000000-0005-0000-0000-0000EB150000}"/>
    <cellStyle name="60% - akcent 3 2 50" xfId="5633" xr:uid="{00000000-0005-0000-0000-0000EC150000}"/>
    <cellStyle name="60% - akcent 3 2 51" xfId="5634" xr:uid="{00000000-0005-0000-0000-0000ED150000}"/>
    <cellStyle name="60% - akcent 3 2 52" xfId="5635" xr:uid="{00000000-0005-0000-0000-0000EE150000}"/>
    <cellStyle name="60% - akcent 3 2 6" xfId="5636" xr:uid="{00000000-0005-0000-0000-0000EF150000}"/>
    <cellStyle name="60% - akcent 3 2 6 2" xfId="5637" xr:uid="{00000000-0005-0000-0000-0000F0150000}"/>
    <cellStyle name="60% - akcent 3 2 6 3" xfId="5638" xr:uid="{00000000-0005-0000-0000-0000F1150000}"/>
    <cellStyle name="60% - akcent 3 2 6 4" xfId="5639" xr:uid="{00000000-0005-0000-0000-0000F2150000}"/>
    <cellStyle name="60% - akcent 3 2 6 5" xfId="5640" xr:uid="{00000000-0005-0000-0000-0000F3150000}"/>
    <cellStyle name="60% - akcent 3 2 6 6" xfId="5641" xr:uid="{00000000-0005-0000-0000-0000F4150000}"/>
    <cellStyle name="60% - akcent 3 2 7" xfId="5642" xr:uid="{00000000-0005-0000-0000-0000F5150000}"/>
    <cellStyle name="60% - akcent 3 2 7 2" xfId="5643" xr:uid="{00000000-0005-0000-0000-0000F6150000}"/>
    <cellStyle name="60% - akcent 3 2 7 3" xfId="5644" xr:uid="{00000000-0005-0000-0000-0000F7150000}"/>
    <cellStyle name="60% - akcent 3 2 7 4" xfId="5645" xr:uid="{00000000-0005-0000-0000-0000F8150000}"/>
    <cellStyle name="60% - akcent 3 2 7 5" xfId="5646" xr:uid="{00000000-0005-0000-0000-0000F9150000}"/>
    <cellStyle name="60% - akcent 3 2 7 6" xfId="5647" xr:uid="{00000000-0005-0000-0000-0000FA150000}"/>
    <cellStyle name="60% - akcent 3 2 8" xfId="5648" xr:uid="{00000000-0005-0000-0000-0000FB150000}"/>
    <cellStyle name="60% - akcent 3 2 8 2" xfId="5649" xr:uid="{00000000-0005-0000-0000-0000FC150000}"/>
    <cellStyle name="60% - akcent 3 2 8 3" xfId="5650" xr:uid="{00000000-0005-0000-0000-0000FD150000}"/>
    <cellStyle name="60% - akcent 3 2 8 4" xfId="5651" xr:uid="{00000000-0005-0000-0000-0000FE150000}"/>
    <cellStyle name="60% - akcent 3 2 8 5" xfId="5652" xr:uid="{00000000-0005-0000-0000-0000FF150000}"/>
    <cellStyle name="60% - akcent 3 2 8 6" xfId="5653" xr:uid="{00000000-0005-0000-0000-000000160000}"/>
    <cellStyle name="60% - akcent 3 2 9" xfId="5654" xr:uid="{00000000-0005-0000-0000-000001160000}"/>
    <cellStyle name="60% - akcent 3 2 9 2" xfId="5655" xr:uid="{00000000-0005-0000-0000-000002160000}"/>
    <cellStyle name="60% - akcent 3 2 9 3" xfId="5656" xr:uid="{00000000-0005-0000-0000-000003160000}"/>
    <cellStyle name="60% - akcent 3 2 9 4" xfId="5657" xr:uid="{00000000-0005-0000-0000-000004160000}"/>
    <cellStyle name="60% - akcent 3 2 9 5" xfId="5658" xr:uid="{00000000-0005-0000-0000-000005160000}"/>
    <cellStyle name="60% - akcent 3 2 9 6" xfId="5659" xr:uid="{00000000-0005-0000-0000-000006160000}"/>
    <cellStyle name="60% - akcent 3 3" xfId="5660" xr:uid="{00000000-0005-0000-0000-000007160000}"/>
    <cellStyle name="60% - akcent 3 3 2" xfId="5661" xr:uid="{00000000-0005-0000-0000-000008160000}"/>
    <cellStyle name="60% - akcent 3 3 2 2" xfId="5662" xr:uid="{00000000-0005-0000-0000-000009160000}"/>
    <cellStyle name="60% - akcent 3 3 3" xfId="5663" xr:uid="{00000000-0005-0000-0000-00000A160000}"/>
    <cellStyle name="60% - akcent 3 3 4" xfId="5664" xr:uid="{00000000-0005-0000-0000-00000B160000}"/>
    <cellStyle name="60% - akcent 3 3 5" xfId="5665" xr:uid="{00000000-0005-0000-0000-00000C160000}"/>
    <cellStyle name="60% - akcent 3 3 6" xfId="5666" xr:uid="{00000000-0005-0000-0000-00000D160000}"/>
    <cellStyle name="60% - akcent 3 3 7" xfId="5667" xr:uid="{00000000-0005-0000-0000-00000E160000}"/>
    <cellStyle name="60% - akcent 3 3 8" xfId="5668" xr:uid="{00000000-0005-0000-0000-00000F160000}"/>
    <cellStyle name="60% - akcent 3 4" xfId="5669" xr:uid="{00000000-0005-0000-0000-000010160000}"/>
    <cellStyle name="60% - akcent 3 4 2" xfId="5670" xr:uid="{00000000-0005-0000-0000-000011160000}"/>
    <cellStyle name="60% - akcent 3 4 3" xfId="5671" xr:uid="{00000000-0005-0000-0000-000012160000}"/>
    <cellStyle name="60% - akcent 3 4 4" xfId="5672" xr:uid="{00000000-0005-0000-0000-000013160000}"/>
    <cellStyle name="60% - akcent 3 4 5" xfId="5673" xr:uid="{00000000-0005-0000-0000-000014160000}"/>
    <cellStyle name="60% - akcent 3 4 6" xfId="5674" xr:uid="{00000000-0005-0000-0000-000015160000}"/>
    <cellStyle name="60% - akcent 3 4 7" xfId="5675" xr:uid="{00000000-0005-0000-0000-000016160000}"/>
    <cellStyle name="60% - akcent 3 4 8" xfId="5676" xr:uid="{00000000-0005-0000-0000-000017160000}"/>
    <cellStyle name="60% - akcent 3 5" xfId="5677" xr:uid="{00000000-0005-0000-0000-000018160000}"/>
    <cellStyle name="60% - akcent 3 5 2" xfId="5678" xr:uid="{00000000-0005-0000-0000-000019160000}"/>
    <cellStyle name="60% - akcent 3 6" xfId="5679" xr:uid="{00000000-0005-0000-0000-00001A160000}"/>
    <cellStyle name="60% - akcent 3 7" xfId="5680" xr:uid="{00000000-0005-0000-0000-00001B160000}"/>
    <cellStyle name="60% - akcent 4 2" xfId="5681" xr:uid="{00000000-0005-0000-0000-00001C160000}"/>
    <cellStyle name="60% - akcent 4 2 10" xfId="5682" xr:uid="{00000000-0005-0000-0000-00001D160000}"/>
    <cellStyle name="60% - akcent 4 2 10 2" xfId="5683" xr:uid="{00000000-0005-0000-0000-00001E160000}"/>
    <cellStyle name="60% - akcent 4 2 10 3" xfId="5684" xr:uid="{00000000-0005-0000-0000-00001F160000}"/>
    <cellStyle name="60% - akcent 4 2 10 4" xfId="5685" xr:uid="{00000000-0005-0000-0000-000020160000}"/>
    <cellStyle name="60% - akcent 4 2 10 5" xfId="5686" xr:uid="{00000000-0005-0000-0000-000021160000}"/>
    <cellStyle name="60% - akcent 4 2 10 6" xfId="5687" xr:uid="{00000000-0005-0000-0000-000022160000}"/>
    <cellStyle name="60% - akcent 4 2 11" xfId="5688" xr:uid="{00000000-0005-0000-0000-000023160000}"/>
    <cellStyle name="60% - akcent 4 2 11 2" xfId="5689" xr:uid="{00000000-0005-0000-0000-000024160000}"/>
    <cellStyle name="60% - akcent 4 2 11 3" xfId="5690" xr:uid="{00000000-0005-0000-0000-000025160000}"/>
    <cellStyle name="60% - akcent 4 2 11 4" xfId="5691" xr:uid="{00000000-0005-0000-0000-000026160000}"/>
    <cellStyle name="60% - akcent 4 2 11 5" xfId="5692" xr:uid="{00000000-0005-0000-0000-000027160000}"/>
    <cellStyle name="60% - akcent 4 2 11 6" xfId="5693" xr:uid="{00000000-0005-0000-0000-000028160000}"/>
    <cellStyle name="60% - akcent 4 2 12" xfId="5694" xr:uid="{00000000-0005-0000-0000-000029160000}"/>
    <cellStyle name="60% - akcent 4 2 12 2" xfId="5695" xr:uid="{00000000-0005-0000-0000-00002A160000}"/>
    <cellStyle name="60% - akcent 4 2 12 3" xfId="5696" xr:uid="{00000000-0005-0000-0000-00002B160000}"/>
    <cellStyle name="60% - akcent 4 2 12 4" xfId="5697" xr:uid="{00000000-0005-0000-0000-00002C160000}"/>
    <cellStyle name="60% - akcent 4 2 12 5" xfId="5698" xr:uid="{00000000-0005-0000-0000-00002D160000}"/>
    <cellStyle name="60% - akcent 4 2 12 6" xfId="5699" xr:uid="{00000000-0005-0000-0000-00002E160000}"/>
    <cellStyle name="60% - akcent 4 2 13" xfId="5700" xr:uid="{00000000-0005-0000-0000-00002F160000}"/>
    <cellStyle name="60% - akcent 4 2 13 2" xfId="5701" xr:uid="{00000000-0005-0000-0000-000030160000}"/>
    <cellStyle name="60% - akcent 4 2 13 3" xfId="5702" xr:uid="{00000000-0005-0000-0000-000031160000}"/>
    <cellStyle name="60% - akcent 4 2 13 4" xfId="5703" xr:uid="{00000000-0005-0000-0000-000032160000}"/>
    <cellStyle name="60% - akcent 4 2 13 5" xfId="5704" xr:uid="{00000000-0005-0000-0000-000033160000}"/>
    <cellStyle name="60% - akcent 4 2 13 6" xfId="5705" xr:uid="{00000000-0005-0000-0000-000034160000}"/>
    <cellStyle name="60% - akcent 4 2 14" xfId="5706" xr:uid="{00000000-0005-0000-0000-000035160000}"/>
    <cellStyle name="60% - akcent 4 2 14 2" xfId="5707" xr:uid="{00000000-0005-0000-0000-000036160000}"/>
    <cellStyle name="60% - akcent 4 2 14 3" xfId="5708" xr:uid="{00000000-0005-0000-0000-000037160000}"/>
    <cellStyle name="60% - akcent 4 2 14 4" xfId="5709" xr:uid="{00000000-0005-0000-0000-000038160000}"/>
    <cellStyle name="60% - akcent 4 2 14 5" xfId="5710" xr:uid="{00000000-0005-0000-0000-000039160000}"/>
    <cellStyle name="60% - akcent 4 2 14 6" xfId="5711" xr:uid="{00000000-0005-0000-0000-00003A160000}"/>
    <cellStyle name="60% - akcent 4 2 15" xfId="5712" xr:uid="{00000000-0005-0000-0000-00003B160000}"/>
    <cellStyle name="60% - akcent 4 2 15 2" xfId="5713" xr:uid="{00000000-0005-0000-0000-00003C160000}"/>
    <cellStyle name="60% - akcent 4 2 15 3" xfId="5714" xr:uid="{00000000-0005-0000-0000-00003D160000}"/>
    <cellStyle name="60% - akcent 4 2 15 4" xfId="5715" xr:uid="{00000000-0005-0000-0000-00003E160000}"/>
    <cellStyle name="60% - akcent 4 2 15 5" xfId="5716" xr:uid="{00000000-0005-0000-0000-00003F160000}"/>
    <cellStyle name="60% - akcent 4 2 15 6" xfId="5717" xr:uid="{00000000-0005-0000-0000-000040160000}"/>
    <cellStyle name="60% - akcent 4 2 16" xfId="5718" xr:uid="{00000000-0005-0000-0000-000041160000}"/>
    <cellStyle name="60% - akcent 4 2 16 2" xfId="5719" xr:uid="{00000000-0005-0000-0000-000042160000}"/>
    <cellStyle name="60% - akcent 4 2 16 3" xfId="5720" xr:uid="{00000000-0005-0000-0000-000043160000}"/>
    <cellStyle name="60% - akcent 4 2 16 4" xfId="5721" xr:uid="{00000000-0005-0000-0000-000044160000}"/>
    <cellStyle name="60% - akcent 4 2 16 5" xfId="5722" xr:uid="{00000000-0005-0000-0000-000045160000}"/>
    <cellStyle name="60% - akcent 4 2 16 6" xfId="5723" xr:uid="{00000000-0005-0000-0000-000046160000}"/>
    <cellStyle name="60% - akcent 4 2 17" xfId="5724" xr:uid="{00000000-0005-0000-0000-000047160000}"/>
    <cellStyle name="60% - akcent 4 2 17 2" xfId="5725" xr:uid="{00000000-0005-0000-0000-000048160000}"/>
    <cellStyle name="60% - akcent 4 2 17 3" xfId="5726" xr:uid="{00000000-0005-0000-0000-000049160000}"/>
    <cellStyle name="60% - akcent 4 2 17 4" xfId="5727" xr:uid="{00000000-0005-0000-0000-00004A160000}"/>
    <cellStyle name="60% - akcent 4 2 17 5" xfId="5728" xr:uid="{00000000-0005-0000-0000-00004B160000}"/>
    <cellStyle name="60% - akcent 4 2 17 6" xfId="5729" xr:uid="{00000000-0005-0000-0000-00004C160000}"/>
    <cellStyle name="60% - akcent 4 2 18" xfId="5730" xr:uid="{00000000-0005-0000-0000-00004D160000}"/>
    <cellStyle name="60% - akcent 4 2 18 2" xfId="5731" xr:uid="{00000000-0005-0000-0000-00004E160000}"/>
    <cellStyle name="60% - akcent 4 2 18 3" xfId="5732" xr:uid="{00000000-0005-0000-0000-00004F160000}"/>
    <cellStyle name="60% - akcent 4 2 18 4" xfId="5733" xr:uid="{00000000-0005-0000-0000-000050160000}"/>
    <cellStyle name="60% - akcent 4 2 18 5" xfId="5734" xr:uid="{00000000-0005-0000-0000-000051160000}"/>
    <cellStyle name="60% - akcent 4 2 18 6" xfId="5735" xr:uid="{00000000-0005-0000-0000-000052160000}"/>
    <cellStyle name="60% - akcent 4 2 19" xfId="5736" xr:uid="{00000000-0005-0000-0000-000053160000}"/>
    <cellStyle name="60% - akcent 4 2 19 2" xfId="5737" xr:uid="{00000000-0005-0000-0000-000054160000}"/>
    <cellStyle name="60% - akcent 4 2 19 3" xfId="5738" xr:uid="{00000000-0005-0000-0000-000055160000}"/>
    <cellStyle name="60% - akcent 4 2 19 4" xfId="5739" xr:uid="{00000000-0005-0000-0000-000056160000}"/>
    <cellStyle name="60% - akcent 4 2 19 5" xfId="5740" xr:uid="{00000000-0005-0000-0000-000057160000}"/>
    <cellStyle name="60% - akcent 4 2 19 6" xfId="5741" xr:uid="{00000000-0005-0000-0000-000058160000}"/>
    <cellStyle name="60% - akcent 4 2 2" xfId="5742" xr:uid="{00000000-0005-0000-0000-000059160000}"/>
    <cellStyle name="60% - akcent 4 2 2 2" xfId="5743" xr:uid="{00000000-0005-0000-0000-00005A160000}"/>
    <cellStyle name="60% - akcent 4 2 2 3" xfId="5744" xr:uid="{00000000-0005-0000-0000-00005B160000}"/>
    <cellStyle name="60% - akcent 4 2 2 4" xfId="5745" xr:uid="{00000000-0005-0000-0000-00005C160000}"/>
    <cellStyle name="60% - akcent 4 2 2 5" xfId="5746" xr:uid="{00000000-0005-0000-0000-00005D160000}"/>
    <cellStyle name="60% - akcent 4 2 2 6" xfId="5747" xr:uid="{00000000-0005-0000-0000-00005E160000}"/>
    <cellStyle name="60% - akcent 4 2 2 7" xfId="5748" xr:uid="{00000000-0005-0000-0000-00005F160000}"/>
    <cellStyle name="60% - akcent 4 2 20" xfId="5749" xr:uid="{00000000-0005-0000-0000-000060160000}"/>
    <cellStyle name="60% - akcent 4 2 20 2" xfId="5750" xr:uid="{00000000-0005-0000-0000-000061160000}"/>
    <cellStyle name="60% - akcent 4 2 20 3" xfId="5751" xr:uid="{00000000-0005-0000-0000-000062160000}"/>
    <cellStyle name="60% - akcent 4 2 20 4" xfId="5752" xr:uid="{00000000-0005-0000-0000-000063160000}"/>
    <cellStyle name="60% - akcent 4 2 20 5" xfId="5753" xr:uid="{00000000-0005-0000-0000-000064160000}"/>
    <cellStyle name="60% - akcent 4 2 20 6" xfId="5754" xr:uid="{00000000-0005-0000-0000-000065160000}"/>
    <cellStyle name="60% - akcent 4 2 21" xfId="5755" xr:uid="{00000000-0005-0000-0000-000066160000}"/>
    <cellStyle name="60% - akcent 4 2 21 2" xfId="5756" xr:uid="{00000000-0005-0000-0000-000067160000}"/>
    <cellStyle name="60% - akcent 4 2 21 3" xfId="5757" xr:uid="{00000000-0005-0000-0000-000068160000}"/>
    <cellStyle name="60% - akcent 4 2 21 4" xfId="5758" xr:uid="{00000000-0005-0000-0000-000069160000}"/>
    <cellStyle name="60% - akcent 4 2 21 5" xfId="5759" xr:uid="{00000000-0005-0000-0000-00006A160000}"/>
    <cellStyle name="60% - akcent 4 2 21 6" xfId="5760" xr:uid="{00000000-0005-0000-0000-00006B160000}"/>
    <cellStyle name="60% - akcent 4 2 22" xfId="5761" xr:uid="{00000000-0005-0000-0000-00006C160000}"/>
    <cellStyle name="60% - akcent 4 2 22 2" xfId="5762" xr:uid="{00000000-0005-0000-0000-00006D160000}"/>
    <cellStyle name="60% - akcent 4 2 22 3" xfId="5763" xr:uid="{00000000-0005-0000-0000-00006E160000}"/>
    <cellStyle name="60% - akcent 4 2 22 4" xfId="5764" xr:uid="{00000000-0005-0000-0000-00006F160000}"/>
    <cellStyle name="60% - akcent 4 2 22 5" xfId="5765" xr:uid="{00000000-0005-0000-0000-000070160000}"/>
    <cellStyle name="60% - akcent 4 2 22 6" xfId="5766" xr:uid="{00000000-0005-0000-0000-000071160000}"/>
    <cellStyle name="60% - akcent 4 2 23" xfId="5767" xr:uid="{00000000-0005-0000-0000-000072160000}"/>
    <cellStyle name="60% - akcent 4 2 23 2" xfId="5768" xr:uid="{00000000-0005-0000-0000-000073160000}"/>
    <cellStyle name="60% - akcent 4 2 23 3" xfId="5769" xr:uid="{00000000-0005-0000-0000-000074160000}"/>
    <cellStyle name="60% - akcent 4 2 23 4" xfId="5770" xr:uid="{00000000-0005-0000-0000-000075160000}"/>
    <cellStyle name="60% - akcent 4 2 23 5" xfId="5771" xr:uid="{00000000-0005-0000-0000-000076160000}"/>
    <cellStyle name="60% - akcent 4 2 23 6" xfId="5772" xr:uid="{00000000-0005-0000-0000-000077160000}"/>
    <cellStyle name="60% - akcent 4 2 24" xfId="5773" xr:uid="{00000000-0005-0000-0000-000078160000}"/>
    <cellStyle name="60% - akcent 4 2 24 2" xfId="5774" xr:uid="{00000000-0005-0000-0000-000079160000}"/>
    <cellStyle name="60% - akcent 4 2 24 3" xfId="5775" xr:uid="{00000000-0005-0000-0000-00007A160000}"/>
    <cellStyle name="60% - akcent 4 2 24 4" xfId="5776" xr:uid="{00000000-0005-0000-0000-00007B160000}"/>
    <cellStyle name="60% - akcent 4 2 24 5" xfId="5777" xr:uid="{00000000-0005-0000-0000-00007C160000}"/>
    <cellStyle name="60% - akcent 4 2 24 6" xfId="5778" xr:uid="{00000000-0005-0000-0000-00007D160000}"/>
    <cellStyle name="60% - akcent 4 2 25" xfId="5779" xr:uid="{00000000-0005-0000-0000-00007E160000}"/>
    <cellStyle name="60% - akcent 4 2 25 2" xfId="5780" xr:uid="{00000000-0005-0000-0000-00007F160000}"/>
    <cellStyle name="60% - akcent 4 2 25 3" xfId="5781" xr:uid="{00000000-0005-0000-0000-000080160000}"/>
    <cellStyle name="60% - akcent 4 2 25 4" xfId="5782" xr:uid="{00000000-0005-0000-0000-000081160000}"/>
    <cellStyle name="60% - akcent 4 2 25 5" xfId="5783" xr:uid="{00000000-0005-0000-0000-000082160000}"/>
    <cellStyle name="60% - akcent 4 2 25 6" xfId="5784" xr:uid="{00000000-0005-0000-0000-000083160000}"/>
    <cellStyle name="60% - akcent 4 2 26" xfId="5785" xr:uid="{00000000-0005-0000-0000-000084160000}"/>
    <cellStyle name="60% - akcent 4 2 26 2" xfId="5786" xr:uid="{00000000-0005-0000-0000-000085160000}"/>
    <cellStyle name="60% - akcent 4 2 26 3" xfId="5787" xr:uid="{00000000-0005-0000-0000-000086160000}"/>
    <cellStyle name="60% - akcent 4 2 26 4" xfId="5788" xr:uid="{00000000-0005-0000-0000-000087160000}"/>
    <cellStyle name="60% - akcent 4 2 26 5" xfId="5789" xr:uid="{00000000-0005-0000-0000-000088160000}"/>
    <cellStyle name="60% - akcent 4 2 26 6" xfId="5790" xr:uid="{00000000-0005-0000-0000-000089160000}"/>
    <cellStyle name="60% - akcent 4 2 27" xfId="5791" xr:uid="{00000000-0005-0000-0000-00008A160000}"/>
    <cellStyle name="60% - akcent 4 2 27 2" xfId="5792" xr:uid="{00000000-0005-0000-0000-00008B160000}"/>
    <cellStyle name="60% - akcent 4 2 27 3" xfId="5793" xr:uid="{00000000-0005-0000-0000-00008C160000}"/>
    <cellStyle name="60% - akcent 4 2 27 4" xfId="5794" xr:uid="{00000000-0005-0000-0000-00008D160000}"/>
    <cellStyle name="60% - akcent 4 2 27 5" xfId="5795" xr:uid="{00000000-0005-0000-0000-00008E160000}"/>
    <cellStyle name="60% - akcent 4 2 27 6" xfId="5796" xr:uid="{00000000-0005-0000-0000-00008F160000}"/>
    <cellStyle name="60% - akcent 4 2 28" xfId="5797" xr:uid="{00000000-0005-0000-0000-000090160000}"/>
    <cellStyle name="60% - akcent 4 2 28 2" xfId="5798" xr:uid="{00000000-0005-0000-0000-000091160000}"/>
    <cellStyle name="60% - akcent 4 2 28 3" xfId="5799" xr:uid="{00000000-0005-0000-0000-000092160000}"/>
    <cellStyle name="60% - akcent 4 2 28 4" xfId="5800" xr:uid="{00000000-0005-0000-0000-000093160000}"/>
    <cellStyle name="60% - akcent 4 2 28 5" xfId="5801" xr:uid="{00000000-0005-0000-0000-000094160000}"/>
    <cellStyle name="60% - akcent 4 2 28 6" xfId="5802" xr:uid="{00000000-0005-0000-0000-000095160000}"/>
    <cellStyle name="60% - akcent 4 2 29" xfId="5803" xr:uid="{00000000-0005-0000-0000-000096160000}"/>
    <cellStyle name="60% - akcent 4 2 29 2" xfId="5804" xr:uid="{00000000-0005-0000-0000-000097160000}"/>
    <cellStyle name="60% - akcent 4 2 3" xfId="5805" xr:uid="{00000000-0005-0000-0000-000098160000}"/>
    <cellStyle name="60% - akcent 4 2 3 2" xfId="5806" xr:uid="{00000000-0005-0000-0000-000099160000}"/>
    <cellStyle name="60% - akcent 4 2 3 3" xfId="5807" xr:uid="{00000000-0005-0000-0000-00009A160000}"/>
    <cellStyle name="60% - akcent 4 2 3 4" xfId="5808" xr:uid="{00000000-0005-0000-0000-00009B160000}"/>
    <cellStyle name="60% - akcent 4 2 3 5" xfId="5809" xr:uid="{00000000-0005-0000-0000-00009C160000}"/>
    <cellStyle name="60% - akcent 4 2 3 6" xfId="5810" xr:uid="{00000000-0005-0000-0000-00009D160000}"/>
    <cellStyle name="60% - akcent 4 2 30" xfId="5811" xr:uid="{00000000-0005-0000-0000-00009E160000}"/>
    <cellStyle name="60% - akcent 4 2 30 2" xfId="5812" xr:uid="{00000000-0005-0000-0000-00009F160000}"/>
    <cellStyle name="60% - akcent 4 2 31" xfId="5813" xr:uid="{00000000-0005-0000-0000-0000A0160000}"/>
    <cellStyle name="60% - akcent 4 2 31 2" xfId="5814" xr:uid="{00000000-0005-0000-0000-0000A1160000}"/>
    <cellStyle name="60% - akcent 4 2 32" xfId="5815" xr:uid="{00000000-0005-0000-0000-0000A2160000}"/>
    <cellStyle name="60% - akcent 4 2 32 2" xfId="5816" xr:uid="{00000000-0005-0000-0000-0000A3160000}"/>
    <cellStyle name="60% - akcent 4 2 33" xfId="5817" xr:uid="{00000000-0005-0000-0000-0000A4160000}"/>
    <cellStyle name="60% - akcent 4 2 34" xfId="5818" xr:uid="{00000000-0005-0000-0000-0000A5160000}"/>
    <cellStyle name="60% - akcent 4 2 35" xfId="5819" xr:uid="{00000000-0005-0000-0000-0000A6160000}"/>
    <cellStyle name="60% - akcent 4 2 36" xfId="5820" xr:uid="{00000000-0005-0000-0000-0000A7160000}"/>
    <cellStyle name="60% - akcent 4 2 37" xfId="5821" xr:uid="{00000000-0005-0000-0000-0000A8160000}"/>
    <cellStyle name="60% - akcent 4 2 38" xfId="5822" xr:uid="{00000000-0005-0000-0000-0000A9160000}"/>
    <cellStyle name="60% - akcent 4 2 39" xfId="5823" xr:uid="{00000000-0005-0000-0000-0000AA160000}"/>
    <cellStyle name="60% - akcent 4 2 4" xfId="5824" xr:uid="{00000000-0005-0000-0000-0000AB160000}"/>
    <cellStyle name="60% - akcent 4 2 4 2" xfId="5825" xr:uid="{00000000-0005-0000-0000-0000AC160000}"/>
    <cellStyle name="60% - akcent 4 2 4 3" xfId="5826" xr:uid="{00000000-0005-0000-0000-0000AD160000}"/>
    <cellStyle name="60% - akcent 4 2 4 4" xfId="5827" xr:uid="{00000000-0005-0000-0000-0000AE160000}"/>
    <cellStyle name="60% - akcent 4 2 4 5" xfId="5828" xr:uid="{00000000-0005-0000-0000-0000AF160000}"/>
    <cellStyle name="60% - akcent 4 2 4 6" xfId="5829" xr:uid="{00000000-0005-0000-0000-0000B0160000}"/>
    <cellStyle name="60% - akcent 4 2 40" xfId="5830" xr:uid="{00000000-0005-0000-0000-0000B1160000}"/>
    <cellStyle name="60% - akcent 4 2 41" xfId="5831" xr:uid="{00000000-0005-0000-0000-0000B2160000}"/>
    <cellStyle name="60% - akcent 4 2 42" xfId="5832" xr:uid="{00000000-0005-0000-0000-0000B3160000}"/>
    <cellStyle name="60% - akcent 4 2 43" xfId="5833" xr:uid="{00000000-0005-0000-0000-0000B4160000}"/>
    <cellStyle name="60% - akcent 4 2 44" xfId="5834" xr:uid="{00000000-0005-0000-0000-0000B5160000}"/>
    <cellStyle name="60% - akcent 4 2 45" xfId="5835" xr:uid="{00000000-0005-0000-0000-0000B6160000}"/>
    <cellStyle name="60% - akcent 4 2 46" xfId="5836" xr:uid="{00000000-0005-0000-0000-0000B7160000}"/>
    <cellStyle name="60% - akcent 4 2 47" xfId="5837" xr:uid="{00000000-0005-0000-0000-0000B8160000}"/>
    <cellStyle name="60% - akcent 4 2 48" xfId="5838" xr:uid="{00000000-0005-0000-0000-0000B9160000}"/>
    <cellStyle name="60% - akcent 4 2 49" xfId="5839" xr:uid="{00000000-0005-0000-0000-0000BA160000}"/>
    <cellStyle name="60% - akcent 4 2 5" xfId="5840" xr:uid="{00000000-0005-0000-0000-0000BB160000}"/>
    <cellStyle name="60% - akcent 4 2 5 2" xfId="5841" xr:uid="{00000000-0005-0000-0000-0000BC160000}"/>
    <cellStyle name="60% - akcent 4 2 5 3" xfId="5842" xr:uid="{00000000-0005-0000-0000-0000BD160000}"/>
    <cellStyle name="60% - akcent 4 2 5 4" xfId="5843" xr:uid="{00000000-0005-0000-0000-0000BE160000}"/>
    <cellStyle name="60% - akcent 4 2 5 5" xfId="5844" xr:uid="{00000000-0005-0000-0000-0000BF160000}"/>
    <cellStyle name="60% - akcent 4 2 5 6" xfId="5845" xr:uid="{00000000-0005-0000-0000-0000C0160000}"/>
    <cellStyle name="60% - akcent 4 2 50" xfId="5846" xr:uid="{00000000-0005-0000-0000-0000C1160000}"/>
    <cellStyle name="60% - akcent 4 2 51" xfId="5847" xr:uid="{00000000-0005-0000-0000-0000C2160000}"/>
    <cellStyle name="60% - akcent 4 2 52" xfId="5848" xr:uid="{00000000-0005-0000-0000-0000C3160000}"/>
    <cellStyle name="60% - akcent 4 2 6" xfId="5849" xr:uid="{00000000-0005-0000-0000-0000C4160000}"/>
    <cellStyle name="60% - akcent 4 2 6 2" xfId="5850" xr:uid="{00000000-0005-0000-0000-0000C5160000}"/>
    <cellStyle name="60% - akcent 4 2 6 3" xfId="5851" xr:uid="{00000000-0005-0000-0000-0000C6160000}"/>
    <cellStyle name="60% - akcent 4 2 6 4" xfId="5852" xr:uid="{00000000-0005-0000-0000-0000C7160000}"/>
    <cellStyle name="60% - akcent 4 2 6 5" xfId="5853" xr:uid="{00000000-0005-0000-0000-0000C8160000}"/>
    <cellStyle name="60% - akcent 4 2 6 6" xfId="5854" xr:uid="{00000000-0005-0000-0000-0000C9160000}"/>
    <cellStyle name="60% - akcent 4 2 7" xfId="5855" xr:uid="{00000000-0005-0000-0000-0000CA160000}"/>
    <cellStyle name="60% - akcent 4 2 7 2" xfId="5856" xr:uid="{00000000-0005-0000-0000-0000CB160000}"/>
    <cellStyle name="60% - akcent 4 2 7 3" xfId="5857" xr:uid="{00000000-0005-0000-0000-0000CC160000}"/>
    <cellStyle name="60% - akcent 4 2 7 4" xfId="5858" xr:uid="{00000000-0005-0000-0000-0000CD160000}"/>
    <cellStyle name="60% - akcent 4 2 7 5" xfId="5859" xr:uid="{00000000-0005-0000-0000-0000CE160000}"/>
    <cellStyle name="60% - akcent 4 2 7 6" xfId="5860" xr:uid="{00000000-0005-0000-0000-0000CF160000}"/>
    <cellStyle name="60% - akcent 4 2 8" xfId="5861" xr:uid="{00000000-0005-0000-0000-0000D0160000}"/>
    <cellStyle name="60% - akcent 4 2 8 2" xfId="5862" xr:uid="{00000000-0005-0000-0000-0000D1160000}"/>
    <cellStyle name="60% - akcent 4 2 8 3" xfId="5863" xr:uid="{00000000-0005-0000-0000-0000D2160000}"/>
    <cellStyle name="60% - akcent 4 2 8 4" xfId="5864" xr:uid="{00000000-0005-0000-0000-0000D3160000}"/>
    <cellStyle name="60% - akcent 4 2 8 5" xfId="5865" xr:uid="{00000000-0005-0000-0000-0000D4160000}"/>
    <cellStyle name="60% - akcent 4 2 8 6" xfId="5866" xr:uid="{00000000-0005-0000-0000-0000D5160000}"/>
    <cellStyle name="60% - akcent 4 2 9" xfId="5867" xr:uid="{00000000-0005-0000-0000-0000D6160000}"/>
    <cellStyle name="60% - akcent 4 2 9 2" xfId="5868" xr:uid="{00000000-0005-0000-0000-0000D7160000}"/>
    <cellStyle name="60% - akcent 4 2 9 3" xfId="5869" xr:uid="{00000000-0005-0000-0000-0000D8160000}"/>
    <cellStyle name="60% - akcent 4 2 9 4" xfId="5870" xr:uid="{00000000-0005-0000-0000-0000D9160000}"/>
    <cellStyle name="60% - akcent 4 2 9 5" xfId="5871" xr:uid="{00000000-0005-0000-0000-0000DA160000}"/>
    <cellStyle name="60% - akcent 4 2 9 6" xfId="5872" xr:uid="{00000000-0005-0000-0000-0000DB160000}"/>
    <cellStyle name="60% - akcent 4 3" xfId="5873" xr:uid="{00000000-0005-0000-0000-0000DC160000}"/>
    <cellStyle name="60% - akcent 4 3 2" xfId="5874" xr:uid="{00000000-0005-0000-0000-0000DD160000}"/>
    <cellStyle name="60% - akcent 4 3 2 2" xfId="5875" xr:uid="{00000000-0005-0000-0000-0000DE160000}"/>
    <cellStyle name="60% - akcent 4 3 3" xfId="5876" xr:uid="{00000000-0005-0000-0000-0000DF160000}"/>
    <cellStyle name="60% - akcent 4 3 4" xfId="5877" xr:uid="{00000000-0005-0000-0000-0000E0160000}"/>
    <cellStyle name="60% - akcent 4 3 5" xfId="5878" xr:uid="{00000000-0005-0000-0000-0000E1160000}"/>
    <cellStyle name="60% - akcent 4 3 6" xfId="5879" xr:uid="{00000000-0005-0000-0000-0000E2160000}"/>
    <cellStyle name="60% - akcent 4 3 7" xfId="5880" xr:uid="{00000000-0005-0000-0000-0000E3160000}"/>
    <cellStyle name="60% - akcent 4 3 8" xfId="5881" xr:uid="{00000000-0005-0000-0000-0000E4160000}"/>
    <cellStyle name="60% - akcent 4 4" xfId="5882" xr:uid="{00000000-0005-0000-0000-0000E5160000}"/>
    <cellStyle name="60% - akcent 4 4 2" xfId="5883" xr:uid="{00000000-0005-0000-0000-0000E6160000}"/>
    <cellStyle name="60% - akcent 4 4 3" xfId="5884" xr:uid="{00000000-0005-0000-0000-0000E7160000}"/>
    <cellStyle name="60% - akcent 4 4 4" xfId="5885" xr:uid="{00000000-0005-0000-0000-0000E8160000}"/>
    <cellStyle name="60% - akcent 4 4 5" xfId="5886" xr:uid="{00000000-0005-0000-0000-0000E9160000}"/>
    <cellStyle name="60% - akcent 4 4 6" xfId="5887" xr:uid="{00000000-0005-0000-0000-0000EA160000}"/>
    <cellStyle name="60% - akcent 4 4 7" xfId="5888" xr:uid="{00000000-0005-0000-0000-0000EB160000}"/>
    <cellStyle name="60% - akcent 4 4 8" xfId="5889" xr:uid="{00000000-0005-0000-0000-0000EC160000}"/>
    <cellStyle name="60% - akcent 4 5" xfId="5890" xr:uid="{00000000-0005-0000-0000-0000ED160000}"/>
    <cellStyle name="60% - akcent 4 5 2" xfId="5891" xr:uid="{00000000-0005-0000-0000-0000EE160000}"/>
    <cellStyle name="60% - akcent 4 6" xfId="5892" xr:uid="{00000000-0005-0000-0000-0000EF160000}"/>
    <cellStyle name="60% - akcent 4 7" xfId="5893" xr:uid="{00000000-0005-0000-0000-0000F0160000}"/>
    <cellStyle name="60% - akcent 5 2" xfId="5894" xr:uid="{00000000-0005-0000-0000-0000F1160000}"/>
    <cellStyle name="60% - akcent 5 2 10" xfId="5895" xr:uid="{00000000-0005-0000-0000-0000F2160000}"/>
    <cellStyle name="60% - akcent 5 2 10 2" xfId="5896" xr:uid="{00000000-0005-0000-0000-0000F3160000}"/>
    <cellStyle name="60% - akcent 5 2 10 3" xfId="5897" xr:uid="{00000000-0005-0000-0000-0000F4160000}"/>
    <cellStyle name="60% - akcent 5 2 10 4" xfId="5898" xr:uid="{00000000-0005-0000-0000-0000F5160000}"/>
    <cellStyle name="60% - akcent 5 2 10 5" xfId="5899" xr:uid="{00000000-0005-0000-0000-0000F6160000}"/>
    <cellStyle name="60% - akcent 5 2 10 6" xfId="5900" xr:uid="{00000000-0005-0000-0000-0000F7160000}"/>
    <cellStyle name="60% - akcent 5 2 11" xfId="5901" xr:uid="{00000000-0005-0000-0000-0000F8160000}"/>
    <cellStyle name="60% - akcent 5 2 11 2" xfId="5902" xr:uid="{00000000-0005-0000-0000-0000F9160000}"/>
    <cellStyle name="60% - akcent 5 2 11 3" xfId="5903" xr:uid="{00000000-0005-0000-0000-0000FA160000}"/>
    <cellStyle name="60% - akcent 5 2 11 4" xfId="5904" xr:uid="{00000000-0005-0000-0000-0000FB160000}"/>
    <cellStyle name="60% - akcent 5 2 11 5" xfId="5905" xr:uid="{00000000-0005-0000-0000-0000FC160000}"/>
    <cellStyle name="60% - akcent 5 2 11 6" xfId="5906" xr:uid="{00000000-0005-0000-0000-0000FD160000}"/>
    <cellStyle name="60% - akcent 5 2 12" xfId="5907" xr:uid="{00000000-0005-0000-0000-0000FE160000}"/>
    <cellStyle name="60% - akcent 5 2 12 2" xfId="5908" xr:uid="{00000000-0005-0000-0000-0000FF160000}"/>
    <cellStyle name="60% - akcent 5 2 12 3" xfId="5909" xr:uid="{00000000-0005-0000-0000-000000170000}"/>
    <cellStyle name="60% - akcent 5 2 12 4" xfId="5910" xr:uid="{00000000-0005-0000-0000-000001170000}"/>
    <cellStyle name="60% - akcent 5 2 12 5" xfId="5911" xr:uid="{00000000-0005-0000-0000-000002170000}"/>
    <cellStyle name="60% - akcent 5 2 12 6" xfId="5912" xr:uid="{00000000-0005-0000-0000-000003170000}"/>
    <cellStyle name="60% - akcent 5 2 13" xfId="5913" xr:uid="{00000000-0005-0000-0000-000004170000}"/>
    <cellStyle name="60% - akcent 5 2 13 2" xfId="5914" xr:uid="{00000000-0005-0000-0000-000005170000}"/>
    <cellStyle name="60% - akcent 5 2 13 3" xfId="5915" xr:uid="{00000000-0005-0000-0000-000006170000}"/>
    <cellStyle name="60% - akcent 5 2 13 4" xfId="5916" xr:uid="{00000000-0005-0000-0000-000007170000}"/>
    <cellStyle name="60% - akcent 5 2 13 5" xfId="5917" xr:uid="{00000000-0005-0000-0000-000008170000}"/>
    <cellStyle name="60% - akcent 5 2 13 6" xfId="5918" xr:uid="{00000000-0005-0000-0000-000009170000}"/>
    <cellStyle name="60% - akcent 5 2 14" xfId="5919" xr:uid="{00000000-0005-0000-0000-00000A170000}"/>
    <cellStyle name="60% - akcent 5 2 14 2" xfId="5920" xr:uid="{00000000-0005-0000-0000-00000B170000}"/>
    <cellStyle name="60% - akcent 5 2 14 3" xfId="5921" xr:uid="{00000000-0005-0000-0000-00000C170000}"/>
    <cellStyle name="60% - akcent 5 2 14 4" xfId="5922" xr:uid="{00000000-0005-0000-0000-00000D170000}"/>
    <cellStyle name="60% - akcent 5 2 14 5" xfId="5923" xr:uid="{00000000-0005-0000-0000-00000E170000}"/>
    <cellStyle name="60% - akcent 5 2 14 6" xfId="5924" xr:uid="{00000000-0005-0000-0000-00000F170000}"/>
    <cellStyle name="60% - akcent 5 2 15" xfId="5925" xr:uid="{00000000-0005-0000-0000-000010170000}"/>
    <cellStyle name="60% - akcent 5 2 15 2" xfId="5926" xr:uid="{00000000-0005-0000-0000-000011170000}"/>
    <cellStyle name="60% - akcent 5 2 15 3" xfId="5927" xr:uid="{00000000-0005-0000-0000-000012170000}"/>
    <cellStyle name="60% - akcent 5 2 15 4" xfId="5928" xr:uid="{00000000-0005-0000-0000-000013170000}"/>
    <cellStyle name="60% - akcent 5 2 15 5" xfId="5929" xr:uid="{00000000-0005-0000-0000-000014170000}"/>
    <cellStyle name="60% - akcent 5 2 15 6" xfId="5930" xr:uid="{00000000-0005-0000-0000-000015170000}"/>
    <cellStyle name="60% - akcent 5 2 16" xfId="5931" xr:uid="{00000000-0005-0000-0000-000016170000}"/>
    <cellStyle name="60% - akcent 5 2 16 2" xfId="5932" xr:uid="{00000000-0005-0000-0000-000017170000}"/>
    <cellStyle name="60% - akcent 5 2 16 3" xfId="5933" xr:uid="{00000000-0005-0000-0000-000018170000}"/>
    <cellStyle name="60% - akcent 5 2 16 4" xfId="5934" xr:uid="{00000000-0005-0000-0000-000019170000}"/>
    <cellStyle name="60% - akcent 5 2 16 5" xfId="5935" xr:uid="{00000000-0005-0000-0000-00001A170000}"/>
    <cellStyle name="60% - akcent 5 2 16 6" xfId="5936" xr:uid="{00000000-0005-0000-0000-00001B170000}"/>
    <cellStyle name="60% - akcent 5 2 17" xfId="5937" xr:uid="{00000000-0005-0000-0000-00001C170000}"/>
    <cellStyle name="60% - akcent 5 2 17 2" xfId="5938" xr:uid="{00000000-0005-0000-0000-00001D170000}"/>
    <cellStyle name="60% - akcent 5 2 17 3" xfId="5939" xr:uid="{00000000-0005-0000-0000-00001E170000}"/>
    <cellStyle name="60% - akcent 5 2 17 4" xfId="5940" xr:uid="{00000000-0005-0000-0000-00001F170000}"/>
    <cellStyle name="60% - akcent 5 2 17 5" xfId="5941" xr:uid="{00000000-0005-0000-0000-000020170000}"/>
    <cellStyle name="60% - akcent 5 2 17 6" xfId="5942" xr:uid="{00000000-0005-0000-0000-000021170000}"/>
    <cellStyle name="60% - akcent 5 2 18" xfId="5943" xr:uid="{00000000-0005-0000-0000-000022170000}"/>
    <cellStyle name="60% - akcent 5 2 18 2" xfId="5944" xr:uid="{00000000-0005-0000-0000-000023170000}"/>
    <cellStyle name="60% - akcent 5 2 18 3" xfId="5945" xr:uid="{00000000-0005-0000-0000-000024170000}"/>
    <cellStyle name="60% - akcent 5 2 18 4" xfId="5946" xr:uid="{00000000-0005-0000-0000-000025170000}"/>
    <cellStyle name="60% - akcent 5 2 18 5" xfId="5947" xr:uid="{00000000-0005-0000-0000-000026170000}"/>
    <cellStyle name="60% - akcent 5 2 18 6" xfId="5948" xr:uid="{00000000-0005-0000-0000-000027170000}"/>
    <cellStyle name="60% - akcent 5 2 19" xfId="5949" xr:uid="{00000000-0005-0000-0000-000028170000}"/>
    <cellStyle name="60% - akcent 5 2 19 2" xfId="5950" xr:uid="{00000000-0005-0000-0000-000029170000}"/>
    <cellStyle name="60% - akcent 5 2 19 3" xfId="5951" xr:uid="{00000000-0005-0000-0000-00002A170000}"/>
    <cellStyle name="60% - akcent 5 2 19 4" xfId="5952" xr:uid="{00000000-0005-0000-0000-00002B170000}"/>
    <cellStyle name="60% - akcent 5 2 19 5" xfId="5953" xr:uid="{00000000-0005-0000-0000-00002C170000}"/>
    <cellStyle name="60% - akcent 5 2 19 6" xfId="5954" xr:uid="{00000000-0005-0000-0000-00002D170000}"/>
    <cellStyle name="60% - akcent 5 2 2" xfId="5955" xr:uid="{00000000-0005-0000-0000-00002E170000}"/>
    <cellStyle name="60% - akcent 5 2 2 2" xfId="5956" xr:uid="{00000000-0005-0000-0000-00002F170000}"/>
    <cellStyle name="60% - akcent 5 2 2 3" xfId="5957" xr:uid="{00000000-0005-0000-0000-000030170000}"/>
    <cellStyle name="60% - akcent 5 2 2 4" xfId="5958" xr:uid="{00000000-0005-0000-0000-000031170000}"/>
    <cellStyle name="60% - akcent 5 2 2 5" xfId="5959" xr:uid="{00000000-0005-0000-0000-000032170000}"/>
    <cellStyle name="60% - akcent 5 2 2 6" xfId="5960" xr:uid="{00000000-0005-0000-0000-000033170000}"/>
    <cellStyle name="60% - akcent 5 2 2 7" xfId="5961" xr:uid="{00000000-0005-0000-0000-000034170000}"/>
    <cellStyle name="60% - akcent 5 2 20" xfId="5962" xr:uid="{00000000-0005-0000-0000-000035170000}"/>
    <cellStyle name="60% - akcent 5 2 20 2" xfId="5963" xr:uid="{00000000-0005-0000-0000-000036170000}"/>
    <cellStyle name="60% - akcent 5 2 20 3" xfId="5964" xr:uid="{00000000-0005-0000-0000-000037170000}"/>
    <cellStyle name="60% - akcent 5 2 20 4" xfId="5965" xr:uid="{00000000-0005-0000-0000-000038170000}"/>
    <cellStyle name="60% - akcent 5 2 20 5" xfId="5966" xr:uid="{00000000-0005-0000-0000-000039170000}"/>
    <cellStyle name="60% - akcent 5 2 20 6" xfId="5967" xr:uid="{00000000-0005-0000-0000-00003A170000}"/>
    <cellStyle name="60% - akcent 5 2 21" xfId="5968" xr:uid="{00000000-0005-0000-0000-00003B170000}"/>
    <cellStyle name="60% - akcent 5 2 21 2" xfId="5969" xr:uid="{00000000-0005-0000-0000-00003C170000}"/>
    <cellStyle name="60% - akcent 5 2 21 3" xfId="5970" xr:uid="{00000000-0005-0000-0000-00003D170000}"/>
    <cellStyle name="60% - akcent 5 2 21 4" xfId="5971" xr:uid="{00000000-0005-0000-0000-00003E170000}"/>
    <cellStyle name="60% - akcent 5 2 21 5" xfId="5972" xr:uid="{00000000-0005-0000-0000-00003F170000}"/>
    <cellStyle name="60% - akcent 5 2 21 6" xfId="5973" xr:uid="{00000000-0005-0000-0000-000040170000}"/>
    <cellStyle name="60% - akcent 5 2 22" xfId="5974" xr:uid="{00000000-0005-0000-0000-000041170000}"/>
    <cellStyle name="60% - akcent 5 2 22 2" xfId="5975" xr:uid="{00000000-0005-0000-0000-000042170000}"/>
    <cellStyle name="60% - akcent 5 2 22 3" xfId="5976" xr:uid="{00000000-0005-0000-0000-000043170000}"/>
    <cellStyle name="60% - akcent 5 2 22 4" xfId="5977" xr:uid="{00000000-0005-0000-0000-000044170000}"/>
    <cellStyle name="60% - akcent 5 2 22 5" xfId="5978" xr:uid="{00000000-0005-0000-0000-000045170000}"/>
    <cellStyle name="60% - akcent 5 2 22 6" xfId="5979" xr:uid="{00000000-0005-0000-0000-000046170000}"/>
    <cellStyle name="60% - akcent 5 2 23" xfId="5980" xr:uid="{00000000-0005-0000-0000-000047170000}"/>
    <cellStyle name="60% - akcent 5 2 23 2" xfId="5981" xr:uid="{00000000-0005-0000-0000-000048170000}"/>
    <cellStyle name="60% - akcent 5 2 23 3" xfId="5982" xr:uid="{00000000-0005-0000-0000-000049170000}"/>
    <cellStyle name="60% - akcent 5 2 23 4" xfId="5983" xr:uid="{00000000-0005-0000-0000-00004A170000}"/>
    <cellStyle name="60% - akcent 5 2 23 5" xfId="5984" xr:uid="{00000000-0005-0000-0000-00004B170000}"/>
    <cellStyle name="60% - akcent 5 2 23 6" xfId="5985" xr:uid="{00000000-0005-0000-0000-00004C170000}"/>
    <cellStyle name="60% - akcent 5 2 24" xfId="5986" xr:uid="{00000000-0005-0000-0000-00004D170000}"/>
    <cellStyle name="60% - akcent 5 2 24 2" xfId="5987" xr:uid="{00000000-0005-0000-0000-00004E170000}"/>
    <cellStyle name="60% - akcent 5 2 24 3" xfId="5988" xr:uid="{00000000-0005-0000-0000-00004F170000}"/>
    <cellStyle name="60% - akcent 5 2 24 4" xfId="5989" xr:uid="{00000000-0005-0000-0000-000050170000}"/>
    <cellStyle name="60% - akcent 5 2 24 5" xfId="5990" xr:uid="{00000000-0005-0000-0000-000051170000}"/>
    <cellStyle name="60% - akcent 5 2 24 6" xfId="5991" xr:uid="{00000000-0005-0000-0000-000052170000}"/>
    <cellStyle name="60% - akcent 5 2 25" xfId="5992" xr:uid="{00000000-0005-0000-0000-000053170000}"/>
    <cellStyle name="60% - akcent 5 2 25 2" xfId="5993" xr:uid="{00000000-0005-0000-0000-000054170000}"/>
    <cellStyle name="60% - akcent 5 2 25 3" xfId="5994" xr:uid="{00000000-0005-0000-0000-000055170000}"/>
    <cellStyle name="60% - akcent 5 2 25 4" xfId="5995" xr:uid="{00000000-0005-0000-0000-000056170000}"/>
    <cellStyle name="60% - akcent 5 2 25 5" xfId="5996" xr:uid="{00000000-0005-0000-0000-000057170000}"/>
    <cellStyle name="60% - akcent 5 2 25 6" xfId="5997" xr:uid="{00000000-0005-0000-0000-000058170000}"/>
    <cellStyle name="60% - akcent 5 2 26" xfId="5998" xr:uid="{00000000-0005-0000-0000-000059170000}"/>
    <cellStyle name="60% - akcent 5 2 26 2" xfId="5999" xr:uid="{00000000-0005-0000-0000-00005A170000}"/>
    <cellStyle name="60% - akcent 5 2 26 3" xfId="6000" xr:uid="{00000000-0005-0000-0000-00005B170000}"/>
    <cellStyle name="60% - akcent 5 2 26 4" xfId="6001" xr:uid="{00000000-0005-0000-0000-00005C170000}"/>
    <cellStyle name="60% - akcent 5 2 26 5" xfId="6002" xr:uid="{00000000-0005-0000-0000-00005D170000}"/>
    <cellStyle name="60% - akcent 5 2 26 6" xfId="6003" xr:uid="{00000000-0005-0000-0000-00005E170000}"/>
    <cellStyle name="60% - akcent 5 2 27" xfId="6004" xr:uid="{00000000-0005-0000-0000-00005F170000}"/>
    <cellStyle name="60% - akcent 5 2 27 2" xfId="6005" xr:uid="{00000000-0005-0000-0000-000060170000}"/>
    <cellStyle name="60% - akcent 5 2 27 3" xfId="6006" xr:uid="{00000000-0005-0000-0000-000061170000}"/>
    <cellStyle name="60% - akcent 5 2 27 4" xfId="6007" xr:uid="{00000000-0005-0000-0000-000062170000}"/>
    <cellStyle name="60% - akcent 5 2 27 5" xfId="6008" xr:uid="{00000000-0005-0000-0000-000063170000}"/>
    <cellStyle name="60% - akcent 5 2 27 6" xfId="6009" xr:uid="{00000000-0005-0000-0000-000064170000}"/>
    <cellStyle name="60% - akcent 5 2 28" xfId="6010" xr:uid="{00000000-0005-0000-0000-000065170000}"/>
    <cellStyle name="60% - akcent 5 2 28 2" xfId="6011" xr:uid="{00000000-0005-0000-0000-000066170000}"/>
    <cellStyle name="60% - akcent 5 2 28 3" xfId="6012" xr:uid="{00000000-0005-0000-0000-000067170000}"/>
    <cellStyle name="60% - akcent 5 2 28 4" xfId="6013" xr:uid="{00000000-0005-0000-0000-000068170000}"/>
    <cellStyle name="60% - akcent 5 2 28 5" xfId="6014" xr:uid="{00000000-0005-0000-0000-000069170000}"/>
    <cellStyle name="60% - akcent 5 2 28 6" xfId="6015" xr:uid="{00000000-0005-0000-0000-00006A170000}"/>
    <cellStyle name="60% - akcent 5 2 29" xfId="6016" xr:uid="{00000000-0005-0000-0000-00006B170000}"/>
    <cellStyle name="60% - akcent 5 2 29 2" xfId="6017" xr:uid="{00000000-0005-0000-0000-00006C170000}"/>
    <cellStyle name="60% - akcent 5 2 3" xfId="6018" xr:uid="{00000000-0005-0000-0000-00006D170000}"/>
    <cellStyle name="60% - akcent 5 2 3 2" xfId="6019" xr:uid="{00000000-0005-0000-0000-00006E170000}"/>
    <cellStyle name="60% - akcent 5 2 3 3" xfId="6020" xr:uid="{00000000-0005-0000-0000-00006F170000}"/>
    <cellStyle name="60% - akcent 5 2 3 4" xfId="6021" xr:uid="{00000000-0005-0000-0000-000070170000}"/>
    <cellStyle name="60% - akcent 5 2 3 5" xfId="6022" xr:uid="{00000000-0005-0000-0000-000071170000}"/>
    <cellStyle name="60% - akcent 5 2 3 6" xfId="6023" xr:uid="{00000000-0005-0000-0000-000072170000}"/>
    <cellStyle name="60% - akcent 5 2 30" xfId="6024" xr:uid="{00000000-0005-0000-0000-000073170000}"/>
    <cellStyle name="60% - akcent 5 2 30 2" xfId="6025" xr:uid="{00000000-0005-0000-0000-000074170000}"/>
    <cellStyle name="60% - akcent 5 2 31" xfId="6026" xr:uid="{00000000-0005-0000-0000-000075170000}"/>
    <cellStyle name="60% - akcent 5 2 31 2" xfId="6027" xr:uid="{00000000-0005-0000-0000-000076170000}"/>
    <cellStyle name="60% - akcent 5 2 32" xfId="6028" xr:uid="{00000000-0005-0000-0000-000077170000}"/>
    <cellStyle name="60% - akcent 5 2 32 2" xfId="6029" xr:uid="{00000000-0005-0000-0000-000078170000}"/>
    <cellStyle name="60% - akcent 5 2 33" xfId="6030" xr:uid="{00000000-0005-0000-0000-000079170000}"/>
    <cellStyle name="60% - akcent 5 2 34" xfId="6031" xr:uid="{00000000-0005-0000-0000-00007A170000}"/>
    <cellStyle name="60% - akcent 5 2 35" xfId="6032" xr:uid="{00000000-0005-0000-0000-00007B170000}"/>
    <cellStyle name="60% - akcent 5 2 36" xfId="6033" xr:uid="{00000000-0005-0000-0000-00007C170000}"/>
    <cellStyle name="60% - akcent 5 2 37" xfId="6034" xr:uid="{00000000-0005-0000-0000-00007D170000}"/>
    <cellStyle name="60% - akcent 5 2 38" xfId="6035" xr:uid="{00000000-0005-0000-0000-00007E170000}"/>
    <cellStyle name="60% - akcent 5 2 39" xfId="6036" xr:uid="{00000000-0005-0000-0000-00007F170000}"/>
    <cellStyle name="60% - akcent 5 2 4" xfId="6037" xr:uid="{00000000-0005-0000-0000-000080170000}"/>
    <cellStyle name="60% - akcent 5 2 4 2" xfId="6038" xr:uid="{00000000-0005-0000-0000-000081170000}"/>
    <cellStyle name="60% - akcent 5 2 4 3" xfId="6039" xr:uid="{00000000-0005-0000-0000-000082170000}"/>
    <cellStyle name="60% - akcent 5 2 4 4" xfId="6040" xr:uid="{00000000-0005-0000-0000-000083170000}"/>
    <cellStyle name="60% - akcent 5 2 4 5" xfId="6041" xr:uid="{00000000-0005-0000-0000-000084170000}"/>
    <cellStyle name="60% - akcent 5 2 4 6" xfId="6042" xr:uid="{00000000-0005-0000-0000-000085170000}"/>
    <cellStyle name="60% - akcent 5 2 40" xfId="6043" xr:uid="{00000000-0005-0000-0000-000086170000}"/>
    <cellStyle name="60% - akcent 5 2 41" xfId="6044" xr:uid="{00000000-0005-0000-0000-000087170000}"/>
    <cellStyle name="60% - akcent 5 2 42" xfId="6045" xr:uid="{00000000-0005-0000-0000-000088170000}"/>
    <cellStyle name="60% - akcent 5 2 43" xfId="6046" xr:uid="{00000000-0005-0000-0000-000089170000}"/>
    <cellStyle name="60% - akcent 5 2 44" xfId="6047" xr:uid="{00000000-0005-0000-0000-00008A170000}"/>
    <cellStyle name="60% - akcent 5 2 45" xfId="6048" xr:uid="{00000000-0005-0000-0000-00008B170000}"/>
    <cellStyle name="60% - akcent 5 2 46" xfId="6049" xr:uid="{00000000-0005-0000-0000-00008C170000}"/>
    <cellStyle name="60% - akcent 5 2 47" xfId="6050" xr:uid="{00000000-0005-0000-0000-00008D170000}"/>
    <cellStyle name="60% - akcent 5 2 48" xfId="6051" xr:uid="{00000000-0005-0000-0000-00008E170000}"/>
    <cellStyle name="60% - akcent 5 2 49" xfId="6052" xr:uid="{00000000-0005-0000-0000-00008F170000}"/>
    <cellStyle name="60% - akcent 5 2 5" xfId="6053" xr:uid="{00000000-0005-0000-0000-000090170000}"/>
    <cellStyle name="60% - akcent 5 2 5 2" xfId="6054" xr:uid="{00000000-0005-0000-0000-000091170000}"/>
    <cellStyle name="60% - akcent 5 2 5 3" xfId="6055" xr:uid="{00000000-0005-0000-0000-000092170000}"/>
    <cellStyle name="60% - akcent 5 2 5 4" xfId="6056" xr:uid="{00000000-0005-0000-0000-000093170000}"/>
    <cellStyle name="60% - akcent 5 2 5 5" xfId="6057" xr:uid="{00000000-0005-0000-0000-000094170000}"/>
    <cellStyle name="60% - akcent 5 2 5 6" xfId="6058" xr:uid="{00000000-0005-0000-0000-000095170000}"/>
    <cellStyle name="60% - akcent 5 2 50" xfId="6059" xr:uid="{00000000-0005-0000-0000-000096170000}"/>
    <cellStyle name="60% - akcent 5 2 51" xfId="6060" xr:uid="{00000000-0005-0000-0000-000097170000}"/>
    <cellStyle name="60% - akcent 5 2 52" xfId="6061" xr:uid="{00000000-0005-0000-0000-000098170000}"/>
    <cellStyle name="60% - akcent 5 2 6" xfId="6062" xr:uid="{00000000-0005-0000-0000-000099170000}"/>
    <cellStyle name="60% - akcent 5 2 6 2" xfId="6063" xr:uid="{00000000-0005-0000-0000-00009A170000}"/>
    <cellStyle name="60% - akcent 5 2 6 3" xfId="6064" xr:uid="{00000000-0005-0000-0000-00009B170000}"/>
    <cellStyle name="60% - akcent 5 2 6 4" xfId="6065" xr:uid="{00000000-0005-0000-0000-00009C170000}"/>
    <cellStyle name="60% - akcent 5 2 6 5" xfId="6066" xr:uid="{00000000-0005-0000-0000-00009D170000}"/>
    <cellStyle name="60% - akcent 5 2 6 6" xfId="6067" xr:uid="{00000000-0005-0000-0000-00009E170000}"/>
    <cellStyle name="60% - akcent 5 2 7" xfId="6068" xr:uid="{00000000-0005-0000-0000-00009F170000}"/>
    <cellStyle name="60% - akcent 5 2 7 2" xfId="6069" xr:uid="{00000000-0005-0000-0000-0000A0170000}"/>
    <cellStyle name="60% - akcent 5 2 7 3" xfId="6070" xr:uid="{00000000-0005-0000-0000-0000A1170000}"/>
    <cellStyle name="60% - akcent 5 2 7 4" xfId="6071" xr:uid="{00000000-0005-0000-0000-0000A2170000}"/>
    <cellStyle name="60% - akcent 5 2 7 5" xfId="6072" xr:uid="{00000000-0005-0000-0000-0000A3170000}"/>
    <cellStyle name="60% - akcent 5 2 7 6" xfId="6073" xr:uid="{00000000-0005-0000-0000-0000A4170000}"/>
    <cellStyle name="60% - akcent 5 2 8" xfId="6074" xr:uid="{00000000-0005-0000-0000-0000A5170000}"/>
    <cellStyle name="60% - akcent 5 2 8 2" xfId="6075" xr:uid="{00000000-0005-0000-0000-0000A6170000}"/>
    <cellStyle name="60% - akcent 5 2 8 3" xfId="6076" xr:uid="{00000000-0005-0000-0000-0000A7170000}"/>
    <cellStyle name="60% - akcent 5 2 8 4" xfId="6077" xr:uid="{00000000-0005-0000-0000-0000A8170000}"/>
    <cellStyle name="60% - akcent 5 2 8 5" xfId="6078" xr:uid="{00000000-0005-0000-0000-0000A9170000}"/>
    <cellStyle name="60% - akcent 5 2 8 6" xfId="6079" xr:uid="{00000000-0005-0000-0000-0000AA170000}"/>
    <cellStyle name="60% - akcent 5 2 9" xfId="6080" xr:uid="{00000000-0005-0000-0000-0000AB170000}"/>
    <cellStyle name="60% - akcent 5 2 9 2" xfId="6081" xr:uid="{00000000-0005-0000-0000-0000AC170000}"/>
    <cellStyle name="60% - akcent 5 2 9 3" xfId="6082" xr:uid="{00000000-0005-0000-0000-0000AD170000}"/>
    <cellStyle name="60% - akcent 5 2 9 4" xfId="6083" xr:uid="{00000000-0005-0000-0000-0000AE170000}"/>
    <cellStyle name="60% - akcent 5 2 9 5" xfId="6084" xr:uid="{00000000-0005-0000-0000-0000AF170000}"/>
    <cellStyle name="60% - akcent 5 2 9 6" xfId="6085" xr:uid="{00000000-0005-0000-0000-0000B0170000}"/>
    <cellStyle name="60% - akcent 5 3" xfId="6086" xr:uid="{00000000-0005-0000-0000-0000B1170000}"/>
    <cellStyle name="60% - akcent 5 3 2" xfId="6087" xr:uid="{00000000-0005-0000-0000-0000B2170000}"/>
    <cellStyle name="60% - akcent 5 3 2 2" xfId="6088" xr:uid="{00000000-0005-0000-0000-0000B3170000}"/>
    <cellStyle name="60% - akcent 5 3 3" xfId="6089" xr:uid="{00000000-0005-0000-0000-0000B4170000}"/>
    <cellStyle name="60% - akcent 5 3 4" xfId="6090" xr:uid="{00000000-0005-0000-0000-0000B5170000}"/>
    <cellStyle name="60% - akcent 5 3 5" xfId="6091" xr:uid="{00000000-0005-0000-0000-0000B6170000}"/>
    <cellStyle name="60% - akcent 5 3 6" xfId="6092" xr:uid="{00000000-0005-0000-0000-0000B7170000}"/>
    <cellStyle name="60% - akcent 5 3 7" xfId="6093" xr:uid="{00000000-0005-0000-0000-0000B8170000}"/>
    <cellStyle name="60% - akcent 5 3 8" xfId="6094" xr:uid="{00000000-0005-0000-0000-0000B9170000}"/>
    <cellStyle name="60% - akcent 5 4" xfId="6095" xr:uid="{00000000-0005-0000-0000-0000BA170000}"/>
    <cellStyle name="60% - akcent 5 4 2" xfId="6096" xr:uid="{00000000-0005-0000-0000-0000BB170000}"/>
    <cellStyle name="60% - akcent 5 4 3" xfId="6097" xr:uid="{00000000-0005-0000-0000-0000BC170000}"/>
    <cellStyle name="60% - akcent 5 4 4" xfId="6098" xr:uid="{00000000-0005-0000-0000-0000BD170000}"/>
    <cellStyle name="60% - akcent 5 4 5" xfId="6099" xr:uid="{00000000-0005-0000-0000-0000BE170000}"/>
    <cellStyle name="60% - akcent 5 4 6" xfId="6100" xr:uid="{00000000-0005-0000-0000-0000BF170000}"/>
    <cellStyle name="60% - akcent 5 4 7" xfId="6101" xr:uid="{00000000-0005-0000-0000-0000C0170000}"/>
    <cellStyle name="60% - akcent 5 4 8" xfId="6102" xr:uid="{00000000-0005-0000-0000-0000C1170000}"/>
    <cellStyle name="60% - akcent 5 5" xfId="6103" xr:uid="{00000000-0005-0000-0000-0000C2170000}"/>
    <cellStyle name="60% - akcent 5 5 2" xfId="6104" xr:uid="{00000000-0005-0000-0000-0000C3170000}"/>
    <cellStyle name="60% - akcent 5 6" xfId="6105" xr:uid="{00000000-0005-0000-0000-0000C4170000}"/>
    <cellStyle name="60% - akcent 5 7" xfId="6106" xr:uid="{00000000-0005-0000-0000-0000C5170000}"/>
    <cellStyle name="60% - akcent 6 2" xfId="6107" xr:uid="{00000000-0005-0000-0000-0000C6170000}"/>
    <cellStyle name="60% - akcent 6 2 10" xfId="6108" xr:uid="{00000000-0005-0000-0000-0000C7170000}"/>
    <cellStyle name="60% - akcent 6 2 10 2" xfId="6109" xr:uid="{00000000-0005-0000-0000-0000C8170000}"/>
    <cellStyle name="60% - akcent 6 2 10 3" xfId="6110" xr:uid="{00000000-0005-0000-0000-0000C9170000}"/>
    <cellStyle name="60% - akcent 6 2 10 4" xfId="6111" xr:uid="{00000000-0005-0000-0000-0000CA170000}"/>
    <cellStyle name="60% - akcent 6 2 10 5" xfId="6112" xr:uid="{00000000-0005-0000-0000-0000CB170000}"/>
    <cellStyle name="60% - akcent 6 2 10 6" xfId="6113" xr:uid="{00000000-0005-0000-0000-0000CC170000}"/>
    <cellStyle name="60% - akcent 6 2 11" xfId="6114" xr:uid="{00000000-0005-0000-0000-0000CD170000}"/>
    <cellStyle name="60% - akcent 6 2 11 2" xfId="6115" xr:uid="{00000000-0005-0000-0000-0000CE170000}"/>
    <cellStyle name="60% - akcent 6 2 11 3" xfId="6116" xr:uid="{00000000-0005-0000-0000-0000CF170000}"/>
    <cellStyle name="60% - akcent 6 2 11 4" xfId="6117" xr:uid="{00000000-0005-0000-0000-0000D0170000}"/>
    <cellStyle name="60% - akcent 6 2 11 5" xfId="6118" xr:uid="{00000000-0005-0000-0000-0000D1170000}"/>
    <cellStyle name="60% - akcent 6 2 11 6" xfId="6119" xr:uid="{00000000-0005-0000-0000-0000D2170000}"/>
    <cellStyle name="60% - akcent 6 2 12" xfId="6120" xr:uid="{00000000-0005-0000-0000-0000D3170000}"/>
    <cellStyle name="60% - akcent 6 2 12 2" xfId="6121" xr:uid="{00000000-0005-0000-0000-0000D4170000}"/>
    <cellStyle name="60% - akcent 6 2 12 3" xfId="6122" xr:uid="{00000000-0005-0000-0000-0000D5170000}"/>
    <cellStyle name="60% - akcent 6 2 12 4" xfId="6123" xr:uid="{00000000-0005-0000-0000-0000D6170000}"/>
    <cellStyle name="60% - akcent 6 2 12 5" xfId="6124" xr:uid="{00000000-0005-0000-0000-0000D7170000}"/>
    <cellStyle name="60% - akcent 6 2 12 6" xfId="6125" xr:uid="{00000000-0005-0000-0000-0000D8170000}"/>
    <cellStyle name="60% - akcent 6 2 13" xfId="6126" xr:uid="{00000000-0005-0000-0000-0000D9170000}"/>
    <cellStyle name="60% - akcent 6 2 13 2" xfId="6127" xr:uid="{00000000-0005-0000-0000-0000DA170000}"/>
    <cellStyle name="60% - akcent 6 2 13 3" xfId="6128" xr:uid="{00000000-0005-0000-0000-0000DB170000}"/>
    <cellStyle name="60% - akcent 6 2 13 4" xfId="6129" xr:uid="{00000000-0005-0000-0000-0000DC170000}"/>
    <cellStyle name="60% - akcent 6 2 13 5" xfId="6130" xr:uid="{00000000-0005-0000-0000-0000DD170000}"/>
    <cellStyle name="60% - akcent 6 2 13 6" xfId="6131" xr:uid="{00000000-0005-0000-0000-0000DE170000}"/>
    <cellStyle name="60% - akcent 6 2 14" xfId="6132" xr:uid="{00000000-0005-0000-0000-0000DF170000}"/>
    <cellStyle name="60% - akcent 6 2 14 2" xfId="6133" xr:uid="{00000000-0005-0000-0000-0000E0170000}"/>
    <cellStyle name="60% - akcent 6 2 14 3" xfId="6134" xr:uid="{00000000-0005-0000-0000-0000E1170000}"/>
    <cellStyle name="60% - akcent 6 2 14 4" xfId="6135" xr:uid="{00000000-0005-0000-0000-0000E2170000}"/>
    <cellStyle name="60% - akcent 6 2 14 5" xfId="6136" xr:uid="{00000000-0005-0000-0000-0000E3170000}"/>
    <cellStyle name="60% - akcent 6 2 14 6" xfId="6137" xr:uid="{00000000-0005-0000-0000-0000E4170000}"/>
    <cellStyle name="60% - akcent 6 2 15" xfId="6138" xr:uid="{00000000-0005-0000-0000-0000E5170000}"/>
    <cellStyle name="60% - akcent 6 2 15 2" xfId="6139" xr:uid="{00000000-0005-0000-0000-0000E6170000}"/>
    <cellStyle name="60% - akcent 6 2 15 3" xfId="6140" xr:uid="{00000000-0005-0000-0000-0000E7170000}"/>
    <cellStyle name="60% - akcent 6 2 15 4" xfId="6141" xr:uid="{00000000-0005-0000-0000-0000E8170000}"/>
    <cellStyle name="60% - akcent 6 2 15 5" xfId="6142" xr:uid="{00000000-0005-0000-0000-0000E9170000}"/>
    <cellStyle name="60% - akcent 6 2 15 6" xfId="6143" xr:uid="{00000000-0005-0000-0000-0000EA170000}"/>
    <cellStyle name="60% - akcent 6 2 16" xfId="6144" xr:uid="{00000000-0005-0000-0000-0000EB170000}"/>
    <cellStyle name="60% - akcent 6 2 16 2" xfId="6145" xr:uid="{00000000-0005-0000-0000-0000EC170000}"/>
    <cellStyle name="60% - akcent 6 2 16 3" xfId="6146" xr:uid="{00000000-0005-0000-0000-0000ED170000}"/>
    <cellStyle name="60% - akcent 6 2 16 4" xfId="6147" xr:uid="{00000000-0005-0000-0000-0000EE170000}"/>
    <cellStyle name="60% - akcent 6 2 16 5" xfId="6148" xr:uid="{00000000-0005-0000-0000-0000EF170000}"/>
    <cellStyle name="60% - akcent 6 2 16 6" xfId="6149" xr:uid="{00000000-0005-0000-0000-0000F0170000}"/>
    <cellStyle name="60% - akcent 6 2 17" xfId="6150" xr:uid="{00000000-0005-0000-0000-0000F1170000}"/>
    <cellStyle name="60% - akcent 6 2 17 2" xfId="6151" xr:uid="{00000000-0005-0000-0000-0000F2170000}"/>
    <cellStyle name="60% - akcent 6 2 17 3" xfId="6152" xr:uid="{00000000-0005-0000-0000-0000F3170000}"/>
    <cellStyle name="60% - akcent 6 2 17 4" xfId="6153" xr:uid="{00000000-0005-0000-0000-0000F4170000}"/>
    <cellStyle name="60% - akcent 6 2 17 5" xfId="6154" xr:uid="{00000000-0005-0000-0000-0000F5170000}"/>
    <cellStyle name="60% - akcent 6 2 17 6" xfId="6155" xr:uid="{00000000-0005-0000-0000-0000F6170000}"/>
    <cellStyle name="60% - akcent 6 2 18" xfId="6156" xr:uid="{00000000-0005-0000-0000-0000F7170000}"/>
    <cellStyle name="60% - akcent 6 2 18 2" xfId="6157" xr:uid="{00000000-0005-0000-0000-0000F8170000}"/>
    <cellStyle name="60% - akcent 6 2 18 3" xfId="6158" xr:uid="{00000000-0005-0000-0000-0000F9170000}"/>
    <cellStyle name="60% - akcent 6 2 18 4" xfId="6159" xr:uid="{00000000-0005-0000-0000-0000FA170000}"/>
    <cellStyle name="60% - akcent 6 2 18 5" xfId="6160" xr:uid="{00000000-0005-0000-0000-0000FB170000}"/>
    <cellStyle name="60% - akcent 6 2 18 6" xfId="6161" xr:uid="{00000000-0005-0000-0000-0000FC170000}"/>
    <cellStyle name="60% - akcent 6 2 19" xfId="6162" xr:uid="{00000000-0005-0000-0000-0000FD170000}"/>
    <cellStyle name="60% - akcent 6 2 19 2" xfId="6163" xr:uid="{00000000-0005-0000-0000-0000FE170000}"/>
    <cellStyle name="60% - akcent 6 2 19 3" xfId="6164" xr:uid="{00000000-0005-0000-0000-0000FF170000}"/>
    <cellStyle name="60% - akcent 6 2 19 4" xfId="6165" xr:uid="{00000000-0005-0000-0000-000000180000}"/>
    <cellStyle name="60% - akcent 6 2 19 5" xfId="6166" xr:uid="{00000000-0005-0000-0000-000001180000}"/>
    <cellStyle name="60% - akcent 6 2 19 6" xfId="6167" xr:uid="{00000000-0005-0000-0000-000002180000}"/>
    <cellStyle name="60% - akcent 6 2 2" xfId="6168" xr:uid="{00000000-0005-0000-0000-000003180000}"/>
    <cellStyle name="60% - akcent 6 2 2 2" xfId="6169" xr:uid="{00000000-0005-0000-0000-000004180000}"/>
    <cellStyle name="60% - akcent 6 2 2 3" xfId="6170" xr:uid="{00000000-0005-0000-0000-000005180000}"/>
    <cellStyle name="60% - akcent 6 2 2 4" xfId="6171" xr:uid="{00000000-0005-0000-0000-000006180000}"/>
    <cellStyle name="60% - akcent 6 2 2 5" xfId="6172" xr:uid="{00000000-0005-0000-0000-000007180000}"/>
    <cellStyle name="60% - akcent 6 2 2 6" xfId="6173" xr:uid="{00000000-0005-0000-0000-000008180000}"/>
    <cellStyle name="60% - akcent 6 2 2 7" xfId="6174" xr:uid="{00000000-0005-0000-0000-000009180000}"/>
    <cellStyle name="60% - akcent 6 2 20" xfId="6175" xr:uid="{00000000-0005-0000-0000-00000A180000}"/>
    <cellStyle name="60% - akcent 6 2 20 2" xfId="6176" xr:uid="{00000000-0005-0000-0000-00000B180000}"/>
    <cellStyle name="60% - akcent 6 2 20 3" xfId="6177" xr:uid="{00000000-0005-0000-0000-00000C180000}"/>
    <cellStyle name="60% - akcent 6 2 20 4" xfId="6178" xr:uid="{00000000-0005-0000-0000-00000D180000}"/>
    <cellStyle name="60% - akcent 6 2 20 5" xfId="6179" xr:uid="{00000000-0005-0000-0000-00000E180000}"/>
    <cellStyle name="60% - akcent 6 2 20 6" xfId="6180" xr:uid="{00000000-0005-0000-0000-00000F180000}"/>
    <cellStyle name="60% - akcent 6 2 21" xfId="6181" xr:uid="{00000000-0005-0000-0000-000010180000}"/>
    <cellStyle name="60% - akcent 6 2 21 2" xfId="6182" xr:uid="{00000000-0005-0000-0000-000011180000}"/>
    <cellStyle name="60% - akcent 6 2 21 3" xfId="6183" xr:uid="{00000000-0005-0000-0000-000012180000}"/>
    <cellStyle name="60% - akcent 6 2 21 4" xfId="6184" xr:uid="{00000000-0005-0000-0000-000013180000}"/>
    <cellStyle name="60% - akcent 6 2 21 5" xfId="6185" xr:uid="{00000000-0005-0000-0000-000014180000}"/>
    <cellStyle name="60% - akcent 6 2 21 6" xfId="6186" xr:uid="{00000000-0005-0000-0000-000015180000}"/>
    <cellStyle name="60% - akcent 6 2 22" xfId="6187" xr:uid="{00000000-0005-0000-0000-000016180000}"/>
    <cellStyle name="60% - akcent 6 2 22 2" xfId="6188" xr:uid="{00000000-0005-0000-0000-000017180000}"/>
    <cellStyle name="60% - akcent 6 2 22 3" xfId="6189" xr:uid="{00000000-0005-0000-0000-000018180000}"/>
    <cellStyle name="60% - akcent 6 2 22 4" xfId="6190" xr:uid="{00000000-0005-0000-0000-000019180000}"/>
    <cellStyle name="60% - akcent 6 2 22 5" xfId="6191" xr:uid="{00000000-0005-0000-0000-00001A180000}"/>
    <cellStyle name="60% - akcent 6 2 22 6" xfId="6192" xr:uid="{00000000-0005-0000-0000-00001B180000}"/>
    <cellStyle name="60% - akcent 6 2 23" xfId="6193" xr:uid="{00000000-0005-0000-0000-00001C180000}"/>
    <cellStyle name="60% - akcent 6 2 23 2" xfId="6194" xr:uid="{00000000-0005-0000-0000-00001D180000}"/>
    <cellStyle name="60% - akcent 6 2 23 3" xfId="6195" xr:uid="{00000000-0005-0000-0000-00001E180000}"/>
    <cellStyle name="60% - akcent 6 2 23 4" xfId="6196" xr:uid="{00000000-0005-0000-0000-00001F180000}"/>
    <cellStyle name="60% - akcent 6 2 23 5" xfId="6197" xr:uid="{00000000-0005-0000-0000-000020180000}"/>
    <cellStyle name="60% - akcent 6 2 23 6" xfId="6198" xr:uid="{00000000-0005-0000-0000-000021180000}"/>
    <cellStyle name="60% - akcent 6 2 24" xfId="6199" xr:uid="{00000000-0005-0000-0000-000022180000}"/>
    <cellStyle name="60% - akcent 6 2 24 2" xfId="6200" xr:uid="{00000000-0005-0000-0000-000023180000}"/>
    <cellStyle name="60% - akcent 6 2 24 3" xfId="6201" xr:uid="{00000000-0005-0000-0000-000024180000}"/>
    <cellStyle name="60% - akcent 6 2 24 4" xfId="6202" xr:uid="{00000000-0005-0000-0000-000025180000}"/>
    <cellStyle name="60% - akcent 6 2 24 5" xfId="6203" xr:uid="{00000000-0005-0000-0000-000026180000}"/>
    <cellStyle name="60% - akcent 6 2 24 6" xfId="6204" xr:uid="{00000000-0005-0000-0000-000027180000}"/>
    <cellStyle name="60% - akcent 6 2 25" xfId="6205" xr:uid="{00000000-0005-0000-0000-000028180000}"/>
    <cellStyle name="60% - akcent 6 2 25 2" xfId="6206" xr:uid="{00000000-0005-0000-0000-000029180000}"/>
    <cellStyle name="60% - akcent 6 2 25 3" xfId="6207" xr:uid="{00000000-0005-0000-0000-00002A180000}"/>
    <cellStyle name="60% - akcent 6 2 25 4" xfId="6208" xr:uid="{00000000-0005-0000-0000-00002B180000}"/>
    <cellStyle name="60% - akcent 6 2 25 5" xfId="6209" xr:uid="{00000000-0005-0000-0000-00002C180000}"/>
    <cellStyle name="60% - akcent 6 2 25 6" xfId="6210" xr:uid="{00000000-0005-0000-0000-00002D180000}"/>
    <cellStyle name="60% - akcent 6 2 26" xfId="6211" xr:uid="{00000000-0005-0000-0000-00002E180000}"/>
    <cellStyle name="60% - akcent 6 2 26 2" xfId="6212" xr:uid="{00000000-0005-0000-0000-00002F180000}"/>
    <cellStyle name="60% - akcent 6 2 26 3" xfId="6213" xr:uid="{00000000-0005-0000-0000-000030180000}"/>
    <cellStyle name="60% - akcent 6 2 26 4" xfId="6214" xr:uid="{00000000-0005-0000-0000-000031180000}"/>
    <cellStyle name="60% - akcent 6 2 26 5" xfId="6215" xr:uid="{00000000-0005-0000-0000-000032180000}"/>
    <cellStyle name="60% - akcent 6 2 26 6" xfId="6216" xr:uid="{00000000-0005-0000-0000-000033180000}"/>
    <cellStyle name="60% - akcent 6 2 27" xfId="6217" xr:uid="{00000000-0005-0000-0000-000034180000}"/>
    <cellStyle name="60% - akcent 6 2 27 2" xfId="6218" xr:uid="{00000000-0005-0000-0000-000035180000}"/>
    <cellStyle name="60% - akcent 6 2 27 3" xfId="6219" xr:uid="{00000000-0005-0000-0000-000036180000}"/>
    <cellStyle name="60% - akcent 6 2 27 4" xfId="6220" xr:uid="{00000000-0005-0000-0000-000037180000}"/>
    <cellStyle name="60% - akcent 6 2 27 5" xfId="6221" xr:uid="{00000000-0005-0000-0000-000038180000}"/>
    <cellStyle name="60% - akcent 6 2 27 6" xfId="6222" xr:uid="{00000000-0005-0000-0000-000039180000}"/>
    <cellStyle name="60% - akcent 6 2 28" xfId="6223" xr:uid="{00000000-0005-0000-0000-00003A180000}"/>
    <cellStyle name="60% - akcent 6 2 28 2" xfId="6224" xr:uid="{00000000-0005-0000-0000-00003B180000}"/>
    <cellStyle name="60% - akcent 6 2 28 3" xfId="6225" xr:uid="{00000000-0005-0000-0000-00003C180000}"/>
    <cellStyle name="60% - akcent 6 2 28 4" xfId="6226" xr:uid="{00000000-0005-0000-0000-00003D180000}"/>
    <cellStyle name="60% - akcent 6 2 28 5" xfId="6227" xr:uid="{00000000-0005-0000-0000-00003E180000}"/>
    <cellStyle name="60% - akcent 6 2 28 6" xfId="6228" xr:uid="{00000000-0005-0000-0000-00003F180000}"/>
    <cellStyle name="60% - akcent 6 2 29" xfId="6229" xr:uid="{00000000-0005-0000-0000-000040180000}"/>
    <cellStyle name="60% - akcent 6 2 29 2" xfId="6230" xr:uid="{00000000-0005-0000-0000-000041180000}"/>
    <cellStyle name="60% - akcent 6 2 3" xfId="6231" xr:uid="{00000000-0005-0000-0000-000042180000}"/>
    <cellStyle name="60% - akcent 6 2 3 2" xfId="6232" xr:uid="{00000000-0005-0000-0000-000043180000}"/>
    <cellStyle name="60% - akcent 6 2 3 3" xfId="6233" xr:uid="{00000000-0005-0000-0000-000044180000}"/>
    <cellStyle name="60% - akcent 6 2 3 4" xfId="6234" xr:uid="{00000000-0005-0000-0000-000045180000}"/>
    <cellStyle name="60% - akcent 6 2 3 5" xfId="6235" xr:uid="{00000000-0005-0000-0000-000046180000}"/>
    <cellStyle name="60% - akcent 6 2 3 6" xfId="6236" xr:uid="{00000000-0005-0000-0000-000047180000}"/>
    <cellStyle name="60% - akcent 6 2 30" xfId="6237" xr:uid="{00000000-0005-0000-0000-000048180000}"/>
    <cellStyle name="60% - akcent 6 2 30 2" xfId="6238" xr:uid="{00000000-0005-0000-0000-000049180000}"/>
    <cellStyle name="60% - akcent 6 2 31" xfId="6239" xr:uid="{00000000-0005-0000-0000-00004A180000}"/>
    <cellStyle name="60% - akcent 6 2 31 2" xfId="6240" xr:uid="{00000000-0005-0000-0000-00004B180000}"/>
    <cellStyle name="60% - akcent 6 2 32" xfId="6241" xr:uid="{00000000-0005-0000-0000-00004C180000}"/>
    <cellStyle name="60% - akcent 6 2 32 2" xfId="6242" xr:uid="{00000000-0005-0000-0000-00004D180000}"/>
    <cellStyle name="60% - akcent 6 2 33" xfId="6243" xr:uid="{00000000-0005-0000-0000-00004E180000}"/>
    <cellStyle name="60% - akcent 6 2 34" xfId="6244" xr:uid="{00000000-0005-0000-0000-00004F180000}"/>
    <cellStyle name="60% - akcent 6 2 35" xfId="6245" xr:uid="{00000000-0005-0000-0000-000050180000}"/>
    <cellStyle name="60% - akcent 6 2 36" xfId="6246" xr:uid="{00000000-0005-0000-0000-000051180000}"/>
    <cellStyle name="60% - akcent 6 2 37" xfId="6247" xr:uid="{00000000-0005-0000-0000-000052180000}"/>
    <cellStyle name="60% - akcent 6 2 38" xfId="6248" xr:uid="{00000000-0005-0000-0000-000053180000}"/>
    <cellStyle name="60% - akcent 6 2 39" xfId="6249" xr:uid="{00000000-0005-0000-0000-000054180000}"/>
    <cellStyle name="60% - akcent 6 2 4" xfId="6250" xr:uid="{00000000-0005-0000-0000-000055180000}"/>
    <cellStyle name="60% - akcent 6 2 4 2" xfId="6251" xr:uid="{00000000-0005-0000-0000-000056180000}"/>
    <cellStyle name="60% - akcent 6 2 4 3" xfId="6252" xr:uid="{00000000-0005-0000-0000-000057180000}"/>
    <cellStyle name="60% - akcent 6 2 4 4" xfId="6253" xr:uid="{00000000-0005-0000-0000-000058180000}"/>
    <cellStyle name="60% - akcent 6 2 4 5" xfId="6254" xr:uid="{00000000-0005-0000-0000-000059180000}"/>
    <cellStyle name="60% - akcent 6 2 4 6" xfId="6255" xr:uid="{00000000-0005-0000-0000-00005A180000}"/>
    <cellStyle name="60% - akcent 6 2 40" xfId="6256" xr:uid="{00000000-0005-0000-0000-00005B180000}"/>
    <cellStyle name="60% - akcent 6 2 41" xfId="6257" xr:uid="{00000000-0005-0000-0000-00005C180000}"/>
    <cellStyle name="60% - akcent 6 2 42" xfId="6258" xr:uid="{00000000-0005-0000-0000-00005D180000}"/>
    <cellStyle name="60% - akcent 6 2 43" xfId="6259" xr:uid="{00000000-0005-0000-0000-00005E180000}"/>
    <cellStyle name="60% - akcent 6 2 44" xfId="6260" xr:uid="{00000000-0005-0000-0000-00005F180000}"/>
    <cellStyle name="60% - akcent 6 2 45" xfId="6261" xr:uid="{00000000-0005-0000-0000-000060180000}"/>
    <cellStyle name="60% - akcent 6 2 46" xfId="6262" xr:uid="{00000000-0005-0000-0000-000061180000}"/>
    <cellStyle name="60% - akcent 6 2 47" xfId="6263" xr:uid="{00000000-0005-0000-0000-000062180000}"/>
    <cellStyle name="60% - akcent 6 2 48" xfId="6264" xr:uid="{00000000-0005-0000-0000-000063180000}"/>
    <cellStyle name="60% - akcent 6 2 49" xfId="6265" xr:uid="{00000000-0005-0000-0000-000064180000}"/>
    <cellStyle name="60% - akcent 6 2 5" xfId="6266" xr:uid="{00000000-0005-0000-0000-000065180000}"/>
    <cellStyle name="60% - akcent 6 2 5 2" xfId="6267" xr:uid="{00000000-0005-0000-0000-000066180000}"/>
    <cellStyle name="60% - akcent 6 2 5 3" xfId="6268" xr:uid="{00000000-0005-0000-0000-000067180000}"/>
    <cellStyle name="60% - akcent 6 2 5 4" xfId="6269" xr:uid="{00000000-0005-0000-0000-000068180000}"/>
    <cellStyle name="60% - akcent 6 2 5 5" xfId="6270" xr:uid="{00000000-0005-0000-0000-000069180000}"/>
    <cellStyle name="60% - akcent 6 2 5 6" xfId="6271" xr:uid="{00000000-0005-0000-0000-00006A180000}"/>
    <cellStyle name="60% - akcent 6 2 50" xfId="6272" xr:uid="{00000000-0005-0000-0000-00006B180000}"/>
    <cellStyle name="60% - akcent 6 2 51" xfId="6273" xr:uid="{00000000-0005-0000-0000-00006C180000}"/>
    <cellStyle name="60% - akcent 6 2 52" xfId="6274" xr:uid="{00000000-0005-0000-0000-00006D180000}"/>
    <cellStyle name="60% - akcent 6 2 6" xfId="6275" xr:uid="{00000000-0005-0000-0000-00006E180000}"/>
    <cellStyle name="60% - akcent 6 2 6 2" xfId="6276" xr:uid="{00000000-0005-0000-0000-00006F180000}"/>
    <cellStyle name="60% - akcent 6 2 6 3" xfId="6277" xr:uid="{00000000-0005-0000-0000-000070180000}"/>
    <cellStyle name="60% - akcent 6 2 6 4" xfId="6278" xr:uid="{00000000-0005-0000-0000-000071180000}"/>
    <cellStyle name="60% - akcent 6 2 6 5" xfId="6279" xr:uid="{00000000-0005-0000-0000-000072180000}"/>
    <cellStyle name="60% - akcent 6 2 6 6" xfId="6280" xr:uid="{00000000-0005-0000-0000-000073180000}"/>
    <cellStyle name="60% - akcent 6 2 7" xfId="6281" xr:uid="{00000000-0005-0000-0000-000074180000}"/>
    <cellStyle name="60% - akcent 6 2 7 2" xfId="6282" xr:uid="{00000000-0005-0000-0000-000075180000}"/>
    <cellStyle name="60% - akcent 6 2 7 3" xfId="6283" xr:uid="{00000000-0005-0000-0000-000076180000}"/>
    <cellStyle name="60% - akcent 6 2 7 4" xfId="6284" xr:uid="{00000000-0005-0000-0000-000077180000}"/>
    <cellStyle name="60% - akcent 6 2 7 5" xfId="6285" xr:uid="{00000000-0005-0000-0000-000078180000}"/>
    <cellStyle name="60% - akcent 6 2 7 6" xfId="6286" xr:uid="{00000000-0005-0000-0000-000079180000}"/>
    <cellStyle name="60% - akcent 6 2 8" xfId="6287" xr:uid="{00000000-0005-0000-0000-00007A180000}"/>
    <cellStyle name="60% - akcent 6 2 8 2" xfId="6288" xr:uid="{00000000-0005-0000-0000-00007B180000}"/>
    <cellStyle name="60% - akcent 6 2 8 3" xfId="6289" xr:uid="{00000000-0005-0000-0000-00007C180000}"/>
    <cellStyle name="60% - akcent 6 2 8 4" xfId="6290" xr:uid="{00000000-0005-0000-0000-00007D180000}"/>
    <cellStyle name="60% - akcent 6 2 8 5" xfId="6291" xr:uid="{00000000-0005-0000-0000-00007E180000}"/>
    <cellStyle name="60% - akcent 6 2 8 6" xfId="6292" xr:uid="{00000000-0005-0000-0000-00007F180000}"/>
    <cellStyle name="60% - akcent 6 2 9" xfId="6293" xr:uid="{00000000-0005-0000-0000-000080180000}"/>
    <cellStyle name="60% - akcent 6 2 9 2" xfId="6294" xr:uid="{00000000-0005-0000-0000-000081180000}"/>
    <cellStyle name="60% - akcent 6 2 9 3" xfId="6295" xr:uid="{00000000-0005-0000-0000-000082180000}"/>
    <cellStyle name="60% - akcent 6 2 9 4" xfId="6296" xr:uid="{00000000-0005-0000-0000-000083180000}"/>
    <cellStyle name="60% - akcent 6 2 9 5" xfId="6297" xr:uid="{00000000-0005-0000-0000-000084180000}"/>
    <cellStyle name="60% - akcent 6 2 9 6" xfId="6298" xr:uid="{00000000-0005-0000-0000-000085180000}"/>
    <cellStyle name="60% - akcent 6 3" xfId="6299" xr:uid="{00000000-0005-0000-0000-000086180000}"/>
    <cellStyle name="60% - akcent 6 3 2" xfId="6300" xr:uid="{00000000-0005-0000-0000-000087180000}"/>
    <cellStyle name="60% - akcent 6 3 2 2" xfId="6301" xr:uid="{00000000-0005-0000-0000-000088180000}"/>
    <cellStyle name="60% - akcent 6 3 3" xfId="6302" xr:uid="{00000000-0005-0000-0000-000089180000}"/>
    <cellStyle name="60% - akcent 6 3 4" xfId="6303" xr:uid="{00000000-0005-0000-0000-00008A180000}"/>
    <cellStyle name="60% - akcent 6 3 5" xfId="6304" xr:uid="{00000000-0005-0000-0000-00008B180000}"/>
    <cellStyle name="60% - akcent 6 3 6" xfId="6305" xr:uid="{00000000-0005-0000-0000-00008C180000}"/>
    <cellStyle name="60% - akcent 6 3 7" xfId="6306" xr:uid="{00000000-0005-0000-0000-00008D180000}"/>
    <cellStyle name="60% - akcent 6 3 8" xfId="6307" xr:uid="{00000000-0005-0000-0000-00008E180000}"/>
    <cellStyle name="60% - akcent 6 4" xfId="6308" xr:uid="{00000000-0005-0000-0000-00008F180000}"/>
    <cellStyle name="60% - akcent 6 4 2" xfId="6309" xr:uid="{00000000-0005-0000-0000-000090180000}"/>
    <cellStyle name="60% - akcent 6 4 3" xfId="6310" xr:uid="{00000000-0005-0000-0000-000091180000}"/>
    <cellStyle name="60% - akcent 6 4 4" xfId="6311" xr:uid="{00000000-0005-0000-0000-000092180000}"/>
    <cellStyle name="60% - akcent 6 4 5" xfId="6312" xr:uid="{00000000-0005-0000-0000-000093180000}"/>
    <cellStyle name="60% - akcent 6 4 6" xfId="6313" xr:uid="{00000000-0005-0000-0000-000094180000}"/>
    <cellStyle name="60% - akcent 6 4 7" xfId="6314" xr:uid="{00000000-0005-0000-0000-000095180000}"/>
    <cellStyle name="60% - akcent 6 4 8" xfId="6315" xr:uid="{00000000-0005-0000-0000-000096180000}"/>
    <cellStyle name="60% - akcent 6 5" xfId="6316" xr:uid="{00000000-0005-0000-0000-000097180000}"/>
    <cellStyle name="60% - akcent 6 5 2" xfId="6317" xr:uid="{00000000-0005-0000-0000-000098180000}"/>
    <cellStyle name="60% - akcent 6 6" xfId="6318" xr:uid="{00000000-0005-0000-0000-000099180000}"/>
    <cellStyle name="60% - akcent 6 7" xfId="6319" xr:uid="{00000000-0005-0000-0000-00009A180000}"/>
    <cellStyle name="aaa" xfId="6320" xr:uid="{00000000-0005-0000-0000-00009B180000}"/>
    <cellStyle name="Afrundet valuta_Slideshow" xfId="6321" xr:uid="{00000000-0005-0000-0000-00009C180000}"/>
    <cellStyle name="Akcent 1 2" xfId="6322" xr:uid="{00000000-0005-0000-0000-00009D180000}"/>
    <cellStyle name="Akcent 1 2 10" xfId="6323" xr:uid="{00000000-0005-0000-0000-00009E180000}"/>
    <cellStyle name="Akcent 1 2 10 2" xfId="6324" xr:uid="{00000000-0005-0000-0000-00009F180000}"/>
    <cellStyle name="Akcent 1 2 10 3" xfId="6325" xr:uid="{00000000-0005-0000-0000-0000A0180000}"/>
    <cellStyle name="Akcent 1 2 10 4" xfId="6326" xr:uid="{00000000-0005-0000-0000-0000A1180000}"/>
    <cellStyle name="Akcent 1 2 10 5" xfId="6327" xr:uid="{00000000-0005-0000-0000-0000A2180000}"/>
    <cellStyle name="Akcent 1 2 10 6" xfId="6328" xr:uid="{00000000-0005-0000-0000-0000A3180000}"/>
    <cellStyle name="Akcent 1 2 11" xfId="6329" xr:uid="{00000000-0005-0000-0000-0000A4180000}"/>
    <cellStyle name="Akcent 1 2 11 2" xfId="6330" xr:uid="{00000000-0005-0000-0000-0000A5180000}"/>
    <cellStyle name="Akcent 1 2 11 3" xfId="6331" xr:uid="{00000000-0005-0000-0000-0000A6180000}"/>
    <cellStyle name="Akcent 1 2 11 4" xfId="6332" xr:uid="{00000000-0005-0000-0000-0000A7180000}"/>
    <cellStyle name="Akcent 1 2 11 5" xfId="6333" xr:uid="{00000000-0005-0000-0000-0000A8180000}"/>
    <cellStyle name="Akcent 1 2 11 6" xfId="6334" xr:uid="{00000000-0005-0000-0000-0000A9180000}"/>
    <cellStyle name="Akcent 1 2 12" xfId="6335" xr:uid="{00000000-0005-0000-0000-0000AA180000}"/>
    <cellStyle name="Akcent 1 2 12 2" xfId="6336" xr:uid="{00000000-0005-0000-0000-0000AB180000}"/>
    <cellStyle name="Akcent 1 2 12 3" xfId="6337" xr:uid="{00000000-0005-0000-0000-0000AC180000}"/>
    <cellStyle name="Akcent 1 2 12 4" xfId="6338" xr:uid="{00000000-0005-0000-0000-0000AD180000}"/>
    <cellStyle name="Akcent 1 2 12 5" xfId="6339" xr:uid="{00000000-0005-0000-0000-0000AE180000}"/>
    <cellStyle name="Akcent 1 2 12 6" xfId="6340" xr:uid="{00000000-0005-0000-0000-0000AF180000}"/>
    <cellStyle name="Akcent 1 2 13" xfId="6341" xr:uid="{00000000-0005-0000-0000-0000B0180000}"/>
    <cellStyle name="Akcent 1 2 13 2" xfId="6342" xr:uid="{00000000-0005-0000-0000-0000B1180000}"/>
    <cellStyle name="Akcent 1 2 13 3" xfId="6343" xr:uid="{00000000-0005-0000-0000-0000B2180000}"/>
    <cellStyle name="Akcent 1 2 13 4" xfId="6344" xr:uid="{00000000-0005-0000-0000-0000B3180000}"/>
    <cellStyle name="Akcent 1 2 13 5" xfId="6345" xr:uid="{00000000-0005-0000-0000-0000B4180000}"/>
    <cellStyle name="Akcent 1 2 13 6" xfId="6346" xr:uid="{00000000-0005-0000-0000-0000B5180000}"/>
    <cellStyle name="Akcent 1 2 14" xfId="6347" xr:uid="{00000000-0005-0000-0000-0000B6180000}"/>
    <cellStyle name="Akcent 1 2 14 2" xfId="6348" xr:uid="{00000000-0005-0000-0000-0000B7180000}"/>
    <cellStyle name="Akcent 1 2 14 3" xfId="6349" xr:uid="{00000000-0005-0000-0000-0000B8180000}"/>
    <cellStyle name="Akcent 1 2 14 4" xfId="6350" xr:uid="{00000000-0005-0000-0000-0000B9180000}"/>
    <cellStyle name="Akcent 1 2 14 5" xfId="6351" xr:uid="{00000000-0005-0000-0000-0000BA180000}"/>
    <cellStyle name="Akcent 1 2 14 6" xfId="6352" xr:uid="{00000000-0005-0000-0000-0000BB180000}"/>
    <cellStyle name="Akcent 1 2 15" xfId="6353" xr:uid="{00000000-0005-0000-0000-0000BC180000}"/>
    <cellStyle name="Akcent 1 2 15 2" xfId="6354" xr:uid="{00000000-0005-0000-0000-0000BD180000}"/>
    <cellStyle name="Akcent 1 2 15 3" xfId="6355" xr:uid="{00000000-0005-0000-0000-0000BE180000}"/>
    <cellStyle name="Akcent 1 2 15 4" xfId="6356" xr:uid="{00000000-0005-0000-0000-0000BF180000}"/>
    <cellStyle name="Akcent 1 2 15 5" xfId="6357" xr:uid="{00000000-0005-0000-0000-0000C0180000}"/>
    <cellStyle name="Akcent 1 2 15 6" xfId="6358" xr:uid="{00000000-0005-0000-0000-0000C1180000}"/>
    <cellStyle name="Akcent 1 2 16" xfId="6359" xr:uid="{00000000-0005-0000-0000-0000C2180000}"/>
    <cellStyle name="Akcent 1 2 16 2" xfId="6360" xr:uid="{00000000-0005-0000-0000-0000C3180000}"/>
    <cellStyle name="Akcent 1 2 16 3" xfId="6361" xr:uid="{00000000-0005-0000-0000-0000C4180000}"/>
    <cellStyle name="Akcent 1 2 16 4" xfId="6362" xr:uid="{00000000-0005-0000-0000-0000C5180000}"/>
    <cellStyle name="Akcent 1 2 16 5" xfId="6363" xr:uid="{00000000-0005-0000-0000-0000C6180000}"/>
    <cellStyle name="Akcent 1 2 16 6" xfId="6364" xr:uid="{00000000-0005-0000-0000-0000C7180000}"/>
    <cellStyle name="Akcent 1 2 17" xfId="6365" xr:uid="{00000000-0005-0000-0000-0000C8180000}"/>
    <cellStyle name="Akcent 1 2 17 2" xfId="6366" xr:uid="{00000000-0005-0000-0000-0000C9180000}"/>
    <cellStyle name="Akcent 1 2 17 3" xfId="6367" xr:uid="{00000000-0005-0000-0000-0000CA180000}"/>
    <cellStyle name="Akcent 1 2 17 4" xfId="6368" xr:uid="{00000000-0005-0000-0000-0000CB180000}"/>
    <cellStyle name="Akcent 1 2 17 5" xfId="6369" xr:uid="{00000000-0005-0000-0000-0000CC180000}"/>
    <cellStyle name="Akcent 1 2 17 6" xfId="6370" xr:uid="{00000000-0005-0000-0000-0000CD180000}"/>
    <cellStyle name="Akcent 1 2 18" xfId="6371" xr:uid="{00000000-0005-0000-0000-0000CE180000}"/>
    <cellStyle name="Akcent 1 2 18 2" xfId="6372" xr:uid="{00000000-0005-0000-0000-0000CF180000}"/>
    <cellStyle name="Akcent 1 2 18 3" xfId="6373" xr:uid="{00000000-0005-0000-0000-0000D0180000}"/>
    <cellStyle name="Akcent 1 2 18 4" xfId="6374" xr:uid="{00000000-0005-0000-0000-0000D1180000}"/>
    <cellStyle name="Akcent 1 2 18 5" xfId="6375" xr:uid="{00000000-0005-0000-0000-0000D2180000}"/>
    <cellStyle name="Akcent 1 2 18 6" xfId="6376" xr:uid="{00000000-0005-0000-0000-0000D3180000}"/>
    <cellStyle name="Akcent 1 2 19" xfId="6377" xr:uid="{00000000-0005-0000-0000-0000D4180000}"/>
    <cellStyle name="Akcent 1 2 19 2" xfId="6378" xr:uid="{00000000-0005-0000-0000-0000D5180000}"/>
    <cellStyle name="Akcent 1 2 19 3" xfId="6379" xr:uid="{00000000-0005-0000-0000-0000D6180000}"/>
    <cellStyle name="Akcent 1 2 19 4" xfId="6380" xr:uid="{00000000-0005-0000-0000-0000D7180000}"/>
    <cellStyle name="Akcent 1 2 19 5" xfId="6381" xr:uid="{00000000-0005-0000-0000-0000D8180000}"/>
    <cellStyle name="Akcent 1 2 19 6" xfId="6382" xr:uid="{00000000-0005-0000-0000-0000D9180000}"/>
    <cellStyle name="Akcent 1 2 2" xfId="6383" xr:uid="{00000000-0005-0000-0000-0000DA180000}"/>
    <cellStyle name="Akcent 1 2 2 2" xfId="6384" xr:uid="{00000000-0005-0000-0000-0000DB180000}"/>
    <cellStyle name="Akcent 1 2 2 3" xfId="6385" xr:uid="{00000000-0005-0000-0000-0000DC180000}"/>
    <cellStyle name="Akcent 1 2 2 4" xfId="6386" xr:uid="{00000000-0005-0000-0000-0000DD180000}"/>
    <cellStyle name="Akcent 1 2 2 5" xfId="6387" xr:uid="{00000000-0005-0000-0000-0000DE180000}"/>
    <cellStyle name="Akcent 1 2 2 6" xfId="6388" xr:uid="{00000000-0005-0000-0000-0000DF180000}"/>
    <cellStyle name="Akcent 1 2 2 7" xfId="6389" xr:uid="{00000000-0005-0000-0000-0000E0180000}"/>
    <cellStyle name="Akcent 1 2 20" xfId="6390" xr:uid="{00000000-0005-0000-0000-0000E1180000}"/>
    <cellStyle name="Akcent 1 2 20 2" xfId="6391" xr:uid="{00000000-0005-0000-0000-0000E2180000}"/>
    <cellStyle name="Akcent 1 2 20 3" xfId="6392" xr:uid="{00000000-0005-0000-0000-0000E3180000}"/>
    <cellStyle name="Akcent 1 2 20 4" xfId="6393" xr:uid="{00000000-0005-0000-0000-0000E4180000}"/>
    <cellStyle name="Akcent 1 2 20 5" xfId="6394" xr:uid="{00000000-0005-0000-0000-0000E5180000}"/>
    <cellStyle name="Akcent 1 2 20 6" xfId="6395" xr:uid="{00000000-0005-0000-0000-0000E6180000}"/>
    <cellStyle name="Akcent 1 2 21" xfId="6396" xr:uid="{00000000-0005-0000-0000-0000E7180000}"/>
    <cellStyle name="Akcent 1 2 21 2" xfId="6397" xr:uid="{00000000-0005-0000-0000-0000E8180000}"/>
    <cellStyle name="Akcent 1 2 21 3" xfId="6398" xr:uid="{00000000-0005-0000-0000-0000E9180000}"/>
    <cellStyle name="Akcent 1 2 21 4" xfId="6399" xr:uid="{00000000-0005-0000-0000-0000EA180000}"/>
    <cellStyle name="Akcent 1 2 21 5" xfId="6400" xr:uid="{00000000-0005-0000-0000-0000EB180000}"/>
    <cellStyle name="Akcent 1 2 21 6" xfId="6401" xr:uid="{00000000-0005-0000-0000-0000EC180000}"/>
    <cellStyle name="Akcent 1 2 22" xfId="6402" xr:uid="{00000000-0005-0000-0000-0000ED180000}"/>
    <cellStyle name="Akcent 1 2 22 2" xfId="6403" xr:uid="{00000000-0005-0000-0000-0000EE180000}"/>
    <cellStyle name="Akcent 1 2 22 3" xfId="6404" xr:uid="{00000000-0005-0000-0000-0000EF180000}"/>
    <cellStyle name="Akcent 1 2 22 4" xfId="6405" xr:uid="{00000000-0005-0000-0000-0000F0180000}"/>
    <cellStyle name="Akcent 1 2 22 5" xfId="6406" xr:uid="{00000000-0005-0000-0000-0000F1180000}"/>
    <cellStyle name="Akcent 1 2 22 6" xfId="6407" xr:uid="{00000000-0005-0000-0000-0000F2180000}"/>
    <cellStyle name="Akcent 1 2 23" xfId="6408" xr:uid="{00000000-0005-0000-0000-0000F3180000}"/>
    <cellStyle name="Akcent 1 2 23 2" xfId="6409" xr:uid="{00000000-0005-0000-0000-0000F4180000}"/>
    <cellStyle name="Akcent 1 2 23 3" xfId="6410" xr:uid="{00000000-0005-0000-0000-0000F5180000}"/>
    <cellStyle name="Akcent 1 2 23 4" xfId="6411" xr:uid="{00000000-0005-0000-0000-0000F6180000}"/>
    <cellStyle name="Akcent 1 2 23 5" xfId="6412" xr:uid="{00000000-0005-0000-0000-0000F7180000}"/>
    <cellStyle name="Akcent 1 2 23 6" xfId="6413" xr:uid="{00000000-0005-0000-0000-0000F8180000}"/>
    <cellStyle name="Akcent 1 2 24" xfId="6414" xr:uid="{00000000-0005-0000-0000-0000F9180000}"/>
    <cellStyle name="Akcent 1 2 24 2" xfId="6415" xr:uid="{00000000-0005-0000-0000-0000FA180000}"/>
    <cellStyle name="Akcent 1 2 24 3" xfId="6416" xr:uid="{00000000-0005-0000-0000-0000FB180000}"/>
    <cellStyle name="Akcent 1 2 24 4" xfId="6417" xr:uid="{00000000-0005-0000-0000-0000FC180000}"/>
    <cellStyle name="Akcent 1 2 24 5" xfId="6418" xr:uid="{00000000-0005-0000-0000-0000FD180000}"/>
    <cellStyle name="Akcent 1 2 24 6" xfId="6419" xr:uid="{00000000-0005-0000-0000-0000FE180000}"/>
    <cellStyle name="Akcent 1 2 25" xfId="6420" xr:uid="{00000000-0005-0000-0000-0000FF180000}"/>
    <cellStyle name="Akcent 1 2 25 2" xfId="6421" xr:uid="{00000000-0005-0000-0000-000000190000}"/>
    <cellStyle name="Akcent 1 2 25 3" xfId="6422" xr:uid="{00000000-0005-0000-0000-000001190000}"/>
    <cellStyle name="Akcent 1 2 25 4" xfId="6423" xr:uid="{00000000-0005-0000-0000-000002190000}"/>
    <cellStyle name="Akcent 1 2 25 5" xfId="6424" xr:uid="{00000000-0005-0000-0000-000003190000}"/>
    <cellStyle name="Akcent 1 2 25 6" xfId="6425" xr:uid="{00000000-0005-0000-0000-000004190000}"/>
    <cellStyle name="Akcent 1 2 26" xfId="6426" xr:uid="{00000000-0005-0000-0000-000005190000}"/>
    <cellStyle name="Akcent 1 2 26 2" xfId="6427" xr:uid="{00000000-0005-0000-0000-000006190000}"/>
    <cellStyle name="Akcent 1 2 26 3" xfId="6428" xr:uid="{00000000-0005-0000-0000-000007190000}"/>
    <cellStyle name="Akcent 1 2 26 4" xfId="6429" xr:uid="{00000000-0005-0000-0000-000008190000}"/>
    <cellStyle name="Akcent 1 2 26 5" xfId="6430" xr:uid="{00000000-0005-0000-0000-000009190000}"/>
    <cellStyle name="Akcent 1 2 26 6" xfId="6431" xr:uid="{00000000-0005-0000-0000-00000A190000}"/>
    <cellStyle name="Akcent 1 2 27" xfId="6432" xr:uid="{00000000-0005-0000-0000-00000B190000}"/>
    <cellStyle name="Akcent 1 2 27 2" xfId="6433" xr:uid="{00000000-0005-0000-0000-00000C190000}"/>
    <cellStyle name="Akcent 1 2 27 3" xfId="6434" xr:uid="{00000000-0005-0000-0000-00000D190000}"/>
    <cellStyle name="Akcent 1 2 27 4" xfId="6435" xr:uid="{00000000-0005-0000-0000-00000E190000}"/>
    <cellStyle name="Akcent 1 2 27 5" xfId="6436" xr:uid="{00000000-0005-0000-0000-00000F190000}"/>
    <cellStyle name="Akcent 1 2 27 6" xfId="6437" xr:uid="{00000000-0005-0000-0000-000010190000}"/>
    <cellStyle name="Akcent 1 2 28" xfId="6438" xr:uid="{00000000-0005-0000-0000-000011190000}"/>
    <cellStyle name="Akcent 1 2 28 2" xfId="6439" xr:uid="{00000000-0005-0000-0000-000012190000}"/>
    <cellStyle name="Akcent 1 2 28 3" xfId="6440" xr:uid="{00000000-0005-0000-0000-000013190000}"/>
    <cellStyle name="Akcent 1 2 28 4" xfId="6441" xr:uid="{00000000-0005-0000-0000-000014190000}"/>
    <cellStyle name="Akcent 1 2 28 5" xfId="6442" xr:uid="{00000000-0005-0000-0000-000015190000}"/>
    <cellStyle name="Akcent 1 2 28 6" xfId="6443" xr:uid="{00000000-0005-0000-0000-000016190000}"/>
    <cellStyle name="Akcent 1 2 29" xfId="6444" xr:uid="{00000000-0005-0000-0000-000017190000}"/>
    <cellStyle name="Akcent 1 2 29 2" xfId="6445" xr:uid="{00000000-0005-0000-0000-000018190000}"/>
    <cellStyle name="Akcent 1 2 3" xfId="6446" xr:uid="{00000000-0005-0000-0000-000019190000}"/>
    <cellStyle name="Akcent 1 2 3 2" xfId="6447" xr:uid="{00000000-0005-0000-0000-00001A190000}"/>
    <cellStyle name="Akcent 1 2 3 3" xfId="6448" xr:uid="{00000000-0005-0000-0000-00001B190000}"/>
    <cellStyle name="Akcent 1 2 3 4" xfId="6449" xr:uid="{00000000-0005-0000-0000-00001C190000}"/>
    <cellStyle name="Akcent 1 2 3 5" xfId="6450" xr:uid="{00000000-0005-0000-0000-00001D190000}"/>
    <cellStyle name="Akcent 1 2 3 6" xfId="6451" xr:uid="{00000000-0005-0000-0000-00001E190000}"/>
    <cellStyle name="Akcent 1 2 30" xfId="6452" xr:uid="{00000000-0005-0000-0000-00001F190000}"/>
    <cellStyle name="Akcent 1 2 30 2" xfId="6453" xr:uid="{00000000-0005-0000-0000-000020190000}"/>
    <cellStyle name="Akcent 1 2 31" xfId="6454" xr:uid="{00000000-0005-0000-0000-000021190000}"/>
    <cellStyle name="Akcent 1 2 31 2" xfId="6455" xr:uid="{00000000-0005-0000-0000-000022190000}"/>
    <cellStyle name="Akcent 1 2 32" xfId="6456" xr:uid="{00000000-0005-0000-0000-000023190000}"/>
    <cellStyle name="Akcent 1 2 32 2" xfId="6457" xr:uid="{00000000-0005-0000-0000-000024190000}"/>
    <cellStyle name="Akcent 1 2 33" xfId="6458" xr:uid="{00000000-0005-0000-0000-000025190000}"/>
    <cellStyle name="Akcent 1 2 34" xfId="6459" xr:uid="{00000000-0005-0000-0000-000026190000}"/>
    <cellStyle name="Akcent 1 2 35" xfId="6460" xr:uid="{00000000-0005-0000-0000-000027190000}"/>
    <cellStyle name="Akcent 1 2 36" xfId="6461" xr:uid="{00000000-0005-0000-0000-000028190000}"/>
    <cellStyle name="Akcent 1 2 37" xfId="6462" xr:uid="{00000000-0005-0000-0000-000029190000}"/>
    <cellStyle name="Akcent 1 2 38" xfId="6463" xr:uid="{00000000-0005-0000-0000-00002A190000}"/>
    <cellStyle name="Akcent 1 2 39" xfId="6464" xr:uid="{00000000-0005-0000-0000-00002B190000}"/>
    <cellStyle name="Akcent 1 2 4" xfId="6465" xr:uid="{00000000-0005-0000-0000-00002C190000}"/>
    <cellStyle name="Akcent 1 2 4 2" xfId="6466" xr:uid="{00000000-0005-0000-0000-00002D190000}"/>
    <cellStyle name="Akcent 1 2 4 3" xfId="6467" xr:uid="{00000000-0005-0000-0000-00002E190000}"/>
    <cellStyle name="Akcent 1 2 4 4" xfId="6468" xr:uid="{00000000-0005-0000-0000-00002F190000}"/>
    <cellStyle name="Akcent 1 2 4 5" xfId="6469" xr:uid="{00000000-0005-0000-0000-000030190000}"/>
    <cellStyle name="Akcent 1 2 4 6" xfId="6470" xr:uid="{00000000-0005-0000-0000-000031190000}"/>
    <cellStyle name="Akcent 1 2 40" xfId="6471" xr:uid="{00000000-0005-0000-0000-000032190000}"/>
    <cellStyle name="Akcent 1 2 41" xfId="6472" xr:uid="{00000000-0005-0000-0000-000033190000}"/>
    <cellStyle name="Akcent 1 2 42" xfId="6473" xr:uid="{00000000-0005-0000-0000-000034190000}"/>
    <cellStyle name="Akcent 1 2 43" xfId="6474" xr:uid="{00000000-0005-0000-0000-000035190000}"/>
    <cellStyle name="Akcent 1 2 44" xfId="6475" xr:uid="{00000000-0005-0000-0000-000036190000}"/>
    <cellStyle name="Akcent 1 2 45" xfId="6476" xr:uid="{00000000-0005-0000-0000-000037190000}"/>
    <cellStyle name="Akcent 1 2 46" xfId="6477" xr:uid="{00000000-0005-0000-0000-000038190000}"/>
    <cellStyle name="Akcent 1 2 47" xfId="6478" xr:uid="{00000000-0005-0000-0000-000039190000}"/>
    <cellStyle name="Akcent 1 2 48" xfId="6479" xr:uid="{00000000-0005-0000-0000-00003A190000}"/>
    <cellStyle name="Akcent 1 2 49" xfId="6480" xr:uid="{00000000-0005-0000-0000-00003B190000}"/>
    <cellStyle name="Akcent 1 2 5" xfId="6481" xr:uid="{00000000-0005-0000-0000-00003C190000}"/>
    <cellStyle name="Akcent 1 2 5 2" xfId="6482" xr:uid="{00000000-0005-0000-0000-00003D190000}"/>
    <cellStyle name="Akcent 1 2 5 3" xfId="6483" xr:uid="{00000000-0005-0000-0000-00003E190000}"/>
    <cellStyle name="Akcent 1 2 5 4" xfId="6484" xr:uid="{00000000-0005-0000-0000-00003F190000}"/>
    <cellStyle name="Akcent 1 2 5 5" xfId="6485" xr:uid="{00000000-0005-0000-0000-000040190000}"/>
    <cellStyle name="Akcent 1 2 5 6" xfId="6486" xr:uid="{00000000-0005-0000-0000-000041190000}"/>
    <cellStyle name="Akcent 1 2 50" xfId="6487" xr:uid="{00000000-0005-0000-0000-000042190000}"/>
    <cellStyle name="Akcent 1 2 51" xfId="6488" xr:uid="{00000000-0005-0000-0000-000043190000}"/>
    <cellStyle name="Akcent 1 2 52" xfId="6489" xr:uid="{00000000-0005-0000-0000-000044190000}"/>
    <cellStyle name="Akcent 1 2 6" xfId="6490" xr:uid="{00000000-0005-0000-0000-000045190000}"/>
    <cellStyle name="Akcent 1 2 6 2" xfId="6491" xr:uid="{00000000-0005-0000-0000-000046190000}"/>
    <cellStyle name="Akcent 1 2 6 3" xfId="6492" xr:uid="{00000000-0005-0000-0000-000047190000}"/>
    <cellStyle name="Akcent 1 2 6 4" xfId="6493" xr:uid="{00000000-0005-0000-0000-000048190000}"/>
    <cellStyle name="Akcent 1 2 6 5" xfId="6494" xr:uid="{00000000-0005-0000-0000-000049190000}"/>
    <cellStyle name="Akcent 1 2 6 6" xfId="6495" xr:uid="{00000000-0005-0000-0000-00004A190000}"/>
    <cellStyle name="Akcent 1 2 7" xfId="6496" xr:uid="{00000000-0005-0000-0000-00004B190000}"/>
    <cellStyle name="Akcent 1 2 7 2" xfId="6497" xr:uid="{00000000-0005-0000-0000-00004C190000}"/>
    <cellStyle name="Akcent 1 2 7 3" xfId="6498" xr:uid="{00000000-0005-0000-0000-00004D190000}"/>
    <cellStyle name="Akcent 1 2 7 4" xfId="6499" xr:uid="{00000000-0005-0000-0000-00004E190000}"/>
    <cellStyle name="Akcent 1 2 7 5" xfId="6500" xr:uid="{00000000-0005-0000-0000-00004F190000}"/>
    <cellStyle name="Akcent 1 2 7 6" xfId="6501" xr:uid="{00000000-0005-0000-0000-000050190000}"/>
    <cellStyle name="Akcent 1 2 8" xfId="6502" xr:uid="{00000000-0005-0000-0000-000051190000}"/>
    <cellStyle name="Akcent 1 2 8 2" xfId="6503" xr:uid="{00000000-0005-0000-0000-000052190000}"/>
    <cellStyle name="Akcent 1 2 8 3" xfId="6504" xr:uid="{00000000-0005-0000-0000-000053190000}"/>
    <cellStyle name="Akcent 1 2 8 4" xfId="6505" xr:uid="{00000000-0005-0000-0000-000054190000}"/>
    <cellStyle name="Akcent 1 2 8 5" xfId="6506" xr:uid="{00000000-0005-0000-0000-000055190000}"/>
    <cellStyle name="Akcent 1 2 8 6" xfId="6507" xr:uid="{00000000-0005-0000-0000-000056190000}"/>
    <cellStyle name="Akcent 1 2 9" xfId="6508" xr:uid="{00000000-0005-0000-0000-000057190000}"/>
    <cellStyle name="Akcent 1 2 9 2" xfId="6509" xr:uid="{00000000-0005-0000-0000-000058190000}"/>
    <cellStyle name="Akcent 1 2 9 3" xfId="6510" xr:uid="{00000000-0005-0000-0000-000059190000}"/>
    <cellStyle name="Akcent 1 2 9 4" xfId="6511" xr:uid="{00000000-0005-0000-0000-00005A190000}"/>
    <cellStyle name="Akcent 1 2 9 5" xfId="6512" xr:uid="{00000000-0005-0000-0000-00005B190000}"/>
    <cellStyle name="Akcent 1 2 9 6" xfId="6513" xr:uid="{00000000-0005-0000-0000-00005C190000}"/>
    <cellStyle name="Akcent 1 3" xfId="6514" xr:uid="{00000000-0005-0000-0000-00005D190000}"/>
    <cellStyle name="Akcent 1 3 2" xfId="6515" xr:uid="{00000000-0005-0000-0000-00005E190000}"/>
    <cellStyle name="Akcent 1 3 2 2" xfId="6516" xr:uid="{00000000-0005-0000-0000-00005F190000}"/>
    <cellStyle name="Akcent 1 3 3" xfId="6517" xr:uid="{00000000-0005-0000-0000-000060190000}"/>
    <cellStyle name="Akcent 1 3 4" xfId="6518" xr:uid="{00000000-0005-0000-0000-000061190000}"/>
    <cellStyle name="Akcent 1 3 5" xfId="6519" xr:uid="{00000000-0005-0000-0000-000062190000}"/>
    <cellStyle name="Akcent 1 3 6" xfId="6520" xr:uid="{00000000-0005-0000-0000-000063190000}"/>
    <cellStyle name="Akcent 1 3 7" xfId="6521" xr:uid="{00000000-0005-0000-0000-000064190000}"/>
    <cellStyle name="Akcent 1 3 8" xfId="6522" xr:uid="{00000000-0005-0000-0000-000065190000}"/>
    <cellStyle name="Akcent 1 4" xfId="6523" xr:uid="{00000000-0005-0000-0000-000066190000}"/>
    <cellStyle name="Akcent 1 4 2" xfId="6524" xr:uid="{00000000-0005-0000-0000-000067190000}"/>
    <cellStyle name="Akcent 1 4 3" xfId="6525" xr:uid="{00000000-0005-0000-0000-000068190000}"/>
    <cellStyle name="Akcent 1 4 4" xfId="6526" xr:uid="{00000000-0005-0000-0000-000069190000}"/>
    <cellStyle name="Akcent 1 4 5" xfId="6527" xr:uid="{00000000-0005-0000-0000-00006A190000}"/>
    <cellStyle name="Akcent 1 4 6" xfId="6528" xr:uid="{00000000-0005-0000-0000-00006B190000}"/>
    <cellStyle name="Akcent 1 4 7" xfId="6529" xr:uid="{00000000-0005-0000-0000-00006C190000}"/>
    <cellStyle name="Akcent 1 4 8" xfId="6530" xr:uid="{00000000-0005-0000-0000-00006D190000}"/>
    <cellStyle name="Akcent 1 5" xfId="6531" xr:uid="{00000000-0005-0000-0000-00006E190000}"/>
    <cellStyle name="Akcent 1 5 2" xfId="6532" xr:uid="{00000000-0005-0000-0000-00006F190000}"/>
    <cellStyle name="Akcent 1 6" xfId="6533" xr:uid="{00000000-0005-0000-0000-000070190000}"/>
    <cellStyle name="Akcent 1 7" xfId="6534" xr:uid="{00000000-0005-0000-0000-000071190000}"/>
    <cellStyle name="Akcent 2 2" xfId="6535" xr:uid="{00000000-0005-0000-0000-000072190000}"/>
    <cellStyle name="Akcent 2 2 10" xfId="6536" xr:uid="{00000000-0005-0000-0000-000073190000}"/>
    <cellStyle name="Akcent 2 2 10 2" xfId="6537" xr:uid="{00000000-0005-0000-0000-000074190000}"/>
    <cellStyle name="Akcent 2 2 10 3" xfId="6538" xr:uid="{00000000-0005-0000-0000-000075190000}"/>
    <cellStyle name="Akcent 2 2 10 4" xfId="6539" xr:uid="{00000000-0005-0000-0000-000076190000}"/>
    <cellStyle name="Akcent 2 2 10 5" xfId="6540" xr:uid="{00000000-0005-0000-0000-000077190000}"/>
    <cellStyle name="Akcent 2 2 10 6" xfId="6541" xr:uid="{00000000-0005-0000-0000-000078190000}"/>
    <cellStyle name="Akcent 2 2 11" xfId="6542" xr:uid="{00000000-0005-0000-0000-000079190000}"/>
    <cellStyle name="Akcent 2 2 11 2" xfId="6543" xr:uid="{00000000-0005-0000-0000-00007A190000}"/>
    <cellStyle name="Akcent 2 2 11 3" xfId="6544" xr:uid="{00000000-0005-0000-0000-00007B190000}"/>
    <cellStyle name="Akcent 2 2 11 4" xfId="6545" xr:uid="{00000000-0005-0000-0000-00007C190000}"/>
    <cellStyle name="Akcent 2 2 11 5" xfId="6546" xr:uid="{00000000-0005-0000-0000-00007D190000}"/>
    <cellStyle name="Akcent 2 2 11 6" xfId="6547" xr:uid="{00000000-0005-0000-0000-00007E190000}"/>
    <cellStyle name="Akcent 2 2 12" xfId="6548" xr:uid="{00000000-0005-0000-0000-00007F190000}"/>
    <cellStyle name="Akcent 2 2 12 2" xfId="6549" xr:uid="{00000000-0005-0000-0000-000080190000}"/>
    <cellStyle name="Akcent 2 2 12 3" xfId="6550" xr:uid="{00000000-0005-0000-0000-000081190000}"/>
    <cellStyle name="Akcent 2 2 12 4" xfId="6551" xr:uid="{00000000-0005-0000-0000-000082190000}"/>
    <cellStyle name="Akcent 2 2 12 5" xfId="6552" xr:uid="{00000000-0005-0000-0000-000083190000}"/>
    <cellStyle name="Akcent 2 2 12 6" xfId="6553" xr:uid="{00000000-0005-0000-0000-000084190000}"/>
    <cellStyle name="Akcent 2 2 13" xfId="6554" xr:uid="{00000000-0005-0000-0000-000085190000}"/>
    <cellStyle name="Akcent 2 2 13 2" xfId="6555" xr:uid="{00000000-0005-0000-0000-000086190000}"/>
    <cellStyle name="Akcent 2 2 13 3" xfId="6556" xr:uid="{00000000-0005-0000-0000-000087190000}"/>
    <cellStyle name="Akcent 2 2 13 4" xfId="6557" xr:uid="{00000000-0005-0000-0000-000088190000}"/>
    <cellStyle name="Akcent 2 2 13 5" xfId="6558" xr:uid="{00000000-0005-0000-0000-000089190000}"/>
    <cellStyle name="Akcent 2 2 13 6" xfId="6559" xr:uid="{00000000-0005-0000-0000-00008A190000}"/>
    <cellStyle name="Akcent 2 2 14" xfId="6560" xr:uid="{00000000-0005-0000-0000-00008B190000}"/>
    <cellStyle name="Akcent 2 2 14 2" xfId="6561" xr:uid="{00000000-0005-0000-0000-00008C190000}"/>
    <cellStyle name="Akcent 2 2 14 3" xfId="6562" xr:uid="{00000000-0005-0000-0000-00008D190000}"/>
    <cellStyle name="Akcent 2 2 14 4" xfId="6563" xr:uid="{00000000-0005-0000-0000-00008E190000}"/>
    <cellStyle name="Akcent 2 2 14 5" xfId="6564" xr:uid="{00000000-0005-0000-0000-00008F190000}"/>
    <cellStyle name="Akcent 2 2 14 6" xfId="6565" xr:uid="{00000000-0005-0000-0000-000090190000}"/>
    <cellStyle name="Akcent 2 2 15" xfId="6566" xr:uid="{00000000-0005-0000-0000-000091190000}"/>
    <cellStyle name="Akcent 2 2 15 2" xfId="6567" xr:uid="{00000000-0005-0000-0000-000092190000}"/>
    <cellStyle name="Akcent 2 2 15 3" xfId="6568" xr:uid="{00000000-0005-0000-0000-000093190000}"/>
    <cellStyle name="Akcent 2 2 15 4" xfId="6569" xr:uid="{00000000-0005-0000-0000-000094190000}"/>
    <cellStyle name="Akcent 2 2 15 5" xfId="6570" xr:uid="{00000000-0005-0000-0000-000095190000}"/>
    <cellStyle name="Akcent 2 2 15 6" xfId="6571" xr:uid="{00000000-0005-0000-0000-000096190000}"/>
    <cellStyle name="Akcent 2 2 16" xfId="6572" xr:uid="{00000000-0005-0000-0000-000097190000}"/>
    <cellStyle name="Akcent 2 2 16 2" xfId="6573" xr:uid="{00000000-0005-0000-0000-000098190000}"/>
    <cellStyle name="Akcent 2 2 16 3" xfId="6574" xr:uid="{00000000-0005-0000-0000-000099190000}"/>
    <cellStyle name="Akcent 2 2 16 4" xfId="6575" xr:uid="{00000000-0005-0000-0000-00009A190000}"/>
    <cellStyle name="Akcent 2 2 16 5" xfId="6576" xr:uid="{00000000-0005-0000-0000-00009B190000}"/>
    <cellStyle name="Akcent 2 2 16 6" xfId="6577" xr:uid="{00000000-0005-0000-0000-00009C190000}"/>
    <cellStyle name="Akcent 2 2 17" xfId="6578" xr:uid="{00000000-0005-0000-0000-00009D190000}"/>
    <cellStyle name="Akcent 2 2 17 2" xfId="6579" xr:uid="{00000000-0005-0000-0000-00009E190000}"/>
    <cellStyle name="Akcent 2 2 17 3" xfId="6580" xr:uid="{00000000-0005-0000-0000-00009F190000}"/>
    <cellStyle name="Akcent 2 2 17 4" xfId="6581" xr:uid="{00000000-0005-0000-0000-0000A0190000}"/>
    <cellStyle name="Akcent 2 2 17 5" xfId="6582" xr:uid="{00000000-0005-0000-0000-0000A1190000}"/>
    <cellStyle name="Akcent 2 2 17 6" xfId="6583" xr:uid="{00000000-0005-0000-0000-0000A2190000}"/>
    <cellStyle name="Akcent 2 2 18" xfId="6584" xr:uid="{00000000-0005-0000-0000-0000A3190000}"/>
    <cellStyle name="Akcent 2 2 18 2" xfId="6585" xr:uid="{00000000-0005-0000-0000-0000A4190000}"/>
    <cellStyle name="Akcent 2 2 18 3" xfId="6586" xr:uid="{00000000-0005-0000-0000-0000A5190000}"/>
    <cellStyle name="Akcent 2 2 18 4" xfId="6587" xr:uid="{00000000-0005-0000-0000-0000A6190000}"/>
    <cellStyle name="Akcent 2 2 18 5" xfId="6588" xr:uid="{00000000-0005-0000-0000-0000A7190000}"/>
    <cellStyle name="Akcent 2 2 18 6" xfId="6589" xr:uid="{00000000-0005-0000-0000-0000A8190000}"/>
    <cellStyle name="Akcent 2 2 19" xfId="6590" xr:uid="{00000000-0005-0000-0000-0000A9190000}"/>
    <cellStyle name="Akcent 2 2 19 2" xfId="6591" xr:uid="{00000000-0005-0000-0000-0000AA190000}"/>
    <cellStyle name="Akcent 2 2 19 3" xfId="6592" xr:uid="{00000000-0005-0000-0000-0000AB190000}"/>
    <cellStyle name="Akcent 2 2 19 4" xfId="6593" xr:uid="{00000000-0005-0000-0000-0000AC190000}"/>
    <cellStyle name="Akcent 2 2 19 5" xfId="6594" xr:uid="{00000000-0005-0000-0000-0000AD190000}"/>
    <cellStyle name="Akcent 2 2 19 6" xfId="6595" xr:uid="{00000000-0005-0000-0000-0000AE190000}"/>
    <cellStyle name="Akcent 2 2 2" xfId="6596" xr:uid="{00000000-0005-0000-0000-0000AF190000}"/>
    <cellStyle name="Akcent 2 2 2 2" xfId="6597" xr:uid="{00000000-0005-0000-0000-0000B0190000}"/>
    <cellStyle name="Akcent 2 2 2 3" xfId="6598" xr:uid="{00000000-0005-0000-0000-0000B1190000}"/>
    <cellStyle name="Akcent 2 2 2 4" xfId="6599" xr:uid="{00000000-0005-0000-0000-0000B2190000}"/>
    <cellStyle name="Akcent 2 2 2 5" xfId="6600" xr:uid="{00000000-0005-0000-0000-0000B3190000}"/>
    <cellStyle name="Akcent 2 2 2 6" xfId="6601" xr:uid="{00000000-0005-0000-0000-0000B4190000}"/>
    <cellStyle name="Akcent 2 2 2 7" xfId="6602" xr:uid="{00000000-0005-0000-0000-0000B5190000}"/>
    <cellStyle name="Akcent 2 2 20" xfId="6603" xr:uid="{00000000-0005-0000-0000-0000B6190000}"/>
    <cellStyle name="Akcent 2 2 20 2" xfId="6604" xr:uid="{00000000-0005-0000-0000-0000B7190000}"/>
    <cellStyle name="Akcent 2 2 20 3" xfId="6605" xr:uid="{00000000-0005-0000-0000-0000B8190000}"/>
    <cellStyle name="Akcent 2 2 20 4" xfId="6606" xr:uid="{00000000-0005-0000-0000-0000B9190000}"/>
    <cellStyle name="Akcent 2 2 20 5" xfId="6607" xr:uid="{00000000-0005-0000-0000-0000BA190000}"/>
    <cellStyle name="Akcent 2 2 20 6" xfId="6608" xr:uid="{00000000-0005-0000-0000-0000BB190000}"/>
    <cellStyle name="Akcent 2 2 21" xfId="6609" xr:uid="{00000000-0005-0000-0000-0000BC190000}"/>
    <cellStyle name="Akcent 2 2 21 2" xfId="6610" xr:uid="{00000000-0005-0000-0000-0000BD190000}"/>
    <cellStyle name="Akcent 2 2 21 3" xfId="6611" xr:uid="{00000000-0005-0000-0000-0000BE190000}"/>
    <cellStyle name="Akcent 2 2 21 4" xfId="6612" xr:uid="{00000000-0005-0000-0000-0000BF190000}"/>
    <cellStyle name="Akcent 2 2 21 5" xfId="6613" xr:uid="{00000000-0005-0000-0000-0000C0190000}"/>
    <cellStyle name="Akcent 2 2 21 6" xfId="6614" xr:uid="{00000000-0005-0000-0000-0000C1190000}"/>
    <cellStyle name="Akcent 2 2 22" xfId="6615" xr:uid="{00000000-0005-0000-0000-0000C2190000}"/>
    <cellStyle name="Akcent 2 2 22 2" xfId="6616" xr:uid="{00000000-0005-0000-0000-0000C3190000}"/>
    <cellStyle name="Akcent 2 2 22 3" xfId="6617" xr:uid="{00000000-0005-0000-0000-0000C4190000}"/>
    <cellStyle name="Akcent 2 2 22 4" xfId="6618" xr:uid="{00000000-0005-0000-0000-0000C5190000}"/>
    <cellStyle name="Akcent 2 2 22 5" xfId="6619" xr:uid="{00000000-0005-0000-0000-0000C6190000}"/>
    <cellStyle name="Akcent 2 2 22 6" xfId="6620" xr:uid="{00000000-0005-0000-0000-0000C7190000}"/>
    <cellStyle name="Akcent 2 2 23" xfId="6621" xr:uid="{00000000-0005-0000-0000-0000C8190000}"/>
    <cellStyle name="Akcent 2 2 23 2" xfId="6622" xr:uid="{00000000-0005-0000-0000-0000C9190000}"/>
    <cellStyle name="Akcent 2 2 23 3" xfId="6623" xr:uid="{00000000-0005-0000-0000-0000CA190000}"/>
    <cellStyle name="Akcent 2 2 23 4" xfId="6624" xr:uid="{00000000-0005-0000-0000-0000CB190000}"/>
    <cellStyle name="Akcent 2 2 23 5" xfId="6625" xr:uid="{00000000-0005-0000-0000-0000CC190000}"/>
    <cellStyle name="Akcent 2 2 23 6" xfId="6626" xr:uid="{00000000-0005-0000-0000-0000CD190000}"/>
    <cellStyle name="Akcent 2 2 24" xfId="6627" xr:uid="{00000000-0005-0000-0000-0000CE190000}"/>
    <cellStyle name="Akcent 2 2 24 2" xfId="6628" xr:uid="{00000000-0005-0000-0000-0000CF190000}"/>
    <cellStyle name="Akcent 2 2 24 3" xfId="6629" xr:uid="{00000000-0005-0000-0000-0000D0190000}"/>
    <cellStyle name="Akcent 2 2 24 4" xfId="6630" xr:uid="{00000000-0005-0000-0000-0000D1190000}"/>
    <cellStyle name="Akcent 2 2 24 5" xfId="6631" xr:uid="{00000000-0005-0000-0000-0000D2190000}"/>
    <cellStyle name="Akcent 2 2 24 6" xfId="6632" xr:uid="{00000000-0005-0000-0000-0000D3190000}"/>
    <cellStyle name="Akcent 2 2 25" xfId="6633" xr:uid="{00000000-0005-0000-0000-0000D4190000}"/>
    <cellStyle name="Akcent 2 2 25 2" xfId="6634" xr:uid="{00000000-0005-0000-0000-0000D5190000}"/>
    <cellStyle name="Akcent 2 2 25 3" xfId="6635" xr:uid="{00000000-0005-0000-0000-0000D6190000}"/>
    <cellStyle name="Akcent 2 2 25 4" xfId="6636" xr:uid="{00000000-0005-0000-0000-0000D7190000}"/>
    <cellStyle name="Akcent 2 2 25 5" xfId="6637" xr:uid="{00000000-0005-0000-0000-0000D8190000}"/>
    <cellStyle name="Akcent 2 2 25 6" xfId="6638" xr:uid="{00000000-0005-0000-0000-0000D9190000}"/>
    <cellStyle name="Akcent 2 2 26" xfId="6639" xr:uid="{00000000-0005-0000-0000-0000DA190000}"/>
    <cellStyle name="Akcent 2 2 26 2" xfId="6640" xr:uid="{00000000-0005-0000-0000-0000DB190000}"/>
    <cellStyle name="Akcent 2 2 26 3" xfId="6641" xr:uid="{00000000-0005-0000-0000-0000DC190000}"/>
    <cellStyle name="Akcent 2 2 26 4" xfId="6642" xr:uid="{00000000-0005-0000-0000-0000DD190000}"/>
    <cellStyle name="Akcent 2 2 26 5" xfId="6643" xr:uid="{00000000-0005-0000-0000-0000DE190000}"/>
    <cellStyle name="Akcent 2 2 26 6" xfId="6644" xr:uid="{00000000-0005-0000-0000-0000DF190000}"/>
    <cellStyle name="Akcent 2 2 27" xfId="6645" xr:uid="{00000000-0005-0000-0000-0000E0190000}"/>
    <cellStyle name="Akcent 2 2 27 2" xfId="6646" xr:uid="{00000000-0005-0000-0000-0000E1190000}"/>
    <cellStyle name="Akcent 2 2 27 3" xfId="6647" xr:uid="{00000000-0005-0000-0000-0000E2190000}"/>
    <cellStyle name="Akcent 2 2 27 4" xfId="6648" xr:uid="{00000000-0005-0000-0000-0000E3190000}"/>
    <cellStyle name="Akcent 2 2 27 5" xfId="6649" xr:uid="{00000000-0005-0000-0000-0000E4190000}"/>
    <cellStyle name="Akcent 2 2 27 6" xfId="6650" xr:uid="{00000000-0005-0000-0000-0000E5190000}"/>
    <cellStyle name="Akcent 2 2 28" xfId="6651" xr:uid="{00000000-0005-0000-0000-0000E6190000}"/>
    <cellStyle name="Akcent 2 2 28 2" xfId="6652" xr:uid="{00000000-0005-0000-0000-0000E7190000}"/>
    <cellStyle name="Akcent 2 2 28 3" xfId="6653" xr:uid="{00000000-0005-0000-0000-0000E8190000}"/>
    <cellStyle name="Akcent 2 2 28 4" xfId="6654" xr:uid="{00000000-0005-0000-0000-0000E9190000}"/>
    <cellStyle name="Akcent 2 2 28 5" xfId="6655" xr:uid="{00000000-0005-0000-0000-0000EA190000}"/>
    <cellStyle name="Akcent 2 2 28 6" xfId="6656" xr:uid="{00000000-0005-0000-0000-0000EB190000}"/>
    <cellStyle name="Akcent 2 2 29" xfId="6657" xr:uid="{00000000-0005-0000-0000-0000EC190000}"/>
    <cellStyle name="Akcent 2 2 29 2" xfId="6658" xr:uid="{00000000-0005-0000-0000-0000ED190000}"/>
    <cellStyle name="Akcent 2 2 3" xfId="6659" xr:uid="{00000000-0005-0000-0000-0000EE190000}"/>
    <cellStyle name="Akcent 2 2 3 2" xfId="6660" xr:uid="{00000000-0005-0000-0000-0000EF190000}"/>
    <cellStyle name="Akcent 2 2 3 3" xfId="6661" xr:uid="{00000000-0005-0000-0000-0000F0190000}"/>
    <cellStyle name="Akcent 2 2 3 4" xfId="6662" xr:uid="{00000000-0005-0000-0000-0000F1190000}"/>
    <cellStyle name="Akcent 2 2 3 5" xfId="6663" xr:uid="{00000000-0005-0000-0000-0000F2190000}"/>
    <cellStyle name="Akcent 2 2 3 6" xfId="6664" xr:uid="{00000000-0005-0000-0000-0000F3190000}"/>
    <cellStyle name="Akcent 2 2 30" xfId="6665" xr:uid="{00000000-0005-0000-0000-0000F4190000}"/>
    <cellStyle name="Akcent 2 2 30 2" xfId="6666" xr:uid="{00000000-0005-0000-0000-0000F5190000}"/>
    <cellStyle name="Akcent 2 2 31" xfId="6667" xr:uid="{00000000-0005-0000-0000-0000F6190000}"/>
    <cellStyle name="Akcent 2 2 31 2" xfId="6668" xr:uid="{00000000-0005-0000-0000-0000F7190000}"/>
    <cellStyle name="Akcent 2 2 32" xfId="6669" xr:uid="{00000000-0005-0000-0000-0000F8190000}"/>
    <cellStyle name="Akcent 2 2 32 2" xfId="6670" xr:uid="{00000000-0005-0000-0000-0000F9190000}"/>
    <cellStyle name="Akcent 2 2 33" xfId="6671" xr:uid="{00000000-0005-0000-0000-0000FA190000}"/>
    <cellStyle name="Akcent 2 2 34" xfId="6672" xr:uid="{00000000-0005-0000-0000-0000FB190000}"/>
    <cellStyle name="Akcent 2 2 35" xfId="6673" xr:uid="{00000000-0005-0000-0000-0000FC190000}"/>
    <cellStyle name="Akcent 2 2 36" xfId="6674" xr:uid="{00000000-0005-0000-0000-0000FD190000}"/>
    <cellStyle name="Akcent 2 2 37" xfId="6675" xr:uid="{00000000-0005-0000-0000-0000FE190000}"/>
    <cellStyle name="Akcent 2 2 38" xfId="6676" xr:uid="{00000000-0005-0000-0000-0000FF190000}"/>
    <cellStyle name="Akcent 2 2 39" xfId="6677" xr:uid="{00000000-0005-0000-0000-0000001A0000}"/>
    <cellStyle name="Akcent 2 2 4" xfId="6678" xr:uid="{00000000-0005-0000-0000-0000011A0000}"/>
    <cellStyle name="Akcent 2 2 4 2" xfId="6679" xr:uid="{00000000-0005-0000-0000-0000021A0000}"/>
    <cellStyle name="Akcent 2 2 4 3" xfId="6680" xr:uid="{00000000-0005-0000-0000-0000031A0000}"/>
    <cellStyle name="Akcent 2 2 4 4" xfId="6681" xr:uid="{00000000-0005-0000-0000-0000041A0000}"/>
    <cellStyle name="Akcent 2 2 4 5" xfId="6682" xr:uid="{00000000-0005-0000-0000-0000051A0000}"/>
    <cellStyle name="Akcent 2 2 4 6" xfId="6683" xr:uid="{00000000-0005-0000-0000-0000061A0000}"/>
    <cellStyle name="Akcent 2 2 40" xfId="6684" xr:uid="{00000000-0005-0000-0000-0000071A0000}"/>
    <cellStyle name="Akcent 2 2 41" xfId="6685" xr:uid="{00000000-0005-0000-0000-0000081A0000}"/>
    <cellStyle name="Akcent 2 2 42" xfId="6686" xr:uid="{00000000-0005-0000-0000-0000091A0000}"/>
    <cellStyle name="Akcent 2 2 43" xfId="6687" xr:uid="{00000000-0005-0000-0000-00000A1A0000}"/>
    <cellStyle name="Akcent 2 2 44" xfId="6688" xr:uid="{00000000-0005-0000-0000-00000B1A0000}"/>
    <cellStyle name="Akcent 2 2 45" xfId="6689" xr:uid="{00000000-0005-0000-0000-00000C1A0000}"/>
    <cellStyle name="Akcent 2 2 46" xfId="6690" xr:uid="{00000000-0005-0000-0000-00000D1A0000}"/>
    <cellStyle name="Akcent 2 2 47" xfId="6691" xr:uid="{00000000-0005-0000-0000-00000E1A0000}"/>
    <cellStyle name="Akcent 2 2 48" xfId="6692" xr:uid="{00000000-0005-0000-0000-00000F1A0000}"/>
    <cellStyle name="Akcent 2 2 49" xfId="6693" xr:uid="{00000000-0005-0000-0000-0000101A0000}"/>
    <cellStyle name="Akcent 2 2 5" xfId="6694" xr:uid="{00000000-0005-0000-0000-0000111A0000}"/>
    <cellStyle name="Akcent 2 2 5 2" xfId="6695" xr:uid="{00000000-0005-0000-0000-0000121A0000}"/>
    <cellStyle name="Akcent 2 2 5 3" xfId="6696" xr:uid="{00000000-0005-0000-0000-0000131A0000}"/>
    <cellStyle name="Akcent 2 2 5 4" xfId="6697" xr:uid="{00000000-0005-0000-0000-0000141A0000}"/>
    <cellStyle name="Akcent 2 2 5 5" xfId="6698" xr:uid="{00000000-0005-0000-0000-0000151A0000}"/>
    <cellStyle name="Akcent 2 2 5 6" xfId="6699" xr:uid="{00000000-0005-0000-0000-0000161A0000}"/>
    <cellStyle name="Akcent 2 2 50" xfId="6700" xr:uid="{00000000-0005-0000-0000-0000171A0000}"/>
    <cellStyle name="Akcent 2 2 51" xfId="6701" xr:uid="{00000000-0005-0000-0000-0000181A0000}"/>
    <cellStyle name="Akcent 2 2 52" xfId="6702" xr:uid="{00000000-0005-0000-0000-0000191A0000}"/>
    <cellStyle name="Akcent 2 2 6" xfId="6703" xr:uid="{00000000-0005-0000-0000-00001A1A0000}"/>
    <cellStyle name="Akcent 2 2 6 2" xfId="6704" xr:uid="{00000000-0005-0000-0000-00001B1A0000}"/>
    <cellStyle name="Akcent 2 2 6 3" xfId="6705" xr:uid="{00000000-0005-0000-0000-00001C1A0000}"/>
    <cellStyle name="Akcent 2 2 6 4" xfId="6706" xr:uid="{00000000-0005-0000-0000-00001D1A0000}"/>
    <cellStyle name="Akcent 2 2 6 5" xfId="6707" xr:uid="{00000000-0005-0000-0000-00001E1A0000}"/>
    <cellStyle name="Akcent 2 2 6 6" xfId="6708" xr:uid="{00000000-0005-0000-0000-00001F1A0000}"/>
    <cellStyle name="Akcent 2 2 7" xfId="6709" xr:uid="{00000000-0005-0000-0000-0000201A0000}"/>
    <cellStyle name="Akcent 2 2 7 2" xfId="6710" xr:uid="{00000000-0005-0000-0000-0000211A0000}"/>
    <cellStyle name="Akcent 2 2 7 3" xfId="6711" xr:uid="{00000000-0005-0000-0000-0000221A0000}"/>
    <cellStyle name="Akcent 2 2 7 4" xfId="6712" xr:uid="{00000000-0005-0000-0000-0000231A0000}"/>
    <cellStyle name="Akcent 2 2 7 5" xfId="6713" xr:uid="{00000000-0005-0000-0000-0000241A0000}"/>
    <cellStyle name="Akcent 2 2 7 6" xfId="6714" xr:uid="{00000000-0005-0000-0000-0000251A0000}"/>
    <cellStyle name="Akcent 2 2 8" xfId="6715" xr:uid="{00000000-0005-0000-0000-0000261A0000}"/>
    <cellStyle name="Akcent 2 2 8 2" xfId="6716" xr:uid="{00000000-0005-0000-0000-0000271A0000}"/>
    <cellStyle name="Akcent 2 2 8 3" xfId="6717" xr:uid="{00000000-0005-0000-0000-0000281A0000}"/>
    <cellStyle name="Akcent 2 2 8 4" xfId="6718" xr:uid="{00000000-0005-0000-0000-0000291A0000}"/>
    <cellStyle name="Akcent 2 2 8 5" xfId="6719" xr:uid="{00000000-0005-0000-0000-00002A1A0000}"/>
    <cellStyle name="Akcent 2 2 8 6" xfId="6720" xr:uid="{00000000-0005-0000-0000-00002B1A0000}"/>
    <cellStyle name="Akcent 2 2 9" xfId="6721" xr:uid="{00000000-0005-0000-0000-00002C1A0000}"/>
    <cellStyle name="Akcent 2 2 9 2" xfId="6722" xr:uid="{00000000-0005-0000-0000-00002D1A0000}"/>
    <cellStyle name="Akcent 2 2 9 3" xfId="6723" xr:uid="{00000000-0005-0000-0000-00002E1A0000}"/>
    <cellStyle name="Akcent 2 2 9 4" xfId="6724" xr:uid="{00000000-0005-0000-0000-00002F1A0000}"/>
    <cellStyle name="Akcent 2 2 9 5" xfId="6725" xr:uid="{00000000-0005-0000-0000-0000301A0000}"/>
    <cellStyle name="Akcent 2 2 9 6" xfId="6726" xr:uid="{00000000-0005-0000-0000-0000311A0000}"/>
    <cellStyle name="Akcent 2 3" xfId="6727" xr:uid="{00000000-0005-0000-0000-0000321A0000}"/>
    <cellStyle name="Akcent 2 3 2" xfId="6728" xr:uid="{00000000-0005-0000-0000-0000331A0000}"/>
    <cellStyle name="Akcent 2 3 2 2" xfId="6729" xr:uid="{00000000-0005-0000-0000-0000341A0000}"/>
    <cellStyle name="Akcent 2 3 3" xfId="6730" xr:uid="{00000000-0005-0000-0000-0000351A0000}"/>
    <cellStyle name="Akcent 2 3 4" xfId="6731" xr:uid="{00000000-0005-0000-0000-0000361A0000}"/>
    <cellStyle name="Akcent 2 3 5" xfId="6732" xr:uid="{00000000-0005-0000-0000-0000371A0000}"/>
    <cellStyle name="Akcent 2 3 6" xfId="6733" xr:uid="{00000000-0005-0000-0000-0000381A0000}"/>
    <cellStyle name="Akcent 2 3 7" xfId="6734" xr:uid="{00000000-0005-0000-0000-0000391A0000}"/>
    <cellStyle name="Akcent 2 3 8" xfId="6735" xr:uid="{00000000-0005-0000-0000-00003A1A0000}"/>
    <cellStyle name="Akcent 2 4" xfId="6736" xr:uid="{00000000-0005-0000-0000-00003B1A0000}"/>
    <cellStyle name="Akcent 2 4 2" xfId="6737" xr:uid="{00000000-0005-0000-0000-00003C1A0000}"/>
    <cellStyle name="Akcent 2 4 3" xfId="6738" xr:uid="{00000000-0005-0000-0000-00003D1A0000}"/>
    <cellStyle name="Akcent 2 4 4" xfId="6739" xr:uid="{00000000-0005-0000-0000-00003E1A0000}"/>
    <cellStyle name="Akcent 2 4 5" xfId="6740" xr:uid="{00000000-0005-0000-0000-00003F1A0000}"/>
    <cellStyle name="Akcent 2 4 6" xfId="6741" xr:uid="{00000000-0005-0000-0000-0000401A0000}"/>
    <cellStyle name="Akcent 2 4 7" xfId="6742" xr:uid="{00000000-0005-0000-0000-0000411A0000}"/>
    <cellStyle name="Akcent 2 4 8" xfId="6743" xr:uid="{00000000-0005-0000-0000-0000421A0000}"/>
    <cellStyle name="Akcent 2 5" xfId="6744" xr:uid="{00000000-0005-0000-0000-0000431A0000}"/>
    <cellStyle name="Akcent 2 5 2" xfId="6745" xr:uid="{00000000-0005-0000-0000-0000441A0000}"/>
    <cellStyle name="Akcent 2 6" xfId="6746" xr:uid="{00000000-0005-0000-0000-0000451A0000}"/>
    <cellStyle name="Akcent 2 7" xfId="6747" xr:uid="{00000000-0005-0000-0000-0000461A0000}"/>
    <cellStyle name="Akcent 3 2" xfId="6748" xr:uid="{00000000-0005-0000-0000-0000471A0000}"/>
    <cellStyle name="Akcent 3 2 10" xfId="6749" xr:uid="{00000000-0005-0000-0000-0000481A0000}"/>
    <cellStyle name="Akcent 3 2 10 2" xfId="6750" xr:uid="{00000000-0005-0000-0000-0000491A0000}"/>
    <cellStyle name="Akcent 3 2 10 3" xfId="6751" xr:uid="{00000000-0005-0000-0000-00004A1A0000}"/>
    <cellStyle name="Akcent 3 2 10 4" xfId="6752" xr:uid="{00000000-0005-0000-0000-00004B1A0000}"/>
    <cellStyle name="Akcent 3 2 10 5" xfId="6753" xr:uid="{00000000-0005-0000-0000-00004C1A0000}"/>
    <cellStyle name="Akcent 3 2 10 6" xfId="6754" xr:uid="{00000000-0005-0000-0000-00004D1A0000}"/>
    <cellStyle name="Akcent 3 2 11" xfId="6755" xr:uid="{00000000-0005-0000-0000-00004E1A0000}"/>
    <cellStyle name="Akcent 3 2 11 2" xfId="6756" xr:uid="{00000000-0005-0000-0000-00004F1A0000}"/>
    <cellStyle name="Akcent 3 2 11 3" xfId="6757" xr:uid="{00000000-0005-0000-0000-0000501A0000}"/>
    <cellStyle name="Akcent 3 2 11 4" xfId="6758" xr:uid="{00000000-0005-0000-0000-0000511A0000}"/>
    <cellStyle name="Akcent 3 2 11 5" xfId="6759" xr:uid="{00000000-0005-0000-0000-0000521A0000}"/>
    <cellStyle name="Akcent 3 2 11 6" xfId="6760" xr:uid="{00000000-0005-0000-0000-0000531A0000}"/>
    <cellStyle name="Akcent 3 2 12" xfId="6761" xr:uid="{00000000-0005-0000-0000-0000541A0000}"/>
    <cellStyle name="Akcent 3 2 12 2" xfId="6762" xr:uid="{00000000-0005-0000-0000-0000551A0000}"/>
    <cellStyle name="Akcent 3 2 12 3" xfId="6763" xr:uid="{00000000-0005-0000-0000-0000561A0000}"/>
    <cellStyle name="Akcent 3 2 12 4" xfId="6764" xr:uid="{00000000-0005-0000-0000-0000571A0000}"/>
    <cellStyle name="Akcent 3 2 12 5" xfId="6765" xr:uid="{00000000-0005-0000-0000-0000581A0000}"/>
    <cellStyle name="Akcent 3 2 12 6" xfId="6766" xr:uid="{00000000-0005-0000-0000-0000591A0000}"/>
    <cellStyle name="Akcent 3 2 13" xfId="6767" xr:uid="{00000000-0005-0000-0000-00005A1A0000}"/>
    <cellStyle name="Akcent 3 2 13 2" xfId="6768" xr:uid="{00000000-0005-0000-0000-00005B1A0000}"/>
    <cellStyle name="Akcent 3 2 13 3" xfId="6769" xr:uid="{00000000-0005-0000-0000-00005C1A0000}"/>
    <cellStyle name="Akcent 3 2 13 4" xfId="6770" xr:uid="{00000000-0005-0000-0000-00005D1A0000}"/>
    <cellStyle name="Akcent 3 2 13 5" xfId="6771" xr:uid="{00000000-0005-0000-0000-00005E1A0000}"/>
    <cellStyle name="Akcent 3 2 13 6" xfId="6772" xr:uid="{00000000-0005-0000-0000-00005F1A0000}"/>
    <cellStyle name="Akcent 3 2 14" xfId="6773" xr:uid="{00000000-0005-0000-0000-0000601A0000}"/>
    <cellStyle name="Akcent 3 2 14 2" xfId="6774" xr:uid="{00000000-0005-0000-0000-0000611A0000}"/>
    <cellStyle name="Akcent 3 2 14 3" xfId="6775" xr:uid="{00000000-0005-0000-0000-0000621A0000}"/>
    <cellStyle name="Akcent 3 2 14 4" xfId="6776" xr:uid="{00000000-0005-0000-0000-0000631A0000}"/>
    <cellStyle name="Akcent 3 2 14 5" xfId="6777" xr:uid="{00000000-0005-0000-0000-0000641A0000}"/>
    <cellStyle name="Akcent 3 2 14 6" xfId="6778" xr:uid="{00000000-0005-0000-0000-0000651A0000}"/>
    <cellStyle name="Akcent 3 2 15" xfId="6779" xr:uid="{00000000-0005-0000-0000-0000661A0000}"/>
    <cellStyle name="Akcent 3 2 15 2" xfId="6780" xr:uid="{00000000-0005-0000-0000-0000671A0000}"/>
    <cellStyle name="Akcent 3 2 15 3" xfId="6781" xr:uid="{00000000-0005-0000-0000-0000681A0000}"/>
    <cellStyle name="Akcent 3 2 15 4" xfId="6782" xr:uid="{00000000-0005-0000-0000-0000691A0000}"/>
    <cellStyle name="Akcent 3 2 15 5" xfId="6783" xr:uid="{00000000-0005-0000-0000-00006A1A0000}"/>
    <cellStyle name="Akcent 3 2 15 6" xfId="6784" xr:uid="{00000000-0005-0000-0000-00006B1A0000}"/>
    <cellStyle name="Akcent 3 2 16" xfId="6785" xr:uid="{00000000-0005-0000-0000-00006C1A0000}"/>
    <cellStyle name="Akcent 3 2 16 2" xfId="6786" xr:uid="{00000000-0005-0000-0000-00006D1A0000}"/>
    <cellStyle name="Akcent 3 2 16 3" xfId="6787" xr:uid="{00000000-0005-0000-0000-00006E1A0000}"/>
    <cellStyle name="Akcent 3 2 16 4" xfId="6788" xr:uid="{00000000-0005-0000-0000-00006F1A0000}"/>
    <cellStyle name="Akcent 3 2 16 5" xfId="6789" xr:uid="{00000000-0005-0000-0000-0000701A0000}"/>
    <cellStyle name="Akcent 3 2 16 6" xfId="6790" xr:uid="{00000000-0005-0000-0000-0000711A0000}"/>
    <cellStyle name="Akcent 3 2 17" xfId="6791" xr:uid="{00000000-0005-0000-0000-0000721A0000}"/>
    <cellStyle name="Akcent 3 2 17 2" xfId="6792" xr:uid="{00000000-0005-0000-0000-0000731A0000}"/>
    <cellStyle name="Akcent 3 2 17 3" xfId="6793" xr:uid="{00000000-0005-0000-0000-0000741A0000}"/>
    <cellStyle name="Akcent 3 2 17 4" xfId="6794" xr:uid="{00000000-0005-0000-0000-0000751A0000}"/>
    <cellStyle name="Akcent 3 2 17 5" xfId="6795" xr:uid="{00000000-0005-0000-0000-0000761A0000}"/>
    <cellStyle name="Akcent 3 2 17 6" xfId="6796" xr:uid="{00000000-0005-0000-0000-0000771A0000}"/>
    <cellStyle name="Akcent 3 2 18" xfId="6797" xr:uid="{00000000-0005-0000-0000-0000781A0000}"/>
    <cellStyle name="Akcent 3 2 18 2" xfId="6798" xr:uid="{00000000-0005-0000-0000-0000791A0000}"/>
    <cellStyle name="Akcent 3 2 18 3" xfId="6799" xr:uid="{00000000-0005-0000-0000-00007A1A0000}"/>
    <cellStyle name="Akcent 3 2 18 4" xfId="6800" xr:uid="{00000000-0005-0000-0000-00007B1A0000}"/>
    <cellStyle name="Akcent 3 2 18 5" xfId="6801" xr:uid="{00000000-0005-0000-0000-00007C1A0000}"/>
    <cellStyle name="Akcent 3 2 18 6" xfId="6802" xr:uid="{00000000-0005-0000-0000-00007D1A0000}"/>
    <cellStyle name="Akcent 3 2 19" xfId="6803" xr:uid="{00000000-0005-0000-0000-00007E1A0000}"/>
    <cellStyle name="Akcent 3 2 19 2" xfId="6804" xr:uid="{00000000-0005-0000-0000-00007F1A0000}"/>
    <cellStyle name="Akcent 3 2 19 3" xfId="6805" xr:uid="{00000000-0005-0000-0000-0000801A0000}"/>
    <cellStyle name="Akcent 3 2 19 4" xfId="6806" xr:uid="{00000000-0005-0000-0000-0000811A0000}"/>
    <cellStyle name="Akcent 3 2 19 5" xfId="6807" xr:uid="{00000000-0005-0000-0000-0000821A0000}"/>
    <cellStyle name="Akcent 3 2 19 6" xfId="6808" xr:uid="{00000000-0005-0000-0000-0000831A0000}"/>
    <cellStyle name="Akcent 3 2 2" xfId="6809" xr:uid="{00000000-0005-0000-0000-0000841A0000}"/>
    <cellStyle name="Akcent 3 2 2 2" xfId="6810" xr:uid="{00000000-0005-0000-0000-0000851A0000}"/>
    <cellStyle name="Akcent 3 2 2 3" xfId="6811" xr:uid="{00000000-0005-0000-0000-0000861A0000}"/>
    <cellStyle name="Akcent 3 2 2 4" xfId="6812" xr:uid="{00000000-0005-0000-0000-0000871A0000}"/>
    <cellStyle name="Akcent 3 2 2 5" xfId="6813" xr:uid="{00000000-0005-0000-0000-0000881A0000}"/>
    <cellStyle name="Akcent 3 2 2 6" xfId="6814" xr:uid="{00000000-0005-0000-0000-0000891A0000}"/>
    <cellStyle name="Akcent 3 2 2 7" xfId="6815" xr:uid="{00000000-0005-0000-0000-00008A1A0000}"/>
    <cellStyle name="Akcent 3 2 20" xfId="6816" xr:uid="{00000000-0005-0000-0000-00008B1A0000}"/>
    <cellStyle name="Akcent 3 2 20 2" xfId="6817" xr:uid="{00000000-0005-0000-0000-00008C1A0000}"/>
    <cellStyle name="Akcent 3 2 20 3" xfId="6818" xr:uid="{00000000-0005-0000-0000-00008D1A0000}"/>
    <cellStyle name="Akcent 3 2 20 4" xfId="6819" xr:uid="{00000000-0005-0000-0000-00008E1A0000}"/>
    <cellStyle name="Akcent 3 2 20 5" xfId="6820" xr:uid="{00000000-0005-0000-0000-00008F1A0000}"/>
    <cellStyle name="Akcent 3 2 20 6" xfId="6821" xr:uid="{00000000-0005-0000-0000-0000901A0000}"/>
    <cellStyle name="Akcent 3 2 21" xfId="6822" xr:uid="{00000000-0005-0000-0000-0000911A0000}"/>
    <cellStyle name="Akcent 3 2 21 2" xfId="6823" xr:uid="{00000000-0005-0000-0000-0000921A0000}"/>
    <cellStyle name="Akcent 3 2 21 3" xfId="6824" xr:uid="{00000000-0005-0000-0000-0000931A0000}"/>
    <cellStyle name="Akcent 3 2 21 4" xfId="6825" xr:uid="{00000000-0005-0000-0000-0000941A0000}"/>
    <cellStyle name="Akcent 3 2 21 5" xfId="6826" xr:uid="{00000000-0005-0000-0000-0000951A0000}"/>
    <cellStyle name="Akcent 3 2 21 6" xfId="6827" xr:uid="{00000000-0005-0000-0000-0000961A0000}"/>
    <cellStyle name="Akcent 3 2 22" xfId="6828" xr:uid="{00000000-0005-0000-0000-0000971A0000}"/>
    <cellStyle name="Akcent 3 2 22 2" xfId="6829" xr:uid="{00000000-0005-0000-0000-0000981A0000}"/>
    <cellStyle name="Akcent 3 2 22 3" xfId="6830" xr:uid="{00000000-0005-0000-0000-0000991A0000}"/>
    <cellStyle name="Akcent 3 2 22 4" xfId="6831" xr:uid="{00000000-0005-0000-0000-00009A1A0000}"/>
    <cellStyle name="Akcent 3 2 22 5" xfId="6832" xr:uid="{00000000-0005-0000-0000-00009B1A0000}"/>
    <cellStyle name="Akcent 3 2 22 6" xfId="6833" xr:uid="{00000000-0005-0000-0000-00009C1A0000}"/>
    <cellStyle name="Akcent 3 2 23" xfId="6834" xr:uid="{00000000-0005-0000-0000-00009D1A0000}"/>
    <cellStyle name="Akcent 3 2 23 2" xfId="6835" xr:uid="{00000000-0005-0000-0000-00009E1A0000}"/>
    <cellStyle name="Akcent 3 2 23 3" xfId="6836" xr:uid="{00000000-0005-0000-0000-00009F1A0000}"/>
    <cellStyle name="Akcent 3 2 23 4" xfId="6837" xr:uid="{00000000-0005-0000-0000-0000A01A0000}"/>
    <cellStyle name="Akcent 3 2 23 5" xfId="6838" xr:uid="{00000000-0005-0000-0000-0000A11A0000}"/>
    <cellStyle name="Akcent 3 2 23 6" xfId="6839" xr:uid="{00000000-0005-0000-0000-0000A21A0000}"/>
    <cellStyle name="Akcent 3 2 24" xfId="6840" xr:uid="{00000000-0005-0000-0000-0000A31A0000}"/>
    <cellStyle name="Akcent 3 2 24 2" xfId="6841" xr:uid="{00000000-0005-0000-0000-0000A41A0000}"/>
    <cellStyle name="Akcent 3 2 24 3" xfId="6842" xr:uid="{00000000-0005-0000-0000-0000A51A0000}"/>
    <cellStyle name="Akcent 3 2 24 4" xfId="6843" xr:uid="{00000000-0005-0000-0000-0000A61A0000}"/>
    <cellStyle name="Akcent 3 2 24 5" xfId="6844" xr:uid="{00000000-0005-0000-0000-0000A71A0000}"/>
    <cellStyle name="Akcent 3 2 24 6" xfId="6845" xr:uid="{00000000-0005-0000-0000-0000A81A0000}"/>
    <cellStyle name="Akcent 3 2 25" xfId="6846" xr:uid="{00000000-0005-0000-0000-0000A91A0000}"/>
    <cellStyle name="Akcent 3 2 25 2" xfId="6847" xr:uid="{00000000-0005-0000-0000-0000AA1A0000}"/>
    <cellStyle name="Akcent 3 2 25 3" xfId="6848" xr:uid="{00000000-0005-0000-0000-0000AB1A0000}"/>
    <cellStyle name="Akcent 3 2 25 4" xfId="6849" xr:uid="{00000000-0005-0000-0000-0000AC1A0000}"/>
    <cellStyle name="Akcent 3 2 25 5" xfId="6850" xr:uid="{00000000-0005-0000-0000-0000AD1A0000}"/>
    <cellStyle name="Akcent 3 2 25 6" xfId="6851" xr:uid="{00000000-0005-0000-0000-0000AE1A0000}"/>
    <cellStyle name="Akcent 3 2 26" xfId="6852" xr:uid="{00000000-0005-0000-0000-0000AF1A0000}"/>
    <cellStyle name="Akcent 3 2 26 2" xfId="6853" xr:uid="{00000000-0005-0000-0000-0000B01A0000}"/>
    <cellStyle name="Akcent 3 2 26 3" xfId="6854" xr:uid="{00000000-0005-0000-0000-0000B11A0000}"/>
    <cellStyle name="Akcent 3 2 26 4" xfId="6855" xr:uid="{00000000-0005-0000-0000-0000B21A0000}"/>
    <cellStyle name="Akcent 3 2 26 5" xfId="6856" xr:uid="{00000000-0005-0000-0000-0000B31A0000}"/>
    <cellStyle name="Akcent 3 2 26 6" xfId="6857" xr:uid="{00000000-0005-0000-0000-0000B41A0000}"/>
    <cellStyle name="Akcent 3 2 27" xfId="6858" xr:uid="{00000000-0005-0000-0000-0000B51A0000}"/>
    <cellStyle name="Akcent 3 2 27 2" xfId="6859" xr:uid="{00000000-0005-0000-0000-0000B61A0000}"/>
    <cellStyle name="Akcent 3 2 27 3" xfId="6860" xr:uid="{00000000-0005-0000-0000-0000B71A0000}"/>
    <cellStyle name="Akcent 3 2 27 4" xfId="6861" xr:uid="{00000000-0005-0000-0000-0000B81A0000}"/>
    <cellStyle name="Akcent 3 2 27 5" xfId="6862" xr:uid="{00000000-0005-0000-0000-0000B91A0000}"/>
    <cellStyle name="Akcent 3 2 27 6" xfId="6863" xr:uid="{00000000-0005-0000-0000-0000BA1A0000}"/>
    <cellStyle name="Akcent 3 2 28" xfId="6864" xr:uid="{00000000-0005-0000-0000-0000BB1A0000}"/>
    <cellStyle name="Akcent 3 2 28 2" xfId="6865" xr:uid="{00000000-0005-0000-0000-0000BC1A0000}"/>
    <cellStyle name="Akcent 3 2 28 3" xfId="6866" xr:uid="{00000000-0005-0000-0000-0000BD1A0000}"/>
    <cellStyle name="Akcent 3 2 28 4" xfId="6867" xr:uid="{00000000-0005-0000-0000-0000BE1A0000}"/>
    <cellStyle name="Akcent 3 2 28 5" xfId="6868" xr:uid="{00000000-0005-0000-0000-0000BF1A0000}"/>
    <cellStyle name="Akcent 3 2 28 6" xfId="6869" xr:uid="{00000000-0005-0000-0000-0000C01A0000}"/>
    <cellStyle name="Akcent 3 2 29" xfId="6870" xr:uid="{00000000-0005-0000-0000-0000C11A0000}"/>
    <cellStyle name="Akcent 3 2 29 2" xfId="6871" xr:uid="{00000000-0005-0000-0000-0000C21A0000}"/>
    <cellStyle name="Akcent 3 2 3" xfId="6872" xr:uid="{00000000-0005-0000-0000-0000C31A0000}"/>
    <cellStyle name="Akcent 3 2 3 2" xfId="6873" xr:uid="{00000000-0005-0000-0000-0000C41A0000}"/>
    <cellStyle name="Akcent 3 2 3 3" xfId="6874" xr:uid="{00000000-0005-0000-0000-0000C51A0000}"/>
    <cellStyle name="Akcent 3 2 3 4" xfId="6875" xr:uid="{00000000-0005-0000-0000-0000C61A0000}"/>
    <cellStyle name="Akcent 3 2 3 5" xfId="6876" xr:uid="{00000000-0005-0000-0000-0000C71A0000}"/>
    <cellStyle name="Akcent 3 2 3 6" xfId="6877" xr:uid="{00000000-0005-0000-0000-0000C81A0000}"/>
    <cellStyle name="Akcent 3 2 30" xfId="6878" xr:uid="{00000000-0005-0000-0000-0000C91A0000}"/>
    <cellStyle name="Akcent 3 2 30 2" xfId="6879" xr:uid="{00000000-0005-0000-0000-0000CA1A0000}"/>
    <cellStyle name="Akcent 3 2 31" xfId="6880" xr:uid="{00000000-0005-0000-0000-0000CB1A0000}"/>
    <cellStyle name="Akcent 3 2 31 2" xfId="6881" xr:uid="{00000000-0005-0000-0000-0000CC1A0000}"/>
    <cellStyle name="Akcent 3 2 32" xfId="6882" xr:uid="{00000000-0005-0000-0000-0000CD1A0000}"/>
    <cellStyle name="Akcent 3 2 32 2" xfId="6883" xr:uid="{00000000-0005-0000-0000-0000CE1A0000}"/>
    <cellStyle name="Akcent 3 2 33" xfId="6884" xr:uid="{00000000-0005-0000-0000-0000CF1A0000}"/>
    <cellStyle name="Akcent 3 2 34" xfId="6885" xr:uid="{00000000-0005-0000-0000-0000D01A0000}"/>
    <cellStyle name="Akcent 3 2 35" xfId="6886" xr:uid="{00000000-0005-0000-0000-0000D11A0000}"/>
    <cellStyle name="Akcent 3 2 36" xfId="6887" xr:uid="{00000000-0005-0000-0000-0000D21A0000}"/>
    <cellStyle name="Akcent 3 2 37" xfId="6888" xr:uid="{00000000-0005-0000-0000-0000D31A0000}"/>
    <cellStyle name="Akcent 3 2 38" xfId="6889" xr:uid="{00000000-0005-0000-0000-0000D41A0000}"/>
    <cellStyle name="Akcent 3 2 39" xfId="6890" xr:uid="{00000000-0005-0000-0000-0000D51A0000}"/>
    <cellStyle name="Akcent 3 2 4" xfId="6891" xr:uid="{00000000-0005-0000-0000-0000D61A0000}"/>
    <cellStyle name="Akcent 3 2 4 2" xfId="6892" xr:uid="{00000000-0005-0000-0000-0000D71A0000}"/>
    <cellStyle name="Akcent 3 2 4 3" xfId="6893" xr:uid="{00000000-0005-0000-0000-0000D81A0000}"/>
    <cellStyle name="Akcent 3 2 4 4" xfId="6894" xr:uid="{00000000-0005-0000-0000-0000D91A0000}"/>
    <cellStyle name="Akcent 3 2 4 5" xfId="6895" xr:uid="{00000000-0005-0000-0000-0000DA1A0000}"/>
    <cellStyle name="Akcent 3 2 4 6" xfId="6896" xr:uid="{00000000-0005-0000-0000-0000DB1A0000}"/>
    <cellStyle name="Akcent 3 2 40" xfId="6897" xr:uid="{00000000-0005-0000-0000-0000DC1A0000}"/>
    <cellStyle name="Akcent 3 2 41" xfId="6898" xr:uid="{00000000-0005-0000-0000-0000DD1A0000}"/>
    <cellStyle name="Akcent 3 2 42" xfId="6899" xr:uid="{00000000-0005-0000-0000-0000DE1A0000}"/>
    <cellStyle name="Akcent 3 2 43" xfId="6900" xr:uid="{00000000-0005-0000-0000-0000DF1A0000}"/>
    <cellStyle name="Akcent 3 2 44" xfId="6901" xr:uid="{00000000-0005-0000-0000-0000E01A0000}"/>
    <cellStyle name="Akcent 3 2 45" xfId="6902" xr:uid="{00000000-0005-0000-0000-0000E11A0000}"/>
    <cellStyle name="Akcent 3 2 46" xfId="6903" xr:uid="{00000000-0005-0000-0000-0000E21A0000}"/>
    <cellStyle name="Akcent 3 2 47" xfId="6904" xr:uid="{00000000-0005-0000-0000-0000E31A0000}"/>
    <cellStyle name="Akcent 3 2 48" xfId="6905" xr:uid="{00000000-0005-0000-0000-0000E41A0000}"/>
    <cellStyle name="Akcent 3 2 49" xfId="6906" xr:uid="{00000000-0005-0000-0000-0000E51A0000}"/>
    <cellStyle name="Akcent 3 2 5" xfId="6907" xr:uid="{00000000-0005-0000-0000-0000E61A0000}"/>
    <cellStyle name="Akcent 3 2 5 2" xfId="6908" xr:uid="{00000000-0005-0000-0000-0000E71A0000}"/>
    <cellStyle name="Akcent 3 2 5 3" xfId="6909" xr:uid="{00000000-0005-0000-0000-0000E81A0000}"/>
    <cellStyle name="Akcent 3 2 5 4" xfId="6910" xr:uid="{00000000-0005-0000-0000-0000E91A0000}"/>
    <cellStyle name="Akcent 3 2 5 5" xfId="6911" xr:uid="{00000000-0005-0000-0000-0000EA1A0000}"/>
    <cellStyle name="Akcent 3 2 5 6" xfId="6912" xr:uid="{00000000-0005-0000-0000-0000EB1A0000}"/>
    <cellStyle name="Akcent 3 2 50" xfId="6913" xr:uid="{00000000-0005-0000-0000-0000EC1A0000}"/>
    <cellStyle name="Akcent 3 2 51" xfId="6914" xr:uid="{00000000-0005-0000-0000-0000ED1A0000}"/>
    <cellStyle name="Akcent 3 2 52" xfId="6915" xr:uid="{00000000-0005-0000-0000-0000EE1A0000}"/>
    <cellStyle name="Akcent 3 2 6" xfId="6916" xr:uid="{00000000-0005-0000-0000-0000EF1A0000}"/>
    <cellStyle name="Akcent 3 2 6 2" xfId="6917" xr:uid="{00000000-0005-0000-0000-0000F01A0000}"/>
    <cellStyle name="Akcent 3 2 6 3" xfId="6918" xr:uid="{00000000-0005-0000-0000-0000F11A0000}"/>
    <cellStyle name="Akcent 3 2 6 4" xfId="6919" xr:uid="{00000000-0005-0000-0000-0000F21A0000}"/>
    <cellStyle name="Akcent 3 2 6 5" xfId="6920" xr:uid="{00000000-0005-0000-0000-0000F31A0000}"/>
    <cellStyle name="Akcent 3 2 6 6" xfId="6921" xr:uid="{00000000-0005-0000-0000-0000F41A0000}"/>
    <cellStyle name="Akcent 3 2 7" xfId="6922" xr:uid="{00000000-0005-0000-0000-0000F51A0000}"/>
    <cellStyle name="Akcent 3 2 7 2" xfId="6923" xr:uid="{00000000-0005-0000-0000-0000F61A0000}"/>
    <cellStyle name="Akcent 3 2 7 3" xfId="6924" xr:uid="{00000000-0005-0000-0000-0000F71A0000}"/>
    <cellStyle name="Akcent 3 2 7 4" xfId="6925" xr:uid="{00000000-0005-0000-0000-0000F81A0000}"/>
    <cellStyle name="Akcent 3 2 7 5" xfId="6926" xr:uid="{00000000-0005-0000-0000-0000F91A0000}"/>
    <cellStyle name="Akcent 3 2 7 6" xfId="6927" xr:uid="{00000000-0005-0000-0000-0000FA1A0000}"/>
    <cellStyle name="Akcent 3 2 8" xfId="6928" xr:uid="{00000000-0005-0000-0000-0000FB1A0000}"/>
    <cellStyle name="Akcent 3 2 8 2" xfId="6929" xr:uid="{00000000-0005-0000-0000-0000FC1A0000}"/>
    <cellStyle name="Akcent 3 2 8 3" xfId="6930" xr:uid="{00000000-0005-0000-0000-0000FD1A0000}"/>
    <cellStyle name="Akcent 3 2 8 4" xfId="6931" xr:uid="{00000000-0005-0000-0000-0000FE1A0000}"/>
    <cellStyle name="Akcent 3 2 8 5" xfId="6932" xr:uid="{00000000-0005-0000-0000-0000FF1A0000}"/>
    <cellStyle name="Akcent 3 2 8 6" xfId="6933" xr:uid="{00000000-0005-0000-0000-0000001B0000}"/>
    <cellStyle name="Akcent 3 2 9" xfId="6934" xr:uid="{00000000-0005-0000-0000-0000011B0000}"/>
    <cellStyle name="Akcent 3 2 9 2" xfId="6935" xr:uid="{00000000-0005-0000-0000-0000021B0000}"/>
    <cellStyle name="Akcent 3 2 9 3" xfId="6936" xr:uid="{00000000-0005-0000-0000-0000031B0000}"/>
    <cellStyle name="Akcent 3 2 9 4" xfId="6937" xr:uid="{00000000-0005-0000-0000-0000041B0000}"/>
    <cellStyle name="Akcent 3 2 9 5" xfId="6938" xr:uid="{00000000-0005-0000-0000-0000051B0000}"/>
    <cellStyle name="Akcent 3 2 9 6" xfId="6939" xr:uid="{00000000-0005-0000-0000-0000061B0000}"/>
    <cellStyle name="Akcent 3 3" xfId="6940" xr:uid="{00000000-0005-0000-0000-0000071B0000}"/>
    <cellStyle name="Akcent 3 3 2" xfId="6941" xr:uid="{00000000-0005-0000-0000-0000081B0000}"/>
    <cellStyle name="Akcent 3 3 2 2" xfId="6942" xr:uid="{00000000-0005-0000-0000-0000091B0000}"/>
    <cellStyle name="Akcent 3 3 3" xfId="6943" xr:uid="{00000000-0005-0000-0000-00000A1B0000}"/>
    <cellStyle name="Akcent 3 3 4" xfId="6944" xr:uid="{00000000-0005-0000-0000-00000B1B0000}"/>
    <cellStyle name="Akcent 3 3 5" xfId="6945" xr:uid="{00000000-0005-0000-0000-00000C1B0000}"/>
    <cellStyle name="Akcent 3 3 6" xfId="6946" xr:uid="{00000000-0005-0000-0000-00000D1B0000}"/>
    <cellStyle name="Akcent 3 3 7" xfId="6947" xr:uid="{00000000-0005-0000-0000-00000E1B0000}"/>
    <cellStyle name="Akcent 3 3 8" xfId="6948" xr:uid="{00000000-0005-0000-0000-00000F1B0000}"/>
    <cellStyle name="Akcent 3 4" xfId="6949" xr:uid="{00000000-0005-0000-0000-0000101B0000}"/>
    <cellStyle name="Akcent 3 4 2" xfId="6950" xr:uid="{00000000-0005-0000-0000-0000111B0000}"/>
    <cellStyle name="Akcent 3 4 3" xfId="6951" xr:uid="{00000000-0005-0000-0000-0000121B0000}"/>
    <cellStyle name="Akcent 3 4 4" xfId="6952" xr:uid="{00000000-0005-0000-0000-0000131B0000}"/>
    <cellStyle name="Akcent 3 4 5" xfId="6953" xr:uid="{00000000-0005-0000-0000-0000141B0000}"/>
    <cellStyle name="Akcent 3 4 6" xfId="6954" xr:uid="{00000000-0005-0000-0000-0000151B0000}"/>
    <cellStyle name="Akcent 3 4 7" xfId="6955" xr:uid="{00000000-0005-0000-0000-0000161B0000}"/>
    <cellStyle name="Akcent 3 4 8" xfId="6956" xr:uid="{00000000-0005-0000-0000-0000171B0000}"/>
    <cellStyle name="Akcent 3 5" xfId="6957" xr:uid="{00000000-0005-0000-0000-0000181B0000}"/>
    <cellStyle name="Akcent 3 5 2" xfId="6958" xr:uid="{00000000-0005-0000-0000-0000191B0000}"/>
    <cellStyle name="Akcent 3 6" xfId="6959" xr:uid="{00000000-0005-0000-0000-00001A1B0000}"/>
    <cellStyle name="Akcent 3 7" xfId="6960" xr:uid="{00000000-0005-0000-0000-00001B1B0000}"/>
    <cellStyle name="Akcent 4 2" xfId="6961" xr:uid="{00000000-0005-0000-0000-00001C1B0000}"/>
    <cellStyle name="Akcent 4 2 10" xfId="6962" xr:uid="{00000000-0005-0000-0000-00001D1B0000}"/>
    <cellStyle name="Akcent 4 2 10 2" xfId="6963" xr:uid="{00000000-0005-0000-0000-00001E1B0000}"/>
    <cellStyle name="Akcent 4 2 10 3" xfId="6964" xr:uid="{00000000-0005-0000-0000-00001F1B0000}"/>
    <cellStyle name="Akcent 4 2 10 4" xfId="6965" xr:uid="{00000000-0005-0000-0000-0000201B0000}"/>
    <cellStyle name="Akcent 4 2 10 5" xfId="6966" xr:uid="{00000000-0005-0000-0000-0000211B0000}"/>
    <cellStyle name="Akcent 4 2 10 6" xfId="6967" xr:uid="{00000000-0005-0000-0000-0000221B0000}"/>
    <cellStyle name="Akcent 4 2 11" xfId="6968" xr:uid="{00000000-0005-0000-0000-0000231B0000}"/>
    <cellStyle name="Akcent 4 2 11 2" xfId="6969" xr:uid="{00000000-0005-0000-0000-0000241B0000}"/>
    <cellStyle name="Akcent 4 2 11 3" xfId="6970" xr:uid="{00000000-0005-0000-0000-0000251B0000}"/>
    <cellStyle name="Akcent 4 2 11 4" xfId="6971" xr:uid="{00000000-0005-0000-0000-0000261B0000}"/>
    <cellStyle name="Akcent 4 2 11 5" xfId="6972" xr:uid="{00000000-0005-0000-0000-0000271B0000}"/>
    <cellStyle name="Akcent 4 2 11 6" xfId="6973" xr:uid="{00000000-0005-0000-0000-0000281B0000}"/>
    <cellStyle name="Akcent 4 2 12" xfId="6974" xr:uid="{00000000-0005-0000-0000-0000291B0000}"/>
    <cellStyle name="Akcent 4 2 12 2" xfId="6975" xr:uid="{00000000-0005-0000-0000-00002A1B0000}"/>
    <cellStyle name="Akcent 4 2 12 3" xfId="6976" xr:uid="{00000000-0005-0000-0000-00002B1B0000}"/>
    <cellStyle name="Akcent 4 2 12 4" xfId="6977" xr:uid="{00000000-0005-0000-0000-00002C1B0000}"/>
    <cellStyle name="Akcent 4 2 12 5" xfId="6978" xr:uid="{00000000-0005-0000-0000-00002D1B0000}"/>
    <cellStyle name="Akcent 4 2 12 6" xfId="6979" xr:uid="{00000000-0005-0000-0000-00002E1B0000}"/>
    <cellStyle name="Akcent 4 2 13" xfId="6980" xr:uid="{00000000-0005-0000-0000-00002F1B0000}"/>
    <cellStyle name="Akcent 4 2 13 2" xfId="6981" xr:uid="{00000000-0005-0000-0000-0000301B0000}"/>
    <cellStyle name="Akcent 4 2 13 3" xfId="6982" xr:uid="{00000000-0005-0000-0000-0000311B0000}"/>
    <cellStyle name="Akcent 4 2 13 4" xfId="6983" xr:uid="{00000000-0005-0000-0000-0000321B0000}"/>
    <cellStyle name="Akcent 4 2 13 5" xfId="6984" xr:uid="{00000000-0005-0000-0000-0000331B0000}"/>
    <cellStyle name="Akcent 4 2 13 6" xfId="6985" xr:uid="{00000000-0005-0000-0000-0000341B0000}"/>
    <cellStyle name="Akcent 4 2 14" xfId="6986" xr:uid="{00000000-0005-0000-0000-0000351B0000}"/>
    <cellStyle name="Akcent 4 2 14 2" xfId="6987" xr:uid="{00000000-0005-0000-0000-0000361B0000}"/>
    <cellStyle name="Akcent 4 2 14 3" xfId="6988" xr:uid="{00000000-0005-0000-0000-0000371B0000}"/>
    <cellStyle name="Akcent 4 2 14 4" xfId="6989" xr:uid="{00000000-0005-0000-0000-0000381B0000}"/>
    <cellStyle name="Akcent 4 2 14 5" xfId="6990" xr:uid="{00000000-0005-0000-0000-0000391B0000}"/>
    <cellStyle name="Akcent 4 2 14 6" xfId="6991" xr:uid="{00000000-0005-0000-0000-00003A1B0000}"/>
    <cellStyle name="Akcent 4 2 15" xfId="6992" xr:uid="{00000000-0005-0000-0000-00003B1B0000}"/>
    <cellStyle name="Akcent 4 2 15 2" xfId="6993" xr:uid="{00000000-0005-0000-0000-00003C1B0000}"/>
    <cellStyle name="Akcent 4 2 15 3" xfId="6994" xr:uid="{00000000-0005-0000-0000-00003D1B0000}"/>
    <cellStyle name="Akcent 4 2 15 4" xfId="6995" xr:uid="{00000000-0005-0000-0000-00003E1B0000}"/>
    <cellStyle name="Akcent 4 2 15 5" xfId="6996" xr:uid="{00000000-0005-0000-0000-00003F1B0000}"/>
    <cellStyle name="Akcent 4 2 15 6" xfId="6997" xr:uid="{00000000-0005-0000-0000-0000401B0000}"/>
    <cellStyle name="Akcent 4 2 16" xfId="6998" xr:uid="{00000000-0005-0000-0000-0000411B0000}"/>
    <cellStyle name="Akcent 4 2 16 2" xfId="6999" xr:uid="{00000000-0005-0000-0000-0000421B0000}"/>
    <cellStyle name="Akcent 4 2 16 3" xfId="7000" xr:uid="{00000000-0005-0000-0000-0000431B0000}"/>
    <cellStyle name="Akcent 4 2 16 4" xfId="7001" xr:uid="{00000000-0005-0000-0000-0000441B0000}"/>
    <cellStyle name="Akcent 4 2 16 5" xfId="7002" xr:uid="{00000000-0005-0000-0000-0000451B0000}"/>
    <cellStyle name="Akcent 4 2 16 6" xfId="7003" xr:uid="{00000000-0005-0000-0000-0000461B0000}"/>
    <cellStyle name="Akcent 4 2 17" xfId="7004" xr:uid="{00000000-0005-0000-0000-0000471B0000}"/>
    <cellStyle name="Akcent 4 2 17 2" xfId="7005" xr:uid="{00000000-0005-0000-0000-0000481B0000}"/>
    <cellStyle name="Akcent 4 2 17 3" xfId="7006" xr:uid="{00000000-0005-0000-0000-0000491B0000}"/>
    <cellStyle name="Akcent 4 2 17 4" xfId="7007" xr:uid="{00000000-0005-0000-0000-00004A1B0000}"/>
    <cellStyle name="Akcent 4 2 17 5" xfId="7008" xr:uid="{00000000-0005-0000-0000-00004B1B0000}"/>
    <cellStyle name="Akcent 4 2 17 6" xfId="7009" xr:uid="{00000000-0005-0000-0000-00004C1B0000}"/>
    <cellStyle name="Akcent 4 2 18" xfId="7010" xr:uid="{00000000-0005-0000-0000-00004D1B0000}"/>
    <cellStyle name="Akcent 4 2 18 2" xfId="7011" xr:uid="{00000000-0005-0000-0000-00004E1B0000}"/>
    <cellStyle name="Akcent 4 2 18 3" xfId="7012" xr:uid="{00000000-0005-0000-0000-00004F1B0000}"/>
    <cellStyle name="Akcent 4 2 18 4" xfId="7013" xr:uid="{00000000-0005-0000-0000-0000501B0000}"/>
    <cellStyle name="Akcent 4 2 18 5" xfId="7014" xr:uid="{00000000-0005-0000-0000-0000511B0000}"/>
    <cellStyle name="Akcent 4 2 18 6" xfId="7015" xr:uid="{00000000-0005-0000-0000-0000521B0000}"/>
    <cellStyle name="Akcent 4 2 19" xfId="7016" xr:uid="{00000000-0005-0000-0000-0000531B0000}"/>
    <cellStyle name="Akcent 4 2 19 2" xfId="7017" xr:uid="{00000000-0005-0000-0000-0000541B0000}"/>
    <cellStyle name="Akcent 4 2 19 3" xfId="7018" xr:uid="{00000000-0005-0000-0000-0000551B0000}"/>
    <cellStyle name="Akcent 4 2 19 4" xfId="7019" xr:uid="{00000000-0005-0000-0000-0000561B0000}"/>
    <cellStyle name="Akcent 4 2 19 5" xfId="7020" xr:uid="{00000000-0005-0000-0000-0000571B0000}"/>
    <cellStyle name="Akcent 4 2 19 6" xfId="7021" xr:uid="{00000000-0005-0000-0000-0000581B0000}"/>
    <cellStyle name="Akcent 4 2 2" xfId="7022" xr:uid="{00000000-0005-0000-0000-0000591B0000}"/>
    <cellStyle name="Akcent 4 2 2 2" xfId="7023" xr:uid="{00000000-0005-0000-0000-00005A1B0000}"/>
    <cellStyle name="Akcent 4 2 2 3" xfId="7024" xr:uid="{00000000-0005-0000-0000-00005B1B0000}"/>
    <cellStyle name="Akcent 4 2 2 4" xfId="7025" xr:uid="{00000000-0005-0000-0000-00005C1B0000}"/>
    <cellStyle name="Akcent 4 2 2 5" xfId="7026" xr:uid="{00000000-0005-0000-0000-00005D1B0000}"/>
    <cellStyle name="Akcent 4 2 2 6" xfId="7027" xr:uid="{00000000-0005-0000-0000-00005E1B0000}"/>
    <cellStyle name="Akcent 4 2 2 7" xfId="7028" xr:uid="{00000000-0005-0000-0000-00005F1B0000}"/>
    <cellStyle name="Akcent 4 2 20" xfId="7029" xr:uid="{00000000-0005-0000-0000-0000601B0000}"/>
    <cellStyle name="Akcent 4 2 20 2" xfId="7030" xr:uid="{00000000-0005-0000-0000-0000611B0000}"/>
    <cellStyle name="Akcent 4 2 20 3" xfId="7031" xr:uid="{00000000-0005-0000-0000-0000621B0000}"/>
    <cellStyle name="Akcent 4 2 20 4" xfId="7032" xr:uid="{00000000-0005-0000-0000-0000631B0000}"/>
    <cellStyle name="Akcent 4 2 20 5" xfId="7033" xr:uid="{00000000-0005-0000-0000-0000641B0000}"/>
    <cellStyle name="Akcent 4 2 20 6" xfId="7034" xr:uid="{00000000-0005-0000-0000-0000651B0000}"/>
    <cellStyle name="Akcent 4 2 21" xfId="7035" xr:uid="{00000000-0005-0000-0000-0000661B0000}"/>
    <cellStyle name="Akcent 4 2 21 2" xfId="7036" xr:uid="{00000000-0005-0000-0000-0000671B0000}"/>
    <cellStyle name="Akcent 4 2 21 3" xfId="7037" xr:uid="{00000000-0005-0000-0000-0000681B0000}"/>
    <cellStyle name="Akcent 4 2 21 4" xfId="7038" xr:uid="{00000000-0005-0000-0000-0000691B0000}"/>
    <cellStyle name="Akcent 4 2 21 5" xfId="7039" xr:uid="{00000000-0005-0000-0000-00006A1B0000}"/>
    <cellStyle name="Akcent 4 2 21 6" xfId="7040" xr:uid="{00000000-0005-0000-0000-00006B1B0000}"/>
    <cellStyle name="Akcent 4 2 22" xfId="7041" xr:uid="{00000000-0005-0000-0000-00006C1B0000}"/>
    <cellStyle name="Akcent 4 2 22 2" xfId="7042" xr:uid="{00000000-0005-0000-0000-00006D1B0000}"/>
    <cellStyle name="Akcent 4 2 22 3" xfId="7043" xr:uid="{00000000-0005-0000-0000-00006E1B0000}"/>
    <cellStyle name="Akcent 4 2 22 4" xfId="7044" xr:uid="{00000000-0005-0000-0000-00006F1B0000}"/>
    <cellStyle name="Akcent 4 2 22 5" xfId="7045" xr:uid="{00000000-0005-0000-0000-0000701B0000}"/>
    <cellStyle name="Akcent 4 2 22 6" xfId="7046" xr:uid="{00000000-0005-0000-0000-0000711B0000}"/>
    <cellStyle name="Akcent 4 2 23" xfId="7047" xr:uid="{00000000-0005-0000-0000-0000721B0000}"/>
    <cellStyle name="Akcent 4 2 23 2" xfId="7048" xr:uid="{00000000-0005-0000-0000-0000731B0000}"/>
    <cellStyle name="Akcent 4 2 23 3" xfId="7049" xr:uid="{00000000-0005-0000-0000-0000741B0000}"/>
    <cellStyle name="Akcent 4 2 23 4" xfId="7050" xr:uid="{00000000-0005-0000-0000-0000751B0000}"/>
    <cellStyle name="Akcent 4 2 23 5" xfId="7051" xr:uid="{00000000-0005-0000-0000-0000761B0000}"/>
    <cellStyle name="Akcent 4 2 23 6" xfId="7052" xr:uid="{00000000-0005-0000-0000-0000771B0000}"/>
    <cellStyle name="Akcent 4 2 24" xfId="7053" xr:uid="{00000000-0005-0000-0000-0000781B0000}"/>
    <cellStyle name="Akcent 4 2 24 2" xfId="7054" xr:uid="{00000000-0005-0000-0000-0000791B0000}"/>
    <cellStyle name="Akcent 4 2 24 3" xfId="7055" xr:uid="{00000000-0005-0000-0000-00007A1B0000}"/>
    <cellStyle name="Akcent 4 2 24 4" xfId="7056" xr:uid="{00000000-0005-0000-0000-00007B1B0000}"/>
    <cellStyle name="Akcent 4 2 24 5" xfId="7057" xr:uid="{00000000-0005-0000-0000-00007C1B0000}"/>
    <cellStyle name="Akcent 4 2 24 6" xfId="7058" xr:uid="{00000000-0005-0000-0000-00007D1B0000}"/>
    <cellStyle name="Akcent 4 2 25" xfId="7059" xr:uid="{00000000-0005-0000-0000-00007E1B0000}"/>
    <cellStyle name="Akcent 4 2 25 2" xfId="7060" xr:uid="{00000000-0005-0000-0000-00007F1B0000}"/>
    <cellStyle name="Akcent 4 2 25 3" xfId="7061" xr:uid="{00000000-0005-0000-0000-0000801B0000}"/>
    <cellStyle name="Akcent 4 2 25 4" xfId="7062" xr:uid="{00000000-0005-0000-0000-0000811B0000}"/>
    <cellStyle name="Akcent 4 2 25 5" xfId="7063" xr:uid="{00000000-0005-0000-0000-0000821B0000}"/>
    <cellStyle name="Akcent 4 2 25 6" xfId="7064" xr:uid="{00000000-0005-0000-0000-0000831B0000}"/>
    <cellStyle name="Akcent 4 2 26" xfId="7065" xr:uid="{00000000-0005-0000-0000-0000841B0000}"/>
    <cellStyle name="Akcent 4 2 26 2" xfId="7066" xr:uid="{00000000-0005-0000-0000-0000851B0000}"/>
    <cellStyle name="Akcent 4 2 26 3" xfId="7067" xr:uid="{00000000-0005-0000-0000-0000861B0000}"/>
    <cellStyle name="Akcent 4 2 26 4" xfId="7068" xr:uid="{00000000-0005-0000-0000-0000871B0000}"/>
    <cellStyle name="Akcent 4 2 26 5" xfId="7069" xr:uid="{00000000-0005-0000-0000-0000881B0000}"/>
    <cellStyle name="Akcent 4 2 26 6" xfId="7070" xr:uid="{00000000-0005-0000-0000-0000891B0000}"/>
    <cellStyle name="Akcent 4 2 27" xfId="7071" xr:uid="{00000000-0005-0000-0000-00008A1B0000}"/>
    <cellStyle name="Akcent 4 2 27 2" xfId="7072" xr:uid="{00000000-0005-0000-0000-00008B1B0000}"/>
    <cellStyle name="Akcent 4 2 27 3" xfId="7073" xr:uid="{00000000-0005-0000-0000-00008C1B0000}"/>
    <cellStyle name="Akcent 4 2 27 4" xfId="7074" xr:uid="{00000000-0005-0000-0000-00008D1B0000}"/>
    <cellStyle name="Akcent 4 2 27 5" xfId="7075" xr:uid="{00000000-0005-0000-0000-00008E1B0000}"/>
    <cellStyle name="Akcent 4 2 27 6" xfId="7076" xr:uid="{00000000-0005-0000-0000-00008F1B0000}"/>
    <cellStyle name="Akcent 4 2 28" xfId="7077" xr:uid="{00000000-0005-0000-0000-0000901B0000}"/>
    <cellStyle name="Akcent 4 2 28 2" xfId="7078" xr:uid="{00000000-0005-0000-0000-0000911B0000}"/>
    <cellStyle name="Akcent 4 2 28 3" xfId="7079" xr:uid="{00000000-0005-0000-0000-0000921B0000}"/>
    <cellStyle name="Akcent 4 2 28 4" xfId="7080" xr:uid="{00000000-0005-0000-0000-0000931B0000}"/>
    <cellStyle name="Akcent 4 2 28 5" xfId="7081" xr:uid="{00000000-0005-0000-0000-0000941B0000}"/>
    <cellStyle name="Akcent 4 2 28 6" xfId="7082" xr:uid="{00000000-0005-0000-0000-0000951B0000}"/>
    <cellStyle name="Akcent 4 2 29" xfId="7083" xr:uid="{00000000-0005-0000-0000-0000961B0000}"/>
    <cellStyle name="Akcent 4 2 29 2" xfId="7084" xr:uid="{00000000-0005-0000-0000-0000971B0000}"/>
    <cellStyle name="Akcent 4 2 3" xfId="7085" xr:uid="{00000000-0005-0000-0000-0000981B0000}"/>
    <cellStyle name="Akcent 4 2 3 2" xfId="7086" xr:uid="{00000000-0005-0000-0000-0000991B0000}"/>
    <cellStyle name="Akcent 4 2 3 3" xfId="7087" xr:uid="{00000000-0005-0000-0000-00009A1B0000}"/>
    <cellStyle name="Akcent 4 2 3 4" xfId="7088" xr:uid="{00000000-0005-0000-0000-00009B1B0000}"/>
    <cellStyle name="Akcent 4 2 3 5" xfId="7089" xr:uid="{00000000-0005-0000-0000-00009C1B0000}"/>
    <cellStyle name="Akcent 4 2 3 6" xfId="7090" xr:uid="{00000000-0005-0000-0000-00009D1B0000}"/>
    <cellStyle name="Akcent 4 2 30" xfId="7091" xr:uid="{00000000-0005-0000-0000-00009E1B0000}"/>
    <cellStyle name="Akcent 4 2 30 2" xfId="7092" xr:uid="{00000000-0005-0000-0000-00009F1B0000}"/>
    <cellStyle name="Akcent 4 2 31" xfId="7093" xr:uid="{00000000-0005-0000-0000-0000A01B0000}"/>
    <cellStyle name="Akcent 4 2 31 2" xfId="7094" xr:uid="{00000000-0005-0000-0000-0000A11B0000}"/>
    <cellStyle name="Akcent 4 2 32" xfId="7095" xr:uid="{00000000-0005-0000-0000-0000A21B0000}"/>
    <cellStyle name="Akcent 4 2 32 2" xfId="7096" xr:uid="{00000000-0005-0000-0000-0000A31B0000}"/>
    <cellStyle name="Akcent 4 2 33" xfId="7097" xr:uid="{00000000-0005-0000-0000-0000A41B0000}"/>
    <cellStyle name="Akcent 4 2 34" xfId="7098" xr:uid="{00000000-0005-0000-0000-0000A51B0000}"/>
    <cellStyle name="Akcent 4 2 35" xfId="7099" xr:uid="{00000000-0005-0000-0000-0000A61B0000}"/>
    <cellStyle name="Akcent 4 2 36" xfId="7100" xr:uid="{00000000-0005-0000-0000-0000A71B0000}"/>
    <cellStyle name="Akcent 4 2 37" xfId="7101" xr:uid="{00000000-0005-0000-0000-0000A81B0000}"/>
    <cellStyle name="Akcent 4 2 38" xfId="7102" xr:uid="{00000000-0005-0000-0000-0000A91B0000}"/>
    <cellStyle name="Akcent 4 2 39" xfId="7103" xr:uid="{00000000-0005-0000-0000-0000AA1B0000}"/>
    <cellStyle name="Akcent 4 2 4" xfId="7104" xr:uid="{00000000-0005-0000-0000-0000AB1B0000}"/>
    <cellStyle name="Akcent 4 2 4 2" xfId="7105" xr:uid="{00000000-0005-0000-0000-0000AC1B0000}"/>
    <cellStyle name="Akcent 4 2 4 3" xfId="7106" xr:uid="{00000000-0005-0000-0000-0000AD1B0000}"/>
    <cellStyle name="Akcent 4 2 4 4" xfId="7107" xr:uid="{00000000-0005-0000-0000-0000AE1B0000}"/>
    <cellStyle name="Akcent 4 2 4 5" xfId="7108" xr:uid="{00000000-0005-0000-0000-0000AF1B0000}"/>
    <cellStyle name="Akcent 4 2 4 6" xfId="7109" xr:uid="{00000000-0005-0000-0000-0000B01B0000}"/>
    <cellStyle name="Akcent 4 2 40" xfId="7110" xr:uid="{00000000-0005-0000-0000-0000B11B0000}"/>
    <cellStyle name="Akcent 4 2 41" xfId="7111" xr:uid="{00000000-0005-0000-0000-0000B21B0000}"/>
    <cellStyle name="Akcent 4 2 42" xfId="7112" xr:uid="{00000000-0005-0000-0000-0000B31B0000}"/>
    <cellStyle name="Akcent 4 2 43" xfId="7113" xr:uid="{00000000-0005-0000-0000-0000B41B0000}"/>
    <cellStyle name="Akcent 4 2 44" xfId="7114" xr:uid="{00000000-0005-0000-0000-0000B51B0000}"/>
    <cellStyle name="Akcent 4 2 45" xfId="7115" xr:uid="{00000000-0005-0000-0000-0000B61B0000}"/>
    <cellStyle name="Akcent 4 2 46" xfId="7116" xr:uid="{00000000-0005-0000-0000-0000B71B0000}"/>
    <cellStyle name="Akcent 4 2 47" xfId="7117" xr:uid="{00000000-0005-0000-0000-0000B81B0000}"/>
    <cellStyle name="Akcent 4 2 48" xfId="7118" xr:uid="{00000000-0005-0000-0000-0000B91B0000}"/>
    <cellStyle name="Akcent 4 2 49" xfId="7119" xr:uid="{00000000-0005-0000-0000-0000BA1B0000}"/>
    <cellStyle name="Akcent 4 2 5" xfId="7120" xr:uid="{00000000-0005-0000-0000-0000BB1B0000}"/>
    <cellStyle name="Akcent 4 2 5 2" xfId="7121" xr:uid="{00000000-0005-0000-0000-0000BC1B0000}"/>
    <cellStyle name="Akcent 4 2 5 3" xfId="7122" xr:uid="{00000000-0005-0000-0000-0000BD1B0000}"/>
    <cellStyle name="Akcent 4 2 5 4" xfId="7123" xr:uid="{00000000-0005-0000-0000-0000BE1B0000}"/>
    <cellStyle name="Akcent 4 2 5 5" xfId="7124" xr:uid="{00000000-0005-0000-0000-0000BF1B0000}"/>
    <cellStyle name="Akcent 4 2 5 6" xfId="7125" xr:uid="{00000000-0005-0000-0000-0000C01B0000}"/>
    <cellStyle name="Akcent 4 2 50" xfId="7126" xr:uid="{00000000-0005-0000-0000-0000C11B0000}"/>
    <cellStyle name="Akcent 4 2 51" xfId="7127" xr:uid="{00000000-0005-0000-0000-0000C21B0000}"/>
    <cellStyle name="Akcent 4 2 52" xfId="7128" xr:uid="{00000000-0005-0000-0000-0000C31B0000}"/>
    <cellStyle name="Akcent 4 2 6" xfId="7129" xr:uid="{00000000-0005-0000-0000-0000C41B0000}"/>
    <cellStyle name="Akcent 4 2 6 2" xfId="7130" xr:uid="{00000000-0005-0000-0000-0000C51B0000}"/>
    <cellStyle name="Akcent 4 2 6 3" xfId="7131" xr:uid="{00000000-0005-0000-0000-0000C61B0000}"/>
    <cellStyle name="Akcent 4 2 6 4" xfId="7132" xr:uid="{00000000-0005-0000-0000-0000C71B0000}"/>
    <cellStyle name="Akcent 4 2 6 5" xfId="7133" xr:uid="{00000000-0005-0000-0000-0000C81B0000}"/>
    <cellStyle name="Akcent 4 2 6 6" xfId="7134" xr:uid="{00000000-0005-0000-0000-0000C91B0000}"/>
    <cellStyle name="Akcent 4 2 7" xfId="7135" xr:uid="{00000000-0005-0000-0000-0000CA1B0000}"/>
    <cellStyle name="Akcent 4 2 7 2" xfId="7136" xr:uid="{00000000-0005-0000-0000-0000CB1B0000}"/>
    <cellStyle name="Akcent 4 2 7 3" xfId="7137" xr:uid="{00000000-0005-0000-0000-0000CC1B0000}"/>
    <cellStyle name="Akcent 4 2 7 4" xfId="7138" xr:uid="{00000000-0005-0000-0000-0000CD1B0000}"/>
    <cellStyle name="Akcent 4 2 7 5" xfId="7139" xr:uid="{00000000-0005-0000-0000-0000CE1B0000}"/>
    <cellStyle name="Akcent 4 2 7 6" xfId="7140" xr:uid="{00000000-0005-0000-0000-0000CF1B0000}"/>
    <cellStyle name="Akcent 4 2 8" xfId="7141" xr:uid="{00000000-0005-0000-0000-0000D01B0000}"/>
    <cellStyle name="Akcent 4 2 8 2" xfId="7142" xr:uid="{00000000-0005-0000-0000-0000D11B0000}"/>
    <cellStyle name="Akcent 4 2 8 3" xfId="7143" xr:uid="{00000000-0005-0000-0000-0000D21B0000}"/>
    <cellStyle name="Akcent 4 2 8 4" xfId="7144" xr:uid="{00000000-0005-0000-0000-0000D31B0000}"/>
    <cellStyle name="Akcent 4 2 8 5" xfId="7145" xr:uid="{00000000-0005-0000-0000-0000D41B0000}"/>
    <cellStyle name="Akcent 4 2 8 6" xfId="7146" xr:uid="{00000000-0005-0000-0000-0000D51B0000}"/>
    <cellStyle name="Akcent 4 2 9" xfId="7147" xr:uid="{00000000-0005-0000-0000-0000D61B0000}"/>
    <cellStyle name="Akcent 4 2 9 2" xfId="7148" xr:uid="{00000000-0005-0000-0000-0000D71B0000}"/>
    <cellStyle name="Akcent 4 2 9 3" xfId="7149" xr:uid="{00000000-0005-0000-0000-0000D81B0000}"/>
    <cellStyle name="Akcent 4 2 9 4" xfId="7150" xr:uid="{00000000-0005-0000-0000-0000D91B0000}"/>
    <cellStyle name="Akcent 4 2 9 5" xfId="7151" xr:uid="{00000000-0005-0000-0000-0000DA1B0000}"/>
    <cellStyle name="Akcent 4 2 9 6" xfId="7152" xr:uid="{00000000-0005-0000-0000-0000DB1B0000}"/>
    <cellStyle name="Akcent 4 3" xfId="7153" xr:uid="{00000000-0005-0000-0000-0000DC1B0000}"/>
    <cellStyle name="Akcent 4 3 2" xfId="7154" xr:uid="{00000000-0005-0000-0000-0000DD1B0000}"/>
    <cellStyle name="Akcent 4 3 2 2" xfId="7155" xr:uid="{00000000-0005-0000-0000-0000DE1B0000}"/>
    <cellStyle name="Akcent 4 3 3" xfId="7156" xr:uid="{00000000-0005-0000-0000-0000DF1B0000}"/>
    <cellStyle name="Akcent 4 3 4" xfId="7157" xr:uid="{00000000-0005-0000-0000-0000E01B0000}"/>
    <cellStyle name="Akcent 4 3 5" xfId="7158" xr:uid="{00000000-0005-0000-0000-0000E11B0000}"/>
    <cellStyle name="Akcent 4 3 6" xfId="7159" xr:uid="{00000000-0005-0000-0000-0000E21B0000}"/>
    <cellStyle name="Akcent 4 3 7" xfId="7160" xr:uid="{00000000-0005-0000-0000-0000E31B0000}"/>
    <cellStyle name="Akcent 4 3 8" xfId="7161" xr:uid="{00000000-0005-0000-0000-0000E41B0000}"/>
    <cellStyle name="Akcent 4 4" xfId="7162" xr:uid="{00000000-0005-0000-0000-0000E51B0000}"/>
    <cellStyle name="Akcent 4 4 2" xfId="7163" xr:uid="{00000000-0005-0000-0000-0000E61B0000}"/>
    <cellStyle name="Akcent 4 4 3" xfId="7164" xr:uid="{00000000-0005-0000-0000-0000E71B0000}"/>
    <cellStyle name="Akcent 4 4 4" xfId="7165" xr:uid="{00000000-0005-0000-0000-0000E81B0000}"/>
    <cellStyle name="Akcent 4 4 5" xfId="7166" xr:uid="{00000000-0005-0000-0000-0000E91B0000}"/>
    <cellStyle name="Akcent 4 4 6" xfId="7167" xr:uid="{00000000-0005-0000-0000-0000EA1B0000}"/>
    <cellStyle name="Akcent 4 4 7" xfId="7168" xr:uid="{00000000-0005-0000-0000-0000EB1B0000}"/>
    <cellStyle name="Akcent 4 4 8" xfId="7169" xr:uid="{00000000-0005-0000-0000-0000EC1B0000}"/>
    <cellStyle name="Akcent 4 5" xfId="7170" xr:uid="{00000000-0005-0000-0000-0000ED1B0000}"/>
    <cellStyle name="Akcent 4 5 2" xfId="7171" xr:uid="{00000000-0005-0000-0000-0000EE1B0000}"/>
    <cellStyle name="Akcent 4 6" xfId="7172" xr:uid="{00000000-0005-0000-0000-0000EF1B0000}"/>
    <cellStyle name="Akcent 4 7" xfId="7173" xr:uid="{00000000-0005-0000-0000-0000F01B0000}"/>
    <cellStyle name="Akcent 5 2" xfId="7174" xr:uid="{00000000-0005-0000-0000-0000F11B0000}"/>
    <cellStyle name="Akcent 5 2 10" xfId="7175" xr:uid="{00000000-0005-0000-0000-0000F21B0000}"/>
    <cellStyle name="Akcent 5 2 10 2" xfId="7176" xr:uid="{00000000-0005-0000-0000-0000F31B0000}"/>
    <cellStyle name="Akcent 5 2 10 3" xfId="7177" xr:uid="{00000000-0005-0000-0000-0000F41B0000}"/>
    <cellStyle name="Akcent 5 2 10 4" xfId="7178" xr:uid="{00000000-0005-0000-0000-0000F51B0000}"/>
    <cellStyle name="Akcent 5 2 10 5" xfId="7179" xr:uid="{00000000-0005-0000-0000-0000F61B0000}"/>
    <cellStyle name="Akcent 5 2 10 6" xfId="7180" xr:uid="{00000000-0005-0000-0000-0000F71B0000}"/>
    <cellStyle name="Akcent 5 2 11" xfId="7181" xr:uid="{00000000-0005-0000-0000-0000F81B0000}"/>
    <cellStyle name="Akcent 5 2 11 2" xfId="7182" xr:uid="{00000000-0005-0000-0000-0000F91B0000}"/>
    <cellStyle name="Akcent 5 2 11 3" xfId="7183" xr:uid="{00000000-0005-0000-0000-0000FA1B0000}"/>
    <cellStyle name="Akcent 5 2 11 4" xfId="7184" xr:uid="{00000000-0005-0000-0000-0000FB1B0000}"/>
    <cellStyle name="Akcent 5 2 11 5" xfId="7185" xr:uid="{00000000-0005-0000-0000-0000FC1B0000}"/>
    <cellStyle name="Akcent 5 2 11 6" xfId="7186" xr:uid="{00000000-0005-0000-0000-0000FD1B0000}"/>
    <cellStyle name="Akcent 5 2 12" xfId="7187" xr:uid="{00000000-0005-0000-0000-0000FE1B0000}"/>
    <cellStyle name="Akcent 5 2 12 2" xfId="7188" xr:uid="{00000000-0005-0000-0000-0000FF1B0000}"/>
    <cellStyle name="Akcent 5 2 12 3" xfId="7189" xr:uid="{00000000-0005-0000-0000-0000001C0000}"/>
    <cellStyle name="Akcent 5 2 12 4" xfId="7190" xr:uid="{00000000-0005-0000-0000-0000011C0000}"/>
    <cellStyle name="Akcent 5 2 12 5" xfId="7191" xr:uid="{00000000-0005-0000-0000-0000021C0000}"/>
    <cellStyle name="Akcent 5 2 12 6" xfId="7192" xr:uid="{00000000-0005-0000-0000-0000031C0000}"/>
    <cellStyle name="Akcent 5 2 13" xfId="7193" xr:uid="{00000000-0005-0000-0000-0000041C0000}"/>
    <cellStyle name="Akcent 5 2 13 2" xfId="7194" xr:uid="{00000000-0005-0000-0000-0000051C0000}"/>
    <cellStyle name="Akcent 5 2 13 3" xfId="7195" xr:uid="{00000000-0005-0000-0000-0000061C0000}"/>
    <cellStyle name="Akcent 5 2 13 4" xfId="7196" xr:uid="{00000000-0005-0000-0000-0000071C0000}"/>
    <cellStyle name="Akcent 5 2 13 5" xfId="7197" xr:uid="{00000000-0005-0000-0000-0000081C0000}"/>
    <cellStyle name="Akcent 5 2 13 6" xfId="7198" xr:uid="{00000000-0005-0000-0000-0000091C0000}"/>
    <cellStyle name="Akcent 5 2 14" xfId="7199" xr:uid="{00000000-0005-0000-0000-00000A1C0000}"/>
    <cellStyle name="Akcent 5 2 14 2" xfId="7200" xr:uid="{00000000-0005-0000-0000-00000B1C0000}"/>
    <cellStyle name="Akcent 5 2 14 3" xfId="7201" xr:uid="{00000000-0005-0000-0000-00000C1C0000}"/>
    <cellStyle name="Akcent 5 2 14 4" xfId="7202" xr:uid="{00000000-0005-0000-0000-00000D1C0000}"/>
    <cellStyle name="Akcent 5 2 14 5" xfId="7203" xr:uid="{00000000-0005-0000-0000-00000E1C0000}"/>
    <cellStyle name="Akcent 5 2 14 6" xfId="7204" xr:uid="{00000000-0005-0000-0000-00000F1C0000}"/>
    <cellStyle name="Akcent 5 2 15" xfId="7205" xr:uid="{00000000-0005-0000-0000-0000101C0000}"/>
    <cellStyle name="Akcent 5 2 15 2" xfId="7206" xr:uid="{00000000-0005-0000-0000-0000111C0000}"/>
    <cellStyle name="Akcent 5 2 15 3" xfId="7207" xr:uid="{00000000-0005-0000-0000-0000121C0000}"/>
    <cellStyle name="Akcent 5 2 15 4" xfId="7208" xr:uid="{00000000-0005-0000-0000-0000131C0000}"/>
    <cellStyle name="Akcent 5 2 15 5" xfId="7209" xr:uid="{00000000-0005-0000-0000-0000141C0000}"/>
    <cellStyle name="Akcent 5 2 15 6" xfId="7210" xr:uid="{00000000-0005-0000-0000-0000151C0000}"/>
    <cellStyle name="Akcent 5 2 16" xfId="7211" xr:uid="{00000000-0005-0000-0000-0000161C0000}"/>
    <cellStyle name="Akcent 5 2 16 2" xfId="7212" xr:uid="{00000000-0005-0000-0000-0000171C0000}"/>
    <cellStyle name="Akcent 5 2 16 3" xfId="7213" xr:uid="{00000000-0005-0000-0000-0000181C0000}"/>
    <cellStyle name="Akcent 5 2 16 4" xfId="7214" xr:uid="{00000000-0005-0000-0000-0000191C0000}"/>
    <cellStyle name="Akcent 5 2 16 5" xfId="7215" xr:uid="{00000000-0005-0000-0000-00001A1C0000}"/>
    <cellStyle name="Akcent 5 2 16 6" xfId="7216" xr:uid="{00000000-0005-0000-0000-00001B1C0000}"/>
    <cellStyle name="Akcent 5 2 17" xfId="7217" xr:uid="{00000000-0005-0000-0000-00001C1C0000}"/>
    <cellStyle name="Akcent 5 2 17 2" xfId="7218" xr:uid="{00000000-0005-0000-0000-00001D1C0000}"/>
    <cellStyle name="Akcent 5 2 17 3" xfId="7219" xr:uid="{00000000-0005-0000-0000-00001E1C0000}"/>
    <cellStyle name="Akcent 5 2 17 4" xfId="7220" xr:uid="{00000000-0005-0000-0000-00001F1C0000}"/>
    <cellStyle name="Akcent 5 2 17 5" xfId="7221" xr:uid="{00000000-0005-0000-0000-0000201C0000}"/>
    <cellStyle name="Akcent 5 2 17 6" xfId="7222" xr:uid="{00000000-0005-0000-0000-0000211C0000}"/>
    <cellStyle name="Akcent 5 2 18" xfId="7223" xr:uid="{00000000-0005-0000-0000-0000221C0000}"/>
    <cellStyle name="Akcent 5 2 18 2" xfId="7224" xr:uid="{00000000-0005-0000-0000-0000231C0000}"/>
    <cellStyle name="Akcent 5 2 18 3" xfId="7225" xr:uid="{00000000-0005-0000-0000-0000241C0000}"/>
    <cellStyle name="Akcent 5 2 18 4" xfId="7226" xr:uid="{00000000-0005-0000-0000-0000251C0000}"/>
    <cellStyle name="Akcent 5 2 18 5" xfId="7227" xr:uid="{00000000-0005-0000-0000-0000261C0000}"/>
    <cellStyle name="Akcent 5 2 18 6" xfId="7228" xr:uid="{00000000-0005-0000-0000-0000271C0000}"/>
    <cellStyle name="Akcent 5 2 19" xfId="7229" xr:uid="{00000000-0005-0000-0000-0000281C0000}"/>
    <cellStyle name="Akcent 5 2 19 2" xfId="7230" xr:uid="{00000000-0005-0000-0000-0000291C0000}"/>
    <cellStyle name="Akcent 5 2 19 3" xfId="7231" xr:uid="{00000000-0005-0000-0000-00002A1C0000}"/>
    <cellStyle name="Akcent 5 2 19 4" xfId="7232" xr:uid="{00000000-0005-0000-0000-00002B1C0000}"/>
    <cellStyle name="Akcent 5 2 19 5" xfId="7233" xr:uid="{00000000-0005-0000-0000-00002C1C0000}"/>
    <cellStyle name="Akcent 5 2 19 6" xfId="7234" xr:uid="{00000000-0005-0000-0000-00002D1C0000}"/>
    <cellStyle name="Akcent 5 2 2" xfId="7235" xr:uid="{00000000-0005-0000-0000-00002E1C0000}"/>
    <cellStyle name="Akcent 5 2 2 2" xfId="7236" xr:uid="{00000000-0005-0000-0000-00002F1C0000}"/>
    <cellStyle name="Akcent 5 2 2 3" xfId="7237" xr:uid="{00000000-0005-0000-0000-0000301C0000}"/>
    <cellStyle name="Akcent 5 2 2 4" xfId="7238" xr:uid="{00000000-0005-0000-0000-0000311C0000}"/>
    <cellStyle name="Akcent 5 2 2 5" xfId="7239" xr:uid="{00000000-0005-0000-0000-0000321C0000}"/>
    <cellStyle name="Akcent 5 2 2 6" xfId="7240" xr:uid="{00000000-0005-0000-0000-0000331C0000}"/>
    <cellStyle name="Akcent 5 2 2 7" xfId="7241" xr:uid="{00000000-0005-0000-0000-0000341C0000}"/>
    <cellStyle name="Akcent 5 2 20" xfId="7242" xr:uid="{00000000-0005-0000-0000-0000351C0000}"/>
    <cellStyle name="Akcent 5 2 20 2" xfId="7243" xr:uid="{00000000-0005-0000-0000-0000361C0000}"/>
    <cellStyle name="Akcent 5 2 20 3" xfId="7244" xr:uid="{00000000-0005-0000-0000-0000371C0000}"/>
    <cellStyle name="Akcent 5 2 20 4" xfId="7245" xr:uid="{00000000-0005-0000-0000-0000381C0000}"/>
    <cellStyle name="Akcent 5 2 20 5" xfId="7246" xr:uid="{00000000-0005-0000-0000-0000391C0000}"/>
    <cellStyle name="Akcent 5 2 20 6" xfId="7247" xr:uid="{00000000-0005-0000-0000-00003A1C0000}"/>
    <cellStyle name="Akcent 5 2 21" xfId="7248" xr:uid="{00000000-0005-0000-0000-00003B1C0000}"/>
    <cellStyle name="Akcent 5 2 21 2" xfId="7249" xr:uid="{00000000-0005-0000-0000-00003C1C0000}"/>
    <cellStyle name="Akcent 5 2 21 3" xfId="7250" xr:uid="{00000000-0005-0000-0000-00003D1C0000}"/>
    <cellStyle name="Akcent 5 2 21 4" xfId="7251" xr:uid="{00000000-0005-0000-0000-00003E1C0000}"/>
    <cellStyle name="Akcent 5 2 21 5" xfId="7252" xr:uid="{00000000-0005-0000-0000-00003F1C0000}"/>
    <cellStyle name="Akcent 5 2 21 6" xfId="7253" xr:uid="{00000000-0005-0000-0000-0000401C0000}"/>
    <cellStyle name="Akcent 5 2 22" xfId="7254" xr:uid="{00000000-0005-0000-0000-0000411C0000}"/>
    <cellStyle name="Akcent 5 2 22 2" xfId="7255" xr:uid="{00000000-0005-0000-0000-0000421C0000}"/>
    <cellStyle name="Akcent 5 2 22 3" xfId="7256" xr:uid="{00000000-0005-0000-0000-0000431C0000}"/>
    <cellStyle name="Akcent 5 2 22 4" xfId="7257" xr:uid="{00000000-0005-0000-0000-0000441C0000}"/>
    <cellStyle name="Akcent 5 2 22 5" xfId="7258" xr:uid="{00000000-0005-0000-0000-0000451C0000}"/>
    <cellStyle name="Akcent 5 2 22 6" xfId="7259" xr:uid="{00000000-0005-0000-0000-0000461C0000}"/>
    <cellStyle name="Akcent 5 2 23" xfId="7260" xr:uid="{00000000-0005-0000-0000-0000471C0000}"/>
    <cellStyle name="Akcent 5 2 23 2" xfId="7261" xr:uid="{00000000-0005-0000-0000-0000481C0000}"/>
    <cellStyle name="Akcent 5 2 23 3" xfId="7262" xr:uid="{00000000-0005-0000-0000-0000491C0000}"/>
    <cellStyle name="Akcent 5 2 23 4" xfId="7263" xr:uid="{00000000-0005-0000-0000-00004A1C0000}"/>
    <cellStyle name="Akcent 5 2 23 5" xfId="7264" xr:uid="{00000000-0005-0000-0000-00004B1C0000}"/>
    <cellStyle name="Akcent 5 2 23 6" xfId="7265" xr:uid="{00000000-0005-0000-0000-00004C1C0000}"/>
    <cellStyle name="Akcent 5 2 24" xfId="7266" xr:uid="{00000000-0005-0000-0000-00004D1C0000}"/>
    <cellStyle name="Akcent 5 2 24 2" xfId="7267" xr:uid="{00000000-0005-0000-0000-00004E1C0000}"/>
    <cellStyle name="Akcent 5 2 24 3" xfId="7268" xr:uid="{00000000-0005-0000-0000-00004F1C0000}"/>
    <cellStyle name="Akcent 5 2 24 4" xfId="7269" xr:uid="{00000000-0005-0000-0000-0000501C0000}"/>
    <cellStyle name="Akcent 5 2 24 5" xfId="7270" xr:uid="{00000000-0005-0000-0000-0000511C0000}"/>
    <cellStyle name="Akcent 5 2 24 6" xfId="7271" xr:uid="{00000000-0005-0000-0000-0000521C0000}"/>
    <cellStyle name="Akcent 5 2 25" xfId="7272" xr:uid="{00000000-0005-0000-0000-0000531C0000}"/>
    <cellStyle name="Akcent 5 2 25 2" xfId="7273" xr:uid="{00000000-0005-0000-0000-0000541C0000}"/>
    <cellStyle name="Akcent 5 2 25 3" xfId="7274" xr:uid="{00000000-0005-0000-0000-0000551C0000}"/>
    <cellStyle name="Akcent 5 2 25 4" xfId="7275" xr:uid="{00000000-0005-0000-0000-0000561C0000}"/>
    <cellStyle name="Akcent 5 2 25 5" xfId="7276" xr:uid="{00000000-0005-0000-0000-0000571C0000}"/>
    <cellStyle name="Akcent 5 2 25 6" xfId="7277" xr:uid="{00000000-0005-0000-0000-0000581C0000}"/>
    <cellStyle name="Akcent 5 2 26" xfId="7278" xr:uid="{00000000-0005-0000-0000-0000591C0000}"/>
    <cellStyle name="Akcent 5 2 26 2" xfId="7279" xr:uid="{00000000-0005-0000-0000-00005A1C0000}"/>
    <cellStyle name="Akcent 5 2 26 3" xfId="7280" xr:uid="{00000000-0005-0000-0000-00005B1C0000}"/>
    <cellStyle name="Akcent 5 2 26 4" xfId="7281" xr:uid="{00000000-0005-0000-0000-00005C1C0000}"/>
    <cellStyle name="Akcent 5 2 26 5" xfId="7282" xr:uid="{00000000-0005-0000-0000-00005D1C0000}"/>
    <cellStyle name="Akcent 5 2 26 6" xfId="7283" xr:uid="{00000000-0005-0000-0000-00005E1C0000}"/>
    <cellStyle name="Akcent 5 2 27" xfId="7284" xr:uid="{00000000-0005-0000-0000-00005F1C0000}"/>
    <cellStyle name="Akcent 5 2 27 2" xfId="7285" xr:uid="{00000000-0005-0000-0000-0000601C0000}"/>
    <cellStyle name="Akcent 5 2 27 3" xfId="7286" xr:uid="{00000000-0005-0000-0000-0000611C0000}"/>
    <cellStyle name="Akcent 5 2 27 4" xfId="7287" xr:uid="{00000000-0005-0000-0000-0000621C0000}"/>
    <cellStyle name="Akcent 5 2 27 5" xfId="7288" xr:uid="{00000000-0005-0000-0000-0000631C0000}"/>
    <cellStyle name="Akcent 5 2 27 6" xfId="7289" xr:uid="{00000000-0005-0000-0000-0000641C0000}"/>
    <cellStyle name="Akcent 5 2 28" xfId="7290" xr:uid="{00000000-0005-0000-0000-0000651C0000}"/>
    <cellStyle name="Akcent 5 2 28 2" xfId="7291" xr:uid="{00000000-0005-0000-0000-0000661C0000}"/>
    <cellStyle name="Akcent 5 2 28 3" xfId="7292" xr:uid="{00000000-0005-0000-0000-0000671C0000}"/>
    <cellStyle name="Akcent 5 2 28 4" xfId="7293" xr:uid="{00000000-0005-0000-0000-0000681C0000}"/>
    <cellStyle name="Akcent 5 2 28 5" xfId="7294" xr:uid="{00000000-0005-0000-0000-0000691C0000}"/>
    <cellStyle name="Akcent 5 2 28 6" xfId="7295" xr:uid="{00000000-0005-0000-0000-00006A1C0000}"/>
    <cellStyle name="Akcent 5 2 29" xfId="7296" xr:uid="{00000000-0005-0000-0000-00006B1C0000}"/>
    <cellStyle name="Akcent 5 2 29 2" xfId="7297" xr:uid="{00000000-0005-0000-0000-00006C1C0000}"/>
    <cellStyle name="Akcent 5 2 3" xfId="7298" xr:uid="{00000000-0005-0000-0000-00006D1C0000}"/>
    <cellStyle name="Akcent 5 2 3 2" xfId="7299" xr:uid="{00000000-0005-0000-0000-00006E1C0000}"/>
    <cellStyle name="Akcent 5 2 3 3" xfId="7300" xr:uid="{00000000-0005-0000-0000-00006F1C0000}"/>
    <cellStyle name="Akcent 5 2 3 4" xfId="7301" xr:uid="{00000000-0005-0000-0000-0000701C0000}"/>
    <cellStyle name="Akcent 5 2 3 5" xfId="7302" xr:uid="{00000000-0005-0000-0000-0000711C0000}"/>
    <cellStyle name="Akcent 5 2 3 6" xfId="7303" xr:uid="{00000000-0005-0000-0000-0000721C0000}"/>
    <cellStyle name="Akcent 5 2 30" xfId="7304" xr:uid="{00000000-0005-0000-0000-0000731C0000}"/>
    <cellStyle name="Akcent 5 2 30 2" xfId="7305" xr:uid="{00000000-0005-0000-0000-0000741C0000}"/>
    <cellStyle name="Akcent 5 2 31" xfId="7306" xr:uid="{00000000-0005-0000-0000-0000751C0000}"/>
    <cellStyle name="Akcent 5 2 31 2" xfId="7307" xr:uid="{00000000-0005-0000-0000-0000761C0000}"/>
    <cellStyle name="Akcent 5 2 32" xfId="7308" xr:uid="{00000000-0005-0000-0000-0000771C0000}"/>
    <cellStyle name="Akcent 5 2 32 2" xfId="7309" xr:uid="{00000000-0005-0000-0000-0000781C0000}"/>
    <cellStyle name="Akcent 5 2 33" xfId="7310" xr:uid="{00000000-0005-0000-0000-0000791C0000}"/>
    <cellStyle name="Akcent 5 2 34" xfId="7311" xr:uid="{00000000-0005-0000-0000-00007A1C0000}"/>
    <cellStyle name="Akcent 5 2 35" xfId="7312" xr:uid="{00000000-0005-0000-0000-00007B1C0000}"/>
    <cellStyle name="Akcent 5 2 36" xfId="7313" xr:uid="{00000000-0005-0000-0000-00007C1C0000}"/>
    <cellStyle name="Akcent 5 2 37" xfId="7314" xr:uid="{00000000-0005-0000-0000-00007D1C0000}"/>
    <cellStyle name="Akcent 5 2 38" xfId="7315" xr:uid="{00000000-0005-0000-0000-00007E1C0000}"/>
    <cellStyle name="Akcent 5 2 39" xfId="7316" xr:uid="{00000000-0005-0000-0000-00007F1C0000}"/>
    <cellStyle name="Akcent 5 2 4" xfId="7317" xr:uid="{00000000-0005-0000-0000-0000801C0000}"/>
    <cellStyle name="Akcent 5 2 4 2" xfId="7318" xr:uid="{00000000-0005-0000-0000-0000811C0000}"/>
    <cellStyle name="Akcent 5 2 4 3" xfId="7319" xr:uid="{00000000-0005-0000-0000-0000821C0000}"/>
    <cellStyle name="Akcent 5 2 4 4" xfId="7320" xr:uid="{00000000-0005-0000-0000-0000831C0000}"/>
    <cellStyle name="Akcent 5 2 4 5" xfId="7321" xr:uid="{00000000-0005-0000-0000-0000841C0000}"/>
    <cellStyle name="Akcent 5 2 4 6" xfId="7322" xr:uid="{00000000-0005-0000-0000-0000851C0000}"/>
    <cellStyle name="Akcent 5 2 40" xfId="7323" xr:uid="{00000000-0005-0000-0000-0000861C0000}"/>
    <cellStyle name="Akcent 5 2 41" xfId="7324" xr:uid="{00000000-0005-0000-0000-0000871C0000}"/>
    <cellStyle name="Akcent 5 2 42" xfId="7325" xr:uid="{00000000-0005-0000-0000-0000881C0000}"/>
    <cellStyle name="Akcent 5 2 43" xfId="7326" xr:uid="{00000000-0005-0000-0000-0000891C0000}"/>
    <cellStyle name="Akcent 5 2 44" xfId="7327" xr:uid="{00000000-0005-0000-0000-00008A1C0000}"/>
    <cellStyle name="Akcent 5 2 45" xfId="7328" xr:uid="{00000000-0005-0000-0000-00008B1C0000}"/>
    <cellStyle name="Akcent 5 2 46" xfId="7329" xr:uid="{00000000-0005-0000-0000-00008C1C0000}"/>
    <cellStyle name="Akcent 5 2 47" xfId="7330" xr:uid="{00000000-0005-0000-0000-00008D1C0000}"/>
    <cellStyle name="Akcent 5 2 48" xfId="7331" xr:uid="{00000000-0005-0000-0000-00008E1C0000}"/>
    <cellStyle name="Akcent 5 2 49" xfId="7332" xr:uid="{00000000-0005-0000-0000-00008F1C0000}"/>
    <cellStyle name="Akcent 5 2 5" xfId="7333" xr:uid="{00000000-0005-0000-0000-0000901C0000}"/>
    <cellStyle name="Akcent 5 2 5 2" xfId="7334" xr:uid="{00000000-0005-0000-0000-0000911C0000}"/>
    <cellStyle name="Akcent 5 2 5 3" xfId="7335" xr:uid="{00000000-0005-0000-0000-0000921C0000}"/>
    <cellStyle name="Akcent 5 2 5 4" xfId="7336" xr:uid="{00000000-0005-0000-0000-0000931C0000}"/>
    <cellStyle name="Akcent 5 2 5 5" xfId="7337" xr:uid="{00000000-0005-0000-0000-0000941C0000}"/>
    <cellStyle name="Akcent 5 2 5 6" xfId="7338" xr:uid="{00000000-0005-0000-0000-0000951C0000}"/>
    <cellStyle name="Akcent 5 2 50" xfId="7339" xr:uid="{00000000-0005-0000-0000-0000961C0000}"/>
    <cellStyle name="Akcent 5 2 51" xfId="7340" xr:uid="{00000000-0005-0000-0000-0000971C0000}"/>
    <cellStyle name="Akcent 5 2 52" xfId="7341" xr:uid="{00000000-0005-0000-0000-0000981C0000}"/>
    <cellStyle name="Akcent 5 2 6" xfId="7342" xr:uid="{00000000-0005-0000-0000-0000991C0000}"/>
    <cellStyle name="Akcent 5 2 6 2" xfId="7343" xr:uid="{00000000-0005-0000-0000-00009A1C0000}"/>
    <cellStyle name="Akcent 5 2 6 3" xfId="7344" xr:uid="{00000000-0005-0000-0000-00009B1C0000}"/>
    <cellStyle name="Akcent 5 2 6 4" xfId="7345" xr:uid="{00000000-0005-0000-0000-00009C1C0000}"/>
    <cellStyle name="Akcent 5 2 6 5" xfId="7346" xr:uid="{00000000-0005-0000-0000-00009D1C0000}"/>
    <cellStyle name="Akcent 5 2 6 6" xfId="7347" xr:uid="{00000000-0005-0000-0000-00009E1C0000}"/>
    <cellStyle name="Akcent 5 2 7" xfId="7348" xr:uid="{00000000-0005-0000-0000-00009F1C0000}"/>
    <cellStyle name="Akcent 5 2 7 2" xfId="7349" xr:uid="{00000000-0005-0000-0000-0000A01C0000}"/>
    <cellStyle name="Akcent 5 2 7 3" xfId="7350" xr:uid="{00000000-0005-0000-0000-0000A11C0000}"/>
    <cellStyle name="Akcent 5 2 7 4" xfId="7351" xr:uid="{00000000-0005-0000-0000-0000A21C0000}"/>
    <cellStyle name="Akcent 5 2 7 5" xfId="7352" xr:uid="{00000000-0005-0000-0000-0000A31C0000}"/>
    <cellStyle name="Akcent 5 2 7 6" xfId="7353" xr:uid="{00000000-0005-0000-0000-0000A41C0000}"/>
    <cellStyle name="Akcent 5 2 8" xfId="7354" xr:uid="{00000000-0005-0000-0000-0000A51C0000}"/>
    <cellStyle name="Akcent 5 2 8 2" xfId="7355" xr:uid="{00000000-0005-0000-0000-0000A61C0000}"/>
    <cellStyle name="Akcent 5 2 8 3" xfId="7356" xr:uid="{00000000-0005-0000-0000-0000A71C0000}"/>
    <cellStyle name="Akcent 5 2 8 4" xfId="7357" xr:uid="{00000000-0005-0000-0000-0000A81C0000}"/>
    <cellStyle name="Akcent 5 2 8 5" xfId="7358" xr:uid="{00000000-0005-0000-0000-0000A91C0000}"/>
    <cellStyle name="Akcent 5 2 8 6" xfId="7359" xr:uid="{00000000-0005-0000-0000-0000AA1C0000}"/>
    <cellStyle name="Akcent 5 2 9" xfId="7360" xr:uid="{00000000-0005-0000-0000-0000AB1C0000}"/>
    <cellStyle name="Akcent 5 2 9 2" xfId="7361" xr:uid="{00000000-0005-0000-0000-0000AC1C0000}"/>
    <cellStyle name="Akcent 5 2 9 3" xfId="7362" xr:uid="{00000000-0005-0000-0000-0000AD1C0000}"/>
    <cellStyle name="Akcent 5 2 9 4" xfId="7363" xr:uid="{00000000-0005-0000-0000-0000AE1C0000}"/>
    <cellStyle name="Akcent 5 2 9 5" xfId="7364" xr:uid="{00000000-0005-0000-0000-0000AF1C0000}"/>
    <cellStyle name="Akcent 5 2 9 6" xfId="7365" xr:uid="{00000000-0005-0000-0000-0000B01C0000}"/>
    <cellStyle name="Akcent 5 3" xfId="7366" xr:uid="{00000000-0005-0000-0000-0000B11C0000}"/>
    <cellStyle name="Akcent 5 3 2" xfId="7367" xr:uid="{00000000-0005-0000-0000-0000B21C0000}"/>
    <cellStyle name="Akcent 5 3 2 2" xfId="7368" xr:uid="{00000000-0005-0000-0000-0000B31C0000}"/>
    <cellStyle name="Akcent 5 3 3" xfId="7369" xr:uid="{00000000-0005-0000-0000-0000B41C0000}"/>
    <cellStyle name="Akcent 5 3 4" xfId="7370" xr:uid="{00000000-0005-0000-0000-0000B51C0000}"/>
    <cellStyle name="Akcent 5 3 5" xfId="7371" xr:uid="{00000000-0005-0000-0000-0000B61C0000}"/>
    <cellStyle name="Akcent 5 3 6" xfId="7372" xr:uid="{00000000-0005-0000-0000-0000B71C0000}"/>
    <cellStyle name="Akcent 5 3 7" xfId="7373" xr:uid="{00000000-0005-0000-0000-0000B81C0000}"/>
    <cellStyle name="Akcent 5 3 8" xfId="7374" xr:uid="{00000000-0005-0000-0000-0000B91C0000}"/>
    <cellStyle name="Akcent 5 4" xfId="7375" xr:uid="{00000000-0005-0000-0000-0000BA1C0000}"/>
    <cellStyle name="Akcent 5 4 2" xfId="7376" xr:uid="{00000000-0005-0000-0000-0000BB1C0000}"/>
    <cellStyle name="Akcent 5 4 3" xfId="7377" xr:uid="{00000000-0005-0000-0000-0000BC1C0000}"/>
    <cellStyle name="Akcent 5 4 4" xfId="7378" xr:uid="{00000000-0005-0000-0000-0000BD1C0000}"/>
    <cellStyle name="Akcent 5 4 5" xfId="7379" xr:uid="{00000000-0005-0000-0000-0000BE1C0000}"/>
    <cellStyle name="Akcent 5 4 6" xfId="7380" xr:uid="{00000000-0005-0000-0000-0000BF1C0000}"/>
    <cellStyle name="Akcent 5 4 7" xfId="7381" xr:uid="{00000000-0005-0000-0000-0000C01C0000}"/>
    <cellStyle name="Akcent 5 4 8" xfId="7382" xr:uid="{00000000-0005-0000-0000-0000C11C0000}"/>
    <cellStyle name="Akcent 5 5" xfId="7383" xr:uid="{00000000-0005-0000-0000-0000C21C0000}"/>
    <cellStyle name="Akcent 5 5 2" xfId="7384" xr:uid="{00000000-0005-0000-0000-0000C31C0000}"/>
    <cellStyle name="Akcent 5 6" xfId="7385" xr:uid="{00000000-0005-0000-0000-0000C41C0000}"/>
    <cellStyle name="Akcent 5 7" xfId="7386" xr:uid="{00000000-0005-0000-0000-0000C51C0000}"/>
    <cellStyle name="Akcent 6 2" xfId="7387" xr:uid="{00000000-0005-0000-0000-0000C61C0000}"/>
    <cellStyle name="Akcent 6 2 10" xfId="7388" xr:uid="{00000000-0005-0000-0000-0000C71C0000}"/>
    <cellStyle name="Akcent 6 2 10 2" xfId="7389" xr:uid="{00000000-0005-0000-0000-0000C81C0000}"/>
    <cellStyle name="Akcent 6 2 10 3" xfId="7390" xr:uid="{00000000-0005-0000-0000-0000C91C0000}"/>
    <cellStyle name="Akcent 6 2 10 4" xfId="7391" xr:uid="{00000000-0005-0000-0000-0000CA1C0000}"/>
    <cellStyle name="Akcent 6 2 10 5" xfId="7392" xr:uid="{00000000-0005-0000-0000-0000CB1C0000}"/>
    <cellStyle name="Akcent 6 2 10 6" xfId="7393" xr:uid="{00000000-0005-0000-0000-0000CC1C0000}"/>
    <cellStyle name="Akcent 6 2 11" xfId="7394" xr:uid="{00000000-0005-0000-0000-0000CD1C0000}"/>
    <cellStyle name="Akcent 6 2 11 2" xfId="7395" xr:uid="{00000000-0005-0000-0000-0000CE1C0000}"/>
    <cellStyle name="Akcent 6 2 11 3" xfId="7396" xr:uid="{00000000-0005-0000-0000-0000CF1C0000}"/>
    <cellStyle name="Akcent 6 2 11 4" xfId="7397" xr:uid="{00000000-0005-0000-0000-0000D01C0000}"/>
    <cellStyle name="Akcent 6 2 11 5" xfId="7398" xr:uid="{00000000-0005-0000-0000-0000D11C0000}"/>
    <cellStyle name="Akcent 6 2 11 6" xfId="7399" xr:uid="{00000000-0005-0000-0000-0000D21C0000}"/>
    <cellStyle name="Akcent 6 2 12" xfId="7400" xr:uid="{00000000-0005-0000-0000-0000D31C0000}"/>
    <cellStyle name="Akcent 6 2 12 2" xfId="7401" xr:uid="{00000000-0005-0000-0000-0000D41C0000}"/>
    <cellStyle name="Akcent 6 2 12 3" xfId="7402" xr:uid="{00000000-0005-0000-0000-0000D51C0000}"/>
    <cellStyle name="Akcent 6 2 12 4" xfId="7403" xr:uid="{00000000-0005-0000-0000-0000D61C0000}"/>
    <cellStyle name="Akcent 6 2 12 5" xfId="7404" xr:uid="{00000000-0005-0000-0000-0000D71C0000}"/>
    <cellStyle name="Akcent 6 2 12 6" xfId="7405" xr:uid="{00000000-0005-0000-0000-0000D81C0000}"/>
    <cellStyle name="Akcent 6 2 13" xfId="7406" xr:uid="{00000000-0005-0000-0000-0000D91C0000}"/>
    <cellStyle name="Akcent 6 2 13 2" xfId="7407" xr:uid="{00000000-0005-0000-0000-0000DA1C0000}"/>
    <cellStyle name="Akcent 6 2 13 3" xfId="7408" xr:uid="{00000000-0005-0000-0000-0000DB1C0000}"/>
    <cellStyle name="Akcent 6 2 13 4" xfId="7409" xr:uid="{00000000-0005-0000-0000-0000DC1C0000}"/>
    <cellStyle name="Akcent 6 2 13 5" xfId="7410" xr:uid="{00000000-0005-0000-0000-0000DD1C0000}"/>
    <cellStyle name="Akcent 6 2 13 6" xfId="7411" xr:uid="{00000000-0005-0000-0000-0000DE1C0000}"/>
    <cellStyle name="Akcent 6 2 14" xfId="7412" xr:uid="{00000000-0005-0000-0000-0000DF1C0000}"/>
    <cellStyle name="Akcent 6 2 14 2" xfId="7413" xr:uid="{00000000-0005-0000-0000-0000E01C0000}"/>
    <cellStyle name="Akcent 6 2 14 3" xfId="7414" xr:uid="{00000000-0005-0000-0000-0000E11C0000}"/>
    <cellStyle name="Akcent 6 2 14 4" xfId="7415" xr:uid="{00000000-0005-0000-0000-0000E21C0000}"/>
    <cellStyle name="Akcent 6 2 14 5" xfId="7416" xr:uid="{00000000-0005-0000-0000-0000E31C0000}"/>
    <cellStyle name="Akcent 6 2 14 6" xfId="7417" xr:uid="{00000000-0005-0000-0000-0000E41C0000}"/>
    <cellStyle name="Akcent 6 2 15" xfId="7418" xr:uid="{00000000-0005-0000-0000-0000E51C0000}"/>
    <cellStyle name="Akcent 6 2 15 2" xfId="7419" xr:uid="{00000000-0005-0000-0000-0000E61C0000}"/>
    <cellStyle name="Akcent 6 2 15 3" xfId="7420" xr:uid="{00000000-0005-0000-0000-0000E71C0000}"/>
    <cellStyle name="Akcent 6 2 15 4" xfId="7421" xr:uid="{00000000-0005-0000-0000-0000E81C0000}"/>
    <cellStyle name="Akcent 6 2 15 5" xfId="7422" xr:uid="{00000000-0005-0000-0000-0000E91C0000}"/>
    <cellStyle name="Akcent 6 2 15 6" xfId="7423" xr:uid="{00000000-0005-0000-0000-0000EA1C0000}"/>
    <cellStyle name="Akcent 6 2 16" xfId="7424" xr:uid="{00000000-0005-0000-0000-0000EB1C0000}"/>
    <cellStyle name="Akcent 6 2 16 2" xfId="7425" xr:uid="{00000000-0005-0000-0000-0000EC1C0000}"/>
    <cellStyle name="Akcent 6 2 16 3" xfId="7426" xr:uid="{00000000-0005-0000-0000-0000ED1C0000}"/>
    <cellStyle name="Akcent 6 2 16 4" xfId="7427" xr:uid="{00000000-0005-0000-0000-0000EE1C0000}"/>
    <cellStyle name="Akcent 6 2 16 5" xfId="7428" xr:uid="{00000000-0005-0000-0000-0000EF1C0000}"/>
    <cellStyle name="Akcent 6 2 16 6" xfId="7429" xr:uid="{00000000-0005-0000-0000-0000F01C0000}"/>
    <cellStyle name="Akcent 6 2 17" xfId="7430" xr:uid="{00000000-0005-0000-0000-0000F11C0000}"/>
    <cellStyle name="Akcent 6 2 17 2" xfId="7431" xr:uid="{00000000-0005-0000-0000-0000F21C0000}"/>
    <cellStyle name="Akcent 6 2 17 3" xfId="7432" xr:uid="{00000000-0005-0000-0000-0000F31C0000}"/>
    <cellStyle name="Akcent 6 2 17 4" xfId="7433" xr:uid="{00000000-0005-0000-0000-0000F41C0000}"/>
    <cellStyle name="Akcent 6 2 17 5" xfId="7434" xr:uid="{00000000-0005-0000-0000-0000F51C0000}"/>
    <cellStyle name="Akcent 6 2 17 6" xfId="7435" xr:uid="{00000000-0005-0000-0000-0000F61C0000}"/>
    <cellStyle name="Akcent 6 2 18" xfId="7436" xr:uid="{00000000-0005-0000-0000-0000F71C0000}"/>
    <cellStyle name="Akcent 6 2 18 2" xfId="7437" xr:uid="{00000000-0005-0000-0000-0000F81C0000}"/>
    <cellStyle name="Akcent 6 2 18 3" xfId="7438" xr:uid="{00000000-0005-0000-0000-0000F91C0000}"/>
    <cellStyle name="Akcent 6 2 18 4" xfId="7439" xr:uid="{00000000-0005-0000-0000-0000FA1C0000}"/>
    <cellStyle name="Akcent 6 2 18 5" xfId="7440" xr:uid="{00000000-0005-0000-0000-0000FB1C0000}"/>
    <cellStyle name="Akcent 6 2 18 6" xfId="7441" xr:uid="{00000000-0005-0000-0000-0000FC1C0000}"/>
    <cellStyle name="Akcent 6 2 19" xfId="7442" xr:uid="{00000000-0005-0000-0000-0000FD1C0000}"/>
    <cellStyle name="Akcent 6 2 19 2" xfId="7443" xr:uid="{00000000-0005-0000-0000-0000FE1C0000}"/>
    <cellStyle name="Akcent 6 2 19 3" xfId="7444" xr:uid="{00000000-0005-0000-0000-0000FF1C0000}"/>
    <cellStyle name="Akcent 6 2 19 4" xfId="7445" xr:uid="{00000000-0005-0000-0000-0000001D0000}"/>
    <cellStyle name="Akcent 6 2 19 5" xfId="7446" xr:uid="{00000000-0005-0000-0000-0000011D0000}"/>
    <cellStyle name="Akcent 6 2 19 6" xfId="7447" xr:uid="{00000000-0005-0000-0000-0000021D0000}"/>
    <cellStyle name="Akcent 6 2 2" xfId="7448" xr:uid="{00000000-0005-0000-0000-0000031D0000}"/>
    <cellStyle name="Akcent 6 2 2 2" xfId="7449" xr:uid="{00000000-0005-0000-0000-0000041D0000}"/>
    <cellStyle name="Akcent 6 2 2 3" xfId="7450" xr:uid="{00000000-0005-0000-0000-0000051D0000}"/>
    <cellStyle name="Akcent 6 2 2 4" xfId="7451" xr:uid="{00000000-0005-0000-0000-0000061D0000}"/>
    <cellStyle name="Akcent 6 2 2 5" xfId="7452" xr:uid="{00000000-0005-0000-0000-0000071D0000}"/>
    <cellStyle name="Akcent 6 2 2 6" xfId="7453" xr:uid="{00000000-0005-0000-0000-0000081D0000}"/>
    <cellStyle name="Akcent 6 2 2 7" xfId="7454" xr:uid="{00000000-0005-0000-0000-0000091D0000}"/>
    <cellStyle name="Akcent 6 2 20" xfId="7455" xr:uid="{00000000-0005-0000-0000-00000A1D0000}"/>
    <cellStyle name="Akcent 6 2 20 2" xfId="7456" xr:uid="{00000000-0005-0000-0000-00000B1D0000}"/>
    <cellStyle name="Akcent 6 2 20 3" xfId="7457" xr:uid="{00000000-0005-0000-0000-00000C1D0000}"/>
    <cellStyle name="Akcent 6 2 20 4" xfId="7458" xr:uid="{00000000-0005-0000-0000-00000D1D0000}"/>
    <cellStyle name="Akcent 6 2 20 5" xfId="7459" xr:uid="{00000000-0005-0000-0000-00000E1D0000}"/>
    <cellStyle name="Akcent 6 2 20 6" xfId="7460" xr:uid="{00000000-0005-0000-0000-00000F1D0000}"/>
    <cellStyle name="Akcent 6 2 21" xfId="7461" xr:uid="{00000000-0005-0000-0000-0000101D0000}"/>
    <cellStyle name="Akcent 6 2 21 2" xfId="7462" xr:uid="{00000000-0005-0000-0000-0000111D0000}"/>
    <cellStyle name="Akcent 6 2 21 3" xfId="7463" xr:uid="{00000000-0005-0000-0000-0000121D0000}"/>
    <cellStyle name="Akcent 6 2 21 4" xfId="7464" xr:uid="{00000000-0005-0000-0000-0000131D0000}"/>
    <cellStyle name="Akcent 6 2 21 5" xfId="7465" xr:uid="{00000000-0005-0000-0000-0000141D0000}"/>
    <cellStyle name="Akcent 6 2 21 6" xfId="7466" xr:uid="{00000000-0005-0000-0000-0000151D0000}"/>
    <cellStyle name="Akcent 6 2 22" xfId="7467" xr:uid="{00000000-0005-0000-0000-0000161D0000}"/>
    <cellStyle name="Akcent 6 2 22 2" xfId="7468" xr:uid="{00000000-0005-0000-0000-0000171D0000}"/>
    <cellStyle name="Akcent 6 2 22 3" xfId="7469" xr:uid="{00000000-0005-0000-0000-0000181D0000}"/>
    <cellStyle name="Akcent 6 2 22 4" xfId="7470" xr:uid="{00000000-0005-0000-0000-0000191D0000}"/>
    <cellStyle name="Akcent 6 2 22 5" xfId="7471" xr:uid="{00000000-0005-0000-0000-00001A1D0000}"/>
    <cellStyle name="Akcent 6 2 22 6" xfId="7472" xr:uid="{00000000-0005-0000-0000-00001B1D0000}"/>
    <cellStyle name="Akcent 6 2 23" xfId="7473" xr:uid="{00000000-0005-0000-0000-00001C1D0000}"/>
    <cellStyle name="Akcent 6 2 23 2" xfId="7474" xr:uid="{00000000-0005-0000-0000-00001D1D0000}"/>
    <cellStyle name="Akcent 6 2 23 3" xfId="7475" xr:uid="{00000000-0005-0000-0000-00001E1D0000}"/>
    <cellStyle name="Akcent 6 2 23 4" xfId="7476" xr:uid="{00000000-0005-0000-0000-00001F1D0000}"/>
    <cellStyle name="Akcent 6 2 23 5" xfId="7477" xr:uid="{00000000-0005-0000-0000-0000201D0000}"/>
    <cellStyle name="Akcent 6 2 23 6" xfId="7478" xr:uid="{00000000-0005-0000-0000-0000211D0000}"/>
    <cellStyle name="Akcent 6 2 24" xfId="7479" xr:uid="{00000000-0005-0000-0000-0000221D0000}"/>
    <cellStyle name="Akcent 6 2 24 2" xfId="7480" xr:uid="{00000000-0005-0000-0000-0000231D0000}"/>
    <cellStyle name="Akcent 6 2 24 3" xfId="7481" xr:uid="{00000000-0005-0000-0000-0000241D0000}"/>
    <cellStyle name="Akcent 6 2 24 4" xfId="7482" xr:uid="{00000000-0005-0000-0000-0000251D0000}"/>
    <cellStyle name="Akcent 6 2 24 5" xfId="7483" xr:uid="{00000000-0005-0000-0000-0000261D0000}"/>
    <cellStyle name="Akcent 6 2 24 6" xfId="7484" xr:uid="{00000000-0005-0000-0000-0000271D0000}"/>
    <cellStyle name="Akcent 6 2 25" xfId="7485" xr:uid="{00000000-0005-0000-0000-0000281D0000}"/>
    <cellStyle name="Akcent 6 2 25 2" xfId="7486" xr:uid="{00000000-0005-0000-0000-0000291D0000}"/>
    <cellStyle name="Akcent 6 2 25 3" xfId="7487" xr:uid="{00000000-0005-0000-0000-00002A1D0000}"/>
    <cellStyle name="Akcent 6 2 25 4" xfId="7488" xr:uid="{00000000-0005-0000-0000-00002B1D0000}"/>
    <cellStyle name="Akcent 6 2 25 5" xfId="7489" xr:uid="{00000000-0005-0000-0000-00002C1D0000}"/>
    <cellStyle name="Akcent 6 2 25 6" xfId="7490" xr:uid="{00000000-0005-0000-0000-00002D1D0000}"/>
    <cellStyle name="Akcent 6 2 26" xfId="7491" xr:uid="{00000000-0005-0000-0000-00002E1D0000}"/>
    <cellStyle name="Akcent 6 2 26 2" xfId="7492" xr:uid="{00000000-0005-0000-0000-00002F1D0000}"/>
    <cellStyle name="Akcent 6 2 26 3" xfId="7493" xr:uid="{00000000-0005-0000-0000-0000301D0000}"/>
    <cellStyle name="Akcent 6 2 26 4" xfId="7494" xr:uid="{00000000-0005-0000-0000-0000311D0000}"/>
    <cellStyle name="Akcent 6 2 26 5" xfId="7495" xr:uid="{00000000-0005-0000-0000-0000321D0000}"/>
    <cellStyle name="Akcent 6 2 26 6" xfId="7496" xr:uid="{00000000-0005-0000-0000-0000331D0000}"/>
    <cellStyle name="Akcent 6 2 27" xfId="7497" xr:uid="{00000000-0005-0000-0000-0000341D0000}"/>
    <cellStyle name="Akcent 6 2 27 2" xfId="7498" xr:uid="{00000000-0005-0000-0000-0000351D0000}"/>
    <cellStyle name="Akcent 6 2 27 3" xfId="7499" xr:uid="{00000000-0005-0000-0000-0000361D0000}"/>
    <cellStyle name="Akcent 6 2 27 4" xfId="7500" xr:uid="{00000000-0005-0000-0000-0000371D0000}"/>
    <cellStyle name="Akcent 6 2 27 5" xfId="7501" xr:uid="{00000000-0005-0000-0000-0000381D0000}"/>
    <cellStyle name="Akcent 6 2 27 6" xfId="7502" xr:uid="{00000000-0005-0000-0000-0000391D0000}"/>
    <cellStyle name="Akcent 6 2 28" xfId="7503" xr:uid="{00000000-0005-0000-0000-00003A1D0000}"/>
    <cellStyle name="Akcent 6 2 28 2" xfId="7504" xr:uid="{00000000-0005-0000-0000-00003B1D0000}"/>
    <cellStyle name="Akcent 6 2 28 3" xfId="7505" xr:uid="{00000000-0005-0000-0000-00003C1D0000}"/>
    <cellStyle name="Akcent 6 2 28 4" xfId="7506" xr:uid="{00000000-0005-0000-0000-00003D1D0000}"/>
    <cellStyle name="Akcent 6 2 28 5" xfId="7507" xr:uid="{00000000-0005-0000-0000-00003E1D0000}"/>
    <cellStyle name="Akcent 6 2 28 6" xfId="7508" xr:uid="{00000000-0005-0000-0000-00003F1D0000}"/>
    <cellStyle name="Akcent 6 2 29" xfId="7509" xr:uid="{00000000-0005-0000-0000-0000401D0000}"/>
    <cellStyle name="Akcent 6 2 29 2" xfId="7510" xr:uid="{00000000-0005-0000-0000-0000411D0000}"/>
    <cellStyle name="Akcent 6 2 3" xfId="7511" xr:uid="{00000000-0005-0000-0000-0000421D0000}"/>
    <cellStyle name="Akcent 6 2 3 2" xfId="7512" xr:uid="{00000000-0005-0000-0000-0000431D0000}"/>
    <cellStyle name="Akcent 6 2 3 3" xfId="7513" xr:uid="{00000000-0005-0000-0000-0000441D0000}"/>
    <cellStyle name="Akcent 6 2 3 4" xfId="7514" xr:uid="{00000000-0005-0000-0000-0000451D0000}"/>
    <cellStyle name="Akcent 6 2 3 5" xfId="7515" xr:uid="{00000000-0005-0000-0000-0000461D0000}"/>
    <cellStyle name="Akcent 6 2 3 6" xfId="7516" xr:uid="{00000000-0005-0000-0000-0000471D0000}"/>
    <cellStyle name="Akcent 6 2 30" xfId="7517" xr:uid="{00000000-0005-0000-0000-0000481D0000}"/>
    <cellStyle name="Akcent 6 2 30 2" xfId="7518" xr:uid="{00000000-0005-0000-0000-0000491D0000}"/>
    <cellStyle name="Akcent 6 2 31" xfId="7519" xr:uid="{00000000-0005-0000-0000-00004A1D0000}"/>
    <cellStyle name="Akcent 6 2 31 2" xfId="7520" xr:uid="{00000000-0005-0000-0000-00004B1D0000}"/>
    <cellStyle name="Akcent 6 2 32" xfId="7521" xr:uid="{00000000-0005-0000-0000-00004C1D0000}"/>
    <cellStyle name="Akcent 6 2 32 2" xfId="7522" xr:uid="{00000000-0005-0000-0000-00004D1D0000}"/>
    <cellStyle name="Akcent 6 2 33" xfId="7523" xr:uid="{00000000-0005-0000-0000-00004E1D0000}"/>
    <cellStyle name="Akcent 6 2 34" xfId="7524" xr:uid="{00000000-0005-0000-0000-00004F1D0000}"/>
    <cellStyle name="Akcent 6 2 35" xfId="7525" xr:uid="{00000000-0005-0000-0000-0000501D0000}"/>
    <cellStyle name="Akcent 6 2 36" xfId="7526" xr:uid="{00000000-0005-0000-0000-0000511D0000}"/>
    <cellStyle name="Akcent 6 2 37" xfId="7527" xr:uid="{00000000-0005-0000-0000-0000521D0000}"/>
    <cellStyle name="Akcent 6 2 38" xfId="7528" xr:uid="{00000000-0005-0000-0000-0000531D0000}"/>
    <cellStyle name="Akcent 6 2 39" xfId="7529" xr:uid="{00000000-0005-0000-0000-0000541D0000}"/>
    <cellStyle name="Akcent 6 2 4" xfId="7530" xr:uid="{00000000-0005-0000-0000-0000551D0000}"/>
    <cellStyle name="Akcent 6 2 4 2" xfId="7531" xr:uid="{00000000-0005-0000-0000-0000561D0000}"/>
    <cellStyle name="Akcent 6 2 4 3" xfId="7532" xr:uid="{00000000-0005-0000-0000-0000571D0000}"/>
    <cellStyle name="Akcent 6 2 4 4" xfId="7533" xr:uid="{00000000-0005-0000-0000-0000581D0000}"/>
    <cellStyle name="Akcent 6 2 4 5" xfId="7534" xr:uid="{00000000-0005-0000-0000-0000591D0000}"/>
    <cellStyle name="Akcent 6 2 4 6" xfId="7535" xr:uid="{00000000-0005-0000-0000-00005A1D0000}"/>
    <cellStyle name="Akcent 6 2 40" xfId="7536" xr:uid="{00000000-0005-0000-0000-00005B1D0000}"/>
    <cellStyle name="Akcent 6 2 41" xfId="7537" xr:uid="{00000000-0005-0000-0000-00005C1D0000}"/>
    <cellStyle name="Akcent 6 2 42" xfId="7538" xr:uid="{00000000-0005-0000-0000-00005D1D0000}"/>
    <cellStyle name="Akcent 6 2 43" xfId="7539" xr:uid="{00000000-0005-0000-0000-00005E1D0000}"/>
    <cellStyle name="Akcent 6 2 44" xfId="7540" xr:uid="{00000000-0005-0000-0000-00005F1D0000}"/>
    <cellStyle name="Akcent 6 2 45" xfId="7541" xr:uid="{00000000-0005-0000-0000-0000601D0000}"/>
    <cellStyle name="Akcent 6 2 46" xfId="7542" xr:uid="{00000000-0005-0000-0000-0000611D0000}"/>
    <cellStyle name="Akcent 6 2 47" xfId="7543" xr:uid="{00000000-0005-0000-0000-0000621D0000}"/>
    <cellStyle name="Akcent 6 2 48" xfId="7544" xr:uid="{00000000-0005-0000-0000-0000631D0000}"/>
    <cellStyle name="Akcent 6 2 49" xfId="7545" xr:uid="{00000000-0005-0000-0000-0000641D0000}"/>
    <cellStyle name="Akcent 6 2 5" xfId="7546" xr:uid="{00000000-0005-0000-0000-0000651D0000}"/>
    <cellStyle name="Akcent 6 2 5 2" xfId="7547" xr:uid="{00000000-0005-0000-0000-0000661D0000}"/>
    <cellStyle name="Akcent 6 2 5 3" xfId="7548" xr:uid="{00000000-0005-0000-0000-0000671D0000}"/>
    <cellStyle name="Akcent 6 2 5 4" xfId="7549" xr:uid="{00000000-0005-0000-0000-0000681D0000}"/>
    <cellStyle name="Akcent 6 2 5 5" xfId="7550" xr:uid="{00000000-0005-0000-0000-0000691D0000}"/>
    <cellStyle name="Akcent 6 2 5 6" xfId="7551" xr:uid="{00000000-0005-0000-0000-00006A1D0000}"/>
    <cellStyle name="Akcent 6 2 50" xfId="7552" xr:uid="{00000000-0005-0000-0000-00006B1D0000}"/>
    <cellStyle name="Akcent 6 2 51" xfId="7553" xr:uid="{00000000-0005-0000-0000-00006C1D0000}"/>
    <cellStyle name="Akcent 6 2 52" xfId="7554" xr:uid="{00000000-0005-0000-0000-00006D1D0000}"/>
    <cellStyle name="Akcent 6 2 6" xfId="7555" xr:uid="{00000000-0005-0000-0000-00006E1D0000}"/>
    <cellStyle name="Akcent 6 2 6 2" xfId="7556" xr:uid="{00000000-0005-0000-0000-00006F1D0000}"/>
    <cellStyle name="Akcent 6 2 6 3" xfId="7557" xr:uid="{00000000-0005-0000-0000-0000701D0000}"/>
    <cellStyle name="Akcent 6 2 6 4" xfId="7558" xr:uid="{00000000-0005-0000-0000-0000711D0000}"/>
    <cellStyle name="Akcent 6 2 6 5" xfId="7559" xr:uid="{00000000-0005-0000-0000-0000721D0000}"/>
    <cellStyle name="Akcent 6 2 6 6" xfId="7560" xr:uid="{00000000-0005-0000-0000-0000731D0000}"/>
    <cellStyle name="Akcent 6 2 7" xfId="7561" xr:uid="{00000000-0005-0000-0000-0000741D0000}"/>
    <cellStyle name="Akcent 6 2 7 2" xfId="7562" xr:uid="{00000000-0005-0000-0000-0000751D0000}"/>
    <cellStyle name="Akcent 6 2 7 3" xfId="7563" xr:uid="{00000000-0005-0000-0000-0000761D0000}"/>
    <cellStyle name="Akcent 6 2 7 4" xfId="7564" xr:uid="{00000000-0005-0000-0000-0000771D0000}"/>
    <cellStyle name="Akcent 6 2 7 5" xfId="7565" xr:uid="{00000000-0005-0000-0000-0000781D0000}"/>
    <cellStyle name="Akcent 6 2 7 6" xfId="7566" xr:uid="{00000000-0005-0000-0000-0000791D0000}"/>
    <cellStyle name="Akcent 6 2 8" xfId="7567" xr:uid="{00000000-0005-0000-0000-00007A1D0000}"/>
    <cellStyle name="Akcent 6 2 8 2" xfId="7568" xr:uid="{00000000-0005-0000-0000-00007B1D0000}"/>
    <cellStyle name="Akcent 6 2 8 3" xfId="7569" xr:uid="{00000000-0005-0000-0000-00007C1D0000}"/>
    <cellStyle name="Akcent 6 2 8 4" xfId="7570" xr:uid="{00000000-0005-0000-0000-00007D1D0000}"/>
    <cellStyle name="Akcent 6 2 8 5" xfId="7571" xr:uid="{00000000-0005-0000-0000-00007E1D0000}"/>
    <cellStyle name="Akcent 6 2 8 6" xfId="7572" xr:uid="{00000000-0005-0000-0000-00007F1D0000}"/>
    <cellStyle name="Akcent 6 2 9" xfId="7573" xr:uid="{00000000-0005-0000-0000-0000801D0000}"/>
    <cellStyle name="Akcent 6 2 9 2" xfId="7574" xr:uid="{00000000-0005-0000-0000-0000811D0000}"/>
    <cellStyle name="Akcent 6 2 9 3" xfId="7575" xr:uid="{00000000-0005-0000-0000-0000821D0000}"/>
    <cellStyle name="Akcent 6 2 9 4" xfId="7576" xr:uid="{00000000-0005-0000-0000-0000831D0000}"/>
    <cellStyle name="Akcent 6 2 9 5" xfId="7577" xr:uid="{00000000-0005-0000-0000-0000841D0000}"/>
    <cellStyle name="Akcent 6 2 9 6" xfId="7578" xr:uid="{00000000-0005-0000-0000-0000851D0000}"/>
    <cellStyle name="Akcent 6 3" xfId="7579" xr:uid="{00000000-0005-0000-0000-0000861D0000}"/>
    <cellStyle name="Akcent 6 3 2" xfId="7580" xr:uid="{00000000-0005-0000-0000-0000871D0000}"/>
    <cellStyle name="Akcent 6 3 2 2" xfId="7581" xr:uid="{00000000-0005-0000-0000-0000881D0000}"/>
    <cellStyle name="Akcent 6 3 3" xfId="7582" xr:uid="{00000000-0005-0000-0000-0000891D0000}"/>
    <cellStyle name="Akcent 6 3 4" xfId="7583" xr:uid="{00000000-0005-0000-0000-00008A1D0000}"/>
    <cellStyle name="Akcent 6 3 5" xfId="7584" xr:uid="{00000000-0005-0000-0000-00008B1D0000}"/>
    <cellStyle name="Akcent 6 3 6" xfId="7585" xr:uid="{00000000-0005-0000-0000-00008C1D0000}"/>
    <cellStyle name="Akcent 6 3 7" xfId="7586" xr:uid="{00000000-0005-0000-0000-00008D1D0000}"/>
    <cellStyle name="Akcent 6 3 8" xfId="7587" xr:uid="{00000000-0005-0000-0000-00008E1D0000}"/>
    <cellStyle name="Akcent 6 4" xfId="7588" xr:uid="{00000000-0005-0000-0000-00008F1D0000}"/>
    <cellStyle name="Akcent 6 4 2" xfId="7589" xr:uid="{00000000-0005-0000-0000-0000901D0000}"/>
    <cellStyle name="Akcent 6 4 3" xfId="7590" xr:uid="{00000000-0005-0000-0000-0000911D0000}"/>
    <cellStyle name="Akcent 6 4 4" xfId="7591" xr:uid="{00000000-0005-0000-0000-0000921D0000}"/>
    <cellStyle name="Akcent 6 4 5" xfId="7592" xr:uid="{00000000-0005-0000-0000-0000931D0000}"/>
    <cellStyle name="Akcent 6 4 6" xfId="7593" xr:uid="{00000000-0005-0000-0000-0000941D0000}"/>
    <cellStyle name="Akcent 6 4 7" xfId="7594" xr:uid="{00000000-0005-0000-0000-0000951D0000}"/>
    <cellStyle name="Akcent 6 4 8" xfId="7595" xr:uid="{00000000-0005-0000-0000-0000961D0000}"/>
    <cellStyle name="Akcent 6 5" xfId="7596" xr:uid="{00000000-0005-0000-0000-0000971D0000}"/>
    <cellStyle name="Akcent 6 5 2" xfId="7597" xr:uid="{00000000-0005-0000-0000-0000981D0000}"/>
    <cellStyle name="Akcent 6 6" xfId="7598" xr:uid="{00000000-0005-0000-0000-0000991D0000}"/>
    <cellStyle name="Akcent 6 7" xfId="7599" xr:uid="{00000000-0005-0000-0000-00009A1D0000}"/>
    <cellStyle name="Calc Currency (0)" xfId="7600" xr:uid="{00000000-0005-0000-0000-00009B1D0000}"/>
    <cellStyle name="Comma 2" xfId="7601" xr:uid="{00000000-0005-0000-0000-00009C1D0000}"/>
    <cellStyle name="Dane wejściowe 2" xfId="7602" xr:uid="{00000000-0005-0000-0000-00009D1D0000}"/>
    <cellStyle name="Dane wejściowe 2 10" xfId="7603" xr:uid="{00000000-0005-0000-0000-00009E1D0000}"/>
    <cellStyle name="Dane wejściowe 2 10 10" xfId="7604" xr:uid="{00000000-0005-0000-0000-00009F1D0000}"/>
    <cellStyle name="Dane wejściowe 2 10 10 2" xfId="7605" xr:uid="{00000000-0005-0000-0000-0000A01D0000}"/>
    <cellStyle name="Dane wejściowe 2 10 10 3" xfId="7606" xr:uid="{00000000-0005-0000-0000-0000A11D0000}"/>
    <cellStyle name="Dane wejściowe 2 10 11" xfId="7607" xr:uid="{00000000-0005-0000-0000-0000A21D0000}"/>
    <cellStyle name="Dane wejściowe 2 10 11 2" xfId="7608" xr:uid="{00000000-0005-0000-0000-0000A31D0000}"/>
    <cellStyle name="Dane wejściowe 2 10 11 3" xfId="7609" xr:uid="{00000000-0005-0000-0000-0000A41D0000}"/>
    <cellStyle name="Dane wejściowe 2 10 12" xfId="7610" xr:uid="{00000000-0005-0000-0000-0000A51D0000}"/>
    <cellStyle name="Dane wejściowe 2 10 12 2" xfId="7611" xr:uid="{00000000-0005-0000-0000-0000A61D0000}"/>
    <cellStyle name="Dane wejściowe 2 10 12 3" xfId="7612" xr:uid="{00000000-0005-0000-0000-0000A71D0000}"/>
    <cellStyle name="Dane wejściowe 2 10 13" xfId="7613" xr:uid="{00000000-0005-0000-0000-0000A81D0000}"/>
    <cellStyle name="Dane wejściowe 2 10 13 2" xfId="7614" xr:uid="{00000000-0005-0000-0000-0000A91D0000}"/>
    <cellStyle name="Dane wejściowe 2 10 13 3" xfId="7615" xr:uid="{00000000-0005-0000-0000-0000AA1D0000}"/>
    <cellStyle name="Dane wejściowe 2 10 14" xfId="7616" xr:uid="{00000000-0005-0000-0000-0000AB1D0000}"/>
    <cellStyle name="Dane wejściowe 2 10 14 2" xfId="7617" xr:uid="{00000000-0005-0000-0000-0000AC1D0000}"/>
    <cellStyle name="Dane wejściowe 2 10 14 3" xfId="7618" xr:uid="{00000000-0005-0000-0000-0000AD1D0000}"/>
    <cellStyle name="Dane wejściowe 2 10 15" xfId="7619" xr:uid="{00000000-0005-0000-0000-0000AE1D0000}"/>
    <cellStyle name="Dane wejściowe 2 10 15 2" xfId="7620" xr:uid="{00000000-0005-0000-0000-0000AF1D0000}"/>
    <cellStyle name="Dane wejściowe 2 10 15 3" xfId="7621" xr:uid="{00000000-0005-0000-0000-0000B01D0000}"/>
    <cellStyle name="Dane wejściowe 2 10 16" xfId="7622" xr:uid="{00000000-0005-0000-0000-0000B11D0000}"/>
    <cellStyle name="Dane wejściowe 2 10 16 2" xfId="7623" xr:uid="{00000000-0005-0000-0000-0000B21D0000}"/>
    <cellStyle name="Dane wejściowe 2 10 16 3" xfId="7624" xr:uid="{00000000-0005-0000-0000-0000B31D0000}"/>
    <cellStyle name="Dane wejściowe 2 10 17" xfId="7625" xr:uid="{00000000-0005-0000-0000-0000B41D0000}"/>
    <cellStyle name="Dane wejściowe 2 10 17 2" xfId="7626" xr:uid="{00000000-0005-0000-0000-0000B51D0000}"/>
    <cellStyle name="Dane wejściowe 2 10 17 3" xfId="7627" xr:uid="{00000000-0005-0000-0000-0000B61D0000}"/>
    <cellStyle name="Dane wejściowe 2 10 18" xfId="7628" xr:uid="{00000000-0005-0000-0000-0000B71D0000}"/>
    <cellStyle name="Dane wejściowe 2 10 18 2" xfId="7629" xr:uid="{00000000-0005-0000-0000-0000B81D0000}"/>
    <cellStyle name="Dane wejściowe 2 10 18 3" xfId="7630" xr:uid="{00000000-0005-0000-0000-0000B91D0000}"/>
    <cellStyle name="Dane wejściowe 2 10 19" xfId="7631" xr:uid="{00000000-0005-0000-0000-0000BA1D0000}"/>
    <cellStyle name="Dane wejściowe 2 10 19 2" xfId="7632" xr:uid="{00000000-0005-0000-0000-0000BB1D0000}"/>
    <cellStyle name="Dane wejściowe 2 10 19 3" xfId="7633" xr:uid="{00000000-0005-0000-0000-0000BC1D0000}"/>
    <cellStyle name="Dane wejściowe 2 10 2" xfId="7634" xr:uid="{00000000-0005-0000-0000-0000BD1D0000}"/>
    <cellStyle name="Dane wejściowe 2 10 2 2" xfId="7635" xr:uid="{00000000-0005-0000-0000-0000BE1D0000}"/>
    <cellStyle name="Dane wejściowe 2 10 2 3" xfId="7636" xr:uid="{00000000-0005-0000-0000-0000BF1D0000}"/>
    <cellStyle name="Dane wejściowe 2 10 20" xfId="7637" xr:uid="{00000000-0005-0000-0000-0000C01D0000}"/>
    <cellStyle name="Dane wejściowe 2 10 20 2" xfId="7638" xr:uid="{00000000-0005-0000-0000-0000C11D0000}"/>
    <cellStyle name="Dane wejściowe 2 10 20 3" xfId="7639" xr:uid="{00000000-0005-0000-0000-0000C21D0000}"/>
    <cellStyle name="Dane wejściowe 2 10 21" xfId="7640" xr:uid="{00000000-0005-0000-0000-0000C31D0000}"/>
    <cellStyle name="Dane wejściowe 2 10 21 2" xfId="7641" xr:uid="{00000000-0005-0000-0000-0000C41D0000}"/>
    <cellStyle name="Dane wejściowe 2 10 21 3" xfId="7642" xr:uid="{00000000-0005-0000-0000-0000C51D0000}"/>
    <cellStyle name="Dane wejściowe 2 10 22" xfId="7643" xr:uid="{00000000-0005-0000-0000-0000C61D0000}"/>
    <cellStyle name="Dane wejściowe 2 10 22 2" xfId="7644" xr:uid="{00000000-0005-0000-0000-0000C71D0000}"/>
    <cellStyle name="Dane wejściowe 2 10 22 3" xfId="7645" xr:uid="{00000000-0005-0000-0000-0000C81D0000}"/>
    <cellStyle name="Dane wejściowe 2 10 23" xfId="7646" xr:uid="{00000000-0005-0000-0000-0000C91D0000}"/>
    <cellStyle name="Dane wejściowe 2 10 23 2" xfId="7647" xr:uid="{00000000-0005-0000-0000-0000CA1D0000}"/>
    <cellStyle name="Dane wejściowe 2 10 23 3" xfId="7648" xr:uid="{00000000-0005-0000-0000-0000CB1D0000}"/>
    <cellStyle name="Dane wejściowe 2 10 24" xfId="7649" xr:uid="{00000000-0005-0000-0000-0000CC1D0000}"/>
    <cellStyle name="Dane wejściowe 2 10 24 2" xfId="7650" xr:uid="{00000000-0005-0000-0000-0000CD1D0000}"/>
    <cellStyle name="Dane wejściowe 2 10 24 3" xfId="7651" xr:uid="{00000000-0005-0000-0000-0000CE1D0000}"/>
    <cellStyle name="Dane wejściowe 2 10 25" xfId="7652" xr:uid="{00000000-0005-0000-0000-0000CF1D0000}"/>
    <cellStyle name="Dane wejściowe 2 10 25 2" xfId="7653" xr:uid="{00000000-0005-0000-0000-0000D01D0000}"/>
    <cellStyle name="Dane wejściowe 2 10 25 3" xfId="7654" xr:uid="{00000000-0005-0000-0000-0000D11D0000}"/>
    <cellStyle name="Dane wejściowe 2 10 26" xfId="7655" xr:uid="{00000000-0005-0000-0000-0000D21D0000}"/>
    <cellStyle name="Dane wejściowe 2 10 26 2" xfId="7656" xr:uid="{00000000-0005-0000-0000-0000D31D0000}"/>
    <cellStyle name="Dane wejściowe 2 10 26 3" xfId="7657" xr:uid="{00000000-0005-0000-0000-0000D41D0000}"/>
    <cellStyle name="Dane wejściowe 2 10 27" xfId="7658" xr:uid="{00000000-0005-0000-0000-0000D51D0000}"/>
    <cellStyle name="Dane wejściowe 2 10 27 2" xfId="7659" xr:uid="{00000000-0005-0000-0000-0000D61D0000}"/>
    <cellStyle name="Dane wejściowe 2 10 27 3" xfId="7660" xr:uid="{00000000-0005-0000-0000-0000D71D0000}"/>
    <cellStyle name="Dane wejściowe 2 10 28" xfId="7661" xr:uid="{00000000-0005-0000-0000-0000D81D0000}"/>
    <cellStyle name="Dane wejściowe 2 10 28 2" xfId="7662" xr:uid="{00000000-0005-0000-0000-0000D91D0000}"/>
    <cellStyle name="Dane wejściowe 2 10 28 3" xfId="7663" xr:uid="{00000000-0005-0000-0000-0000DA1D0000}"/>
    <cellStyle name="Dane wejściowe 2 10 29" xfId="7664" xr:uid="{00000000-0005-0000-0000-0000DB1D0000}"/>
    <cellStyle name="Dane wejściowe 2 10 29 2" xfId="7665" xr:uid="{00000000-0005-0000-0000-0000DC1D0000}"/>
    <cellStyle name="Dane wejściowe 2 10 29 3" xfId="7666" xr:uid="{00000000-0005-0000-0000-0000DD1D0000}"/>
    <cellStyle name="Dane wejściowe 2 10 3" xfId="7667" xr:uid="{00000000-0005-0000-0000-0000DE1D0000}"/>
    <cellStyle name="Dane wejściowe 2 10 3 2" xfId="7668" xr:uid="{00000000-0005-0000-0000-0000DF1D0000}"/>
    <cellStyle name="Dane wejściowe 2 10 3 3" xfId="7669" xr:uid="{00000000-0005-0000-0000-0000E01D0000}"/>
    <cellStyle name="Dane wejściowe 2 10 30" xfId="7670" xr:uid="{00000000-0005-0000-0000-0000E11D0000}"/>
    <cellStyle name="Dane wejściowe 2 10 30 2" xfId="7671" xr:uid="{00000000-0005-0000-0000-0000E21D0000}"/>
    <cellStyle name="Dane wejściowe 2 10 30 3" xfId="7672" xr:uid="{00000000-0005-0000-0000-0000E31D0000}"/>
    <cellStyle name="Dane wejściowe 2 10 31" xfId="7673" xr:uid="{00000000-0005-0000-0000-0000E41D0000}"/>
    <cellStyle name="Dane wejściowe 2 10 31 2" xfId="7674" xr:uid="{00000000-0005-0000-0000-0000E51D0000}"/>
    <cellStyle name="Dane wejściowe 2 10 31 3" xfId="7675" xr:uid="{00000000-0005-0000-0000-0000E61D0000}"/>
    <cellStyle name="Dane wejściowe 2 10 32" xfId="7676" xr:uid="{00000000-0005-0000-0000-0000E71D0000}"/>
    <cellStyle name="Dane wejściowe 2 10 32 2" xfId="7677" xr:uid="{00000000-0005-0000-0000-0000E81D0000}"/>
    <cellStyle name="Dane wejściowe 2 10 32 3" xfId="7678" xr:uid="{00000000-0005-0000-0000-0000E91D0000}"/>
    <cellStyle name="Dane wejściowe 2 10 33" xfId="7679" xr:uid="{00000000-0005-0000-0000-0000EA1D0000}"/>
    <cellStyle name="Dane wejściowe 2 10 33 2" xfId="7680" xr:uid="{00000000-0005-0000-0000-0000EB1D0000}"/>
    <cellStyle name="Dane wejściowe 2 10 33 3" xfId="7681" xr:uid="{00000000-0005-0000-0000-0000EC1D0000}"/>
    <cellStyle name="Dane wejściowe 2 10 34" xfId="7682" xr:uid="{00000000-0005-0000-0000-0000ED1D0000}"/>
    <cellStyle name="Dane wejściowe 2 10 34 2" xfId="7683" xr:uid="{00000000-0005-0000-0000-0000EE1D0000}"/>
    <cellStyle name="Dane wejściowe 2 10 34 3" xfId="7684" xr:uid="{00000000-0005-0000-0000-0000EF1D0000}"/>
    <cellStyle name="Dane wejściowe 2 10 35" xfId="7685" xr:uid="{00000000-0005-0000-0000-0000F01D0000}"/>
    <cellStyle name="Dane wejściowe 2 10 35 2" xfId="7686" xr:uid="{00000000-0005-0000-0000-0000F11D0000}"/>
    <cellStyle name="Dane wejściowe 2 10 35 3" xfId="7687" xr:uid="{00000000-0005-0000-0000-0000F21D0000}"/>
    <cellStyle name="Dane wejściowe 2 10 36" xfId="7688" xr:uid="{00000000-0005-0000-0000-0000F31D0000}"/>
    <cellStyle name="Dane wejściowe 2 10 36 2" xfId="7689" xr:uid="{00000000-0005-0000-0000-0000F41D0000}"/>
    <cellStyle name="Dane wejściowe 2 10 36 3" xfId="7690" xr:uid="{00000000-0005-0000-0000-0000F51D0000}"/>
    <cellStyle name="Dane wejściowe 2 10 37" xfId="7691" xr:uid="{00000000-0005-0000-0000-0000F61D0000}"/>
    <cellStyle name="Dane wejściowe 2 10 37 2" xfId="7692" xr:uid="{00000000-0005-0000-0000-0000F71D0000}"/>
    <cellStyle name="Dane wejściowe 2 10 37 3" xfId="7693" xr:uid="{00000000-0005-0000-0000-0000F81D0000}"/>
    <cellStyle name="Dane wejściowe 2 10 38" xfId="7694" xr:uid="{00000000-0005-0000-0000-0000F91D0000}"/>
    <cellStyle name="Dane wejściowe 2 10 38 2" xfId="7695" xr:uid="{00000000-0005-0000-0000-0000FA1D0000}"/>
    <cellStyle name="Dane wejściowe 2 10 38 3" xfId="7696" xr:uid="{00000000-0005-0000-0000-0000FB1D0000}"/>
    <cellStyle name="Dane wejściowe 2 10 39" xfId="7697" xr:uid="{00000000-0005-0000-0000-0000FC1D0000}"/>
    <cellStyle name="Dane wejściowe 2 10 39 2" xfId="7698" xr:uid="{00000000-0005-0000-0000-0000FD1D0000}"/>
    <cellStyle name="Dane wejściowe 2 10 39 3" xfId="7699" xr:uid="{00000000-0005-0000-0000-0000FE1D0000}"/>
    <cellStyle name="Dane wejściowe 2 10 4" xfId="7700" xr:uid="{00000000-0005-0000-0000-0000FF1D0000}"/>
    <cellStyle name="Dane wejściowe 2 10 4 2" xfId="7701" xr:uid="{00000000-0005-0000-0000-0000001E0000}"/>
    <cellStyle name="Dane wejściowe 2 10 4 3" xfId="7702" xr:uid="{00000000-0005-0000-0000-0000011E0000}"/>
    <cellStyle name="Dane wejściowe 2 10 40" xfId="7703" xr:uid="{00000000-0005-0000-0000-0000021E0000}"/>
    <cellStyle name="Dane wejściowe 2 10 40 2" xfId="7704" xr:uid="{00000000-0005-0000-0000-0000031E0000}"/>
    <cellStyle name="Dane wejściowe 2 10 40 3" xfId="7705" xr:uid="{00000000-0005-0000-0000-0000041E0000}"/>
    <cellStyle name="Dane wejściowe 2 10 41" xfId="7706" xr:uid="{00000000-0005-0000-0000-0000051E0000}"/>
    <cellStyle name="Dane wejściowe 2 10 41 2" xfId="7707" xr:uid="{00000000-0005-0000-0000-0000061E0000}"/>
    <cellStyle name="Dane wejściowe 2 10 41 3" xfId="7708" xr:uid="{00000000-0005-0000-0000-0000071E0000}"/>
    <cellStyle name="Dane wejściowe 2 10 42" xfId="7709" xr:uid="{00000000-0005-0000-0000-0000081E0000}"/>
    <cellStyle name="Dane wejściowe 2 10 42 2" xfId="7710" xr:uid="{00000000-0005-0000-0000-0000091E0000}"/>
    <cellStyle name="Dane wejściowe 2 10 42 3" xfId="7711" xr:uid="{00000000-0005-0000-0000-00000A1E0000}"/>
    <cellStyle name="Dane wejściowe 2 10 43" xfId="7712" xr:uid="{00000000-0005-0000-0000-00000B1E0000}"/>
    <cellStyle name="Dane wejściowe 2 10 43 2" xfId="7713" xr:uid="{00000000-0005-0000-0000-00000C1E0000}"/>
    <cellStyle name="Dane wejściowe 2 10 43 3" xfId="7714" xr:uid="{00000000-0005-0000-0000-00000D1E0000}"/>
    <cellStyle name="Dane wejściowe 2 10 44" xfId="7715" xr:uid="{00000000-0005-0000-0000-00000E1E0000}"/>
    <cellStyle name="Dane wejściowe 2 10 44 2" xfId="7716" xr:uid="{00000000-0005-0000-0000-00000F1E0000}"/>
    <cellStyle name="Dane wejściowe 2 10 44 3" xfId="7717" xr:uid="{00000000-0005-0000-0000-0000101E0000}"/>
    <cellStyle name="Dane wejściowe 2 10 45" xfId="7718" xr:uid="{00000000-0005-0000-0000-0000111E0000}"/>
    <cellStyle name="Dane wejściowe 2 10 45 2" xfId="7719" xr:uid="{00000000-0005-0000-0000-0000121E0000}"/>
    <cellStyle name="Dane wejściowe 2 10 45 3" xfId="7720" xr:uid="{00000000-0005-0000-0000-0000131E0000}"/>
    <cellStyle name="Dane wejściowe 2 10 46" xfId="7721" xr:uid="{00000000-0005-0000-0000-0000141E0000}"/>
    <cellStyle name="Dane wejściowe 2 10 46 2" xfId="7722" xr:uid="{00000000-0005-0000-0000-0000151E0000}"/>
    <cellStyle name="Dane wejściowe 2 10 46 3" xfId="7723" xr:uid="{00000000-0005-0000-0000-0000161E0000}"/>
    <cellStyle name="Dane wejściowe 2 10 47" xfId="7724" xr:uid="{00000000-0005-0000-0000-0000171E0000}"/>
    <cellStyle name="Dane wejściowe 2 10 47 2" xfId="7725" xr:uid="{00000000-0005-0000-0000-0000181E0000}"/>
    <cellStyle name="Dane wejściowe 2 10 47 3" xfId="7726" xr:uid="{00000000-0005-0000-0000-0000191E0000}"/>
    <cellStyle name="Dane wejściowe 2 10 48" xfId="7727" xr:uid="{00000000-0005-0000-0000-00001A1E0000}"/>
    <cellStyle name="Dane wejściowe 2 10 48 2" xfId="7728" xr:uid="{00000000-0005-0000-0000-00001B1E0000}"/>
    <cellStyle name="Dane wejściowe 2 10 48 3" xfId="7729" xr:uid="{00000000-0005-0000-0000-00001C1E0000}"/>
    <cellStyle name="Dane wejściowe 2 10 49" xfId="7730" xr:uid="{00000000-0005-0000-0000-00001D1E0000}"/>
    <cellStyle name="Dane wejściowe 2 10 49 2" xfId="7731" xr:uid="{00000000-0005-0000-0000-00001E1E0000}"/>
    <cellStyle name="Dane wejściowe 2 10 49 3" xfId="7732" xr:uid="{00000000-0005-0000-0000-00001F1E0000}"/>
    <cellStyle name="Dane wejściowe 2 10 5" xfId="7733" xr:uid="{00000000-0005-0000-0000-0000201E0000}"/>
    <cellStyle name="Dane wejściowe 2 10 5 2" xfId="7734" xr:uid="{00000000-0005-0000-0000-0000211E0000}"/>
    <cellStyle name="Dane wejściowe 2 10 5 3" xfId="7735" xr:uid="{00000000-0005-0000-0000-0000221E0000}"/>
    <cellStyle name="Dane wejściowe 2 10 50" xfId="7736" xr:uid="{00000000-0005-0000-0000-0000231E0000}"/>
    <cellStyle name="Dane wejściowe 2 10 50 2" xfId="7737" xr:uid="{00000000-0005-0000-0000-0000241E0000}"/>
    <cellStyle name="Dane wejściowe 2 10 50 3" xfId="7738" xr:uid="{00000000-0005-0000-0000-0000251E0000}"/>
    <cellStyle name="Dane wejściowe 2 10 51" xfId="7739" xr:uid="{00000000-0005-0000-0000-0000261E0000}"/>
    <cellStyle name="Dane wejściowe 2 10 51 2" xfId="7740" xr:uid="{00000000-0005-0000-0000-0000271E0000}"/>
    <cellStyle name="Dane wejściowe 2 10 51 3" xfId="7741" xr:uid="{00000000-0005-0000-0000-0000281E0000}"/>
    <cellStyle name="Dane wejściowe 2 10 52" xfId="7742" xr:uid="{00000000-0005-0000-0000-0000291E0000}"/>
    <cellStyle name="Dane wejściowe 2 10 52 2" xfId="7743" xr:uid="{00000000-0005-0000-0000-00002A1E0000}"/>
    <cellStyle name="Dane wejściowe 2 10 52 3" xfId="7744" xr:uid="{00000000-0005-0000-0000-00002B1E0000}"/>
    <cellStyle name="Dane wejściowe 2 10 53" xfId="7745" xr:uid="{00000000-0005-0000-0000-00002C1E0000}"/>
    <cellStyle name="Dane wejściowe 2 10 53 2" xfId="7746" xr:uid="{00000000-0005-0000-0000-00002D1E0000}"/>
    <cellStyle name="Dane wejściowe 2 10 53 3" xfId="7747" xr:uid="{00000000-0005-0000-0000-00002E1E0000}"/>
    <cellStyle name="Dane wejściowe 2 10 54" xfId="7748" xr:uid="{00000000-0005-0000-0000-00002F1E0000}"/>
    <cellStyle name="Dane wejściowe 2 10 54 2" xfId="7749" xr:uid="{00000000-0005-0000-0000-0000301E0000}"/>
    <cellStyle name="Dane wejściowe 2 10 54 3" xfId="7750" xr:uid="{00000000-0005-0000-0000-0000311E0000}"/>
    <cellStyle name="Dane wejściowe 2 10 55" xfId="7751" xr:uid="{00000000-0005-0000-0000-0000321E0000}"/>
    <cellStyle name="Dane wejściowe 2 10 55 2" xfId="7752" xr:uid="{00000000-0005-0000-0000-0000331E0000}"/>
    <cellStyle name="Dane wejściowe 2 10 55 3" xfId="7753" xr:uid="{00000000-0005-0000-0000-0000341E0000}"/>
    <cellStyle name="Dane wejściowe 2 10 56" xfId="7754" xr:uid="{00000000-0005-0000-0000-0000351E0000}"/>
    <cellStyle name="Dane wejściowe 2 10 56 2" xfId="7755" xr:uid="{00000000-0005-0000-0000-0000361E0000}"/>
    <cellStyle name="Dane wejściowe 2 10 56 3" xfId="7756" xr:uid="{00000000-0005-0000-0000-0000371E0000}"/>
    <cellStyle name="Dane wejściowe 2 10 57" xfId="7757" xr:uid="{00000000-0005-0000-0000-0000381E0000}"/>
    <cellStyle name="Dane wejściowe 2 10 58" xfId="7758" xr:uid="{00000000-0005-0000-0000-0000391E0000}"/>
    <cellStyle name="Dane wejściowe 2 10 6" xfId="7759" xr:uid="{00000000-0005-0000-0000-00003A1E0000}"/>
    <cellStyle name="Dane wejściowe 2 10 6 2" xfId="7760" xr:uid="{00000000-0005-0000-0000-00003B1E0000}"/>
    <cellStyle name="Dane wejściowe 2 10 6 3" xfId="7761" xr:uid="{00000000-0005-0000-0000-00003C1E0000}"/>
    <cellStyle name="Dane wejściowe 2 10 7" xfId="7762" xr:uid="{00000000-0005-0000-0000-00003D1E0000}"/>
    <cellStyle name="Dane wejściowe 2 10 7 2" xfId="7763" xr:uid="{00000000-0005-0000-0000-00003E1E0000}"/>
    <cellStyle name="Dane wejściowe 2 10 7 3" xfId="7764" xr:uid="{00000000-0005-0000-0000-00003F1E0000}"/>
    <cellStyle name="Dane wejściowe 2 10 8" xfId="7765" xr:uid="{00000000-0005-0000-0000-0000401E0000}"/>
    <cellStyle name="Dane wejściowe 2 10 8 2" xfId="7766" xr:uid="{00000000-0005-0000-0000-0000411E0000}"/>
    <cellStyle name="Dane wejściowe 2 10 8 3" xfId="7767" xr:uid="{00000000-0005-0000-0000-0000421E0000}"/>
    <cellStyle name="Dane wejściowe 2 10 9" xfId="7768" xr:uid="{00000000-0005-0000-0000-0000431E0000}"/>
    <cellStyle name="Dane wejściowe 2 10 9 2" xfId="7769" xr:uid="{00000000-0005-0000-0000-0000441E0000}"/>
    <cellStyle name="Dane wejściowe 2 10 9 3" xfId="7770" xr:uid="{00000000-0005-0000-0000-0000451E0000}"/>
    <cellStyle name="Dane wejściowe 2 11" xfId="7771" xr:uid="{00000000-0005-0000-0000-0000461E0000}"/>
    <cellStyle name="Dane wejściowe 2 11 10" xfId="7772" xr:uid="{00000000-0005-0000-0000-0000471E0000}"/>
    <cellStyle name="Dane wejściowe 2 11 10 2" xfId="7773" xr:uid="{00000000-0005-0000-0000-0000481E0000}"/>
    <cellStyle name="Dane wejściowe 2 11 10 3" xfId="7774" xr:uid="{00000000-0005-0000-0000-0000491E0000}"/>
    <cellStyle name="Dane wejściowe 2 11 11" xfId="7775" xr:uid="{00000000-0005-0000-0000-00004A1E0000}"/>
    <cellStyle name="Dane wejściowe 2 11 11 2" xfId="7776" xr:uid="{00000000-0005-0000-0000-00004B1E0000}"/>
    <cellStyle name="Dane wejściowe 2 11 11 3" xfId="7777" xr:uid="{00000000-0005-0000-0000-00004C1E0000}"/>
    <cellStyle name="Dane wejściowe 2 11 12" xfId="7778" xr:uid="{00000000-0005-0000-0000-00004D1E0000}"/>
    <cellStyle name="Dane wejściowe 2 11 12 2" xfId="7779" xr:uid="{00000000-0005-0000-0000-00004E1E0000}"/>
    <cellStyle name="Dane wejściowe 2 11 12 3" xfId="7780" xr:uid="{00000000-0005-0000-0000-00004F1E0000}"/>
    <cellStyle name="Dane wejściowe 2 11 13" xfId="7781" xr:uid="{00000000-0005-0000-0000-0000501E0000}"/>
    <cellStyle name="Dane wejściowe 2 11 13 2" xfId="7782" xr:uid="{00000000-0005-0000-0000-0000511E0000}"/>
    <cellStyle name="Dane wejściowe 2 11 13 3" xfId="7783" xr:uid="{00000000-0005-0000-0000-0000521E0000}"/>
    <cellStyle name="Dane wejściowe 2 11 14" xfId="7784" xr:uid="{00000000-0005-0000-0000-0000531E0000}"/>
    <cellStyle name="Dane wejściowe 2 11 14 2" xfId="7785" xr:uid="{00000000-0005-0000-0000-0000541E0000}"/>
    <cellStyle name="Dane wejściowe 2 11 14 3" xfId="7786" xr:uid="{00000000-0005-0000-0000-0000551E0000}"/>
    <cellStyle name="Dane wejściowe 2 11 15" xfId="7787" xr:uid="{00000000-0005-0000-0000-0000561E0000}"/>
    <cellStyle name="Dane wejściowe 2 11 15 2" xfId="7788" xr:uid="{00000000-0005-0000-0000-0000571E0000}"/>
    <cellStyle name="Dane wejściowe 2 11 15 3" xfId="7789" xr:uid="{00000000-0005-0000-0000-0000581E0000}"/>
    <cellStyle name="Dane wejściowe 2 11 16" xfId="7790" xr:uid="{00000000-0005-0000-0000-0000591E0000}"/>
    <cellStyle name="Dane wejściowe 2 11 16 2" xfId="7791" xr:uid="{00000000-0005-0000-0000-00005A1E0000}"/>
    <cellStyle name="Dane wejściowe 2 11 16 3" xfId="7792" xr:uid="{00000000-0005-0000-0000-00005B1E0000}"/>
    <cellStyle name="Dane wejściowe 2 11 17" xfId="7793" xr:uid="{00000000-0005-0000-0000-00005C1E0000}"/>
    <cellStyle name="Dane wejściowe 2 11 17 2" xfId="7794" xr:uid="{00000000-0005-0000-0000-00005D1E0000}"/>
    <cellStyle name="Dane wejściowe 2 11 17 3" xfId="7795" xr:uid="{00000000-0005-0000-0000-00005E1E0000}"/>
    <cellStyle name="Dane wejściowe 2 11 18" xfId="7796" xr:uid="{00000000-0005-0000-0000-00005F1E0000}"/>
    <cellStyle name="Dane wejściowe 2 11 18 2" xfId="7797" xr:uid="{00000000-0005-0000-0000-0000601E0000}"/>
    <cellStyle name="Dane wejściowe 2 11 18 3" xfId="7798" xr:uid="{00000000-0005-0000-0000-0000611E0000}"/>
    <cellStyle name="Dane wejściowe 2 11 19" xfId="7799" xr:uid="{00000000-0005-0000-0000-0000621E0000}"/>
    <cellStyle name="Dane wejściowe 2 11 19 2" xfId="7800" xr:uid="{00000000-0005-0000-0000-0000631E0000}"/>
    <cellStyle name="Dane wejściowe 2 11 19 3" xfId="7801" xr:uid="{00000000-0005-0000-0000-0000641E0000}"/>
    <cellStyle name="Dane wejściowe 2 11 2" xfId="7802" xr:uid="{00000000-0005-0000-0000-0000651E0000}"/>
    <cellStyle name="Dane wejściowe 2 11 2 2" xfId="7803" xr:uid="{00000000-0005-0000-0000-0000661E0000}"/>
    <cellStyle name="Dane wejściowe 2 11 2 3" xfId="7804" xr:uid="{00000000-0005-0000-0000-0000671E0000}"/>
    <cellStyle name="Dane wejściowe 2 11 20" xfId="7805" xr:uid="{00000000-0005-0000-0000-0000681E0000}"/>
    <cellStyle name="Dane wejściowe 2 11 20 2" xfId="7806" xr:uid="{00000000-0005-0000-0000-0000691E0000}"/>
    <cellStyle name="Dane wejściowe 2 11 20 3" xfId="7807" xr:uid="{00000000-0005-0000-0000-00006A1E0000}"/>
    <cellStyle name="Dane wejściowe 2 11 21" xfId="7808" xr:uid="{00000000-0005-0000-0000-00006B1E0000}"/>
    <cellStyle name="Dane wejściowe 2 11 21 2" xfId="7809" xr:uid="{00000000-0005-0000-0000-00006C1E0000}"/>
    <cellStyle name="Dane wejściowe 2 11 21 3" xfId="7810" xr:uid="{00000000-0005-0000-0000-00006D1E0000}"/>
    <cellStyle name="Dane wejściowe 2 11 22" xfId="7811" xr:uid="{00000000-0005-0000-0000-00006E1E0000}"/>
    <cellStyle name="Dane wejściowe 2 11 22 2" xfId="7812" xr:uid="{00000000-0005-0000-0000-00006F1E0000}"/>
    <cellStyle name="Dane wejściowe 2 11 22 3" xfId="7813" xr:uid="{00000000-0005-0000-0000-0000701E0000}"/>
    <cellStyle name="Dane wejściowe 2 11 23" xfId="7814" xr:uid="{00000000-0005-0000-0000-0000711E0000}"/>
    <cellStyle name="Dane wejściowe 2 11 23 2" xfId="7815" xr:uid="{00000000-0005-0000-0000-0000721E0000}"/>
    <cellStyle name="Dane wejściowe 2 11 23 3" xfId="7816" xr:uid="{00000000-0005-0000-0000-0000731E0000}"/>
    <cellStyle name="Dane wejściowe 2 11 24" xfId="7817" xr:uid="{00000000-0005-0000-0000-0000741E0000}"/>
    <cellStyle name="Dane wejściowe 2 11 24 2" xfId="7818" xr:uid="{00000000-0005-0000-0000-0000751E0000}"/>
    <cellStyle name="Dane wejściowe 2 11 24 3" xfId="7819" xr:uid="{00000000-0005-0000-0000-0000761E0000}"/>
    <cellStyle name="Dane wejściowe 2 11 25" xfId="7820" xr:uid="{00000000-0005-0000-0000-0000771E0000}"/>
    <cellStyle name="Dane wejściowe 2 11 25 2" xfId="7821" xr:uid="{00000000-0005-0000-0000-0000781E0000}"/>
    <cellStyle name="Dane wejściowe 2 11 25 3" xfId="7822" xr:uid="{00000000-0005-0000-0000-0000791E0000}"/>
    <cellStyle name="Dane wejściowe 2 11 26" xfId="7823" xr:uid="{00000000-0005-0000-0000-00007A1E0000}"/>
    <cellStyle name="Dane wejściowe 2 11 26 2" xfId="7824" xr:uid="{00000000-0005-0000-0000-00007B1E0000}"/>
    <cellStyle name="Dane wejściowe 2 11 26 3" xfId="7825" xr:uid="{00000000-0005-0000-0000-00007C1E0000}"/>
    <cellStyle name="Dane wejściowe 2 11 27" xfId="7826" xr:uid="{00000000-0005-0000-0000-00007D1E0000}"/>
    <cellStyle name="Dane wejściowe 2 11 27 2" xfId="7827" xr:uid="{00000000-0005-0000-0000-00007E1E0000}"/>
    <cellStyle name="Dane wejściowe 2 11 27 3" xfId="7828" xr:uid="{00000000-0005-0000-0000-00007F1E0000}"/>
    <cellStyle name="Dane wejściowe 2 11 28" xfId="7829" xr:uid="{00000000-0005-0000-0000-0000801E0000}"/>
    <cellStyle name="Dane wejściowe 2 11 28 2" xfId="7830" xr:uid="{00000000-0005-0000-0000-0000811E0000}"/>
    <cellStyle name="Dane wejściowe 2 11 28 3" xfId="7831" xr:uid="{00000000-0005-0000-0000-0000821E0000}"/>
    <cellStyle name="Dane wejściowe 2 11 29" xfId="7832" xr:uid="{00000000-0005-0000-0000-0000831E0000}"/>
    <cellStyle name="Dane wejściowe 2 11 29 2" xfId="7833" xr:uid="{00000000-0005-0000-0000-0000841E0000}"/>
    <cellStyle name="Dane wejściowe 2 11 29 3" xfId="7834" xr:uid="{00000000-0005-0000-0000-0000851E0000}"/>
    <cellStyle name="Dane wejściowe 2 11 3" xfId="7835" xr:uid="{00000000-0005-0000-0000-0000861E0000}"/>
    <cellStyle name="Dane wejściowe 2 11 3 2" xfId="7836" xr:uid="{00000000-0005-0000-0000-0000871E0000}"/>
    <cellStyle name="Dane wejściowe 2 11 3 3" xfId="7837" xr:uid="{00000000-0005-0000-0000-0000881E0000}"/>
    <cellStyle name="Dane wejściowe 2 11 30" xfId="7838" xr:uid="{00000000-0005-0000-0000-0000891E0000}"/>
    <cellStyle name="Dane wejściowe 2 11 30 2" xfId="7839" xr:uid="{00000000-0005-0000-0000-00008A1E0000}"/>
    <cellStyle name="Dane wejściowe 2 11 30 3" xfId="7840" xr:uid="{00000000-0005-0000-0000-00008B1E0000}"/>
    <cellStyle name="Dane wejściowe 2 11 31" xfId="7841" xr:uid="{00000000-0005-0000-0000-00008C1E0000}"/>
    <cellStyle name="Dane wejściowe 2 11 31 2" xfId="7842" xr:uid="{00000000-0005-0000-0000-00008D1E0000}"/>
    <cellStyle name="Dane wejściowe 2 11 31 3" xfId="7843" xr:uid="{00000000-0005-0000-0000-00008E1E0000}"/>
    <cellStyle name="Dane wejściowe 2 11 32" xfId="7844" xr:uid="{00000000-0005-0000-0000-00008F1E0000}"/>
    <cellStyle name="Dane wejściowe 2 11 32 2" xfId="7845" xr:uid="{00000000-0005-0000-0000-0000901E0000}"/>
    <cellStyle name="Dane wejściowe 2 11 32 3" xfId="7846" xr:uid="{00000000-0005-0000-0000-0000911E0000}"/>
    <cellStyle name="Dane wejściowe 2 11 33" xfId="7847" xr:uid="{00000000-0005-0000-0000-0000921E0000}"/>
    <cellStyle name="Dane wejściowe 2 11 33 2" xfId="7848" xr:uid="{00000000-0005-0000-0000-0000931E0000}"/>
    <cellStyle name="Dane wejściowe 2 11 33 3" xfId="7849" xr:uid="{00000000-0005-0000-0000-0000941E0000}"/>
    <cellStyle name="Dane wejściowe 2 11 34" xfId="7850" xr:uid="{00000000-0005-0000-0000-0000951E0000}"/>
    <cellStyle name="Dane wejściowe 2 11 34 2" xfId="7851" xr:uid="{00000000-0005-0000-0000-0000961E0000}"/>
    <cellStyle name="Dane wejściowe 2 11 34 3" xfId="7852" xr:uid="{00000000-0005-0000-0000-0000971E0000}"/>
    <cellStyle name="Dane wejściowe 2 11 35" xfId="7853" xr:uid="{00000000-0005-0000-0000-0000981E0000}"/>
    <cellStyle name="Dane wejściowe 2 11 35 2" xfId="7854" xr:uid="{00000000-0005-0000-0000-0000991E0000}"/>
    <cellStyle name="Dane wejściowe 2 11 35 3" xfId="7855" xr:uid="{00000000-0005-0000-0000-00009A1E0000}"/>
    <cellStyle name="Dane wejściowe 2 11 36" xfId="7856" xr:uid="{00000000-0005-0000-0000-00009B1E0000}"/>
    <cellStyle name="Dane wejściowe 2 11 36 2" xfId="7857" xr:uid="{00000000-0005-0000-0000-00009C1E0000}"/>
    <cellStyle name="Dane wejściowe 2 11 36 3" xfId="7858" xr:uid="{00000000-0005-0000-0000-00009D1E0000}"/>
    <cellStyle name="Dane wejściowe 2 11 37" xfId="7859" xr:uid="{00000000-0005-0000-0000-00009E1E0000}"/>
    <cellStyle name="Dane wejściowe 2 11 37 2" xfId="7860" xr:uid="{00000000-0005-0000-0000-00009F1E0000}"/>
    <cellStyle name="Dane wejściowe 2 11 37 3" xfId="7861" xr:uid="{00000000-0005-0000-0000-0000A01E0000}"/>
    <cellStyle name="Dane wejściowe 2 11 38" xfId="7862" xr:uid="{00000000-0005-0000-0000-0000A11E0000}"/>
    <cellStyle name="Dane wejściowe 2 11 38 2" xfId="7863" xr:uid="{00000000-0005-0000-0000-0000A21E0000}"/>
    <cellStyle name="Dane wejściowe 2 11 38 3" xfId="7864" xr:uid="{00000000-0005-0000-0000-0000A31E0000}"/>
    <cellStyle name="Dane wejściowe 2 11 39" xfId="7865" xr:uid="{00000000-0005-0000-0000-0000A41E0000}"/>
    <cellStyle name="Dane wejściowe 2 11 39 2" xfId="7866" xr:uid="{00000000-0005-0000-0000-0000A51E0000}"/>
    <cellStyle name="Dane wejściowe 2 11 39 3" xfId="7867" xr:uid="{00000000-0005-0000-0000-0000A61E0000}"/>
    <cellStyle name="Dane wejściowe 2 11 4" xfId="7868" xr:uid="{00000000-0005-0000-0000-0000A71E0000}"/>
    <cellStyle name="Dane wejściowe 2 11 4 2" xfId="7869" xr:uid="{00000000-0005-0000-0000-0000A81E0000}"/>
    <cellStyle name="Dane wejściowe 2 11 4 3" xfId="7870" xr:uid="{00000000-0005-0000-0000-0000A91E0000}"/>
    <cellStyle name="Dane wejściowe 2 11 40" xfId="7871" xr:uid="{00000000-0005-0000-0000-0000AA1E0000}"/>
    <cellStyle name="Dane wejściowe 2 11 40 2" xfId="7872" xr:uid="{00000000-0005-0000-0000-0000AB1E0000}"/>
    <cellStyle name="Dane wejściowe 2 11 40 3" xfId="7873" xr:uid="{00000000-0005-0000-0000-0000AC1E0000}"/>
    <cellStyle name="Dane wejściowe 2 11 41" xfId="7874" xr:uid="{00000000-0005-0000-0000-0000AD1E0000}"/>
    <cellStyle name="Dane wejściowe 2 11 41 2" xfId="7875" xr:uid="{00000000-0005-0000-0000-0000AE1E0000}"/>
    <cellStyle name="Dane wejściowe 2 11 41 3" xfId="7876" xr:uid="{00000000-0005-0000-0000-0000AF1E0000}"/>
    <cellStyle name="Dane wejściowe 2 11 42" xfId="7877" xr:uid="{00000000-0005-0000-0000-0000B01E0000}"/>
    <cellStyle name="Dane wejściowe 2 11 42 2" xfId="7878" xr:uid="{00000000-0005-0000-0000-0000B11E0000}"/>
    <cellStyle name="Dane wejściowe 2 11 42 3" xfId="7879" xr:uid="{00000000-0005-0000-0000-0000B21E0000}"/>
    <cellStyle name="Dane wejściowe 2 11 43" xfId="7880" xr:uid="{00000000-0005-0000-0000-0000B31E0000}"/>
    <cellStyle name="Dane wejściowe 2 11 43 2" xfId="7881" xr:uid="{00000000-0005-0000-0000-0000B41E0000}"/>
    <cellStyle name="Dane wejściowe 2 11 43 3" xfId="7882" xr:uid="{00000000-0005-0000-0000-0000B51E0000}"/>
    <cellStyle name="Dane wejściowe 2 11 44" xfId="7883" xr:uid="{00000000-0005-0000-0000-0000B61E0000}"/>
    <cellStyle name="Dane wejściowe 2 11 44 2" xfId="7884" xr:uid="{00000000-0005-0000-0000-0000B71E0000}"/>
    <cellStyle name="Dane wejściowe 2 11 44 3" xfId="7885" xr:uid="{00000000-0005-0000-0000-0000B81E0000}"/>
    <cellStyle name="Dane wejściowe 2 11 45" xfId="7886" xr:uid="{00000000-0005-0000-0000-0000B91E0000}"/>
    <cellStyle name="Dane wejściowe 2 11 45 2" xfId="7887" xr:uid="{00000000-0005-0000-0000-0000BA1E0000}"/>
    <cellStyle name="Dane wejściowe 2 11 45 3" xfId="7888" xr:uid="{00000000-0005-0000-0000-0000BB1E0000}"/>
    <cellStyle name="Dane wejściowe 2 11 46" xfId="7889" xr:uid="{00000000-0005-0000-0000-0000BC1E0000}"/>
    <cellStyle name="Dane wejściowe 2 11 46 2" xfId="7890" xr:uid="{00000000-0005-0000-0000-0000BD1E0000}"/>
    <cellStyle name="Dane wejściowe 2 11 46 3" xfId="7891" xr:uid="{00000000-0005-0000-0000-0000BE1E0000}"/>
    <cellStyle name="Dane wejściowe 2 11 47" xfId="7892" xr:uid="{00000000-0005-0000-0000-0000BF1E0000}"/>
    <cellStyle name="Dane wejściowe 2 11 47 2" xfId="7893" xr:uid="{00000000-0005-0000-0000-0000C01E0000}"/>
    <cellStyle name="Dane wejściowe 2 11 47 3" xfId="7894" xr:uid="{00000000-0005-0000-0000-0000C11E0000}"/>
    <cellStyle name="Dane wejściowe 2 11 48" xfId="7895" xr:uid="{00000000-0005-0000-0000-0000C21E0000}"/>
    <cellStyle name="Dane wejściowe 2 11 48 2" xfId="7896" xr:uid="{00000000-0005-0000-0000-0000C31E0000}"/>
    <cellStyle name="Dane wejściowe 2 11 48 3" xfId="7897" xr:uid="{00000000-0005-0000-0000-0000C41E0000}"/>
    <cellStyle name="Dane wejściowe 2 11 49" xfId="7898" xr:uid="{00000000-0005-0000-0000-0000C51E0000}"/>
    <cellStyle name="Dane wejściowe 2 11 49 2" xfId="7899" xr:uid="{00000000-0005-0000-0000-0000C61E0000}"/>
    <cellStyle name="Dane wejściowe 2 11 49 3" xfId="7900" xr:uid="{00000000-0005-0000-0000-0000C71E0000}"/>
    <cellStyle name="Dane wejściowe 2 11 5" xfId="7901" xr:uid="{00000000-0005-0000-0000-0000C81E0000}"/>
    <cellStyle name="Dane wejściowe 2 11 5 2" xfId="7902" xr:uid="{00000000-0005-0000-0000-0000C91E0000}"/>
    <cellStyle name="Dane wejściowe 2 11 5 3" xfId="7903" xr:uid="{00000000-0005-0000-0000-0000CA1E0000}"/>
    <cellStyle name="Dane wejściowe 2 11 50" xfId="7904" xr:uid="{00000000-0005-0000-0000-0000CB1E0000}"/>
    <cellStyle name="Dane wejściowe 2 11 50 2" xfId="7905" xr:uid="{00000000-0005-0000-0000-0000CC1E0000}"/>
    <cellStyle name="Dane wejściowe 2 11 50 3" xfId="7906" xr:uid="{00000000-0005-0000-0000-0000CD1E0000}"/>
    <cellStyle name="Dane wejściowe 2 11 51" xfId="7907" xr:uid="{00000000-0005-0000-0000-0000CE1E0000}"/>
    <cellStyle name="Dane wejściowe 2 11 51 2" xfId="7908" xr:uid="{00000000-0005-0000-0000-0000CF1E0000}"/>
    <cellStyle name="Dane wejściowe 2 11 51 3" xfId="7909" xr:uid="{00000000-0005-0000-0000-0000D01E0000}"/>
    <cellStyle name="Dane wejściowe 2 11 52" xfId="7910" xr:uid="{00000000-0005-0000-0000-0000D11E0000}"/>
    <cellStyle name="Dane wejściowe 2 11 52 2" xfId="7911" xr:uid="{00000000-0005-0000-0000-0000D21E0000}"/>
    <cellStyle name="Dane wejściowe 2 11 52 3" xfId="7912" xr:uid="{00000000-0005-0000-0000-0000D31E0000}"/>
    <cellStyle name="Dane wejściowe 2 11 53" xfId="7913" xr:uid="{00000000-0005-0000-0000-0000D41E0000}"/>
    <cellStyle name="Dane wejściowe 2 11 53 2" xfId="7914" xr:uid="{00000000-0005-0000-0000-0000D51E0000}"/>
    <cellStyle name="Dane wejściowe 2 11 53 3" xfId="7915" xr:uid="{00000000-0005-0000-0000-0000D61E0000}"/>
    <cellStyle name="Dane wejściowe 2 11 54" xfId="7916" xr:uid="{00000000-0005-0000-0000-0000D71E0000}"/>
    <cellStyle name="Dane wejściowe 2 11 54 2" xfId="7917" xr:uid="{00000000-0005-0000-0000-0000D81E0000}"/>
    <cellStyle name="Dane wejściowe 2 11 54 3" xfId="7918" xr:uid="{00000000-0005-0000-0000-0000D91E0000}"/>
    <cellStyle name="Dane wejściowe 2 11 55" xfId="7919" xr:uid="{00000000-0005-0000-0000-0000DA1E0000}"/>
    <cellStyle name="Dane wejściowe 2 11 55 2" xfId="7920" xr:uid="{00000000-0005-0000-0000-0000DB1E0000}"/>
    <cellStyle name="Dane wejściowe 2 11 55 3" xfId="7921" xr:uid="{00000000-0005-0000-0000-0000DC1E0000}"/>
    <cellStyle name="Dane wejściowe 2 11 56" xfId="7922" xr:uid="{00000000-0005-0000-0000-0000DD1E0000}"/>
    <cellStyle name="Dane wejściowe 2 11 56 2" xfId="7923" xr:uid="{00000000-0005-0000-0000-0000DE1E0000}"/>
    <cellStyle name="Dane wejściowe 2 11 56 3" xfId="7924" xr:uid="{00000000-0005-0000-0000-0000DF1E0000}"/>
    <cellStyle name="Dane wejściowe 2 11 57" xfId="7925" xr:uid="{00000000-0005-0000-0000-0000E01E0000}"/>
    <cellStyle name="Dane wejściowe 2 11 58" xfId="7926" xr:uid="{00000000-0005-0000-0000-0000E11E0000}"/>
    <cellStyle name="Dane wejściowe 2 11 6" xfId="7927" xr:uid="{00000000-0005-0000-0000-0000E21E0000}"/>
    <cellStyle name="Dane wejściowe 2 11 6 2" xfId="7928" xr:uid="{00000000-0005-0000-0000-0000E31E0000}"/>
    <cellStyle name="Dane wejściowe 2 11 6 3" xfId="7929" xr:uid="{00000000-0005-0000-0000-0000E41E0000}"/>
    <cellStyle name="Dane wejściowe 2 11 7" xfId="7930" xr:uid="{00000000-0005-0000-0000-0000E51E0000}"/>
    <cellStyle name="Dane wejściowe 2 11 7 2" xfId="7931" xr:uid="{00000000-0005-0000-0000-0000E61E0000}"/>
    <cellStyle name="Dane wejściowe 2 11 7 3" xfId="7932" xr:uid="{00000000-0005-0000-0000-0000E71E0000}"/>
    <cellStyle name="Dane wejściowe 2 11 8" xfId="7933" xr:uid="{00000000-0005-0000-0000-0000E81E0000}"/>
    <cellStyle name="Dane wejściowe 2 11 8 2" xfId="7934" xr:uid="{00000000-0005-0000-0000-0000E91E0000}"/>
    <cellStyle name="Dane wejściowe 2 11 8 3" xfId="7935" xr:uid="{00000000-0005-0000-0000-0000EA1E0000}"/>
    <cellStyle name="Dane wejściowe 2 11 9" xfId="7936" xr:uid="{00000000-0005-0000-0000-0000EB1E0000}"/>
    <cellStyle name="Dane wejściowe 2 11 9 2" xfId="7937" xr:uid="{00000000-0005-0000-0000-0000EC1E0000}"/>
    <cellStyle name="Dane wejściowe 2 11 9 3" xfId="7938" xr:uid="{00000000-0005-0000-0000-0000ED1E0000}"/>
    <cellStyle name="Dane wejściowe 2 12" xfId="7939" xr:uid="{00000000-0005-0000-0000-0000EE1E0000}"/>
    <cellStyle name="Dane wejściowe 2 12 10" xfId="7940" xr:uid="{00000000-0005-0000-0000-0000EF1E0000}"/>
    <cellStyle name="Dane wejściowe 2 12 10 2" xfId="7941" xr:uid="{00000000-0005-0000-0000-0000F01E0000}"/>
    <cellStyle name="Dane wejściowe 2 12 10 3" xfId="7942" xr:uid="{00000000-0005-0000-0000-0000F11E0000}"/>
    <cellStyle name="Dane wejściowe 2 12 11" xfId="7943" xr:uid="{00000000-0005-0000-0000-0000F21E0000}"/>
    <cellStyle name="Dane wejściowe 2 12 11 2" xfId="7944" xr:uid="{00000000-0005-0000-0000-0000F31E0000}"/>
    <cellStyle name="Dane wejściowe 2 12 11 3" xfId="7945" xr:uid="{00000000-0005-0000-0000-0000F41E0000}"/>
    <cellStyle name="Dane wejściowe 2 12 12" xfId="7946" xr:uid="{00000000-0005-0000-0000-0000F51E0000}"/>
    <cellStyle name="Dane wejściowe 2 12 12 2" xfId="7947" xr:uid="{00000000-0005-0000-0000-0000F61E0000}"/>
    <cellStyle name="Dane wejściowe 2 12 12 3" xfId="7948" xr:uid="{00000000-0005-0000-0000-0000F71E0000}"/>
    <cellStyle name="Dane wejściowe 2 12 13" xfId="7949" xr:uid="{00000000-0005-0000-0000-0000F81E0000}"/>
    <cellStyle name="Dane wejściowe 2 12 13 2" xfId="7950" xr:uid="{00000000-0005-0000-0000-0000F91E0000}"/>
    <cellStyle name="Dane wejściowe 2 12 13 3" xfId="7951" xr:uid="{00000000-0005-0000-0000-0000FA1E0000}"/>
    <cellStyle name="Dane wejściowe 2 12 14" xfId="7952" xr:uid="{00000000-0005-0000-0000-0000FB1E0000}"/>
    <cellStyle name="Dane wejściowe 2 12 14 2" xfId="7953" xr:uid="{00000000-0005-0000-0000-0000FC1E0000}"/>
    <cellStyle name="Dane wejściowe 2 12 14 3" xfId="7954" xr:uid="{00000000-0005-0000-0000-0000FD1E0000}"/>
    <cellStyle name="Dane wejściowe 2 12 15" xfId="7955" xr:uid="{00000000-0005-0000-0000-0000FE1E0000}"/>
    <cellStyle name="Dane wejściowe 2 12 15 2" xfId="7956" xr:uid="{00000000-0005-0000-0000-0000FF1E0000}"/>
    <cellStyle name="Dane wejściowe 2 12 15 3" xfId="7957" xr:uid="{00000000-0005-0000-0000-0000001F0000}"/>
    <cellStyle name="Dane wejściowe 2 12 16" xfId="7958" xr:uid="{00000000-0005-0000-0000-0000011F0000}"/>
    <cellStyle name="Dane wejściowe 2 12 16 2" xfId="7959" xr:uid="{00000000-0005-0000-0000-0000021F0000}"/>
    <cellStyle name="Dane wejściowe 2 12 16 3" xfId="7960" xr:uid="{00000000-0005-0000-0000-0000031F0000}"/>
    <cellStyle name="Dane wejściowe 2 12 17" xfId="7961" xr:uid="{00000000-0005-0000-0000-0000041F0000}"/>
    <cellStyle name="Dane wejściowe 2 12 17 2" xfId="7962" xr:uid="{00000000-0005-0000-0000-0000051F0000}"/>
    <cellStyle name="Dane wejściowe 2 12 17 3" xfId="7963" xr:uid="{00000000-0005-0000-0000-0000061F0000}"/>
    <cellStyle name="Dane wejściowe 2 12 18" xfId="7964" xr:uid="{00000000-0005-0000-0000-0000071F0000}"/>
    <cellStyle name="Dane wejściowe 2 12 18 2" xfId="7965" xr:uid="{00000000-0005-0000-0000-0000081F0000}"/>
    <cellStyle name="Dane wejściowe 2 12 18 3" xfId="7966" xr:uid="{00000000-0005-0000-0000-0000091F0000}"/>
    <cellStyle name="Dane wejściowe 2 12 19" xfId="7967" xr:uid="{00000000-0005-0000-0000-00000A1F0000}"/>
    <cellStyle name="Dane wejściowe 2 12 19 2" xfId="7968" xr:uid="{00000000-0005-0000-0000-00000B1F0000}"/>
    <cellStyle name="Dane wejściowe 2 12 19 3" xfId="7969" xr:uid="{00000000-0005-0000-0000-00000C1F0000}"/>
    <cellStyle name="Dane wejściowe 2 12 2" xfId="7970" xr:uid="{00000000-0005-0000-0000-00000D1F0000}"/>
    <cellStyle name="Dane wejściowe 2 12 2 2" xfId="7971" xr:uid="{00000000-0005-0000-0000-00000E1F0000}"/>
    <cellStyle name="Dane wejściowe 2 12 2 3" xfId="7972" xr:uid="{00000000-0005-0000-0000-00000F1F0000}"/>
    <cellStyle name="Dane wejściowe 2 12 20" xfId="7973" xr:uid="{00000000-0005-0000-0000-0000101F0000}"/>
    <cellStyle name="Dane wejściowe 2 12 20 2" xfId="7974" xr:uid="{00000000-0005-0000-0000-0000111F0000}"/>
    <cellStyle name="Dane wejściowe 2 12 20 3" xfId="7975" xr:uid="{00000000-0005-0000-0000-0000121F0000}"/>
    <cellStyle name="Dane wejściowe 2 12 21" xfId="7976" xr:uid="{00000000-0005-0000-0000-0000131F0000}"/>
    <cellStyle name="Dane wejściowe 2 12 21 2" xfId="7977" xr:uid="{00000000-0005-0000-0000-0000141F0000}"/>
    <cellStyle name="Dane wejściowe 2 12 21 3" xfId="7978" xr:uid="{00000000-0005-0000-0000-0000151F0000}"/>
    <cellStyle name="Dane wejściowe 2 12 22" xfId="7979" xr:uid="{00000000-0005-0000-0000-0000161F0000}"/>
    <cellStyle name="Dane wejściowe 2 12 22 2" xfId="7980" xr:uid="{00000000-0005-0000-0000-0000171F0000}"/>
    <cellStyle name="Dane wejściowe 2 12 22 3" xfId="7981" xr:uid="{00000000-0005-0000-0000-0000181F0000}"/>
    <cellStyle name="Dane wejściowe 2 12 23" xfId="7982" xr:uid="{00000000-0005-0000-0000-0000191F0000}"/>
    <cellStyle name="Dane wejściowe 2 12 23 2" xfId="7983" xr:uid="{00000000-0005-0000-0000-00001A1F0000}"/>
    <cellStyle name="Dane wejściowe 2 12 23 3" xfId="7984" xr:uid="{00000000-0005-0000-0000-00001B1F0000}"/>
    <cellStyle name="Dane wejściowe 2 12 24" xfId="7985" xr:uid="{00000000-0005-0000-0000-00001C1F0000}"/>
    <cellStyle name="Dane wejściowe 2 12 24 2" xfId="7986" xr:uid="{00000000-0005-0000-0000-00001D1F0000}"/>
    <cellStyle name="Dane wejściowe 2 12 24 3" xfId="7987" xr:uid="{00000000-0005-0000-0000-00001E1F0000}"/>
    <cellStyle name="Dane wejściowe 2 12 25" xfId="7988" xr:uid="{00000000-0005-0000-0000-00001F1F0000}"/>
    <cellStyle name="Dane wejściowe 2 12 25 2" xfId="7989" xr:uid="{00000000-0005-0000-0000-0000201F0000}"/>
    <cellStyle name="Dane wejściowe 2 12 25 3" xfId="7990" xr:uid="{00000000-0005-0000-0000-0000211F0000}"/>
    <cellStyle name="Dane wejściowe 2 12 26" xfId="7991" xr:uid="{00000000-0005-0000-0000-0000221F0000}"/>
    <cellStyle name="Dane wejściowe 2 12 26 2" xfId="7992" xr:uid="{00000000-0005-0000-0000-0000231F0000}"/>
    <cellStyle name="Dane wejściowe 2 12 26 3" xfId="7993" xr:uid="{00000000-0005-0000-0000-0000241F0000}"/>
    <cellStyle name="Dane wejściowe 2 12 27" xfId="7994" xr:uid="{00000000-0005-0000-0000-0000251F0000}"/>
    <cellStyle name="Dane wejściowe 2 12 27 2" xfId="7995" xr:uid="{00000000-0005-0000-0000-0000261F0000}"/>
    <cellStyle name="Dane wejściowe 2 12 27 3" xfId="7996" xr:uid="{00000000-0005-0000-0000-0000271F0000}"/>
    <cellStyle name="Dane wejściowe 2 12 28" xfId="7997" xr:uid="{00000000-0005-0000-0000-0000281F0000}"/>
    <cellStyle name="Dane wejściowe 2 12 28 2" xfId="7998" xr:uid="{00000000-0005-0000-0000-0000291F0000}"/>
    <cellStyle name="Dane wejściowe 2 12 28 3" xfId="7999" xr:uid="{00000000-0005-0000-0000-00002A1F0000}"/>
    <cellStyle name="Dane wejściowe 2 12 29" xfId="8000" xr:uid="{00000000-0005-0000-0000-00002B1F0000}"/>
    <cellStyle name="Dane wejściowe 2 12 29 2" xfId="8001" xr:uid="{00000000-0005-0000-0000-00002C1F0000}"/>
    <cellStyle name="Dane wejściowe 2 12 29 3" xfId="8002" xr:uid="{00000000-0005-0000-0000-00002D1F0000}"/>
    <cellStyle name="Dane wejściowe 2 12 3" xfId="8003" xr:uid="{00000000-0005-0000-0000-00002E1F0000}"/>
    <cellStyle name="Dane wejściowe 2 12 3 2" xfId="8004" xr:uid="{00000000-0005-0000-0000-00002F1F0000}"/>
    <cellStyle name="Dane wejściowe 2 12 3 3" xfId="8005" xr:uid="{00000000-0005-0000-0000-0000301F0000}"/>
    <cellStyle name="Dane wejściowe 2 12 30" xfId="8006" xr:uid="{00000000-0005-0000-0000-0000311F0000}"/>
    <cellStyle name="Dane wejściowe 2 12 30 2" xfId="8007" xr:uid="{00000000-0005-0000-0000-0000321F0000}"/>
    <cellStyle name="Dane wejściowe 2 12 30 3" xfId="8008" xr:uid="{00000000-0005-0000-0000-0000331F0000}"/>
    <cellStyle name="Dane wejściowe 2 12 31" xfId="8009" xr:uid="{00000000-0005-0000-0000-0000341F0000}"/>
    <cellStyle name="Dane wejściowe 2 12 31 2" xfId="8010" xr:uid="{00000000-0005-0000-0000-0000351F0000}"/>
    <cellStyle name="Dane wejściowe 2 12 31 3" xfId="8011" xr:uid="{00000000-0005-0000-0000-0000361F0000}"/>
    <cellStyle name="Dane wejściowe 2 12 32" xfId="8012" xr:uid="{00000000-0005-0000-0000-0000371F0000}"/>
    <cellStyle name="Dane wejściowe 2 12 32 2" xfId="8013" xr:uid="{00000000-0005-0000-0000-0000381F0000}"/>
    <cellStyle name="Dane wejściowe 2 12 32 3" xfId="8014" xr:uid="{00000000-0005-0000-0000-0000391F0000}"/>
    <cellStyle name="Dane wejściowe 2 12 33" xfId="8015" xr:uid="{00000000-0005-0000-0000-00003A1F0000}"/>
    <cellStyle name="Dane wejściowe 2 12 33 2" xfId="8016" xr:uid="{00000000-0005-0000-0000-00003B1F0000}"/>
    <cellStyle name="Dane wejściowe 2 12 33 3" xfId="8017" xr:uid="{00000000-0005-0000-0000-00003C1F0000}"/>
    <cellStyle name="Dane wejściowe 2 12 34" xfId="8018" xr:uid="{00000000-0005-0000-0000-00003D1F0000}"/>
    <cellStyle name="Dane wejściowe 2 12 34 2" xfId="8019" xr:uid="{00000000-0005-0000-0000-00003E1F0000}"/>
    <cellStyle name="Dane wejściowe 2 12 34 3" xfId="8020" xr:uid="{00000000-0005-0000-0000-00003F1F0000}"/>
    <cellStyle name="Dane wejściowe 2 12 35" xfId="8021" xr:uid="{00000000-0005-0000-0000-0000401F0000}"/>
    <cellStyle name="Dane wejściowe 2 12 35 2" xfId="8022" xr:uid="{00000000-0005-0000-0000-0000411F0000}"/>
    <cellStyle name="Dane wejściowe 2 12 35 3" xfId="8023" xr:uid="{00000000-0005-0000-0000-0000421F0000}"/>
    <cellStyle name="Dane wejściowe 2 12 36" xfId="8024" xr:uid="{00000000-0005-0000-0000-0000431F0000}"/>
    <cellStyle name="Dane wejściowe 2 12 36 2" xfId="8025" xr:uid="{00000000-0005-0000-0000-0000441F0000}"/>
    <cellStyle name="Dane wejściowe 2 12 36 3" xfId="8026" xr:uid="{00000000-0005-0000-0000-0000451F0000}"/>
    <cellStyle name="Dane wejściowe 2 12 37" xfId="8027" xr:uid="{00000000-0005-0000-0000-0000461F0000}"/>
    <cellStyle name="Dane wejściowe 2 12 37 2" xfId="8028" xr:uid="{00000000-0005-0000-0000-0000471F0000}"/>
    <cellStyle name="Dane wejściowe 2 12 37 3" xfId="8029" xr:uid="{00000000-0005-0000-0000-0000481F0000}"/>
    <cellStyle name="Dane wejściowe 2 12 38" xfId="8030" xr:uid="{00000000-0005-0000-0000-0000491F0000}"/>
    <cellStyle name="Dane wejściowe 2 12 38 2" xfId="8031" xr:uid="{00000000-0005-0000-0000-00004A1F0000}"/>
    <cellStyle name="Dane wejściowe 2 12 38 3" xfId="8032" xr:uid="{00000000-0005-0000-0000-00004B1F0000}"/>
    <cellStyle name="Dane wejściowe 2 12 39" xfId="8033" xr:uid="{00000000-0005-0000-0000-00004C1F0000}"/>
    <cellStyle name="Dane wejściowe 2 12 39 2" xfId="8034" xr:uid="{00000000-0005-0000-0000-00004D1F0000}"/>
    <cellStyle name="Dane wejściowe 2 12 39 3" xfId="8035" xr:uid="{00000000-0005-0000-0000-00004E1F0000}"/>
    <cellStyle name="Dane wejściowe 2 12 4" xfId="8036" xr:uid="{00000000-0005-0000-0000-00004F1F0000}"/>
    <cellStyle name="Dane wejściowe 2 12 4 2" xfId="8037" xr:uid="{00000000-0005-0000-0000-0000501F0000}"/>
    <cellStyle name="Dane wejściowe 2 12 4 3" xfId="8038" xr:uid="{00000000-0005-0000-0000-0000511F0000}"/>
    <cellStyle name="Dane wejściowe 2 12 40" xfId="8039" xr:uid="{00000000-0005-0000-0000-0000521F0000}"/>
    <cellStyle name="Dane wejściowe 2 12 40 2" xfId="8040" xr:uid="{00000000-0005-0000-0000-0000531F0000}"/>
    <cellStyle name="Dane wejściowe 2 12 40 3" xfId="8041" xr:uid="{00000000-0005-0000-0000-0000541F0000}"/>
    <cellStyle name="Dane wejściowe 2 12 41" xfId="8042" xr:uid="{00000000-0005-0000-0000-0000551F0000}"/>
    <cellStyle name="Dane wejściowe 2 12 41 2" xfId="8043" xr:uid="{00000000-0005-0000-0000-0000561F0000}"/>
    <cellStyle name="Dane wejściowe 2 12 41 3" xfId="8044" xr:uid="{00000000-0005-0000-0000-0000571F0000}"/>
    <cellStyle name="Dane wejściowe 2 12 42" xfId="8045" xr:uid="{00000000-0005-0000-0000-0000581F0000}"/>
    <cellStyle name="Dane wejściowe 2 12 42 2" xfId="8046" xr:uid="{00000000-0005-0000-0000-0000591F0000}"/>
    <cellStyle name="Dane wejściowe 2 12 42 3" xfId="8047" xr:uid="{00000000-0005-0000-0000-00005A1F0000}"/>
    <cellStyle name="Dane wejściowe 2 12 43" xfId="8048" xr:uid="{00000000-0005-0000-0000-00005B1F0000}"/>
    <cellStyle name="Dane wejściowe 2 12 43 2" xfId="8049" xr:uid="{00000000-0005-0000-0000-00005C1F0000}"/>
    <cellStyle name="Dane wejściowe 2 12 43 3" xfId="8050" xr:uid="{00000000-0005-0000-0000-00005D1F0000}"/>
    <cellStyle name="Dane wejściowe 2 12 44" xfId="8051" xr:uid="{00000000-0005-0000-0000-00005E1F0000}"/>
    <cellStyle name="Dane wejściowe 2 12 44 2" xfId="8052" xr:uid="{00000000-0005-0000-0000-00005F1F0000}"/>
    <cellStyle name="Dane wejściowe 2 12 44 3" xfId="8053" xr:uid="{00000000-0005-0000-0000-0000601F0000}"/>
    <cellStyle name="Dane wejściowe 2 12 45" xfId="8054" xr:uid="{00000000-0005-0000-0000-0000611F0000}"/>
    <cellStyle name="Dane wejściowe 2 12 45 2" xfId="8055" xr:uid="{00000000-0005-0000-0000-0000621F0000}"/>
    <cellStyle name="Dane wejściowe 2 12 45 3" xfId="8056" xr:uid="{00000000-0005-0000-0000-0000631F0000}"/>
    <cellStyle name="Dane wejściowe 2 12 46" xfId="8057" xr:uid="{00000000-0005-0000-0000-0000641F0000}"/>
    <cellStyle name="Dane wejściowe 2 12 46 2" xfId="8058" xr:uid="{00000000-0005-0000-0000-0000651F0000}"/>
    <cellStyle name="Dane wejściowe 2 12 46 3" xfId="8059" xr:uid="{00000000-0005-0000-0000-0000661F0000}"/>
    <cellStyle name="Dane wejściowe 2 12 47" xfId="8060" xr:uid="{00000000-0005-0000-0000-0000671F0000}"/>
    <cellStyle name="Dane wejściowe 2 12 47 2" xfId="8061" xr:uid="{00000000-0005-0000-0000-0000681F0000}"/>
    <cellStyle name="Dane wejściowe 2 12 47 3" xfId="8062" xr:uid="{00000000-0005-0000-0000-0000691F0000}"/>
    <cellStyle name="Dane wejściowe 2 12 48" xfId="8063" xr:uid="{00000000-0005-0000-0000-00006A1F0000}"/>
    <cellStyle name="Dane wejściowe 2 12 48 2" xfId="8064" xr:uid="{00000000-0005-0000-0000-00006B1F0000}"/>
    <cellStyle name="Dane wejściowe 2 12 48 3" xfId="8065" xr:uid="{00000000-0005-0000-0000-00006C1F0000}"/>
    <cellStyle name="Dane wejściowe 2 12 49" xfId="8066" xr:uid="{00000000-0005-0000-0000-00006D1F0000}"/>
    <cellStyle name="Dane wejściowe 2 12 49 2" xfId="8067" xr:uid="{00000000-0005-0000-0000-00006E1F0000}"/>
    <cellStyle name="Dane wejściowe 2 12 49 3" xfId="8068" xr:uid="{00000000-0005-0000-0000-00006F1F0000}"/>
    <cellStyle name="Dane wejściowe 2 12 5" xfId="8069" xr:uid="{00000000-0005-0000-0000-0000701F0000}"/>
    <cellStyle name="Dane wejściowe 2 12 5 2" xfId="8070" xr:uid="{00000000-0005-0000-0000-0000711F0000}"/>
    <cellStyle name="Dane wejściowe 2 12 5 3" xfId="8071" xr:uid="{00000000-0005-0000-0000-0000721F0000}"/>
    <cellStyle name="Dane wejściowe 2 12 50" xfId="8072" xr:uid="{00000000-0005-0000-0000-0000731F0000}"/>
    <cellStyle name="Dane wejściowe 2 12 50 2" xfId="8073" xr:uid="{00000000-0005-0000-0000-0000741F0000}"/>
    <cellStyle name="Dane wejściowe 2 12 50 3" xfId="8074" xr:uid="{00000000-0005-0000-0000-0000751F0000}"/>
    <cellStyle name="Dane wejściowe 2 12 51" xfId="8075" xr:uid="{00000000-0005-0000-0000-0000761F0000}"/>
    <cellStyle name="Dane wejściowe 2 12 51 2" xfId="8076" xr:uid="{00000000-0005-0000-0000-0000771F0000}"/>
    <cellStyle name="Dane wejściowe 2 12 51 3" xfId="8077" xr:uid="{00000000-0005-0000-0000-0000781F0000}"/>
    <cellStyle name="Dane wejściowe 2 12 52" xfId="8078" xr:uid="{00000000-0005-0000-0000-0000791F0000}"/>
    <cellStyle name="Dane wejściowe 2 12 52 2" xfId="8079" xr:uid="{00000000-0005-0000-0000-00007A1F0000}"/>
    <cellStyle name="Dane wejściowe 2 12 52 3" xfId="8080" xr:uid="{00000000-0005-0000-0000-00007B1F0000}"/>
    <cellStyle name="Dane wejściowe 2 12 53" xfId="8081" xr:uid="{00000000-0005-0000-0000-00007C1F0000}"/>
    <cellStyle name="Dane wejściowe 2 12 53 2" xfId="8082" xr:uid="{00000000-0005-0000-0000-00007D1F0000}"/>
    <cellStyle name="Dane wejściowe 2 12 53 3" xfId="8083" xr:uid="{00000000-0005-0000-0000-00007E1F0000}"/>
    <cellStyle name="Dane wejściowe 2 12 54" xfId="8084" xr:uid="{00000000-0005-0000-0000-00007F1F0000}"/>
    <cellStyle name="Dane wejściowe 2 12 54 2" xfId="8085" xr:uid="{00000000-0005-0000-0000-0000801F0000}"/>
    <cellStyle name="Dane wejściowe 2 12 54 3" xfId="8086" xr:uid="{00000000-0005-0000-0000-0000811F0000}"/>
    <cellStyle name="Dane wejściowe 2 12 55" xfId="8087" xr:uid="{00000000-0005-0000-0000-0000821F0000}"/>
    <cellStyle name="Dane wejściowe 2 12 55 2" xfId="8088" xr:uid="{00000000-0005-0000-0000-0000831F0000}"/>
    <cellStyle name="Dane wejściowe 2 12 55 3" xfId="8089" xr:uid="{00000000-0005-0000-0000-0000841F0000}"/>
    <cellStyle name="Dane wejściowe 2 12 56" xfId="8090" xr:uid="{00000000-0005-0000-0000-0000851F0000}"/>
    <cellStyle name="Dane wejściowe 2 12 56 2" xfId="8091" xr:uid="{00000000-0005-0000-0000-0000861F0000}"/>
    <cellStyle name="Dane wejściowe 2 12 56 3" xfId="8092" xr:uid="{00000000-0005-0000-0000-0000871F0000}"/>
    <cellStyle name="Dane wejściowe 2 12 57" xfId="8093" xr:uid="{00000000-0005-0000-0000-0000881F0000}"/>
    <cellStyle name="Dane wejściowe 2 12 58" xfId="8094" xr:uid="{00000000-0005-0000-0000-0000891F0000}"/>
    <cellStyle name="Dane wejściowe 2 12 6" xfId="8095" xr:uid="{00000000-0005-0000-0000-00008A1F0000}"/>
    <cellStyle name="Dane wejściowe 2 12 6 2" xfId="8096" xr:uid="{00000000-0005-0000-0000-00008B1F0000}"/>
    <cellStyle name="Dane wejściowe 2 12 6 3" xfId="8097" xr:uid="{00000000-0005-0000-0000-00008C1F0000}"/>
    <cellStyle name="Dane wejściowe 2 12 7" xfId="8098" xr:uid="{00000000-0005-0000-0000-00008D1F0000}"/>
    <cellStyle name="Dane wejściowe 2 12 7 2" xfId="8099" xr:uid="{00000000-0005-0000-0000-00008E1F0000}"/>
    <cellStyle name="Dane wejściowe 2 12 7 3" xfId="8100" xr:uid="{00000000-0005-0000-0000-00008F1F0000}"/>
    <cellStyle name="Dane wejściowe 2 12 8" xfId="8101" xr:uid="{00000000-0005-0000-0000-0000901F0000}"/>
    <cellStyle name="Dane wejściowe 2 12 8 2" xfId="8102" xr:uid="{00000000-0005-0000-0000-0000911F0000}"/>
    <cellStyle name="Dane wejściowe 2 12 8 3" xfId="8103" xr:uid="{00000000-0005-0000-0000-0000921F0000}"/>
    <cellStyle name="Dane wejściowe 2 12 9" xfId="8104" xr:uid="{00000000-0005-0000-0000-0000931F0000}"/>
    <cellStyle name="Dane wejściowe 2 12 9 2" xfId="8105" xr:uid="{00000000-0005-0000-0000-0000941F0000}"/>
    <cellStyle name="Dane wejściowe 2 12 9 3" xfId="8106" xr:uid="{00000000-0005-0000-0000-0000951F0000}"/>
    <cellStyle name="Dane wejściowe 2 13" xfId="8107" xr:uid="{00000000-0005-0000-0000-0000961F0000}"/>
    <cellStyle name="Dane wejściowe 2 13 10" xfId="8108" xr:uid="{00000000-0005-0000-0000-0000971F0000}"/>
    <cellStyle name="Dane wejściowe 2 13 10 2" xfId="8109" xr:uid="{00000000-0005-0000-0000-0000981F0000}"/>
    <cellStyle name="Dane wejściowe 2 13 10 3" xfId="8110" xr:uid="{00000000-0005-0000-0000-0000991F0000}"/>
    <cellStyle name="Dane wejściowe 2 13 11" xfId="8111" xr:uid="{00000000-0005-0000-0000-00009A1F0000}"/>
    <cellStyle name="Dane wejściowe 2 13 11 2" xfId="8112" xr:uid="{00000000-0005-0000-0000-00009B1F0000}"/>
    <cellStyle name="Dane wejściowe 2 13 11 3" xfId="8113" xr:uid="{00000000-0005-0000-0000-00009C1F0000}"/>
    <cellStyle name="Dane wejściowe 2 13 12" xfId="8114" xr:uid="{00000000-0005-0000-0000-00009D1F0000}"/>
    <cellStyle name="Dane wejściowe 2 13 12 2" xfId="8115" xr:uid="{00000000-0005-0000-0000-00009E1F0000}"/>
    <cellStyle name="Dane wejściowe 2 13 12 3" xfId="8116" xr:uid="{00000000-0005-0000-0000-00009F1F0000}"/>
    <cellStyle name="Dane wejściowe 2 13 13" xfId="8117" xr:uid="{00000000-0005-0000-0000-0000A01F0000}"/>
    <cellStyle name="Dane wejściowe 2 13 13 2" xfId="8118" xr:uid="{00000000-0005-0000-0000-0000A11F0000}"/>
    <cellStyle name="Dane wejściowe 2 13 13 3" xfId="8119" xr:uid="{00000000-0005-0000-0000-0000A21F0000}"/>
    <cellStyle name="Dane wejściowe 2 13 14" xfId="8120" xr:uid="{00000000-0005-0000-0000-0000A31F0000}"/>
    <cellStyle name="Dane wejściowe 2 13 14 2" xfId="8121" xr:uid="{00000000-0005-0000-0000-0000A41F0000}"/>
    <cellStyle name="Dane wejściowe 2 13 14 3" xfId="8122" xr:uid="{00000000-0005-0000-0000-0000A51F0000}"/>
    <cellStyle name="Dane wejściowe 2 13 15" xfId="8123" xr:uid="{00000000-0005-0000-0000-0000A61F0000}"/>
    <cellStyle name="Dane wejściowe 2 13 15 2" xfId="8124" xr:uid="{00000000-0005-0000-0000-0000A71F0000}"/>
    <cellStyle name="Dane wejściowe 2 13 15 3" xfId="8125" xr:uid="{00000000-0005-0000-0000-0000A81F0000}"/>
    <cellStyle name="Dane wejściowe 2 13 16" xfId="8126" xr:uid="{00000000-0005-0000-0000-0000A91F0000}"/>
    <cellStyle name="Dane wejściowe 2 13 16 2" xfId="8127" xr:uid="{00000000-0005-0000-0000-0000AA1F0000}"/>
    <cellStyle name="Dane wejściowe 2 13 16 3" xfId="8128" xr:uid="{00000000-0005-0000-0000-0000AB1F0000}"/>
    <cellStyle name="Dane wejściowe 2 13 17" xfId="8129" xr:uid="{00000000-0005-0000-0000-0000AC1F0000}"/>
    <cellStyle name="Dane wejściowe 2 13 17 2" xfId="8130" xr:uid="{00000000-0005-0000-0000-0000AD1F0000}"/>
    <cellStyle name="Dane wejściowe 2 13 17 3" xfId="8131" xr:uid="{00000000-0005-0000-0000-0000AE1F0000}"/>
    <cellStyle name="Dane wejściowe 2 13 18" xfId="8132" xr:uid="{00000000-0005-0000-0000-0000AF1F0000}"/>
    <cellStyle name="Dane wejściowe 2 13 18 2" xfId="8133" xr:uid="{00000000-0005-0000-0000-0000B01F0000}"/>
    <cellStyle name="Dane wejściowe 2 13 18 3" xfId="8134" xr:uid="{00000000-0005-0000-0000-0000B11F0000}"/>
    <cellStyle name="Dane wejściowe 2 13 19" xfId="8135" xr:uid="{00000000-0005-0000-0000-0000B21F0000}"/>
    <cellStyle name="Dane wejściowe 2 13 19 2" xfId="8136" xr:uid="{00000000-0005-0000-0000-0000B31F0000}"/>
    <cellStyle name="Dane wejściowe 2 13 19 3" xfId="8137" xr:uid="{00000000-0005-0000-0000-0000B41F0000}"/>
    <cellStyle name="Dane wejściowe 2 13 19 4" xfId="8138" xr:uid="{00000000-0005-0000-0000-0000B51F0000}"/>
    <cellStyle name="Dane wejściowe 2 13 2" xfId="8139" xr:uid="{00000000-0005-0000-0000-0000B61F0000}"/>
    <cellStyle name="Dane wejściowe 2 13 2 2" xfId="8140" xr:uid="{00000000-0005-0000-0000-0000B71F0000}"/>
    <cellStyle name="Dane wejściowe 2 13 2 3" xfId="8141" xr:uid="{00000000-0005-0000-0000-0000B81F0000}"/>
    <cellStyle name="Dane wejściowe 2 13 2 4" xfId="8142" xr:uid="{00000000-0005-0000-0000-0000B91F0000}"/>
    <cellStyle name="Dane wejściowe 2 13 20" xfId="8143" xr:uid="{00000000-0005-0000-0000-0000BA1F0000}"/>
    <cellStyle name="Dane wejściowe 2 13 20 2" xfId="8144" xr:uid="{00000000-0005-0000-0000-0000BB1F0000}"/>
    <cellStyle name="Dane wejściowe 2 13 20 3" xfId="8145" xr:uid="{00000000-0005-0000-0000-0000BC1F0000}"/>
    <cellStyle name="Dane wejściowe 2 13 20 4" xfId="8146" xr:uid="{00000000-0005-0000-0000-0000BD1F0000}"/>
    <cellStyle name="Dane wejściowe 2 13 21" xfId="8147" xr:uid="{00000000-0005-0000-0000-0000BE1F0000}"/>
    <cellStyle name="Dane wejściowe 2 13 21 2" xfId="8148" xr:uid="{00000000-0005-0000-0000-0000BF1F0000}"/>
    <cellStyle name="Dane wejściowe 2 13 21 3" xfId="8149" xr:uid="{00000000-0005-0000-0000-0000C01F0000}"/>
    <cellStyle name="Dane wejściowe 2 13 22" xfId="8150" xr:uid="{00000000-0005-0000-0000-0000C11F0000}"/>
    <cellStyle name="Dane wejściowe 2 13 22 2" xfId="8151" xr:uid="{00000000-0005-0000-0000-0000C21F0000}"/>
    <cellStyle name="Dane wejściowe 2 13 22 3" xfId="8152" xr:uid="{00000000-0005-0000-0000-0000C31F0000}"/>
    <cellStyle name="Dane wejściowe 2 13 23" xfId="8153" xr:uid="{00000000-0005-0000-0000-0000C41F0000}"/>
    <cellStyle name="Dane wejściowe 2 13 23 2" xfId="8154" xr:uid="{00000000-0005-0000-0000-0000C51F0000}"/>
    <cellStyle name="Dane wejściowe 2 13 23 3" xfId="8155" xr:uid="{00000000-0005-0000-0000-0000C61F0000}"/>
    <cellStyle name="Dane wejściowe 2 13 24" xfId="8156" xr:uid="{00000000-0005-0000-0000-0000C71F0000}"/>
    <cellStyle name="Dane wejściowe 2 13 24 2" xfId="8157" xr:uid="{00000000-0005-0000-0000-0000C81F0000}"/>
    <cellStyle name="Dane wejściowe 2 13 24 3" xfId="8158" xr:uid="{00000000-0005-0000-0000-0000C91F0000}"/>
    <cellStyle name="Dane wejściowe 2 13 25" xfId="8159" xr:uid="{00000000-0005-0000-0000-0000CA1F0000}"/>
    <cellStyle name="Dane wejściowe 2 13 25 2" xfId="8160" xr:uid="{00000000-0005-0000-0000-0000CB1F0000}"/>
    <cellStyle name="Dane wejściowe 2 13 25 3" xfId="8161" xr:uid="{00000000-0005-0000-0000-0000CC1F0000}"/>
    <cellStyle name="Dane wejściowe 2 13 26" xfId="8162" xr:uid="{00000000-0005-0000-0000-0000CD1F0000}"/>
    <cellStyle name="Dane wejściowe 2 13 26 2" xfId="8163" xr:uid="{00000000-0005-0000-0000-0000CE1F0000}"/>
    <cellStyle name="Dane wejściowe 2 13 26 3" xfId="8164" xr:uid="{00000000-0005-0000-0000-0000CF1F0000}"/>
    <cellStyle name="Dane wejściowe 2 13 27" xfId="8165" xr:uid="{00000000-0005-0000-0000-0000D01F0000}"/>
    <cellStyle name="Dane wejściowe 2 13 27 2" xfId="8166" xr:uid="{00000000-0005-0000-0000-0000D11F0000}"/>
    <cellStyle name="Dane wejściowe 2 13 27 3" xfId="8167" xr:uid="{00000000-0005-0000-0000-0000D21F0000}"/>
    <cellStyle name="Dane wejściowe 2 13 28" xfId="8168" xr:uid="{00000000-0005-0000-0000-0000D31F0000}"/>
    <cellStyle name="Dane wejściowe 2 13 28 2" xfId="8169" xr:uid="{00000000-0005-0000-0000-0000D41F0000}"/>
    <cellStyle name="Dane wejściowe 2 13 28 3" xfId="8170" xr:uid="{00000000-0005-0000-0000-0000D51F0000}"/>
    <cellStyle name="Dane wejściowe 2 13 29" xfId="8171" xr:uid="{00000000-0005-0000-0000-0000D61F0000}"/>
    <cellStyle name="Dane wejściowe 2 13 29 2" xfId="8172" xr:uid="{00000000-0005-0000-0000-0000D71F0000}"/>
    <cellStyle name="Dane wejściowe 2 13 29 3" xfId="8173" xr:uid="{00000000-0005-0000-0000-0000D81F0000}"/>
    <cellStyle name="Dane wejściowe 2 13 3" xfId="8174" xr:uid="{00000000-0005-0000-0000-0000D91F0000}"/>
    <cellStyle name="Dane wejściowe 2 13 3 2" xfId="8175" xr:uid="{00000000-0005-0000-0000-0000DA1F0000}"/>
    <cellStyle name="Dane wejściowe 2 13 3 3" xfId="8176" xr:uid="{00000000-0005-0000-0000-0000DB1F0000}"/>
    <cellStyle name="Dane wejściowe 2 13 3 4" xfId="8177" xr:uid="{00000000-0005-0000-0000-0000DC1F0000}"/>
    <cellStyle name="Dane wejściowe 2 13 30" xfId="8178" xr:uid="{00000000-0005-0000-0000-0000DD1F0000}"/>
    <cellStyle name="Dane wejściowe 2 13 30 2" xfId="8179" xr:uid="{00000000-0005-0000-0000-0000DE1F0000}"/>
    <cellStyle name="Dane wejściowe 2 13 30 3" xfId="8180" xr:uid="{00000000-0005-0000-0000-0000DF1F0000}"/>
    <cellStyle name="Dane wejściowe 2 13 31" xfId="8181" xr:uid="{00000000-0005-0000-0000-0000E01F0000}"/>
    <cellStyle name="Dane wejściowe 2 13 31 2" xfId="8182" xr:uid="{00000000-0005-0000-0000-0000E11F0000}"/>
    <cellStyle name="Dane wejściowe 2 13 31 3" xfId="8183" xr:uid="{00000000-0005-0000-0000-0000E21F0000}"/>
    <cellStyle name="Dane wejściowe 2 13 32" xfId="8184" xr:uid="{00000000-0005-0000-0000-0000E31F0000}"/>
    <cellStyle name="Dane wejściowe 2 13 32 2" xfId="8185" xr:uid="{00000000-0005-0000-0000-0000E41F0000}"/>
    <cellStyle name="Dane wejściowe 2 13 32 3" xfId="8186" xr:uid="{00000000-0005-0000-0000-0000E51F0000}"/>
    <cellStyle name="Dane wejściowe 2 13 33" xfId="8187" xr:uid="{00000000-0005-0000-0000-0000E61F0000}"/>
    <cellStyle name="Dane wejściowe 2 13 33 2" xfId="8188" xr:uid="{00000000-0005-0000-0000-0000E71F0000}"/>
    <cellStyle name="Dane wejściowe 2 13 33 3" xfId="8189" xr:uid="{00000000-0005-0000-0000-0000E81F0000}"/>
    <cellStyle name="Dane wejściowe 2 13 34" xfId="8190" xr:uid="{00000000-0005-0000-0000-0000E91F0000}"/>
    <cellStyle name="Dane wejściowe 2 13 34 2" xfId="8191" xr:uid="{00000000-0005-0000-0000-0000EA1F0000}"/>
    <cellStyle name="Dane wejściowe 2 13 34 3" xfId="8192" xr:uid="{00000000-0005-0000-0000-0000EB1F0000}"/>
    <cellStyle name="Dane wejściowe 2 13 35" xfId="8193" xr:uid="{00000000-0005-0000-0000-0000EC1F0000}"/>
    <cellStyle name="Dane wejściowe 2 13 35 2" xfId="8194" xr:uid="{00000000-0005-0000-0000-0000ED1F0000}"/>
    <cellStyle name="Dane wejściowe 2 13 35 3" xfId="8195" xr:uid="{00000000-0005-0000-0000-0000EE1F0000}"/>
    <cellStyle name="Dane wejściowe 2 13 36" xfId="8196" xr:uid="{00000000-0005-0000-0000-0000EF1F0000}"/>
    <cellStyle name="Dane wejściowe 2 13 36 2" xfId="8197" xr:uid="{00000000-0005-0000-0000-0000F01F0000}"/>
    <cellStyle name="Dane wejściowe 2 13 36 3" xfId="8198" xr:uid="{00000000-0005-0000-0000-0000F11F0000}"/>
    <cellStyle name="Dane wejściowe 2 13 37" xfId="8199" xr:uid="{00000000-0005-0000-0000-0000F21F0000}"/>
    <cellStyle name="Dane wejściowe 2 13 37 2" xfId="8200" xr:uid="{00000000-0005-0000-0000-0000F31F0000}"/>
    <cellStyle name="Dane wejściowe 2 13 37 3" xfId="8201" xr:uid="{00000000-0005-0000-0000-0000F41F0000}"/>
    <cellStyle name="Dane wejściowe 2 13 38" xfId="8202" xr:uid="{00000000-0005-0000-0000-0000F51F0000}"/>
    <cellStyle name="Dane wejściowe 2 13 38 2" xfId="8203" xr:uid="{00000000-0005-0000-0000-0000F61F0000}"/>
    <cellStyle name="Dane wejściowe 2 13 38 3" xfId="8204" xr:uid="{00000000-0005-0000-0000-0000F71F0000}"/>
    <cellStyle name="Dane wejściowe 2 13 39" xfId="8205" xr:uid="{00000000-0005-0000-0000-0000F81F0000}"/>
    <cellStyle name="Dane wejściowe 2 13 39 2" xfId="8206" xr:uid="{00000000-0005-0000-0000-0000F91F0000}"/>
    <cellStyle name="Dane wejściowe 2 13 39 3" xfId="8207" xr:uid="{00000000-0005-0000-0000-0000FA1F0000}"/>
    <cellStyle name="Dane wejściowe 2 13 4" xfId="8208" xr:uid="{00000000-0005-0000-0000-0000FB1F0000}"/>
    <cellStyle name="Dane wejściowe 2 13 4 2" xfId="8209" xr:uid="{00000000-0005-0000-0000-0000FC1F0000}"/>
    <cellStyle name="Dane wejściowe 2 13 4 3" xfId="8210" xr:uid="{00000000-0005-0000-0000-0000FD1F0000}"/>
    <cellStyle name="Dane wejściowe 2 13 4 4" xfId="8211" xr:uid="{00000000-0005-0000-0000-0000FE1F0000}"/>
    <cellStyle name="Dane wejściowe 2 13 40" xfId="8212" xr:uid="{00000000-0005-0000-0000-0000FF1F0000}"/>
    <cellStyle name="Dane wejściowe 2 13 40 2" xfId="8213" xr:uid="{00000000-0005-0000-0000-000000200000}"/>
    <cellStyle name="Dane wejściowe 2 13 40 3" xfId="8214" xr:uid="{00000000-0005-0000-0000-000001200000}"/>
    <cellStyle name="Dane wejściowe 2 13 41" xfId="8215" xr:uid="{00000000-0005-0000-0000-000002200000}"/>
    <cellStyle name="Dane wejściowe 2 13 41 2" xfId="8216" xr:uid="{00000000-0005-0000-0000-000003200000}"/>
    <cellStyle name="Dane wejściowe 2 13 41 3" xfId="8217" xr:uid="{00000000-0005-0000-0000-000004200000}"/>
    <cellStyle name="Dane wejściowe 2 13 42" xfId="8218" xr:uid="{00000000-0005-0000-0000-000005200000}"/>
    <cellStyle name="Dane wejściowe 2 13 42 2" xfId="8219" xr:uid="{00000000-0005-0000-0000-000006200000}"/>
    <cellStyle name="Dane wejściowe 2 13 42 3" xfId="8220" xr:uid="{00000000-0005-0000-0000-000007200000}"/>
    <cellStyle name="Dane wejściowe 2 13 43" xfId="8221" xr:uid="{00000000-0005-0000-0000-000008200000}"/>
    <cellStyle name="Dane wejściowe 2 13 43 2" xfId="8222" xr:uid="{00000000-0005-0000-0000-000009200000}"/>
    <cellStyle name="Dane wejściowe 2 13 43 3" xfId="8223" xr:uid="{00000000-0005-0000-0000-00000A200000}"/>
    <cellStyle name="Dane wejściowe 2 13 44" xfId="8224" xr:uid="{00000000-0005-0000-0000-00000B200000}"/>
    <cellStyle name="Dane wejściowe 2 13 44 2" xfId="8225" xr:uid="{00000000-0005-0000-0000-00000C200000}"/>
    <cellStyle name="Dane wejściowe 2 13 44 3" xfId="8226" xr:uid="{00000000-0005-0000-0000-00000D200000}"/>
    <cellStyle name="Dane wejściowe 2 13 45" xfId="8227" xr:uid="{00000000-0005-0000-0000-00000E200000}"/>
    <cellStyle name="Dane wejściowe 2 13 45 2" xfId="8228" xr:uid="{00000000-0005-0000-0000-00000F200000}"/>
    <cellStyle name="Dane wejściowe 2 13 45 3" xfId="8229" xr:uid="{00000000-0005-0000-0000-000010200000}"/>
    <cellStyle name="Dane wejściowe 2 13 46" xfId="8230" xr:uid="{00000000-0005-0000-0000-000011200000}"/>
    <cellStyle name="Dane wejściowe 2 13 46 2" xfId="8231" xr:uid="{00000000-0005-0000-0000-000012200000}"/>
    <cellStyle name="Dane wejściowe 2 13 46 3" xfId="8232" xr:uid="{00000000-0005-0000-0000-000013200000}"/>
    <cellStyle name="Dane wejściowe 2 13 47" xfId="8233" xr:uid="{00000000-0005-0000-0000-000014200000}"/>
    <cellStyle name="Dane wejściowe 2 13 47 2" xfId="8234" xr:uid="{00000000-0005-0000-0000-000015200000}"/>
    <cellStyle name="Dane wejściowe 2 13 47 3" xfId="8235" xr:uid="{00000000-0005-0000-0000-000016200000}"/>
    <cellStyle name="Dane wejściowe 2 13 48" xfId="8236" xr:uid="{00000000-0005-0000-0000-000017200000}"/>
    <cellStyle name="Dane wejściowe 2 13 48 2" xfId="8237" xr:uid="{00000000-0005-0000-0000-000018200000}"/>
    <cellStyle name="Dane wejściowe 2 13 48 3" xfId="8238" xr:uid="{00000000-0005-0000-0000-000019200000}"/>
    <cellStyle name="Dane wejściowe 2 13 49" xfId="8239" xr:uid="{00000000-0005-0000-0000-00001A200000}"/>
    <cellStyle name="Dane wejściowe 2 13 49 2" xfId="8240" xr:uid="{00000000-0005-0000-0000-00001B200000}"/>
    <cellStyle name="Dane wejściowe 2 13 49 3" xfId="8241" xr:uid="{00000000-0005-0000-0000-00001C200000}"/>
    <cellStyle name="Dane wejściowe 2 13 5" xfId="8242" xr:uid="{00000000-0005-0000-0000-00001D200000}"/>
    <cellStyle name="Dane wejściowe 2 13 5 2" xfId="8243" xr:uid="{00000000-0005-0000-0000-00001E200000}"/>
    <cellStyle name="Dane wejściowe 2 13 5 3" xfId="8244" xr:uid="{00000000-0005-0000-0000-00001F200000}"/>
    <cellStyle name="Dane wejściowe 2 13 5 4" xfId="8245" xr:uid="{00000000-0005-0000-0000-000020200000}"/>
    <cellStyle name="Dane wejściowe 2 13 50" xfId="8246" xr:uid="{00000000-0005-0000-0000-000021200000}"/>
    <cellStyle name="Dane wejściowe 2 13 50 2" xfId="8247" xr:uid="{00000000-0005-0000-0000-000022200000}"/>
    <cellStyle name="Dane wejściowe 2 13 50 3" xfId="8248" xr:uid="{00000000-0005-0000-0000-000023200000}"/>
    <cellStyle name="Dane wejściowe 2 13 51" xfId="8249" xr:uid="{00000000-0005-0000-0000-000024200000}"/>
    <cellStyle name="Dane wejściowe 2 13 51 2" xfId="8250" xr:uid="{00000000-0005-0000-0000-000025200000}"/>
    <cellStyle name="Dane wejściowe 2 13 51 3" xfId="8251" xr:uid="{00000000-0005-0000-0000-000026200000}"/>
    <cellStyle name="Dane wejściowe 2 13 52" xfId="8252" xr:uid="{00000000-0005-0000-0000-000027200000}"/>
    <cellStyle name="Dane wejściowe 2 13 52 2" xfId="8253" xr:uid="{00000000-0005-0000-0000-000028200000}"/>
    <cellStyle name="Dane wejściowe 2 13 52 3" xfId="8254" xr:uid="{00000000-0005-0000-0000-000029200000}"/>
    <cellStyle name="Dane wejściowe 2 13 53" xfId="8255" xr:uid="{00000000-0005-0000-0000-00002A200000}"/>
    <cellStyle name="Dane wejściowe 2 13 53 2" xfId="8256" xr:uid="{00000000-0005-0000-0000-00002B200000}"/>
    <cellStyle name="Dane wejściowe 2 13 53 3" xfId="8257" xr:uid="{00000000-0005-0000-0000-00002C200000}"/>
    <cellStyle name="Dane wejściowe 2 13 54" xfId="8258" xr:uid="{00000000-0005-0000-0000-00002D200000}"/>
    <cellStyle name="Dane wejściowe 2 13 54 2" xfId="8259" xr:uid="{00000000-0005-0000-0000-00002E200000}"/>
    <cellStyle name="Dane wejściowe 2 13 54 3" xfId="8260" xr:uid="{00000000-0005-0000-0000-00002F200000}"/>
    <cellStyle name="Dane wejściowe 2 13 55" xfId="8261" xr:uid="{00000000-0005-0000-0000-000030200000}"/>
    <cellStyle name="Dane wejściowe 2 13 55 2" xfId="8262" xr:uid="{00000000-0005-0000-0000-000031200000}"/>
    <cellStyle name="Dane wejściowe 2 13 55 3" xfId="8263" xr:uid="{00000000-0005-0000-0000-000032200000}"/>
    <cellStyle name="Dane wejściowe 2 13 56" xfId="8264" xr:uid="{00000000-0005-0000-0000-000033200000}"/>
    <cellStyle name="Dane wejściowe 2 13 56 2" xfId="8265" xr:uid="{00000000-0005-0000-0000-000034200000}"/>
    <cellStyle name="Dane wejściowe 2 13 56 3" xfId="8266" xr:uid="{00000000-0005-0000-0000-000035200000}"/>
    <cellStyle name="Dane wejściowe 2 13 57" xfId="8267" xr:uid="{00000000-0005-0000-0000-000036200000}"/>
    <cellStyle name="Dane wejściowe 2 13 58" xfId="8268" xr:uid="{00000000-0005-0000-0000-000037200000}"/>
    <cellStyle name="Dane wejściowe 2 13 6" xfId="8269" xr:uid="{00000000-0005-0000-0000-000038200000}"/>
    <cellStyle name="Dane wejściowe 2 13 6 2" xfId="8270" xr:uid="{00000000-0005-0000-0000-000039200000}"/>
    <cellStyle name="Dane wejściowe 2 13 6 3" xfId="8271" xr:uid="{00000000-0005-0000-0000-00003A200000}"/>
    <cellStyle name="Dane wejściowe 2 13 6 4" xfId="8272" xr:uid="{00000000-0005-0000-0000-00003B200000}"/>
    <cellStyle name="Dane wejściowe 2 13 7" xfId="8273" xr:uid="{00000000-0005-0000-0000-00003C200000}"/>
    <cellStyle name="Dane wejściowe 2 13 7 2" xfId="8274" xr:uid="{00000000-0005-0000-0000-00003D200000}"/>
    <cellStyle name="Dane wejściowe 2 13 7 3" xfId="8275" xr:uid="{00000000-0005-0000-0000-00003E200000}"/>
    <cellStyle name="Dane wejściowe 2 13 7 4" xfId="8276" xr:uid="{00000000-0005-0000-0000-00003F200000}"/>
    <cellStyle name="Dane wejściowe 2 13 8" xfId="8277" xr:uid="{00000000-0005-0000-0000-000040200000}"/>
    <cellStyle name="Dane wejściowe 2 13 8 2" xfId="8278" xr:uid="{00000000-0005-0000-0000-000041200000}"/>
    <cellStyle name="Dane wejściowe 2 13 8 3" xfId="8279" xr:uid="{00000000-0005-0000-0000-000042200000}"/>
    <cellStyle name="Dane wejściowe 2 13 8 4" xfId="8280" xr:uid="{00000000-0005-0000-0000-000043200000}"/>
    <cellStyle name="Dane wejściowe 2 13 9" xfId="8281" xr:uid="{00000000-0005-0000-0000-000044200000}"/>
    <cellStyle name="Dane wejściowe 2 13 9 2" xfId="8282" xr:uid="{00000000-0005-0000-0000-000045200000}"/>
    <cellStyle name="Dane wejściowe 2 13 9 3" xfId="8283" xr:uid="{00000000-0005-0000-0000-000046200000}"/>
    <cellStyle name="Dane wejściowe 2 13 9 4" xfId="8284" xr:uid="{00000000-0005-0000-0000-000047200000}"/>
    <cellStyle name="Dane wejściowe 2 14" xfId="8285" xr:uid="{00000000-0005-0000-0000-000048200000}"/>
    <cellStyle name="Dane wejściowe 2 14 10" xfId="8286" xr:uid="{00000000-0005-0000-0000-000049200000}"/>
    <cellStyle name="Dane wejściowe 2 14 10 2" xfId="8287" xr:uid="{00000000-0005-0000-0000-00004A200000}"/>
    <cellStyle name="Dane wejściowe 2 14 10 3" xfId="8288" xr:uid="{00000000-0005-0000-0000-00004B200000}"/>
    <cellStyle name="Dane wejściowe 2 14 10 4" xfId="8289" xr:uid="{00000000-0005-0000-0000-00004C200000}"/>
    <cellStyle name="Dane wejściowe 2 14 11" xfId="8290" xr:uid="{00000000-0005-0000-0000-00004D200000}"/>
    <cellStyle name="Dane wejściowe 2 14 11 2" xfId="8291" xr:uid="{00000000-0005-0000-0000-00004E200000}"/>
    <cellStyle name="Dane wejściowe 2 14 11 3" xfId="8292" xr:uid="{00000000-0005-0000-0000-00004F200000}"/>
    <cellStyle name="Dane wejściowe 2 14 11 4" xfId="8293" xr:uid="{00000000-0005-0000-0000-000050200000}"/>
    <cellStyle name="Dane wejściowe 2 14 12" xfId="8294" xr:uid="{00000000-0005-0000-0000-000051200000}"/>
    <cellStyle name="Dane wejściowe 2 14 12 2" xfId="8295" xr:uid="{00000000-0005-0000-0000-000052200000}"/>
    <cellStyle name="Dane wejściowe 2 14 12 3" xfId="8296" xr:uid="{00000000-0005-0000-0000-000053200000}"/>
    <cellStyle name="Dane wejściowe 2 14 12 4" xfId="8297" xr:uid="{00000000-0005-0000-0000-000054200000}"/>
    <cellStyle name="Dane wejściowe 2 14 13" xfId="8298" xr:uid="{00000000-0005-0000-0000-000055200000}"/>
    <cellStyle name="Dane wejściowe 2 14 13 2" xfId="8299" xr:uid="{00000000-0005-0000-0000-000056200000}"/>
    <cellStyle name="Dane wejściowe 2 14 13 3" xfId="8300" xr:uid="{00000000-0005-0000-0000-000057200000}"/>
    <cellStyle name="Dane wejściowe 2 14 13 4" xfId="8301" xr:uid="{00000000-0005-0000-0000-000058200000}"/>
    <cellStyle name="Dane wejściowe 2 14 14" xfId="8302" xr:uid="{00000000-0005-0000-0000-000059200000}"/>
    <cellStyle name="Dane wejściowe 2 14 14 2" xfId="8303" xr:uid="{00000000-0005-0000-0000-00005A200000}"/>
    <cellStyle name="Dane wejściowe 2 14 14 3" xfId="8304" xr:uid="{00000000-0005-0000-0000-00005B200000}"/>
    <cellStyle name="Dane wejściowe 2 14 14 4" xfId="8305" xr:uid="{00000000-0005-0000-0000-00005C200000}"/>
    <cellStyle name="Dane wejściowe 2 14 15" xfId="8306" xr:uid="{00000000-0005-0000-0000-00005D200000}"/>
    <cellStyle name="Dane wejściowe 2 14 15 2" xfId="8307" xr:uid="{00000000-0005-0000-0000-00005E200000}"/>
    <cellStyle name="Dane wejściowe 2 14 15 3" xfId="8308" xr:uid="{00000000-0005-0000-0000-00005F200000}"/>
    <cellStyle name="Dane wejściowe 2 14 15 4" xfId="8309" xr:uid="{00000000-0005-0000-0000-000060200000}"/>
    <cellStyle name="Dane wejściowe 2 14 16" xfId="8310" xr:uid="{00000000-0005-0000-0000-000061200000}"/>
    <cellStyle name="Dane wejściowe 2 14 16 2" xfId="8311" xr:uid="{00000000-0005-0000-0000-000062200000}"/>
    <cellStyle name="Dane wejściowe 2 14 16 3" xfId="8312" xr:uid="{00000000-0005-0000-0000-000063200000}"/>
    <cellStyle name="Dane wejściowe 2 14 16 4" xfId="8313" xr:uid="{00000000-0005-0000-0000-000064200000}"/>
    <cellStyle name="Dane wejściowe 2 14 17" xfId="8314" xr:uid="{00000000-0005-0000-0000-000065200000}"/>
    <cellStyle name="Dane wejściowe 2 14 17 2" xfId="8315" xr:uid="{00000000-0005-0000-0000-000066200000}"/>
    <cellStyle name="Dane wejściowe 2 14 17 3" xfId="8316" xr:uid="{00000000-0005-0000-0000-000067200000}"/>
    <cellStyle name="Dane wejściowe 2 14 17 4" xfId="8317" xr:uid="{00000000-0005-0000-0000-000068200000}"/>
    <cellStyle name="Dane wejściowe 2 14 18" xfId="8318" xr:uid="{00000000-0005-0000-0000-000069200000}"/>
    <cellStyle name="Dane wejściowe 2 14 18 2" xfId="8319" xr:uid="{00000000-0005-0000-0000-00006A200000}"/>
    <cellStyle name="Dane wejściowe 2 14 18 3" xfId="8320" xr:uid="{00000000-0005-0000-0000-00006B200000}"/>
    <cellStyle name="Dane wejściowe 2 14 18 4" xfId="8321" xr:uid="{00000000-0005-0000-0000-00006C200000}"/>
    <cellStyle name="Dane wejściowe 2 14 19" xfId="8322" xr:uid="{00000000-0005-0000-0000-00006D200000}"/>
    <cellStyle name="Dane wejściowe 2 14 19 2" xfId="8323" xr:uid="{00000000-0005-0000-0000-00006E200000}"/>
    <cellStyle name="Dane wejściowe 2 14 19 3" xfId="8324" xr:uid="{00000000-0005-0000-0000-00006F200000}"/>
    <cellStyle name="Dane wejściowe 2 14 19 4" xfId="8325" xr:uid="{00000000-0005-0000-0000-000070200000}"/>
    <cellStyle name="Dane wejściowe 2 14 2" xfId="8326" xr:uid="{00000000-0005-0000-0000-000071200000}"/>
    <cellStyle name="Dane wejściowe 2 14 2 2" xfId="8327" xr:uid="{00000000-0005-0000-0000-000072200000}"/>
    <cellStyle name="Dane wejściowe 2 14 2 3" xfId="8328" xr:uid="{00000000-0005-0000-0000-000073200000}"/>
    <cellStyle name="Dane wejściowe 2 14 2 4" xfId="8329" xr:uid="{00000000-0005-0000-0000-000074200000}"/>
    <cellStyle name="Dane wejściowe 2 14 20" xfId="8330" xr:uid="{00000000-0005-0000-0000-000075200000}"/>
    <cellStyle name="Dane wejściowe 2 14 20 2" xfId="8331" xr:uid="{00000000-0005-0000-0000-000076200000}"/>
    <cellStyle name="Dane wejściowe 2 14 20 3" xfId="8332" xr:uid="{00000000-0005-0000-0000-000077200000}"/>
    <cellStyle name="Dane wejściowe 2 14 20 4" xfId="8333" xr:uid="{00000000-0005-0000-0000-000078200000}"/>
    <cellStyle name="Dane wejściowe 2 14 21" xfId="8334" xr:uid="{00000000-0005-0000-0000-000079200000}"/>
    <cellStyle name="Dane wejściowe 2 14 21 2" xfId="8335" xr:uid="{00000000-0005-0000-0000-00007A200000}"/>
    <cellStyle name="Dane wejściowe 2 14 21 3" xfId="8336" xr:uid="{00000000-0005-0000-0000-00007B200000}"/>
    <cellStyle name="Dane wejściowe 2 14 22" xfId="8337" xr:uid="{00000000-0005-0000-0000-00007C200000}"/>
    <cellStyle name="Dane wejściowe 2 14 22 2" xfId="8338" xr:uid="{00000000-0005-0000-0000-00007D200000}"/>
    <cellStyle name="Dane wejściowe 2 14 22 3" xfId="8339" xr:uid="{00000000-0005-0000-0000-00007E200000}"/>
    <cellStyle name="Dane wejściowe 2 14 23" xfId="8340" xr:uid="{00000000-0005-0000-0000-00007F200000}"/>
    <cellStyle name="Dane wejściowe 2 14 23 2" xfId="8341" xr:uid="{00000000-0005-0000-0000-000080200000}"/>
    <cellStyle name="Dane wejściowe 2 14 23 3" xfId="8342" xr:uid="{00000000-0005-0000-0000-000081200000}"/>
    <cellStyle name="Dane wejściowe 2 14 24" xfId="8343" xr:uid="{00000000-0005-0000-0000-000082200000}"/>
    <cellStyle name="Dane wejściowe 2 14 24 2" xfId="8344" xr:uid="{00000000-0005-0000-0000-000083200000}"/>
    <cellStyle name="Dane wejściowe 2 14 24 3" xfId="8345" xr:uid="{00000000-0005-0000-0000-000084200000}"/>
    <cellStyle name="Dane wejściowe 2 14 25" xfId="8346" xr:uid="{00000000-0005-0000-0000-000085200000}"/>
    <cellStyle name="Dane wejściowe 2 14 25 2" xfId="8347" xr:uid="{00000000-0005-0000-0000-000086200000}"/>
    <cellStyle name="Dane wejściowe 2 14 25 3" xfId="8348" xr:uid="{00000000-0005-0000-0000-000087200000}"/>
    <cellStyle name="Dane wejściowe 2 14 26" xfId="8349" xr:uid="{00000000-0005-0000-0000-000088200000}"/>
    <cellStyle name="Dane wejściowe 2 14 26 2" xfId="8350" xr:uid="{00000000-0005-0000-0000-000089200000}"/>
    <cellStyle name="Dane wejściowe 2 14 26 3" xfId="8351" xr:uid="{00000000-0005-0000-0000-00008A200000}"/>
    <cellStyle name="Dane wejściowe 2 14 27" xfId="8352" xr:uid="{00000000-0005-0000-0000-00008B200000}"/>
    <cellStyle name="Dane wejściowe 2 14 27 2" xfId="8353" xr:uid="{00000000-0005-0000-0000-00008C200000}"/>
    <cellStyle name="Dane wejściowe 2 14 27 3" xfId="8354" xr:uid="{00000000-0005-0000-0000-00008D200000}"/>
    <cellStyle name="Dane wejściowe 2 14 28" xfId="8355" xr:uid="{00000000-0005-0000-0000-00008E200000}"/>
    <cellStyle name="Dane wejściowe 2 14 28 2" xfId="8356" xr:uid="{00000000-0005-0000-0000-00008F200000}"/>
    <cellStyle name="Dane wejściowe 2 14 28 3" xfId="8357" xr:uid="{00000000-0005-0000-0000-000090200000}"/>
    <cellStyle name="Dane wejściowe 2 14 29" xfId="8358" xr:uid="{00000000-0005-0000-0000-000091200000}"/>
    <cellStyle name="Dane wejściowe 2 14 29 2" xfId="8359" xr:uid="{00000000-0005-0000-0000-000092200000}"/>
    <cellStyle name="Dane wejściowe 2 14 29 3" xfId="8360" xr:uid="{00000000-0005-0000-0000-000093200000}"/>
    <cellStyle name="Dane wejściowe 2 14 3" xfId="8361" xr:uid="{00000000-0005-0000-0000-000094200000}"/>
    <cellStyle name="Dane wejściowe 2 14 3 2" xfId="8362" xr:uid="{00000000-0005-0000-0000-000095200000}"/>
    <cellStyle name="Dane wejściowe 2 14 3 3" xfId="8363" xr:uid="{00000000-0005-0000-0000-000096200000}"/>
    <cellStyle name="Dane wejściowe 2 14 3 4" xfId="8364" xr:uid="{00000000-0005-0000-0000-000097200000}"/>
    <cellStyle name="Dane wejściowe 2 14 30" xfId="8365" xr:uid="{00000000-0005-0000-0000-000098200000}"/>
    <cellStyle name="Dane wejściowe 2 14 30 2" xfId="8366" xr:uid="{00000000-0005-0000-0000-000099200000}"/>
    <cellStyle name="Dane wejściowe 2 14 30 3" xfId="8367" xr:uid="{00000000-0005-0000-0000-00009A200000}"/>
    <cellStyle name="Dane wejściowe 2 14 31" xfId="8368" xr:uid="{00000000-0005-0000-0000-00009B200000}"/>
    <cellStyle name="Dane wejściowe 2 14 31 2" xfId="8369" xr:uid="{00000000-0005-0000-0000-00009C200000}"/>
    <cellStyle name="Dane wejściowe 2 14 31 3" xfId="8370" xr:uid="{00000000-0005-0000-0000-00009D200000}"/>
    <cellStyle name="Dane wejściowe 2 14 32" xfId="8371" xr:uid="{00000000-0005-0000-0000-00009E200000}"/>
    <cellStyle name="Dane wejściowe 2 14 32 2" xfId="8372" xr:uid="{00000000-0005-0000-0000-00009F200000}"/>
    <cellStyle name="Dane wejściowe 2 14 32 3" xfId="8373" xr:uid="{00000000-0005-0000-0000-0000A0200000}"/>
    <cellStyle name="Dane wejściowe 2 14 33" xfId="8374" xr:uid="{00000000-0005-0000-0000-0000A1200000}"/>
    <cellStyle name="Dane wejściowe 2 14 33 2" xfId="8375" xr:uid="{00000000-0005-0000-0000-0000A2200000}"/>
    <cellStyle name="Dane wejściowe 2 14 33 3" xfId="8376" xr:uid="{00000000-0005-0000-0000-0000A3200000}"/>
    <cellStyle name="Dane wejściowe 2 14 34" xfId="8377" xr:uid="{00000000-0005-0000-0000-0000A4200000}"/>
    <cellStyle name="Dane wejściowe 2 14 34 2" xfId="8378" xr:uid="{00000000-0005-0000-0000-0000A5200000}"/>
    <cellStyle name="Dane wejściowe 2 14 34 3" xfId="8379" xr:uid="{00000000-0005-0000-0000-0000A6200000}"/>
    <cellStyle name="Dane wejściowe 2 14 35" xfId="8380" xr:uid="{00000000-0005-0000-0000-0000A7200000}"/>
    <cellStyle name="Dane wejściowe 2 14 35 2" xfId="8381" xr:uid="{00000000-0005-0000-0000-0000A8200000}"/>
    <cellStyle name="Dane wejściowe 2 14 35 3" xfId="8382" xr:uid="{00000000-0005-0000-0000-0000A9200000}"/>
    <cellStyle name="Dane wejściowe 2 14 36" xfId="8383" xr:uid="{00000000-0005-0000-0000-0000AA200000}"/>
    <cellStyle name="Dane wejściowe 2 14 36 2" xfId="8384" xr:uid="{00000000-0005-0000-0000-0000AB200000}"/>
    <cellStyle name="Dane wejściowe 2 14 36 3" xfId="8385" xr:uid="{00000000-0005-0000-0000-0000AC200000}"/>
    <cellStyle name="Dane wejściowe 2 14 37" xfId="8386" xr:uid="{00000000-0005-0000-0000-0000AD200000}"/>
    <cellStyle name="Dane wejściowe 2 14 37 2" xfId="8387" xr:uid="{00000000-0005-0000-0000-0000AE200000}"/>
    <cellStyle name="Dane wejściowe 2 14 37 3" xfId="8388" xr:uid="{00000000-0005-0000-0000-0000AF200000}"/>
    <cellStyle name="Dane wejściowe 2 14 38" xfId="8389" xr:uid="{00000000-0005-0000-0000-0000B0200000}"/>
    <cellStyle name="Dane wejściowe 2 14 38 2" xfId="8390" xr:uid="{00000000-0005-0000-0000-0000B1200000}"/>
    <cellStyle name="Dane wejściowe 2 14 38 3" xfId="8391" xr:uid="{00000000-0005-0000-0000-0000B2200000}"/>
    <cellStyle name="Dane wejściowe 2 14 39" xfId="8392" xr:uid="{00000000-0005-0000-0000-0000B3200000}"/>
    <cellStyle name="Dane wejściowe 2 14 39 2" xfId="8393" xr:uid="{00000000-0005-0000-0000-0000B4200000}"/>
    <cellStyle name="Dane wejściowe 2 14 39 3" xfId="8394" xr:uid="{00000000-0005-0000-0000-0000B5200000}"/>
    <cellStyle name="Dane wejściowe 2 14 4" xfId="8395" xr:uid="{00000000-0005-0000-0000-0000B6200000}"/>
    <cellStyle name="Dane wejściowe 2 14 4 2" xfId="8396" xr:uid="{00000000-0005-0000-0000-0000B7200000}"/>
    <cellStyle name="Dane wejściowe 2 14 4 3" xfId="8397" xr:uid="{00000000-0005-0000-0000-0000B8200000}"/>
    <cellStyle name="Dane wejściowe 2 14 4 4" xfId="8398" xr:uid="{00000000-0005-0000-0000-0000B9200000}"/>
    <cellStyle name="Dane wejściowe 2 14 40" xfId="8399" xr:uid="{00000000-0005-0000-0000-0000BA200000}"/>
    <cellStyle name="Dane wejściowe 2 14 40 2" xfId="8400" xr:uid="{00000000-0005-0000-0000-0000BB200000}"/>
    <cellStyle name="Dane wejściowe 2 14 40 3" xfId="8401" xr:uid="{00000000-0005-0000-0000-0000BC200000}"/>
    <cellStyle name="Dane wejściowe 2 14 41" xfId="8402" xr:uid="{00000000-0005-0000-0000-0000BD200000}"/>
    <cellStyle name="Dane wejściowe 2 14 41 2" xfId="8403" xr:uid="{00000000-0005-0000-0000-0000BE200000}"/>
    <cellStyle name="Dane wejściowe 2 14 41 3" xfId="8404" xr:uid="{00000000-0005-0000-0000-0000BF200000}"/>
    <cellStyle name="Dane wejściowe 2 14 42" xfId="8405" xr:uid="{00000000-0005-0000-0000-0000C0200000}"/>
    <cellStyle name="Dane wejściowe 2 14 42 2" xfId="8406" xr:uid="{00000000-0005-0000-0000-0000C1200000}"/>
    <cellStyle name="Dane wejściowe 2 14 42 3" xfId="8407" xr:uid="{00000000-0005-0000-0000-0000C2200000}"/>
    <cellStyle name="Dane wejściowe 2 14 43" xfId="8408" xr:uid="{00000000-0005-0000-0000-0000C3200000}"/>
    <cellStyle name="Dane wejściowe 2 14 43 2" xfId="8409" xr:uid="{00000000-0005-0000-0000-0000C4200000}"/>
    <cellStyle name="Dane wejściowe 2 14 43 3" xfId="8410" xr:uid="{00000000-0005-0000-0000-0000C5200000}"/>
    <cellStyle name="Dane wejściowe 2 14 44" xfId="8411" xr:uid="{00000000-0005-0000-0000-0000C6200000}"/>
    <cellStyle name="Dane wejściowe 2 14 44 2" xfId="8412" xr:uid="{00000000-0005-0000-0000-0000C7200000}"/>
    <cellStyle name="Dane wejściowe 2 14 44 3" xfId="8413" xr:uid="{00000000-0005-0000-0000-0000C8200000}"/>
    <cellStyle name="Dane wejściowe 2 14 45" xfId="8414" xr:uid="{00000000-0005-0000-0000-0000C9200000}"/>
    <cellStyle name="Dane wejściowe 2 14 45 2" xfId="8415" xr:uid="{00000000-0005-0000-0000-0000CA200000}"/>
    <cellStyle name="Dane wejściowe 2 14 45 3" xfId="8416" xr:uid="{00000000-0005-0000-0000-0000CB200000}"/>
    <cellStyle name="Dane wejściowe 2 14 46" xfId="8417" xr:uid="{00000000-0005-0000-0000-0000CC200000}"/>
    <cellStyle name="Dane wejściowe 2 14 46 2" xfId="8418" xr:uid="{00000000-0005-0000-0000-0000CD200000}"/>
    <cellStyle name="Dane wejściowe 2 14 46 3" xfId="8419" xr:uid="{00000000-0005-0000-0000-0000CE200000}"/>
    <cellStyle name="Dane wejściowe 2 14 47" xfId="8420" xr:uid="{00000000-0005-0000-0000-0000CF200000}"/>
    <cellStyle name="Dane wejściowe 2 14 47 2" xfId="8421" xr:uid="{00000000-0005-0000-0000-0000D0200000}"/>
    <cellStyle name="Dane wejściowe 2 14 47 3" xfId="8422" xr:uid="{00000000-0005-0000-0000-0000D1200000}"/>
    <cellStyle name="Dane wejściowe 2 14 48" xfId="8423" xr:uid="{00000000-0005-0000-0000-0000D2200000}"/>
    <cellStyle name="Dane wejściowe 2 14 48 2" xfId="8424" xr:uid="{00000000-0005-0000-0000-0000D3200000}"/>
    <cellStyle name="Dane wejściowe 2 14 48 3" xfId="8425" xr:uid="{00000000-0005-0000-0000-0000D4200000}"/>
    <cellStyle name="Dane wejściowe 2 14 49" xfId="8426" xr:uid="{00000000-0005-0000-0000-0000D5200000}"/>
    <cellStyle name="Dane wejściowe 2 14 49 2" xfId="8427" xr:uid="{00000000-0005-0000-0000-0000D6200000}"/>
    <cellStyle name="Dane wejściowe 2 14 49 3" xfId="8428" xr:uid="{00000000-0005-0000-0000-0000D7200000}"/>
    <cellStyle name="Dane wejściowe 2 14 5" xfId="8429" xr:uid="{00000000-0005-0000-0000-0000D8200000}"/>
    <cellStyle name="Dane wejściowe 2 14 5 2" xfId="8430" xr:uid="{00000000-0005-0000-0000-0000D9200000}"/>
    <cellStyle name="Dane wejściowe 2 14 5 3" xfId="8431" xr:uid="{00000000-0005-0000-0000-0000DA200000}"/>
    <cellStyle name="Dane wejściowe 2 14 5 4" xfId="8432" xr:uid="{00000000-0005-0000-0000-0000DB200000}"/>
    <cellStyle name="Dane wejściowe 2 14 50" xfId="8433" xr:uid="{00000000-0005-0000-0000-0000DC200000}"/>
    <cellStyle name="Dane wejściowe 2 14 50 2" xfId="8434" xr:uid="{00000000-0005-0000-0000-0000DD200000}"/>
    <cellStyle name="Dane wejściowe 2 14 50 3" xfId="8435" xr:uid="{00000000-0005-0000-0000-0000DE200000}"/>
    <cellStyle name="Dane wejściowe 2 14 51" xfId="8436" xr:uid="{00000000-0005-0000-0000-0000DF200000}"/>
    <cellStyle name="Dane wejściowe 2 14 51 2" xfId="8437" xr:uid="{00000000-0005-0000-0000-0000E0200000}"/>
    <cellStyle name="Dane wejściowe 2 14 51 3" xfId="8438" xr:uid="{00000000-0005-0000-0000-0000E1200000}"/>
    <cellStyle name="Dane wejściowe 2 14 52" xfId="8439" xr:uid="{00000000-0005-0000-0000-0000E2200000}"/>
    <cellStyle name="Dane wejściowe 2 14 52 2" xfId="8440" xr:uid="{00000000-0005-0000-0000-0000E3200000}"/>
    <cellStyle name="Dane wejściowe 2 14 52 3" xfId="8441" xr:uid="{00000000-0005-0000-0000-0000E4200000}"/>
    <cellStyle name="Dane wejściowe 2 14 53" xfId="8442" xr:uid="{00000000-0005-0000-0000-0000E5200000}"/>
    <cellStyle name="Dane wejściowe 2 14 53 2" xfId="8443" xr:uid="{00000000-0005-0000-0000-0000E6200000}"/>
    <cellStyle name="Dane wejściowe 2 14 53 3" xfId="8444" xr:uid="{00000000-0005-0000-0000-0000E7200000}"/>
    <cellStyle name="Dane wejściowe 2 14 54" xfId="8445" xr:uid="{00000000-0005-0000-0000-0000E8200000}"/>
    <cellStyle name="Dane wejściowe 2 14 54 2" xfId="8446" xr:uid="{00000000-0005-0000-0000-0000E9200000}"/>
    <cellStyle name="Dane wejściowe 2 14 54 3" xfId="8447" xr:uid="{00000000-0005-0000-0000-0000EA200000}"/>
    <cellStyle name="Dane wejściowe 2 14 55" xfId="8448" xr:uid="{00000000-0005-0000-0000-0000EB200000}"/>
    <cellStyle name="Dane wejściowe 2 14 55 2" xfId="8449" xr:uid="{00000000-0005-0000-0000-0000EC200000}"/>
    <cellStyle name="Dane wejściowe 2 14 55 3" xfId="8450" xr:uid="{00000000-0005-0000-0000-0000ED200000}"/>
    <cellStyle name="Dane wejściowe 2 14 56" xfId="8451" xr:uid="{00000000-0005-0000-0000-0000EE200000}"/>
    <cellStyle name="Dane wejściowe 2 14 56 2" xfId="8452" xr:uid="{00000000-0005-0000-0000-0000EF200000}"/>
    <cellStyle name="Dane wejściowe 2 14 56 3" xfId="8453" xr:uid="{00000000-0005-0000-0000-0000F0200000}"/>
    <cellStyle name="Dane wejściowe 2 14 57" xfId="8454" xr:uid="{00000000-0005-0000-0000-0000F1200000}"/>
    <cellStyle name="Dane wejściowe 2 14 58" xfId="8455" xr:uid="{00000000-0005-0000-0000-0000F2200000}"/>
    <cellStyle name="Dane wejściowe 2 14 6" xfId="8456" xr:uid="{00000000-0005-0000-0000-0000F3200000}"/>
    <cellStyle name="Dane wejściowe 2 14 6 2" xfId="8457" xr:uid="{00000000-0005-0000-0000-0000F4200000}"/>
    <cellStyle name="Dane wejściowe 2 14 6 3" xfId="8458" xr:uid="{00000000-0005-0000-0000-0000F5200000}"/>
    <cellStyle name="Dane wejściowe 2 14 6 4" xfId="8459" xr:uid="{00000000-0005-0000-0000-0000F6200000}"/>
    <cellStyle name="Dane wejściowe 2 14 7" xfId="8460" xr:uid="{00000000-0005-0000-0000-0000F7200000}"/>
    <cellStyle name="Dane wejściowe 2 14 7 2" xfId="8461" xr:uid="{00000000-0005-0000-0000-0000F8200000}"/>
    <cellStyle name="Dane wejściowe 2 14 7 3" xfId="8462" xr:uid="{00000000-0005-0000-0000-0000F9200000}"/>
    <cellStyle name="Dane wejściowe 2 14 7 4" xfId="8463" xr:uid="{00000000-0005-0000-0000-0000FA200000}"/>
    <cellStyle name="Dane wejściowe 2 14 8" xfId="8464" xr:uid="{00000000-0005-0000-0000-0000FB200000}"/>
    <cellStyle name="Dane wejściowe 2 14 8 2" xfId="8465" xr:uid="{00000000-0005-0000-0000-0000FC200000}"/>
    <cellStyle name="Dane wejściowe 2 14 8 3" xfId="8466" xr:uid="{00000000-0005-0000-0000-0000FD200000}"/>
    <cellStyle name="Dane wejściowe 2 14 8 4" xfId="8467" xr:uid="{00000000-0005-0000-0000-0000FE200000}"/>
    <cellStyle name="Dane wejściowe 2 14 9" xfId="8468" xr:uid="{00000000-0005-0000-0000-0000FF200000}"/>
    <cellStyle name="Dane wejściowe 2 14 9 2" xfId="8469" xr:uid="{00000000-0005-0000-0000-000000210000}"/>
    <cellStyle name="Dane wejściowe 2 14 9 3" xfId="8470" xr:uid="{00000000-0005-0000-0000-000001210000}"/>
    <cellStyle name="Dane wejściowe 2 14 9 4" xfId="8471" xr:uid="{00000000-0005-0000-0000-000002210000}"/>
    <cellStyle name="Dane wejściowe 2 15" xfId="8472" xr:uid="{00000000-0005-0000-0000-000003210000}"/>
    <cellStyle name="Dane wejściowe 2 15 10" xfId="8473" xr:uid="{00000000-0005-0000-0000-000004210000}"/>
    <cellStyle name="Dane wejściowe 2 15 10 2" xfId="8474" xr:uid="{00000000-0005-0000-0000-000005210000}"/>
    <cellStyle name="Dane wejściowe 2 15 10 3" xfId="8475" xr:uid="{00000000-0005-0000-0000-000006210000}"/>
    <cellStyle name="Dane wejściowe 2 15 10 4" xfId="8476" xr:uid="{00000000-0005-0000-0000-000007210000}"/>
    <cellStyle name="Dane wejściowe 2 15 11" xfId="8477" xr:uid="{00000000-0005-0000-0000-000008210000}"/>
    <cellStyle name="Dane wejściowe 2 15 11 2" xfId="8478" xr:uid="{00000000-0005-0000-0000-000009210000}"/>
    <cellStyle name="Dane wejściowe 2 15 11 3" xfId="8479" xr:uid="{00000000-0005-0000-0000-00000A210000}"/>
    <cellStyle name="Dane wejściowe 2 15 11 4" xfId="8480" xr:uid="{00000000-0005-0000-0000-00000B210000}"/>
    <cellStyle name="Dane wejściowe 2 15 12" xfId="8481" xr:uid="{00000000-0005-0000-0000-00000C210000}"/>
    <cellStyle name="Dane wejściowe 2 15 12 2" xfId="8482" xr:uid="{00000000-0005-0000-0000-00000D210000}"/>
    <cellStyle name="Dane wejściowe 2 15 12 3" xfId="8483" xr:uid="{00000000-0005-0000-0000-00000E210000}"/>
    <cellStyle name="Dane wejściowe 2 15 12 4" xfId="8484" xr:uid="{00000000-0005-0000-0000-00000F210000}"/>
    <cellStyle name="Dane wejściowe 2 15 13" xfId="8485" xr:uid="{00000000-0005-0000-0000-000010210000}"/>
    <cellStyle name="Dane wejściowe 2 15 13 2" xfId="8486" xr:uid="{00000000-0005-0000-0000-000011210000}"/>
    <cellStyle name="Dane wejściowe 2 15 13 3" xfId="8487" xr:uid="{00000000-0005-0000-0000-000012210000}"/>
    <cellStyle name="Dane wejściowe 2 15 13 4" xfId="8488" xr:uid="{00000000-0005-0000-0000-000013210000}"/>
    <cellStyle name="Dane wejściowe 2 15 14" xfId="8489" xr:uid="{00000000-0005-0000-0000-000014210000}"/>
    <cellStyle name="Dane wejściowe 2 15 14 2" xfId="8490" xr:uid="{00000000-0005-0000-0000-000015210000}"/>
    <cellStyle name="Dane wejściowe 2 15 14 3" xfId="8491" xr:uid="{00000000-0005-0000-0000-000016210000}"/>
    <cellStyle name="Dane wejściowe 2 15 14 4" xfId="8492" xr:uid="{00000000-0005-0000-0000-000017210000}"/>
    <cellStyle name="Dane wejściowe 2 15 15" xfId="8493" xr:uid="{00000000-0005-0000-0000-000018210000}"/>
    <cellStyle name="Dane wejściowe 2 15 15 2" xfId="8494" xr:uid="{00000000-0005-0000-0000-000019210000}"/>
    <cellStyle name="Dane wejściowe 2 15 15 3" xfId="8495" xr:uid="{00000000-0005-0000-0000-00001A210000}"/>
    <cellStyle name="Dane wejściowe 2 15 15 4" xfId="8496" xr:uid="{00000000-0005-0000-0000-00001B210000}"/>
    <cellStyle name="Dane wejściowe 2 15 16" xfId="8497" xr:uid="{00000000-0005-0000-0000-00001C210000}"/>
    <cellStyle name="Dane wejściowe 2 15 16 2" xfId="8498" xr:uid="{00000000-0005-0000-0000-00001D210000}"/>
    <cellStyle name="Dane wejściowe 2 15 16 3" xfId="8499" xr:uid="{00000000-0005-0000-0000-00001E210000}"/>
    <cellStyle name="Dane wejściowe 2 15 16 4" xfId="8500" xr:uid="{00000000-0005-0000-0000-00001F210000}"/>
    <cellStyle name="Dane wejściowe 2 15 17" xfId="8501" xr:uid="{00000000-0005-0000-0000-000020210000}"/>
    <cellStyle name="Dane wejściowe 2 15 17 2" xfId="8502" xr:uid="{00000000-0005-0000-0000-000021210000}"/>
    <cellStyle name="Dane wejściowe 2 15 17 3" xfId="8503" xr:uid="{00000000-0005-0000-0000-000022210000}"/>
    <cellStyle name="Dane wejściowe 2 15 17 4" xfId="8504" xr:uid="{00000000-0005-0000-0000-000023210000}"/>
    <cellStyle name="Dane wejściowe 2 15 18" xfId="8505" xr:uid="{00000000-0005-0000-0000-000024210000}"/>
    <cellStyle name="Dane wejściowe 2 15 18 2" xfId="8506" xr:uid="{00000000-0005-0000-0000-000025210000}"/>
    <cellStyle name="Dane wejściowe 2 15 18 3" xfId="8507" xr:uid="{00000000-0005-0000-0000-000026210000}"/>
    <cellStyle name="Dane wejściowe 2 15 18 4" xfId="8508" xr:uid="{00000000-0005-0000-0000-000027210000}"/>
    <cellStyle name="Dane wejściowe 2 15 19" xfId="8509" xr:uid="{00000000-0005-0000-0000-000028210000}"/>
    <cellStyle name="Dane wejściowe 2 15 19 2" xfId="8510" xr:uid="{00000000-0005-0000-0000-000029210000}"/>
    <cellStyle name="Dane wejściowe 2 15 19 3" xfId="8511" xr:uid="{00000000-0005-0000-0000-00002A210000}"/>
    <cellStyle name="Dane wejściowe 2 15 19 4" xfId="8512" xr:uid="{00000000-0005-0000-0000-00002B210000}"/>
    <cellStyle name="Dane wejściowe 2 15 2" xfId="8513" xr:uid="{00000000-0005-0000-0000-00002C210000}"/>
    <cellStyle name="Dane wejściowe 2 15 2 2" xfId="8514" xr:uid="{00000000-0005-0000-0000-00002D210000}"/>
    <cellStyle name="Dane wejściowe 2 15 2 3" xfId="8515" xr:uid="{00000000-0005-0000-0000-00002E210000}"/>
    <cellStyle name="Dane wejściowe 2 15 2 4" xfId="8516" xr:uid="{00000000-0005-0000-0000-00002F210000}"/>
    <cellStyle name="Dane wejściowe 2 15 20" xfId="8517" xr:uid="{00000000-0005-0000-0000-000030210000}"/>
    <cellStyle name="Dane wejściowe 2 15 20 2" xfId="8518" xr:uid="{00000000-0005-0000-0000-000031210000}"/>
    <cellStyle name="Dane wejściowe 2 15 20 3" xfId="8519" xr:uid="{00000000-0005-0000-0000-000032210000}"/>
    <cellStyle name="Dane wejściowe 2 15 20 4" xfId="8520" xr:uid="{00000000-0005-0000-0000-000033210000}"/>
    <cellStyle name="Dane wejściowe 2 15 21" xfId="8521" xr:uid="{00000000-0005-0000-0000-000034210000}"/>
    <cellStyle name="Dane wejściowe 2 15 21 2" xfId="8522" xr:uid="{00000000-0005-0000-0000-000035210000}"/>
    <cellStyle name="Dane wejściowe 2 15 21 3" xfId="8523" xr:uid="{00000000-0005-0000-0000-000036210000}"/>
    <cellStyle name="Dane wejściowe 2 15 22" xfId="8524" xr:uid="{00000000-0005-0000-0000-000037210000}"/>
    <cellStyle name="Dane wejściowe 2 15 22 2" xfId="8525" xr:uid="{00000000-0005-0000-0000-000038210000}"/>
    <cellStyle name="Dane wejściowe 2 15 22 3" xfId="8526" xr:uid="{00000000-0005-0000-0000-000039210000}"/>
    <cellStyle name="Dane wejściowe 2 15 23" xfId="8527" xr:uid="{00000000-0005-0000-0000-00003A210000}"/>
    <cellStyle name="Dane wejściowe 2 15 23 2" xfId="8528" xr:uid="{00000000-0005-0000-0000-00003B210000}"/>
    <cellStyle name="Dane wejściowe 2 15 23 3" xfId="8529" xr:uid="{00000000-0005-0000-0000-00003C210000}"/>
    <cellStyle name="Dane wejściowe 2 15 24" xfId="8530" xr:uid="{00000000-0005-0000-0000-00003D210000}"/>
    <cellStyle name="Dane wejściowe 2 15 24 2" xfId="8531" xr:uid="{00000000-0005-0000-0000-00003E210000}"/>
    <cellStyle name="Dane wejściowe 2 15 24 3" xfId="8532" xr:uid="{00000000-0005-0000-0000-00003F210000}"/>
    <cellStyle name="Dane wejściowe 2 15 25" xfId="8533" xr:uid="{00000000-0005-0000-0000-000040210000}"/>
    <cellStyle name="Dane wejściowe 2 15 25 2" xfId="8534" xr:uid="{00000000-0005-0000-0000-000041210000}"/>
    <cellStyle name="Dane wejściowe 2 15 25 3" xfId="8535" xr:uid="{00000000-0005-0000-0000-000042210000}"/>
    <cellStyle name="Dane wejściowe 2 15 26" xfId="8536" xr:uid="{00000000-0005-0000-0000-000043210000}"/>
    <cellStyle name="Dane wejściowe 2 15 26 2" xfId="8537" xr:uid="{00000000-0005-0000-0000-000044210000}"/>
    <cellStyle name="Dane wejściowe 2 15 26 3" xfId="8538" xr:uid="{00000000-0005-0000-0000-000045210000}"/>
    <cellStyle name="Dane wejściowe 2 15 27" xfId="8539" xr:uid="{00000000-0005-0000-0000-000046210000}"/>
    <cellStyle name="Dane wejściowe 2 15 27 2" xfId="8540" xr:uid="{00000000-0005-0000-0000-000047210000}"/>
    <cellStyle name="Dane wejściowe 2 15 27 3" xfId="8541" xr:uid="{00000000-0005-0000-0000-000048210000}"/>
    <cellStyle name="Dane wejściowe 2 15 28" xfId="8542" xr:uid="{00000000-0005-0000-0000-000049210000}"/>
    <cellStyle name="Dane wejściowe 2 15 28 2" xfId="8543" xr:uid="{00000000-0005-0000-0000-00004A210000}"/>
    <cellStyle name="Dane wejściowe 2 15 28 3" xfId="8544" xr:uid="{00000000-0005-0000-0000-00004B210000}"/>
    <cellStyle name="Dane wejściowe 2 15 29" xfId="8545" xr:uid="{00000000-0005-0000-0000-00004C210000}"/>
    <cellStyle name="Dane wejściowe 2 15 29 2" xfId="8546" xr:uid="{00000000-0005-0000-0000-00004D210000}"/>
    <cellStyle name="Dane wejściowe 2 15 29 3" xfId="8547" xr:uid="{00000000-0005-0000-0000-00004E210000}"/>
    <cellStyle name="Dane wejściowe 2 15 3" xfId="8548" xr:uid="{00000000-0005-0000-0000-00004F210000}"/>
    <cellStyle name="Dane wejściowe 2 15 3 2" xfId="8549" xr:uid="{00000000-0005-0000-0000-000050210000}"/>
    <cellStyle name="Dane wejściowe 2 15 3 3" xfId="8550" xr:uid="{00000000-0005-0000-0000-000051210000}"/>
    <cellStyle name="Dane wejściowe 2 15 3 4" xfId="8551" xr:uid="{00000000-0005-0000-0000-000052210000}"/>
    <cellStyle name="Dane wejściowe 2 15 30" xfId="8552" xr:uid="{00000000-0005-0000-0000-000053210000}"/>
    <cellStyle name="Dane wejściowe 2 15 30 2" xfId="8553" xr:uid="{00000000-0005-0000-0000-000054210000}"/>
    <cellStyle name="Dane wejściowe 2 15 30 3" xfId="8554" xr:uid="{00000000-0005-0000-0000-000055210000}"/>
    <cellStyle name="Dane wejściowe 2 15 31" xfId="8555" xr:uid="{00000000-0005-0000-0000-000056210000}"/>
    <cellStyle name="Dane wejściowe 2 15 31 2" xfId="8556" xr:uid="{00000000-0005-0000-0000-000057210000}"/>
    <cellStyle name="Dane wejściowe 2 15 31 3" xfId="8557" xr:uid="{00000000-0005-0000-0000-000058210000}"/>
    <cellStyle name="Dane wejściowe 2 15 32" xfId="8558" xr:uid="{00000000-0005-0000-0000-000059210000}"/>
    <cellStyle name="Dane wejściowe 2 15 32 2" xfId="8559" xr:uid="{00000000-0005-0000-0000-00005A210000}"/>
    <cellStyle name="Dane wejściowe 2 15 32 3" xfId="8560" xr:uid="{00000000-0005-0000-0000-00005B210000}"/>
    <cellStyle name="Dane wejściowe 2 15 33" xfId="8561" xr:uid="{00000000-0005-0000-0000-00005C210000}"/>
    <cellStyle name="Dane wejściowe 2 15 33 2" xfId="8562" xr:uid="{00000000-0005-0000-0000-00005D210000}"/>
    <cellStyle name="Dane wejściowe 2 15 33 3" xfId="8563" xr:uid="{00000000-0005-0000-0000-00005E210000}"/>
    <cellStyle name="Dane wejściowe 2 15 34" xfId="8564" xr:uid="{00000000-0005-0000-0000-00005F210000}"/>
    <cellStyle name="Dane wejściowe 2 15 34 2" xfId="8565" xr:uid="{00000000-0005-0000-0000-000060210000}"/>
    <cellStyle name="Dane wejściowe 2 15 34 3" xfId="8566" xr:uid="{00000000-0005-0000-0000-000061210000}"/>
    <cellStyle name="Dane wejściowe 2 15 35" xfId="8567" xr:uid="{00000000-0005-0000-0000-000062210000}"/>
    <cellStyle name="Dane wejściowe 2 15 35 2" xfId="8568" xr:uid="{00000000-0005-0000-0000-000063210000}"/>
    <cellStyle name="Dane wejściowe 2 15 35 3" xfId="8569" xr:uid="{00000000-0005-0000-0000-000064210000}"/>
    <cellStyle name="Dane wejściowe 2 15 36" xfId="8570" xr:uid="{00000000-0005-0000-0000-000065210000}"/>
    <cellStyle name="Dane wejściowe 2 15 36 2" xfId="8571" xr:uid="{00000000-0005-0000-0000-000066210000}"/>
    <cellStyle name="Dane wejściowe 2 15 36 3" xfId="8572" xr:uid="{00000000-0005-0000-0000-000067210000}"/>
    <cellStyle name="Dane wejściowe 2 15 37" xfId="8573" xr:uid="{00000000-0005-0000-0000-000068210000}"/>
    <cellStyle name="Dane wejściowe 2 15 37 2" xfId="8574" xr:uid="{00000000-0005-0000-0000-000069210000}"/>
    <cellStyle name="Dane wejściowe 2 15 37 3" xfId="8575" xr:uid="{00000000-0005-0000-0000-00006A210000}"/>
    <cellStyle name="Dane wejściowe 2 15 38" xfId="8576" xr:uid="{00000000-0005-0000-0000-00006B210000}"/>
    <cellStyle name="Dane wejściowe 2 15 38 2" xfId="8577" xr:uid="{00000000-0005-0000-0000-00006C210000}"/>
    <cellStyle name="Dane wejściowe 2 15 38 3" xfId="8578" xr:uid="{00000000-0005-0000-0000-00006D210000}"/>
    <cellStyle name="Dane wejściowe 2 15 39" xfId="8579" xr:uid="{00000000-0005-0000-0000-00006E210000}"/>
    <cellStyle name="Dane wejściowe 2 15 39 2" xfId="8580" xr:uid="{00000000-0005-0000-0000-00006F210000}"/>
    <cellStyle name="Dane wejściowe 2 15 39 3" xfId="8581" xr:uid="{00000000-0005-0000-0000-000070210000}"/>
    <cellStyle name="Dane wejściowe 2 15 4" xfId="8582" xr:uid="{00000000-0005-0000-0000-000071210000}"/>
    <cellStyle name="Dane wejściowe 2 15 4 2" xfId="8583" xr:uid="{00000000-0005-0000-0000-000072210000}"/>
    <cellStyle name="Dane wejściowe 2 15 4 3" xfId="8584" xr:uid="{00000000-0005-0000-0000-000073210000}"/>
    <cellStyle name="Dane wejściowe 2 15 4 4" xfId="8585" xr:uid="{00000000-0005-0000-0000-000074210000}"/>
    <cellStyle name="Dane wejściowe 2 15 40" xfId="8586" xr:uid="{00000000-0005-0000-0000-000075210000}"/>
    <cellStyle name="Dane wejściowe 2 15 40 2" xfId="8587" xr:uid="{00000000-0005-0000-0000-000076210000}"/>
    <cellStyle name="Dane wejściowe 2 15 40 3" xfId="8588" xr:uid="{00000000-0005-0000-0000-000077210000}"/>
    <cellStyle name="Dane wejściowe 2 15 41" xfId="8589" xr:uid="{00000000-0005-0000-0000-000078210000}"/>
    <cellStyle name="Dane wejściowe 2 15 41 2" xfId="8590" xr:uid="{00000000-0005-0000-0000-000079210000}"/>
    <cellStyle name="Dane wejściowe 2 15 41 3" xfId="8591" xr:uid="{00000000-0005-0000-0000-00007A210000}"/>
    <cellStyle name="Dane wejściowe 2 15 42" xfId="8592" xr:uid="{00000000-0005-0000-0000-00007B210000}"/>
    <cellStyle name="Dane wejściowe 2 15 42 2" xfId="8593" xr:uid="{00000000-0005-0000-0000-00007C210000}"/>
    <cellStyle name="Dane wejściowe 2 15 42 3" xfId="8594" xr:uid="{00000000-0005-0000-0000-00007D210000}"/>
    <cellStyle name="Dane wejściowe 2 15 43" xfId="8595" xr:uid="{00000000-0005-0000-0000-00007E210000}"/>
    <cellStyle name="Dane wejściowe 2 15 43 2" xfId="8596" xr:uid="{00000000-0005-0000-0000-00007F210000}"/>
    <cellStyle name="Dane wejściowe 2 15 43 3" xfId="8597" xr:uid="{00000000-0005-0000-0000-000080210000}"/>
    <cellStyle name="Dane wejściowe 2 15 44" xfId="8598" xr:uid="{00000000-0005-0000-0000-000081210000}"/>
    <cellStyle name="Dane wejściowe 2 15 44 2" xfId="8599" xr:uid="{00000000-0005-0000-0000-000082210000}"/>
    <cellStyle name="Dane wejściowe 2 15 44 3" xfId="8600" xr:uid="{00000000-0005-0000-0000-000083210000}"/>
    <cellStyle name="Dane wejściowe 2 15 45" xfId="8601" xr:uid="{00000000-0005-0000-0000-000084210000}"/>
    <cellStyle name="Dane wejściowe 2 15 45 2" xfId="8602" xr:uid="{00000000-0005-0000-0000-000085210000}"/>
    <cellStyle name="Dane wejściowe 2 15 45 3" xfId="8603" xr:uid="{00000000-0005-0000-0000-000086210000}"/>
    <cellStyle name="Dane wejściowe 2 15 46" xfId="8604" xr:uid="{00000000-0005-0000-0000-000087210000}"/>
    <cellStyle name="Dane wejściowe 2 15 46 2" xfId="8605" xr:uid="{00000000-0005-0000-0000-000088210000}"/>
    <cellStyle name="Dane wejściowe 2 15 46 3" xfId="8606" xr:uid="{00000000-0005-0000-0000-000089210000}"/>
    <cellStyle name="Dane wejściowe 2 15 47" xfId="8607" xr:uid="{00000000-0005-0000-0000-00008A210000}"/>
    <cellStyle name="Dane wejściowe 2 15 47 2" xfId="8608" xr:uid="{00000000-0005-0000-0000-00008B210000}"/>
    <cellStyle name="Dane wejściowe 2 15 47 3" xfId="8609" xr:uid="{00000000-0005-0000-0000-00008C210000}"/>
    <cellStyle name="Dane wejściowe 2 15 48" xfId="8610" xr:uid="{00000000-0005-0000-0000-00008D210000}"/>
    <cellStyle name="Dane wejściowe 2 15 48 2" xfId="8611" xr:uid="{00000000-0005-0000-0000-00008E210000}"/>
    <cellStyle name="Dane wejściowe 2 15 48 3" xfId="8612" xr:uid="{00000000-0005-0000-0000-00008F210000}"/>
    <cellStyle name="Dane wejściowe 2 15 49" xfId="8613" xr:uid="{00000000-0005-0000-0000-000090210000}"/>
    <cellStyle name="Dane wejściowe 2 15 49 2" xfId="8614" xr:uid="{00000000-0005-0000-0000-000091210000}"/>
    <cellStyle name="Dane wejściowe 2 15 49 3" xfId="8615" xr:uid="{00000000-0005-0000-0000-000092210000}"/>
    <cellStyle name="Dane wejściowe 2 15 5" xfId="8616" xr:uid="{00000000-0005-0000-0000-000093210000}"/>
    <cellStyle name="Dane wejściowe 2 15 5 2" xfId="8617" xr:uid="{00000000-0005-0000-0000-000094210000}"/>
    <cellStyle name="Dane wejściowe 2 15 5 3" xfId="8618" xr:uid="{00000000-0005-0000-0000-000095210000}"/>
    <cellStyle name="Dane wejściowe 2 15 5 4" xfId="8619" xr:uid="{00000000-0005-0000-0000-000096210000}"/>
    <cellStyle name="Dane wejściowe 2 15 50" xfId="8620" xr:uid="{00000000-0005-0000-0000-000097210000}"/>
    <cellStyle name="Dane wejściowe 2 15 50 2" xfId="8621" xr:uid="{00000000-0005-0000-0000-000098210000}"/>
    <cellStyle name="Dane wejściowe 2 15 50 3" xfId="8622" xr:uid="{00000000-0005-0000-0000-000099210000}"/>
    <cellStyle name="Dane wejściowe 2 15 51" xfId="8623" xr:uid="{00000000-0005-0000-0000-00009A210000}"/>
    <cellStyle name="Dane wejściowe 2 15 51 2" xfId="8624" xr:uid="{00000000-0005-0000-0000-00009B210000}"/>
    <cellStyle name="Dane wejściowe 2 15 51 3" xfId="8625" xr:uid="{00000000-0005-0000-0000-00009C210000}"/>
    <cellStyle name="Dane wejściowe 2 15 52" xfId="8626" xr:uid="{00000000-0005-0000-0000-00009D210000}"/>
    <cellStyle name="Dane wejściowe 2 15 52 2" xfId="8627" xr:uid="{00000000-0005-0000-0000-00009E210000}"/>
    <cellStyle name="Dane wejściowe 2 15 52 3" xfId="8628" xr:uid="{00000000-0005-0000-0000-00009F210000}"/>
    <cellStyle name="Dane wejściowe 2 15 53" xfId="8629" xr:uid="{00000000-0005-0000-0000-0000A0210000}"/>
    <cellStyle name="Dane wejściowe 2 15 53 2" xfId="8630" xr:uid="{00000000-0005-0000-0000-0000A1210000}"/>
    <cellStyle name="Dane wejściowe 2 15 53 3" xfId="8631" xr:uid="{00000000-0005-0000-0000-0000A2210000}"/>
    <cellStyle name="Dane wejściowe 2 15 54" xfId="8632" xr:uid="{00000000-0005-0000-0000-0000A3210000}"/>
    <cellStyle name="Dane wejściowe 2 15 54 2" xfId="8633" xr:uid="{00000000-0005-0000-0000-0000A4210000}"/>
    <cellStyle name="Dane wejściowe 2 15 54 3" xfId="8634" xr:uid="{00000000-0005-0000-0000-0000A5210000}"/>
    <cellStyle name="Dane wejściowe 2 15 55" xfId="8635" xr:uid="{00000000-0005-0000-0000-0000A6210000}"/>
    <cellStyle name="Dane wejściowe 2 15 55 2" xfId="8636" xr:uid="{00000000-0005-0000-0000-0000A7210000}"/>
    <cellStyle name="Dane wejściowe 2 15 55 3" xfId="8637" xr:uid="{00000000-0005-0000-0000-0000A8210000}"/>
    <cellStyle name="Dane wejściowe 2 15 56" xfId="8638" xr:uid="{00000000-0005-0000-0000-0000A9210000}"/>
    <cellStyle name="Dane wejściowe 2 15 56 2" xfId="8639" xr:uid="{00000000-0005-0000-0000-0000AA210000}"/>
    <cellStyle name="Dane wejściowe 2 15 56 3" xfId="8640" xr:uid="{00000000-0005-0000-0000-0000AB210000}"/>
    <cellStyle name="Dane wejściowe 2 15 57" xfId="8641" xr:uid="{00000000-0005-0000-0000-0000AC210000}"/>
    <cellStyle name="Dane wejściowe 2 15 58" xfId="8642" xr:uid="{00000000-0005-0000-0000-0000AD210000}"/>
    <cellStyle name="Dane wejściowe 2 15 6" xfId="8643" xr:uid="{00000000-0005-0000-0000-0000AE210000}"/>
    <cellStyle name="Dane wejściowe 2 15 6 2" xfId="8644" xr:uid="{00000000-0005-0000-0000-0000AF210000}"/>
    <cellStyle name="Dane wejściowe 2 15 6 3" xfId="8645" xr:uid="{00000000-0005-0000-0000-0000B0210000}"/>
    <cellStyle name="Dane wejściowe 2 15 6 4" xfId="8646" xr:uid="{00000000-0005-0000-0000-0000B1210000}"/>
    <cellStyle name="Dane wejściowe 2 15 7" xfId="8647" xr:uid="{00000000-0005-0000-0000-0000B2210000}"/>
    <cellStyle name="Dane wejściowe 2 15 7 2" xfId="8648" xr:uid="{00000000-0005-0000-0000-0000B3210000}"/>
    <cellStyle name="Dane wejściowe 2 15 7 3" xfId="8649" xr:uid="{00000000-0005-0000-0000-0000B4210000}"/>
    <cellStyle name="Dane wejściowe 2 15 7 4" xfId="8650" xr:uid="{00000000-0005-0000-0000-0000B5210000}"/>
    <cellStyle name="Dane wejściowe 2 15 8" xfId="8651" xr:uid="{00000000-0005-0000-0000-0000B6210000}"/>
    <cellStyle name="Dane wejściowe 2 15 8 2" xfId="8652" xr:uid="{00000000-0005-0000-0000-0000B7210000}"/>
    <cellStyle name="Dane wejściowe 2 15 8 3" xfId="8653" xr:uid="{00000000-0005-0000-0000-0000B8210000}"/>
    <cellStyle name="Dane wejściowe 2 15 8 4" xfId="8654" xr:uid="{00000000-0005-0000-0000-0000B9210000}"/>
    <cellStyle name="Dane wejściowe 2 15 9" xfId="8655" xr:uid="{00000000-0005-0000-0000-0000BA210000}"/>
    <cellStyle name="Dane wejściowe 2 15 9 2" xfId="8656" xr:uid="{00000000-0005-0000-0000-0000BB210000}"/>
    <cellStyle name="Dane wejściowe 2 15 9 3" xfId="8657" xr:uid="{00000000-0005-0000-0000-0000BC210000}"/>
    <cellStyle name="Dane wejściowe 2 15 9 4" xfId="8658" xr:uid="{00000000-0005-0000-0000-0000BD210000}"/>
    <cellStyle name="Dane wejściowe 2 16" xfId="8659" xr:uid="{00000000-0005-0000-0000-0000BE210000}"/>
    <cellStyle name="Dane wejściowe 2 16 10" xfId="8660" xr:uid="{00000000-0005-0000-0000-0000BF210000}"/>
    <cellStyle name="Dane wejściowe 2 16 10 2" xfId="8661" xr:uid="{00000000-0005-0000-0000-0000C0210000}"/>
    <cellStyle name="Dane wejściowe 2 16 10 3" xfId="8662" xr:uid="{00000000-0005-0000-0000-0000C1210000}"/>
    <cellStyle name="Dane wejściowe 2 16 10 4" xfId="8663" xr:uid="{00000000-0005-0000-0000-0000C2210000}"/>
    <cellStyle name="Dane wejściowe 2 16 11" xfId="8664" xr:uid="{00000000-0005-0000-0000-0000C3210000}"/>
    <cellStyle name="Dane wejściowe 2 16 11 2" xfId="8665" xr:uid="{00000000-0005-0000-0000-0000C4210000}"/>
    <cellStyle name="Dane wejściowe 2 16 11 3" xfId="8666" xr:uid="{00000000-0005-0000-0000-0000C5210000}"/>
    <cellStyle name="Dane wejściowe 2 16 11 4" xfId="8667" xr:uid="{00000000-0005-0000-0000-0000C6210000}"/>
    <cellStyle name="Dane wejściowe 2 16 12" xfId="8668" xr:uid="{00000000-0005-0000-0000-0000C7210000}"/>
    <cellStyle name="Dane wejściowe 2 16 12 2" xfId="8669" xr:uid="{00000000-0005-0000-0000-0000C8210000}"/>
    <cellStyle name="Dane wejściowe 2 16 12 3" xfId="8670" xr:uid="{00000000-0005-0000-0000-0000C9210000}"/>
    <cellStyle name="Dane wejściowe 2 16 12 4" xfId="8671" xr:uid="{00000000-0005-0000-0000-0000CA210000}"/>
    <cellStyle name="Dane wejściowe 2 16 13" xfId="8672" xr:uid="{00000000-0005-0000-0000-0000CB210000}"/>
    <cellStyle name="Dane wejściowe 2 16 13 2" xfId="8673" xr:uid="{00000000-0005-0000-0000-0000CC210000}"/>
    <cellStyle name="Dane wejściowe 2 16 13 3" xfId="8674" xr:uid="{00000000-0005-0000-0000-0000CD210000}"/>
    <cellStyle name="Dane wejściowe 2 16 13 4" xfId="8675" xr:uid="{00000000-0005-0000-0000-0000CE210000}"/>
    <cellStyle name="Dane wejściowe 2 16 14" xfId="8676" xr:uid="{00000000-0005-0000-0000-0000CF210000}"/>
    <cellStyle name="Dane wejściowe 2 16 14 2" xfId="8677" xr:uid="{00000000-0005-0000-0000-0000D0210000}"/>
    <cellStyle name="Dane wejściowe 2 16 14 3" xfId="8678" xr:uid="{00000000-0005-0000-0000-0000D1210000}"/>
    <cellStyle name="Dane wejściowe 2 16 14 4" xfId="8679" xr:uid="{00000000-0005-0000-0000-0000D2210000}"/>
    <cellStyle name="Dane wejściowe 2 16 15" xfId="8680" xr:uid="{00000000-0005-0000-0000-0000D3210000}"/>
    <cellStyle name="Dane wejściowe 2 16 15 2" xfId="8681" xr:uid="{00000000-0005-0000-0000-0000D4210000}"/>
    <cellStyle name="Dane wejściowe 2 16 15 3" xfId="8682" xr:uid="{00000000-0005-0000-0000-0000D5210000}"/>
    <cellStyle name="Dane wejściowe 2 16 15 4" xfId="8683" xr:uid="{00000000-0005-0000-0000-0000D6210000}"/>
    <cellStyle name="Dane wejściowe 2 16 16" xfId="8684" xr:uid="{00000000-0005-0000-0000-0000D7210000}"/>
    <cellStyle name="Dane wejściowe 2 16 16 2" xfId="8685" xr:uid="{00000000-0005-0000-0000-0000D8210000}"/>
    <cellStyle name="Dane wejściowe 2 16 16 3" xfId="8686" xr:uid="{00000000-0005-0000-0000-0000D9210000}"/>
    <cellStyle name="Dane wejściowe 2 16 16 4" xfId="8687" xr:uid="{00000000-0005-0000-0000-0000DA210000}"/>
    <cellStyle name="Dane wejściowe 2 16 17" xfId="8688" xr:uid="{00000000-0005-0000-0000-0000DB210000}"/>
    <cellStyle name="Dane wejściowe 2 16 17 2" xfId="8689" xr:uid="{00000000-0005-0000-0000-0000DC210000}"/>
    <cellStyle name="Dane wejściowe 2 16 17 3" xfId="8690" xr:uid="{00000000-0005-0000-0000-0000DD210000}"/>
    <cellStyle name="Dane wejściowe 2 16 17 4" xfId="8691" xr:uid="{00000000-0005-0000-0000-0000DE210000}"/>
    <cellStyle name="Dane wejściowe 2 16 18" xfId="8692" xr:uid="{00000000-0005-0000-0000-0000DF210000}"/>
    <cellStyle name="Dane wejściowe 2 16 18 2" xfId="8693" xr:uid="{00000000-0005-0000-0000-0000E0210000}"/>
    <cellStyle name="Dane wejściowe 2 16 18 3" xfId="8694" xr:uid="{00000000-0005-0000-0000-0000E1210000}"/>
    <cellStyle name="Dane wejściowe 2 16 18 4" xfId="8695" xr:uid="{00000000-0005-0000-0000-0000E2210000}"/>
    <cellStyle name="Dane wejściowe 2 16 19" xfId="8696" xr:uid="{00000000-0005-0000-0000-0000E3210000}"/>
    <cellStyle name="Dane wejściowe 2 16 19 2" xfId="8697" xr:uid="{00000000-0005-0000-0000-0000E4210000}"/>
    <cellStyle name="Dane wejściowe 2 16 19 3" xfId="8698" xr:uid="{00000000-0005-0000-0000-0000E5210000}"/>
    <cellStyle name="Dane wejściowe 2 16 19 4" xfId="8699" xr:uid="{00000000-0005-0000-0000-0000E6210000}"/>
    <cellStyle name="Dane wejściowe 2 16 2" xfId="8700" xr:uid="{00000000-0005-0000-0000-0000E7210000}"/>
    <cellStyle name="Dane wejściowe 2 16 2 2" xfId="8701" xr:uid="{00000000-0005-0000-0000-0000E8210000}"/>
    <cellStyle name="Dane wejściowe 2 16 2 3" xfId="8702" xr:uid="{00000000-0005-0000-0000-0000E9210000}"/>
    <cellStyle name="Dane wejściowe 2 16 2 4" xfId="8703" xr:uid="{00000000-0005-0000-0000-0000EA210000}"/>
    <cellStyle name="Dane wejściowe 2 16 20" xfId="8704" xr:uid="{00000000-0005-0000-0000-0000EB210000}"/>
    <cellStyle name="Dane wejściowe 2 16 20 2" xfId="8705" xr:uid="{00000000-0005-0000-0000-0000EC210000}"/>
    <cellStyle name="Dane wejściowe 2 16 20 3" xfId="8706" xr:uid="{00000000-0005-0000-0000-0000ED210000}"/>
    <cellStyle name="Dane wejściowe 2 16 20 4" xfId="8707" xr:uid="{00000000-0005-0000-0000-0000EE210000}"/>
    <cellStyle name="Dane wejściowe 2 16 21" xfId="8708" xr:uid="{00000000-0005-0000-0000-0000EF210000}"/>
    <cellStyle name="Dane wejściowe 2 16 21 2" xfId="8709" xr:uid="{00000000-0005-0000-0000-0000F0210000}"/>
    <cellStyle name="Dane wejściowe 2 16 21 3" xfId="8710" xr:uid="{00000000-0005-0000-0000-0000F1210000}"/>
    <cellStyle name="Dane wejściowe 2 16 22" xfId="8711" xr:uid="{00000000-0005-0000-0000-0000F2210000}"/>
    <cellStyle name="Dane wejściowe 2 16 22 2" xfId="8712" xr:uid="{00000000-0005-0000-0000-0000F3210000}"/>
    <cellStyle name="Dane wejściowe 2 16 22 3" xfId="8713" xr:uid="{00000000-0005-0000-0000-0000F4210000}"/>
    <cellStyle name="Dane wejściowe 2 16 23" xfId="8714" xr:uid="{00000000-0005-0000-0000-0000F5210000}"/>
    <cellStyle name="Dane wejściowe 2 16 23 2" xfId="8715" xr:uid="{00000000-0005-0000-0000-0000F6210000}"/>
    <cellStyle name="Dane wejściowe 2 16 23 3" xfId="8716" xr:uid="{00000000-0005-0000-0000-0000F7210000}"/>
    <cellStyle name="Dane wejściowe 2 16 24" xfId="8717" xr:uid="{00000000-0005-0000-0000-0000F8210000}"/>
    <cellStyle name="Dane wejściowe 2 16 24 2" xfId="8718" xr:uid="{00000000-0005-0000-0000-0000F9210000}"/>
    <cellStyle name="Dane wejściowe 2 16 24 3" xfId="8719" xr:uid="{00000000-0005-0000-0000-0000FA210000}"/>
    <cellStyle name="Dane wejściowe 2 16 25" xfId="8720" xr:uid="{00000000-0005-0000-0000-0000FB210000}"/>
    <cellStyle name="Dane wejściowe 2 16 25 2" xfId="8721" xr:uid="{00000000-0005-0000-0000-0000FC210000}"/>
    <cellStyle name="Dane wejściowe 2 16 25 3" xfId="8722" xr:uid="{00000000-0005-0000-0000-0000FD210000}"/>
    <cellStyle name="Dane wejściowe 2 16 26" xfId="8723" xr:uid="{00000000-0005-0000-0000-0000FE210000}"/>
    <cellStyle name="Dane wejściowe 2 16 26 2" xfId="8724" xr:uid="{00000000-0005-0000-0000-0000FF210000}"/>
    <cellStyle name="Dane wejściowe 2 16 26 3" xfId="8725" xr:uid="{00000000-0005-0000-0000-000000220000}"/>
    <cellStyle name="Dane wejściowe 2 16 27" xfId="8726" xr:uid="{00000000-0005-0000-0000-000001220000}"/>
    <cellStyle name="Dane wejściowe 2 16 27 2" xfId="8727" xr:uid="{00000000-0005-0000-0000-000002220000}"/>
    <cellStyle name="Dane wejściowe 2 16 27 3" xfId="8728" xr:uid="{00000000-0005-0000-0000-000003220000}"/>
    <cellStyle name="Dane wejściowe 2 16 28" xfId="8729" xr:uid="{00000000-0005-0000-0000-000004220000}"/>
    <cellStyle name="Dane wejściowe 2 16 28 2" xfId="8730" xr:uid="{00000000-0005-0000-0000-000005220000}"/>
    <cellStyle name="Dane wejściowe 2 16 28 3" xfId="8731" xr:uid="{00000000-0005-0000-0000-000006220000}"/>
    <cellStyle name="Dane wejściowe 2 16 29" xfId="8732" xr:uid="{00000000-0005-0000-0000-000007220000}"/>
    <cellStyle name="Dane wejściowe 2 16 29 2" xfId="8733" xr:uid="{00000000-0005-0000-0000-000008220000}"/>
    <cellStyle name="Dane wejściowe 2 16 29 3" xfId="8734" xr:uid="{00000000-0005-0000-0000-000009220000}"/>
    <cellStyle name="Dane wejściowe 2 16 3" xfId="8735" xr:uid="{00000000-0005-0000-0000-00000A220000}"/>
    <cellStyle name="Dane wejściowe 2 16 3 2" xfId="8736" xr:uid="{00000000-0005-0000-0000-00000B220000}"/>
    <cellStyle name="Dane wejściowe 2 16 3 3" xfId="8737" xr:uid="{00000000-0005-0000-0000-00000C220000}"/>
    <cellStyle name="Dane wejściowe 2 16 3 4" xfId="8738" xr:uid="{00000000-0005-0000-0000-00000D220000}"/>
    <cellStyle name="Dane wejściowe 2 16 30" xfId="8739" xr:uid="{00000000-0005-0000-0000-00000E220000}"/>
    <cellStyle name="Dane wejściowe 2 16 30 2" xfId="8740" xr:uid="{00000000-0005-0000-0000-00000F220000}"/>
    <cellStyle name="Dane wejściowe 2 16 30 3" xfId="8741" xr:uid="{00000000-0005-0000-0000-000010220000}"/>
    <cellStyle name="Dane wejściowe 2 16 31" xfId="8742" xr:uid="{00000000-0005-0000-0000-000011220000}"/>
    <cellStyle name="Dane wejściowe 2 16 31 2" xfId="8743" xr:uid="{00000000-0005-0000-0000-000012220000}"/>
    <cellStyle name="Dane wejściowe 2 16 31 3" xfId="8744" xr:uid="{00000000-0005-0000-0000-000013220000}"/>
    <cellStyle name="Dane wejściowe 2 16 32" xfId="8745" xr:uid="{00000000-0005-0000-0000-000014220000}"/>
    <cellStyle name="Dane wejściowe 2 16 32 2" xfId="8746" xr:uid="{00000000-0005-0000-0000-000015220000}"/>
    <cellStyle name="Dane wejściowe 2 16 32 3" xfId="8747" xr:uid="{00000000-0005-0000-0000-000016220000}"/>
    <cellStyle name="Dane wejściowe 2 16 33" xfId="8748" xr:uid="{00000000-0005-0000-0000-000017220000}"/>
    <cellStyle name="Dane wejściowe 2 16 33 2" xfId="8749" xr:uid="{00000000-0005-0000-0000-000018220000}"/>
    <cellStyle name="Dane wejściowe 2 16 33 3" xfId="8750" xr:uid="{00000000-0005-0000-0000-000019220000}"/>
    <cellStyle name="Dane wejściowe 2 16 34" xfId="8751" xr:uid="{00000000-0005-0000-0000-00001A220000}"/>
    <cellStyle name="Dane wejściowe 2 16 34 2" xfId="8752" xr:uid="{00000000-0005-0000-0000-00001B220000}"/>
    <cellStyle name="Dane wejściowe 2 16 34 3" xfId="8753" xr:uid="{00000000-0005-0000-0000-00001C220000}"/>
    <cellStyle name="Dane wejściowe 2 16 35" xfId="8754" xr:uid="{00000000-0005-0000-0000-00001D220000}"/>
    <cellStyle name="Dane wejściowe 2 16 35 2" xfId="8755" xr:uid="{00000000-0005-0000-0000-00001E220000}"/>
    <cellStyle name="Dane wejściowe 2 16 35 3" xfId="8756" xr:uid="{00000000-0005-0000-0000-00001F220000}"/>
    <cellStyle name="Dane wejściowe 2 16 36" xfId="8757" xr:uid="{00000000-0005-0000-0000-000020220000}"/>
    <cellStyle name="Dane wejściowe 2 16 36 2" xfId="8758" xr:uid="{00000000-0005-0000-0000-000021220000}"/>
    <cellStyle name="Dane wejściowe 2 16 36 3" xfId="8759" xr:uid="{00000000-0005-0000-0000-000022220000}"/>
    <cellStyle name="Dane wejściowe 2 16 37" xfId="8760" xr:uid="{00000000-0005-0000-0000-000023220000}"/>
    <cellStyle name="Dane wejściowe 2 16 37 2" xfId="8761" xr:uid="{00000000-0005-0000-0000-000024220000}"/>
    <cellStyle name="Dane wejściowe 2 16 37 3" xfId="8762" xr:uid="{00000000-0005-0000-0000-000025220000}"/>
    <cellStyle name="Dane wejściowe 2 16 38" xfId="8763" xr:uid="{00000000-0005-0000-0000-000026220000}"/>
    <cellStyle name="Dane wejściowe 2 16 38 2" xfId="8764" xr:uid="{00000000-0005-0000-0000-000027220000}"/>
    <cellStyle name="Dane wejściowe 2 16 38 3" xfId="8765" xr:uid="{00000000-0005-0000-0000-000028220000}"/>
    <cellStyle name="Dane wejściowe 2 16 39" xfId="8766" xr:uid="{00000000-0005-0000-0000-000029220000}"/>
    <cellStyle name="Dane wejściowe 2 16 39 2" xfId="8767" xr:uid="{00000000-0005-0000-0000-00002A220000}"/>
    <cellStyle name="Dane wejściowe 2 16 39 3" xfId="8768" xr:uid="{00000000-0005-0000-0000-00002B220000}"/>
    <cellStyle name="Dane wejściowe 2 16 4" xfId="8769" xr:uid="{00000000-0005-0000-0000-00002C220000}"/>
    <cellStyle name="Dane wejściowe 2 16 4 2" xfId="8770" xr:uid="{00000000-0005-0000-0000-00002D220000}"/>
    <cellStyle name="Dane wejściowe 2 16 4 3" xfId="8771" xr:uid="{00000000-0005-0000-0000-00002E220000}"/>
    <cellStyle name="Dane wejściowe 2 16 4 4" xfId="8772" xr:uid="{00000000-0005-0000-0000-00002F220000}"/>
    <cellStyle name="Dane wejściowe 2 16 40" xfId="8773" xr:uid="{00000000-0005-0000-0000-000030220000}"/>
    <cellStyle name="Dane wejściowe 2 16 40 2" xfId="8774" xr:uid="{00000000-0005-0000-0000-000031220000}"/>
    <cellStyle name="Dane wejściowe 2 16 40 3" xfId="8775" xr:uid="{00000000-0005-0000-0000-000032220000}"/>
    <cellStyle name="Dane wejściowe 2 16 41" xfId="8776" xr:uid="{00000000-0005-0000-0000-000033220000}"/>
    <cellStyle name="Dane wejściowe 2 16 41 2" xfId="8777" xr:uid="{00000000-0005-0000-0000-000034220000}"/>
    <cellStyle name="Dane wejściowe 2 16 41 3" xfId="8778" xr:uid="{00000000-0005-0000-0000-000035220000}"/>
    <cellStyle name="Dane wejściowe 2 16 42" xfId="8779" xr:uid="{00000000-0005-0000-0000-000036220000}"/>
    <cellStyle name="Dane wejściowe 2 16 42 2" xfId="8780" xr:uid="{00000000-0005-0000-0000-000037220000}"/>
    <cellStyle name="Dane wejściowe 2 16 42 3" xfId="8781" xr:uid="{00000000-0005-0000-0000-000038220000}"/>
    <cellStyle name="Dane wejściowe 2 16 43" xfId="8782" xr:uid="{00000000-0005-0000-0000-000039220000}"/>
    <cellStyle name="Dane wejściowe 2 16 43 2" xfId="8783" xr:uid="{00000000-0005-0000-0000-00003A220000}"/>
    <cellStyle name="Dane wejściowe 2 16 43 3" xfId="8784" xr:uid="{00000000-0005-0000-0000-00003B220000}"/>
    <cellStyle name="Dane wejściowe 2 16 44" xfId="8785" xr:uid="{00000000-0005-0000-0000-00003C220000}"/>
    <cellStyle name="Dane wejściowe 2 16 44 2" xfId="8786" xr:uid="{00000000-0005-0000-0000-00003D220000}"/>
    <cellStyle name="Dane wejściowe 2 16 44 3" xfId="8787" xr:uid="{00000000-0005-0000-0000-00003E220000}"/>
    <cellStyle name="Dane wejściowe 2 16 45" xfId="8788" xr:uid="{00000000-0005-0000-0000-00003F220000}"/>
    <cellStyle name="Dane wejściowe 2 16 45 2" xfId="8789" xr:uid="{00000000-0005-0000-0000-000040220000}"/>
    <cellStyle name="Dane wejściowe 2 16 45 3" xfId="8790" xr:uid="{00000000-0005-0000-0000-000041220000}"/>
    <cellStyle name="Dane wejściowe 2 16 46" xfId="8791" xr:uid="{00000000-0005-0000-0000-000042220000}"/>
    <cellStyle name="Dane wejściowe 2 16 46 2" xfId="8792" xr:uid="{00000000-0005-0000-0000-000043220000}"/>
    <cellStyle name="Dane wejściowe 2 16 46 3" xfId="8793" xr:uid="{00000000-0005-0000-0000-000044220000}"/>
    <cellStyle name="Dane wejściowe 2 16 47" xfId="8794" xr:uid="{00000000-0005-0000-0000-000045220000}"/>
    <cellStyle name="Dane wejściowe 2 16 47 2" xfId="8795" xr:uid="{00000000-0005-0000-0000-000046220000}"/>
    <cellStyle name="Dane wejściowe 2 16 47 3" xfId="8796" xr:uid="{00000000-0005-0000-0000-000047220000}"/>
    <cellStyle name="Dane wejściowe 2 16 48" xfId="8797" xr:uid="{00000000-0005-0000-0000-000048220000}"/>
    <cellStyle name="Dane wejściowe 2 16 48 2" xfId="8798" xr:uid="{00000000-0005-0000-0000-000049220000}"/>
    <cellStyle name="Dane wejściowe 2 16 48 3" xfId="8799" xr:uid="{00000000-0005-0000-0000-00004A220000}"/>
    <cellStyle name="Dane wejściowe 2 16 49" xfId="8800" xr:uid="{00000000-0005-0000-0000-00004B220000}"/>
    <cellStyle name="Dane wejściowe 2 16 49 2" xfId="8801" xr:uid="{00000000-0005-0000-0000-00004C220000}"/>
    <cellStyle name="Dane wejściowe 2 16 49 3" xfId="8802" xr:uid="{00000000-0005-0000-0000-00004D220000}"/>
    <cellStyle name="Dane wejściowe 2 16 5" xfId="8803" xr:uid="{00000000-0005-0000-0000-00004E220000}"/>
    <cellStyle name="Dane wejściowe 2 16 5 2" xfId="8804" xr:uid="{00000000-0005-0000-0000-00004F220000}"/>
    <cellStyle name="Dane wejściowe 2 16 5 3" xfId="8805" xr:uid="{00000000-0005-0000-0000-000050220000}"/>
    <cellStyle name="Dane wejściowe 2 16 5 4" xfId="8806" xr:uid="{00000000-0005-0000-0000-000051220000}"/>
    <cellStyle name="Dane wejściowe 2 16 50" xfId="8807" xr:uid="{00000000-0005-0000-0000-000052220000}"/>
    <cellStyle name="Dane wejściowe 2 16 50 2" xfId="8808" xr:uid="{00000000-0005-0000-0000-000053220000}"/>
    <cellStyle name="Dane wejściowe 2 16 50 3" xfId="8809" xr:uid="{00000000-0005-0000-0000-000054220000}"/>
    <cellStyle name="Dane wejściowe 2 16 51" xfId="8810" xr:uid="{00000000-0005-0000-0000-000055220000}"/>
    <cellStyle name="Dane wejściowe 2 16 51 2" xfId="8811" xr:uid="{00000000-0005-0000-0000-000056220000}"/>
    <cellStyle name="Dane wejściowe 2 16 51 3" xfId="8812" xr:uid="{00000000-0005-0000-0000-000057220000}"/>
    <cellStyle name="Dane wejściowe 2 16 52" xfId="8813" xr:uid="{00000000-0005-0000-0000-000058220000}"/>
    <cellStyle name="Dane wejściowe 2 16 52 2" xfId="8814" xr:uid="{00000000-0005-0000-0000-000059220000}"/>
    <cellStyle name="Dane wejściowe 2 16 52 3" xfId="8815" xr:uid="{00000000-0005-0000-0000-00005A220000}"/>
    <cellStyle name="Dane wejściowe 2 16 53" xfId="8816" xr:uid="{00000000-0005-0000-0000-00005B220000}"/>
    <cellStyle name="Dane wejściowe 2 16 53 2" xfId="8817" xr:uid="{00000000-0005-0000-0000-00005C220000}"/>
    <cellStyle name="Dane wejściowe 2 16 53 3" xfId="8818" xr:uid="{00000000-0005-0000-0000-00005D220000}"/>
    <cellStyle name="Dane wejściowe 2 16 54" xfId="8819" xr:uid="{00000000-0005-0000-0000-00005E220000}"/>
    <cellStyle name="Dane wejściowe 2 16 54 2" xfId="8820" xr:uid="{00000000-0005-0000-0000-00005F220000}"/>
    <cellStyle name="Dane wejściowe 2 16 54 3" xfId="8821" xr:uid="{00000000-0005-0000-0000-000060220000}"/>
    <cellStyle name="Dane wejściowe 2 16 55" xfId="8822" xr:uid="{00000000-0005-0000-0000-000061220000}"/>
    <cellStyle name="Dane wejściowe 2 16 55 2" xfId="8823" xr:uid="{00000000-0005-0000-0000-000062220000}"/>
    <cellStyle name="Dane wejściowe 2 16 55 3" xfId="8824" xr:uid="{00000000-0005-0000-0000-000063220000}"/>
    <cellStyle name="Dane wejściowe 2 16 56" xfId="8825" xr:uid="{00000000-0005-0000-0000-000064220000}"/>
    <cellStyle name="Dane wejściowe 2 16 56 2" xfId="8826" xr:uid="{00000000-0005-0000-0000-000065220000}"/>
    <cellStyle name="Dane wejściowe 2 16 56 3" xfId="8827" xr:uid="{00000000-0005-0000-0000-000066220000}"/>
    <cellStyle name="Dane wejściowe 2 16 57" xfId="8828" xr:uid="{00000000-0005-0000-0000-000067220000}"/>
    <cellStyle name="Dane wejściowe 2 16 58" xfId="8829" xr:uid="{00000000-0005-0000-0000-000068220000}"/>
    <cellStyle name="Dane wejściowe 2 16 6" xfId="8830" xr:uid="{00000000-0005-0000-0000-000069220000}"/>
    <cellStyle name="Dane wejściowe 2 16 6 2" xfId="8831" xr:uid="{00000000-0005-0000-0000-00006A220000}"/>
    <cellStyle name="Dane wejściowe 2 16 6 3" xfId="8832" xr:uid="{00000000-0005-0000-0000-00006B220000}"/>
    <cellStyle name="Dane wejściowe 2 16 6 4" xfId="8833" xr:uid="{00000000-0005-0000-0000-00006C220000}"/>
    <cellStyle name="Dane wejściowe 2 16 7" xfId="8834" xr:uid="{00000000-0005-0000-0000-00006D220000}"/>
    <cellStyle name="Dane wejściowe 2 16 7 2" xfId="8835" xr:uid="{00000000-0005-0000-0000-00006E220000}"/>
    <cellStyle name="Dane wejściowe 2 16 7 3" xfId="8836" xr:uid="{00000000-0005-0000-0000-00006F220000}"/>
    <cellStyle name="Dane wejściowe 2 16 7 4" xfId="8837" xr:uid="{00000000-0005-0000-0000-000070220000}"/>
    <cellStyle name="Dane wejściowe 2 16 8" xfId="8838" xr:uid="{00000000-0005-0000-0000-000071220000}"/>
    <cellStyle name="Dane wejściowe 2 16 8 2" xfId="8839" xr:uid="{00000000-0005-0000-0000-000072220000}"/>
    <cellStyle name="Dane wejściowe 2 16 8 3" xfId="8840" xr:uid="{00000000-0005-0000-0000-000073220000}"/>
    <cellStyle name="Dane wejściowe 2 16 8 4" xfId="8841" xr:uid="{00000000-0005-0000-0000-000074220000}"/>
    <cellStyle name="Dane wejściowe 2 16 9" xfId="8842" xr:uid="{00000000-0005-0000-0000-000075220000}"/>
    <cellStyle name="Dane wejściowe 2 16 9 2" xfId="8843" xr:uid="{00000000-0005-0000-0000-000076220000}"/>
    <cellStyle name="Dane wejściowe 2 16 9 3" xfId="8844" xr:uid="{00000000-0005-0000-0000-000077220000}"/>
    <cellStyle name="Dane wejściowe 2 16 9 4" xfId="8845" xr:uid="{00000000-0005-0000-0000-000078220000}"/>
    <cellStyle name="Dane wejściowe 2 17" xfId="8846" xr:uid="{00000000-0005-0000-0000-000079220000}"/>
    <cellStyle name="Dane wejściowe 2 17 10" xfId="8847" xr:uid="{00000000-0005-0000-0000-00007A220000}"/>
    <cellStyle name="Dane wejściowe 2 17 10 2" xfId="8848" xr:uid="{00000000-0005-0000-0000-00007B220000}"/>
    <cellStyle name="Dane wejściowe 2 17 10 3" xfId="8849" xr:uid="{00000000-0005-0000-0000-00007C220000}"/>
    <cellStyle name="Dane wejściowe 2 17 10 4" xfId="8850" xr:uid="{00000000-0005-0000-0000-00007D220000}"/>
    <cellStyle name="Dane wejściowe 2 17 11" xfId="8851" xr:uid="{00000000-0005-0000-0000-00007E220000}"/>
    <cellStyle name="Dane wejściowe 2 17 11 2" xfId="8852" xr:uid="{00000000-0005-0000-0000-00007F220000}"/>
    <cellStyle name="Dane wejściowe 2 17 11 3" xfId="8853" xr:uid="{00000000-0005-0000-0000-000080220000}"/>
    <cellStyle name="Dane wejściowe 2 17 11 4" xfId="8854" xr:uid="{00000000-0005-0000-0000-000081220000}"/>
    <cellStyle name="Dane wejściowe 2 17 12" xfId="8855" xr:uid="{00000000-0005-0000-0000-000082220000}"/>
    <cellStyle name="Dane wejściowe 2 17 12 2" xfId="8856" xr:uid="{00000000-0005-0000-0000-000083220000}"/>
    <cellStyle name="Dane wejściowe 2 17 12 3" xfId="8857" xr:uid="{00000000-0005-0000-0000-000084220000}"/>
    <cellStyle name="Dane wejściowe 2 17 12 4" xfId="8858" xr:uid="{00000000-0005-0000-0000-000085220000}"/>
    <cellStyle name="Dane wejściowe 2 17 13" xfId="8859" xr:uid="{00000000-0005-0000-0000-000086220000}"/>
    <cellStyle name="Dane wejściowe 2 17 13 2" xfId="8860" xr:uid="{00000000-0005-0000-0000-000087220000}"/>
    <cellStyle name="Dane wejściowe 2 17 13 3" xfId="8861" xr:uid="{00000000-0005-0000-0000-000088220000}"/>
    <cellStyle name="Dane wejściowe 2 17 13 4" xfId="8862" xr:uid="{00000000-0005-0000-0000-000089220000}"/>
    <cellStyle name="Dane wejściowe 2 17 14" xfId="8863" xr:uid="{00000000-0005-0000-0000-00008A220000}"/>
    <cellStyle name="Dane wejściowe 2 17 14 2" xfId="8864" xr:uid="{00000000-0005-0000-0000-00008B220000}"/>
    <cellStyle name="Dane wejściowe 2 17 14 3" xfId="8865" xr:uid="{00000000-0005-0000-0000-00008C220000}"/>
    <cellStyle name="Dane wejściowe 2 17 14 4" xfId="8866" xr:uid="{00000000-0005-0000-0000-00008D220000}"/>
    <cellStyle name="Dane wejściowe 2 17 15" xfId="8867" xr:uid="{00000000-0005-0000-0000-00008E220000}"/>
    <cellStyle name="Dane wejściowe 2 17 15 2" xfId="8868" xr:uid="{00000000-0005-0000-0000-00008F220000}"/>
    <cellStyle name="Dane wejściowe 2 17 15 3" xfId="8869" xr:uid="{00000000-0005-0000-0000-000090220000}"/>
    <cellStyle name="Dane wejściowe 2 17 15 4" xfId="8870" xr:uid="{00000000-0005-0000-0000-000091220000}"/>
    <cellStyle name="Dane wejściowe 2 17 16" xfId="8871" xr:uid="{00000000-0005-0000-0000-000092220000}"/>
    <cellStyle name="Dane wejściowe 2 17 16 2" xfId="8872" xr:uid="{00000000-0005-0000-0000-000093220000}"/>
    <cellStyle name="Dane wejściowe 2 17 16 3" xfId="8873" xr:uid="{00000000-0005-0000-0000-000094220000}"/>
    <cellStyle name="Dane wejściowe 2 17 16 4" xfId="8874" xr:uid="{00000000-0005-0000-0000-000095220000}"/>
    <cellStyle name="Dane wejściowe 2 17 17" xfId="8875" xr:uid="{00000000-0005-0000-0000-000096220000}"/>
    <cellStyle name="Dane wejściowe 2 17 17 2" xfId="8876" xr:uid="{00000000-0005-0000-0000-000097220000}"/>
    <cellStyle name="Dane wejściowe 2 17 17 3" xfId="8877" xr:uid="{00000000-0005-0000-0000-000098220000}"/>
    <cellStyle name="Dane wejściowe 2 17 17 4" xfId="8878" xr:uid="{00000000-0005-0000-0000-000099220000}"/>
    <cellStyle name="Dane wejściowe 2 17 18" xfId="8879" xr:uid="{00000000-0005-0000-0000-00009A220000}"/>
    <cellStyle name="Dane wejściowe 2 17 18 2" xfId="8880" xr:uid="{00000000-0005-0000-0000-00009B220000}"/>
    <cellStyle name="Dane wejściowe 2 17 18 3" xfId="8881" xr:uid="{00000000-0005-0000-0000-00009C220000}"/>
    <cellStyle name="Dane wejściowe 2 17 18 4" xfId="8882" xr:uid="{00000000-0005-0000-0000-00009D220000}"/>
    <cellStyle name="Dane wejściowe 2 17 19" xfId="8883" xr:uid="{00000000-0005-0000-0000-00009E220000}"/>
    <cellStyle name="Dane wejściowe 2 17 19 2" xfId="8884" xr:uid="{00000000-0005-0000-0000-00009F220000}"/>
    <cellStyle name="Dane wejściowe 2 17 19 3" xfId="8885" xr:uid="{00000000-0005-0000-0000-0000A0220000}"/>
    <cellStyle name="Dane wejściowe 2 17 19 4" xfId="8886" xr:uid="{00000000-0005-0000-0000-0000A1220000}"/>
    <cellStyle name="Dane wejściowe 2 17 2" xfId="8887" xr:uid="{00000000-0005-0000-0000-0000A2220000}"/>
    <cellStyle name="Dane wejściowe 2 17 2 2" xfId="8888" xr:uid="{00000000-0005-0000-0000-0000A3220000}"/>
    <cellStyle name="Dane wejściowe 2 17 2 3" xfId="8889" xr:uid="{00000000-0005-0000-0000-0000A4220000}"/>
    <cellStyle name="Dane wejściowe 2 17 2 4" xfId="8890" xr:uid="{00000000-0005-0000-0000-0000A5220000}"/>
    <cellStyle name="Dane wejściowe 2 17 20" xfId="8891" xr:uid="{00000000-0005-0000-0000-0000A6220000}"/>
    <cellStyle name="Dane wejściowe 2 17 20 2" xfId="8892" xr:uid="{00000000-0005-0000-0000-0000A7220000}"/>
    <cellStyle name="Dane wejściowe 2 17 20 3" xfId="8893" xr:uid="{00000000-0005-0000-0000-0000A8220000}"/>
    <cellStyle name="Dane wejściowe 2 17 20 4" xfId="8894" xr:uid="{00000000-0005-0000-0000-0000A9220000}"/>
    <cellStyle name="Dane wejściowe 2 17 21" xfId="8895" xr:uid="{00000000-0005-0000-0000-0000AA220000}"/>
    <cellStyle name="Dane wejściowe 2 17 21 2" xfId="8896" xr:uid="{00000000-0005-0000-0000-0000AB220000}"/>
    <cellStyle name="Dane wejściowe 2 17 21 3" xfId="8897" xr:uid="{00000000-0005-0000-0000-0000AC220000}"/>
    <cellStyle name="Dane wejściowe 2 17 22" xfId="8898" xr:uid="{00000000-0005-0000-0000-0000AD220000}"/>
    <cellStyle name="Dane wejściowe 2 17 22 2" xfId="8899" xr:uid="{00000000-0005-0000-0000-0000AE220000}"/>
    <cellStyle name="Dane wejściowe 2 17 22 3" xfId="8900" xr:uid="{00000000-0005-0000-0000-0000AF220000}"/>
    <cellStyle name="Dane wejściowe 2 17 23" xfId="8901" xr:uid="{00000000-0005-0000-0000-0000B0220000}"/>
    <cellStyle name="Dane wejściowe 2 17 23 2" xfId="8902" xr:uid="{00000000-0005-0000-0000-0000B1220000}"/>
    <cellStyle name="Dane wejściowe 2 17 23 3" xfId="8903" xr:uid="{00000000-0005-0000-0000-0000B2220000}"/>
    <cellStyle name="Dane wejściowe 2 17 24" xfId="8904" xr:uid="{00000000-0005-0000-0000-0000B3220000}"/>
    <cellStyle name="Dane wejściowe 2 17 24 2" xfId="8905" xr:uid="{00000000-0005-0000-0000-0000B4220000}"/>
    <cellStyle name="Dane wejściowe 2 17 24 3" xfId="8906" xr:uid="{00000000-0005-0000-0000-0000B5220000}"/>
    <cellStyle name="Dane wejściowe 2 17 25" xfId="8907" xr:uid="{00000000-0005-0000-0000-0000B6220000}"/>
    <cellStyle name="Dane wejściowe 2 17 25 2" xfId="8908" xr:uid="{00000000-0005-0000-0000-0000B7220000}"/>
    <cellStyle name="Dane wejściowe 2 17 25 3" xfId="8909" xr:uid="{00000000-0005-0000-0000-0000B8220000}"/>
    <cellStyle name="Dane wejściowe 2 17 26" xfId="8910" xr:uid="{00000000-0005-0000-0000-0000B9220000}"/>
    <cellStyle name="Dane wejściowe 2 17 26 2" xfId="8911" xr:uid="{00000000-0005-0000-0000-0000BA220000}"/>
    <cellStyle name="Dane wejściowe 2 17 26 3" xfId="8912" xr:uid="{00000000-0005-0000-0000-0000BB220000}"/>
    <cellStyle name="Dane wejściowe 2 17 27" xfId="8913" xr:uid="{00000000-0005-0000-0000-0000BC220000}"/>
    <cellStyle name="Dane wejściowe 2 17 27 2" xfId="8914" xr:uid="{00000000-0005-0000-0000-0000BD220000}"/>
    <cellStyle name="Dane wejściowe 2 17 27 3" xfId="8915" xr:uid="{00000000-0005-0000-0000-0000BE220000}"/>
    <cellStyle name="Dane wejściowe 2 17 28" xfId="8916" xr:uid="{00000000-0005-0000-0000-0000BF220000}"/>
    <cellStyle name="Dane wejściowe 2 17 28 2" xfId="8917" xr:uid="{00000000-0005-0000-0000-0000C0220000}"/>
    <cellStyle name="Dane wejściowe 2 17 28 3" xfId="8918" xr:uid="{00000000-0005-0000-0000-0000C1220000}"/>
    <cellStyle name="Dane wejściowe 2 17 29" xfId="8919" xr:uid="{00000000-0005-0000-0000-0000C2220000}"/>
    <cellStyle name="Dane wejściowe 2 17 29 2" xfId="8920" xr:uid="{00000000-0005-0000-0000-0000C3220000}"/>
    <cellStyle name="Dane wejściowe 2 17 29 3" xfId="8921" xr:uid="{00000000-0005-0000-0000-0000C4220000}"/>
    <cellStyle name="Dane wejściowe 2 17 3" xfId="8922" xr:uid="{00000000-0005-0000-0000-0000C5220000}"/>
    <cellStyle name="Dane wejściowe 2 17 3 2" xfId="8923" xr:uid="{00000000-0005-0000-0000-0000C6220000}"/>
    <cellStyle name="Dane wejściowe 2 17 3 3" xfId="8924" xr:uid="{00000000-0005-0000-0000-0000C7220000}"/>
    <cellStyle name="Dane wejściowe 2 17 3 4" xfId="8925" xr:uid="{00000000-0005-0000-0000-0000C8220000}"/>
    <cellStyle name="Dane wejściowe 2 17 30" xfId="8926" xr:uid="{00000000-0005-0000-0000-0000C9220000}"/>
    <cellStyle name="Dane wejściowe 2 17 30 2" xfId="8927" xr:uid="{00000000-0005-0000-0000-0000CA220000}"/>
    <cellStyle name="Dane wejściowe 2 17 30 3" xfId="8928" xr:uid="{00000000-0005-0000-0000-0000CB220000}"/>
    <cellStyle name="Dane wejściowe 2 17 31" xfId="8929" xr:uid="{00000000-0005-0000-0000-0000CC220000}"/>
    <cellStyle name="Dane wejściowe 2 17 31 2" xfId="8930" xr:uid="{00000000-0005-0000-0000-0000CD220000}"/>
    <cellStyle name="Dane wejściowe 2 17 31 3" xfId="8931" xr:uid="{00000000-0005-0000-0000-0000CE220000}"/>
    <cellStyle name="Dane wejściowe 2 17 32" xfId="8932" xr:uid="{00000000-0005-0000-0000-0000CF220000}"/>
    <cellStyle name="Dane wejściowe 2 17 32 2" xfId="8933" xr:uid="{00000000-0005-0000-0000-0000D0220000}"/>
    <cellStyle name="Dane wejściowe 2 17 32 3" xfId="8934" xr:uid="{00000000-0005-0000-0000-0000D1220000}"/>
    <cellStyle name="Dane wejściowe 2 17 33" xfId="8935" xr:uid="{00000000-0005-0000-0000-0000D2220000}"/>
    <cellStyle name="Dane wejściowe 2 17 33 2" xfId="8936" xr:uid="{00000000-0005-0000-0000-0000D3220000}"/>
    <cellStyle name="Dane wejściowe 2 17 33 3" xfId="8937" xr:uid="{00000000-0005-0000-0000-0000D4220000}"/>
    <cellStyle name="Dane wejściowe 2 17 34" xfId="8938" xr:uid="{00000000-0005-0000-0000-0000D5220000}"/>
    <cellStyle name="Dane wejściowe 2 17 34 2" xfId="8939" xr:uid="{00000000-0005-0000-0000-0000D6220000}"/>
    <cellStyle name="Dane wejściowe 2 17 34 3" xfId="8940" xr:uid="{00000000-0005-0000-0000-0000D7220000}"/>
    <cellStyle name="Dane wejściowe 2 17 35" xfId="8941" xr:uid="{00000000-0005-0000-0000-0000D8220000}"/>
    <cellStyle name="Dane wejściowe 2 17 35 2" xfId="8942" xr:uid="{00000000-0005-0000-0000-0000D9220000}"/>
    <cellStyle name="Dane wejściowe 2 17 35 3" xfId="8943" xr:uid="{00000000-0005-0000-0000-0000DA220000}"/>
    <cellStyle name="Dane wejściowe 2 17 36" xfId="8944" xr:uid="{00000000-0005-0000-0000-0000DB220000}"/>
    <cellStyle name="Dane wejściowe 2 17 36 2" xfId="8945" xr:uid="{00000000-0005-0000-0000-0000DC220000}"/>
    <cellStyle name="Dane wejściowe 2 17 36 3" xfId="8946" xr:uid="{00000000-0005-0000-0000-0000DD220000}"/>
    <cellStyle name="Dane wejściowe 2 17 37" xfId="8947" xr:uid="{00000000-0005-0000-0000-0000DE220000}"/>
    <cellStyle name="Dane wejściowe 2 17 37 2" xfId="8948" xr:uid="{00000000-0005-0000-0000-0000DF220000}"/>
    <cellStyle name="Dane wejściowe 2 17 37 3" xfId="8949" xr:uid="{00000000-0005-0000-0000-0000E0220000}"/>
    <cellStyle name="Dane wejściowe 2 17 38" xfId="8950" xr:uid="{00000000-0005-0000-0000-0000E1220000}"/>
    <cellStyle name="Dane wejściowe 2 17 38 2" xfId="8951" xr:uid="{00000000-0005-0000-0000-0000E2220000}"/>
    <cellStyle name="Dane wejściowe 2 17 38 3" xfId="8952" xr:uid="{00000000-0005-0000-0000-0000E3220000}"/>
    <cellStyle name="Dane wejściowe 2 17 39" xfId="8953" xr:uid="{00000000-0005-0000-0000-0000E4220000}"/>
    <cellStyle name="Dane wejściowe 2 17 39 2" xfId="8954" xr:uid="{00000000-0005-0000-0000-0000E5220000}"/>
    <cellStyle name="Dane wejściowe 2 17 39 3" xfId="8955" xr:uid="{00000000-0005-0000-0000-0000E6220000}"/>
    <cellStyle name="Dane wejściowe 2 17 4" xfId="8956" xr:uid="{00000000-0005-0000-0000-0000E7220000}"/>
    <cellStyle name="Dane wejściowe 2 17 4 2" xfId="8957" xr:uid="{00000000-0005-0000-0000-0000E8220000}"/>
    <cellStyle name="Dane wejściowe 2 17 4 3" xfId="8958" xr:uid="{00000000-0005-0000-0000-0000E9220000}"/>
    <cellStyle name="Dane wejściowe 2 17 4 4" xfId="8959" xr:uid="{00000000-0005-0000-0000-0000EA220000}"/>
    <cellStyle name="Dane wejściowe 2 17 40" xfId="8960" xr:uid="{00000000-0005-0000-0000-0000EB220000}"/>
    <cellStyle name="Dane wejściowe 2 17 40 2" xfId="8961" xr:uid="{00000000-0005-0000-0000-0000EC220000}"/>
    <cellStyle name="Dane wejściowe 2 17 40 3" xfId="8962" xr:uid="{00000000-0005-0000-0000-0000ED220000}"/>
    <cellStyle name="Dane wejściowe 2 17 41" xfId="8963" xr:uid="{00000000-0005-0000-0000-0000EE220000}"/>
    <cellStyle name="Dane wejściowe 2 17 41 2" xfId="8964" xr:uid="{00000000-0005-0000-0000-0000EF220000}"/>
    <cellStyle name="Dane wejściowe 2 17 41 3" xfId="8965" xr:uid="{00000000-0005-0000-0000-0000F0220000}"/>
    <cellStyle name="Dane wejściowe 2 17 42" xfId="8966" xr:uid="{00000000-0005-0000-0000-0000F1220000}"/>
    <cellStyle name="Dane wejściowe 2 17 42 2" xfId="8967" xr:uid="{00000000-0005-0000-0000-0000F2220000}"/>
    <cellStyle name="Dane wejściowe 2 17 42 3" xfId="8968" xr:uid="{00000000-0005-0000-0000-0000F3220000}"/>
    <cellStyle name="Dane wejściowe 2 17 43" xfId="8969" xr:uid="{00000000-0005-0000-0000-0000F4220000}"/>
    <cellStyle name="Dane wejściowe 2 17 43 2" xfId="8970" xr:uid="{00000000-0005-0000-0000-0000F5220000}"/>
    <cellStyle name="Dane wejściowe 2 17 43 3" xfId="8971" xr:uid="{00000000-0005-0000-0000-0000F6220000}"/>
    <cellStyle name="Dane wejściowe 2 17 44" xfId="8972" xr:uid="{00000000-0005-0000-0000-0000F7220000}"/>
    <cellStyle name="Dane wejściowe 2 17 44 2" xfId="8973" xr:uid="{00000000-0005-0000-0000-0000F8220000}"/>
    <cellStyle name="Dane wejściowe 2 17 44 3" xfId="8974" xr:uid="{00000000-0005-0000-0000-0000F9220000}"/>
    <cellStyle name="Dane wejściowe 2 17 45" xfId="8975" xr:uid="{00000000-0005-0000-0000-0000FA220000}"/>
    <cellStyle name="Dane wejściowe 2 17 45 2" xfId="8976" xr:uid="{00000000-0005-0000-0000-0000FB220000}"/>
    <cellStyle name="Dane wejściowe 2 17 45 3" xfId="8977" xr:uid="{00000000-0005-0000-0000-0000FC220000}"/>
    <cellStyle name="Dane wejściowe 2 17 46" xfId="8978" xr:uid="{00000000-0005-0000-0000-0000FD220000}"/>
    <cellStyle name="Dane wejściowe 2 17 46 2" xfId="8979" xr:uid="{00000000-0005-0000-0000-0000FE220000}"/>
    <cellStyle name="Dane wejściowe 2 17 46 3" xfId="8980" xr:uid="{00000000-0005-0000-0000-0000FF220000}"/>
    <cellStyle name="Dane wejściowe 2 17 47" xfId="8981" xr:uid="{00000000-0005-0000-0000-000000230000}"/>
    <cellStyle name="Dane wejściowe 2 17 47 2" xfId="8982" xr:uid="{00000000-0005-0000-0000-000001230000}"/>
    <cellStyle name="Dane wejściowe 2 17 47 3" xfId="8983" xr:uid="{00000000-0005-0000-0000-000002230000}"/>
    <cellStyle name="Dane wejściowe 2 17 48" xfId="8984" xr:uid="{00000000-0005-0000-0000-000003230000}"/>
    <cellStyle name="Dane wejściowe 2 17 48 2" xfId="8985" xr:uid="{00000000-0005-0000-0000-000004230000}"/>
    <cellStyle name="Dane wejściowe 2 17 48 3" xfId="8986" xr:uid="{00000000-0005-0000-0000-000005230000}"/>
    <cellStyle name="Dane wejściowe 2 17 49" xfId="8987" xr:uid="{00000000-0005-0000-0000-000006230000}"/>
    <cellStyle name="Dane wejściowe 2 17 49 2" xfId="8988" xr:uid="{00000000-0005-0000-0000-000007230000}"/>
    <cellStyle name="Dane wejściowe 2 17 49 3" xfId="8989" xr:uid="{00000000-0005-0000-0000-000008230000}"/>
    <cellStyle name="Dane wejściowe 2 17 5" xfId="8990" xr:uid="{00000000-0005-0000-0000-000009230000}"/>
    <cellStyle name="Dane wejściowe 2 17 5 2" xfId="8991" xr:uid="{00000000-0005-0000-0000-00000A230000}"/>
    <cellStyle name="Dane wejściowe 2 17 5 3" xfId="8992" xr:uid="{00000000-0005-0000-0000-00000B230000}"/>
    <cellStyle name="Dane wejściowe 2 17 5 4" xfId="8993" xr:uid="{00000000-0005-0000-0000-00000C230000}"/>
    <cellStyle name="Dane wejściowe 2 17 50" xfId="8994" xr:uid="{00000000-0005-0000-0000-00000D230000}"/>
    <cellStyle name="Dane wejściowe 2 17 50 2" xfId="8995" xr:uid="{00000000-0005-0000-0000-00000E230000}"/>
    <cellStyle name="Dane wejściowe 2 17 50 3" xfId="8996" xr:uid="{00000000-0005-0000-0000-00000F230000}"/>
    <cellStyle name="Dane wejściowe 2 17 51" xfId="8997" xr:uid="{00000000-0005-0000-0000-000010230000}"/>
    <cellStyle name="Dane wejściowe 2 17 51 2" xfId="8998" xr:uid="{00000000-0005-0000-0000-000011230000}"/>
    <cellStyle name="Dane wejściowe 2 17 51 3" xfId="8999" xr:uid="{00000000-0005-0000-0000-000012230000}"/>
    <cellStyle name="Dane wejściowe 2 17 52" xfId="9000" xr:uid="{00000000-0005-0000-0000-000013230000}"/>
    <cellStyle name="Dane wejściowe 2 17 52 2" xfId="9001" xr:uid="{00000000-0005-0000-0000-000014230000}"/>
    <cellStyle name="Dane wejściowe 2 17 52 3" xfId="9002" xr:uid="{00000000-0005-0000-0000-000015230000}"/>
    <cellStyle name="Dane wejściowe 2 17 53" xfId="9003" xr:uid="{00000000-0005-0000-0000-000016230000}"/>
    <cellStyle name="Dane wejściowe 2 17 53 2" xfId="9004" xr:uid="{00000000-0005-0000-0000-000017230000}"/>
    <cellStyle name="Dane wejściowe 2 17 53 3" xfId="9005" xr:uid="{00000000-0005-0000-0000-000018230000}"/>
    <cellStyle name="Dane wejściowe 2 17 54" xfId="9006" xr:uid="{00000000-0005-0000-0000-000019230000}"/>
    <cellStyle name="Dane wejściowe 2 17 54 2" xfId="9007" xr:uid="{00000000-0005-0000-0000-00001A230000}"/>
    <cellStyle name="Dane wejściowe 2 17 54 3" xfId="9008" xr:uid="{00000000-0005-0000-0000-00001B230000}"/>
    <cellStyle name="Dane wejściowe 2 17 55" xfId="9009" xr:uid="{00000000-0005-0000-0000-00001C230000}"/>
    <cellStyle name="Dane wejściowe 2 17 55 2" xfId="9010" xr:uid="{00000000-0005-0000-0000-00001D230000}"/>
    <cellStyle name="Dane wejściowe 2 17 55 3" xfId="9011" xr:uid="{00000000-0005-0000-0000-00001E230000}"/>
    <cellStyle name="Dane wejściowe 2 17 56" xfId="9012" xr:uid="{00000000-0005-0000-0000-00001F230000}"/>
    <cellStyle name="Dane wejściowe 2 17 56 2" xfId="9013" xr:uid="{00000000-0005-0000-0000-000020230000}"/>
    <cellStyle name="Dane wejściowe 2 17 56 3" xfId="9014" xr:uid="{00000000-0005-0000-0000-000021230000}"/>
    <cellStyle name="Dane wejściowe 2 17 57" xfId="9015" xr:uid="{00000000-0005-0000-0000-000022230000}"/>
    <cellStyle name="Dane wejściowe 2 17 58" xfId="9016" xr:uid="{00000000-0005-0000-0000-000023230000}"/>
    <cellStyle name="Dane wejściowe 2 17 6" xfId="9017" xr:uid="{00000000-0005-0000-0000-000024230000}"/>
    <cellStyle name="Dane wejściowe 2 17 6 2" xfId="9018" xr:uid="{00000000-0005-0000-0000-000025230000}"/>
    <cellStyle name="Dane wejściowe 2 17 6 3" xfId="9019" xr:uid="{00000000-0005-0000-0000-000026230000}"/>
    <cellStyle name="Dane wejściowe 2 17 6 4" xfId="9020" xr:uid="{00000000-0005-0000-0000-000027230000}"/>
    <cellStyle name="Dane wejściowe 2 17 7" xfId="9021" xr:uid="{00000000-0005-0000-0000-000028230000}"/>
    <cellStyle name="Dane wejściowe 2 17 7 2" xfId="9022" xr:uid="{00000000-0005-0000-0000-000029230000}"/>
    <cellStyle name="Dane wejściowe 2 17 7 3" xfId="9023" xr:uid="{00000000-0005-0000-0000-00002A230000}"/>
    <cellStyle name="Dane wejściowe 2 17 7 4" xfId="9024" xr:uid="{00000000-0005-0000-0000-00002B230000}"/>
    <cellStyle name="Dane wejściowe 2 17 8" xfId="9025" xr:uid="{00000000-0005-0000-0000-00002C230000}"/>
    <cellStyle name="Dane wejściowe 2 17 8 2" xfId="9026" xr:uid="{00000000-0005-0000-0000-00002D230000}"/>
    <cellStyle name="Dane wejściowe 2 17 8 3" xfId="9027" xr:uid="{00000000-0005-0000-0000-00002E230000}"/>
    <cellStyle name="Dane wejściowe 2 17 8 4" xfId="9028" xr:uid="{00000000-0005-0000-0000-00002F230000}"/>
    <cellStyle name="Dane wejściowe 2 17 9" xfId="9029" xr:uid="{00000000-0005-0000-0000-000030230000}"/>
    <cellStyle name="Dane wejściowe 2 17 9 2" xfId="9030" xr:uid="{00000000-0005-0000-0000-000031230000}"/>
    <cellStyle name="Dane wejściowe 2 17 9 3" xfId="9031" xr:uid="{00000000-0005-0000-0000-000032230000}"/>
    <cellStyle name="Dane wejściowe 2 17 9 4" xfId="9032" xr:uid="{00000000-0005-0000-0000-000033230000}"/>
    <cellStyle name="Dane wejściowe 2 18" xfId="9033" xr:uid="{00000000-0005-0000-0000-000034230000}"/>
    <cellStyle name="Dane wejściowe 2 18 10" xfId="9034" xr:uid="{00000000-0005-0000-0000-000035230000}"/>
    <cellStyle name="Dane wejściowe 2 18 10 2" xfId="9035" xr:uid="{00000000-0005-0000-0000-000036230000}"/>
    <cellStyle name="Dane wejściowe 2 18 10 3" xfId="9036" xr:uid="{00000000-0005-0000-0000-000037230000}"/>
    <cellStyle name="Dane wejściowe 2 18 10 4" xfId="9037" xr:uid="{00000000-0005-0000-0000-000038230000}"/>
    <cellStyle name="Dane wejściowe 2 18 11" xfId="9038" xr:uid="{00000000-0005-0000-0000-000039230000}"/>
    <cellStyle name="Dane wejściowe 2 18 11 2" xfId="9039" xr:uid="{00000000-0005-0000-0000-00003A230000}"/>
    <cellStyle name="Dane wejściowe 2 18 11 3" xfId="9040" xr:uid="{00000000-0005-0000-0000-00003B230000}"/>
    <cellStyle name="Dane wejściowe 2 18 11 4" xfId="9041" xr:uid="{00000000-0005-0000-0000-00003C230000}"/>
    <cellStyle name="Dane wejściowe 2 18 12" xfId="9042" xr:uid="{00000000-0005-0000-0000-00003D230000}"/>
    <cellStyle name="Dane wejściowe 2 18 12 2" xfId="9043" xr:uid="{00000000-0005-0000-0000-00003E230000}"/>
    <cellStyle name="Dane wejściowe 2 18 12 3" xfId="9044" xr:uid="{00000000-0005-0000-0000-00003F230000}"/>
    <cellStyle name="Dane wejściowe 2 18 12 4" xfId="9045" xr:uid="{00000000-0005-0000-0000-000040230000}"/>
    <cellStyle name="Dane wejściowe 2 18 13" xfId="9046" xr:uid="{00000000-0005-0000-0000-000041230000}"/>
    <cellStyle name="Dane wejściowe 2 18 13 2" xfId="9047" xr:uid="{00000000-0005-0000-0000-000042230000}"/>
    <cellStyle name="Dane wejściowe 2 18 13 3" xfId="9048" xr:uid="{00000000-0005-0000-0000-000043230000}"/>
    <cellStyle name="Dane wejściowe 2 18 13 4" xfId="9049" xr:uid="{00000000-0005-0000-0000-000044230000}"/>
    <cellStyle name="Dane wejściowe 2 18 14" xfId="9050" xr:uid="{00000000-0005-0000-0000-000045230000}"/>
    <cellStyle name="Dane wejściowe 2 18 14 2" xfId="9051" xr:uid="{00000000-0005-0000-0000-000046230000}"/>
    <cellStyle name="Dane wejściowe 2 18 14 3" xfId="9052" xr:uid="{00000000-0005-0000-0000-000047230000}"/>
    <cellStyle name="Dane wejściowe 2 18 14 4" xfId="9053" xr:uid="{00000000-0005-0000-0000-000048230000}"/>
    <cellStyle name="Dane wejściowe 2 18 15" xfId="9054" xr:uid="{00000000-0005-0000-0000-000049230000}"/>
    <cellStyle name="Dane wejściowe 2 18 15 2" xfId="9055" xr:uid="{00000000-0005-0000-0000-00004A230000}"/>
    <cellStyle name="Dane wejściowe 2 18 15 3" xfId="9056" xr:uid="{00000000-0005-0000-0000-00004B230000}"/>
    <cellStyle name="Dane wejściowe 2 18 15 4" xfId="9057" xr:uid="{00000000-0005-0000-0000-00004C230000}"/>
    <cellStyle name="Dane wejściowe 2 18 16" xfId="9058" xr:uid="{00000000-0005-0000-0000-00004D230000}"/>
    <cellStyle name="Dane wejściowe 2 18 16 2" xfId="9059" xr:uid="{00000000-0005-0000-0000-00004E230000}"/>
    <cellStyle name="Dane wejściowe 2 18 16 3" xfId="9060" xr:uid="{00000000-0005-0000-0000-00004F230000}"/>
    <cellStyle name="Dane wejściowe 2 18 16 4" xfId="9061" xr:uid="{00000000-0005-0000-0000-000050230000}"/>
    <cellStyle name="Dane wejściowe 2 18 17" xfId="9062" xr:uid="{00000000-0005-0000-0000-000051230000}"/>
    <cellStyle name="Dane wejściowe 2 18 17 2" xfId="9063" xr:uid="{00000000-0005-0000-0000-000052230000}"/>
    <cellStyle name="Dane wejściowe 2 18 17 3" xfId="9064" xr:uid="{00000000-0005-0000-0000-000053230000}"/>
    <cellStyle name="Dane wejściowe 2 18 17 4" xfId="9065" xr:uid="{00000000-0005-0000-0000-000054230000}"/>
    <cellStyle name="Dane wejściowe 2 18 18" xfId="9066" xr:uid="{00000000-0005-0000-0000-000055230000}"/>
    <cellStyle name="Dane wejściowe 2 18 18 2" xfId="9067" xr:uid="{00000000-0005-0000-0000-000056230000}"/>
    <cellStyle name="Dane wejściowe 2 18 18 3" xfId="9068" xr:uid="{00000000-0005-0000-0000-000057230000}"/>
    <cellStyle name="Dane wejściowe 2 18 18 4" xfId="9069" xr:uid="{00000000-0005-0000-0000-000058230000}"/>
    <cellStyle name="Dane wejściowe 2 18 19" xfId="9070" xr:uid="{00000000-0005-0000-0000-000059230000}"/>
    <cellStyle name="Dane wejściowe 2 18 19 2" xfId="9071" xr:uid="{00000000-0005-0000-0000-00005A230000}"/>
    <cellStyle name="Dane wejściowe 2 18 19 3" xfId="9072" xr:uid="{00000000-0005-0000-0000-00005B230000}"/>
    <cellStyle name="Dane wejściowe 2 18 19 4" xfId="9073" xr:uid="{00000000-0005-0000-0000-00005C230000}"/>
    <cellStyle name="Dane wejściowe 2 18 2" xfId="9074" xr:uid="{00000000-0005-0000-0000-00005D230000}"/>
    <cellStyle name="Dane wejściowe 2 18 2 2" xfId="9075" xr:uid="{00000000-0005-0000-0000-00005E230000}"/>
    <cellStyle name="Dane wejściowe 2 18 2 3" xfId="9076" xr:uid="{00000000-0005-0000-0000-00005F230000}"/>
    <cellStyle name="Dane wejściowe 2 18 2 4" xfId="9077" xr:uid="{00000000-0005-0000-0000-000060230000}"/>
    <cellStyle name="Dane wejściowe 2 18 20" xfId="9078" xr:uid="{00000000-0005-0000-0000-000061230000}"/>
    <cellStyle name="Dane wejściowe 2 18 20 2" xfId="9079" xr:uid="{00000000-0005-0000-0000-000062230000}"/>
    <cellStyle name="Dane wejściowe 2 18 20 3" xfId="9080" xr:uid="{00000000-0005-0000-0000-000063230000}"/>
    <cellStyle name="Dane wejściowe 2 18 20 4" xfId="9081" xr:uid="{00000000-0005-0000-0000-000064230000}"/>
    <cellStyle name="Dane wejściowe 2 18 21" xfId="9082" xr:uid="{00000000-0005-0000-0000-000065230000}"/>
    <cellStyle name="Dane wejściowe 2 18 21 2" xfId="9083" xr:uid="{00000000-0005-0000-0000-000066230000}"/>
    <cellStyle name="Dane wejściowe 2 18 21 3" xfId="9084" xr:uid="{00000000-0005-0000-0000-000067230000}"/>
    <cellStyle name="Dane wejściowe 2 18 22" xfId="9085" xr:uid="{00000000-0005-0000-0000-000068230000}"/>
    <cellStyle name="Dane wejściowe 2 18 22 2" xfId="9086" xr:uid="{00000000-0005-0000-0000-000069230000}"/>
    <cellStyle name="Dane wejściowe 2 18 22 3" xfId="9087" xr:uid="{00000000-0005-0000-0000-00006A230000}"/>
    <cellStyle name="Dane wejściowe 2 18 23" xfId="9088" xr:uid="{00000000-0005-0000-0000-00006B230000}"/>
    <cellStyle name="Dane wejściowe 2 18 23 2" xfId="9089" xr:uid="{00000000-0005-0000-0000-00006C230000}"/>
    <cellStyle name="Dane wejściowe 2 18 23 3" xfId="9090" xr:uid="{00000000-0005-0000-0000-00006D230000}"/>
    <cellStyle name="Dane wejściowe 2 18 24" xfId="9091" xr:uid="{00000000-0005-0000-0000-00006E230000}"/>
    <cellStyle name="Dane wejściowe 2 18 24 2" xfId="9092" xr:uid="{00000000-0005-0000-0000-00006F230000}"/>
    <cellStyle name="Dane wejściowe 2 18 24 3" xfId="9093" xr:uid="{00000000-0005-0000-0000-000070230000}"/>
    <cellStyle name="Dane wejściowe 2 18 25" xfId="9094" xr:uid="{00000000-0005-0000-0000-000071230000}"/>
    <cellStyle name="Dane wejściowe 2 18 25 2" xfId="9095" xr:uid="{00000000-0005-0000-0000-000072230000}"/>
    <cellStyle name="Dane wejściowe 2 18 25 3" xfId="9096" xr:uid="{00000000-0005-0000-0000-000073230000}"/>
    <cellStyle name="Dane wejściowe 2 18 26" xfId="9097" xr:uid="{00000000-0005-0000-0000-000074230000}"/>
    <cellStyle name="Dane wejściowe 2 18 26 2" xfId="9098" xr:uid="{00000000-0005-0000-0000-000075230000}"/>
    <cellStyle name="Dane wejściowe 2 18 26 3" xfId="9099" xr:uid="{00000000-0005-0000-0000-000076230000}"/>
    <cellStyle name="Dane wejściowe 2 18 27" xfId="9100" xr:uid="{00000000-0005-0000-0000-000077230000}"/>
    <cellStyle name="Dane wejściowe 2 18 27 2" xfId="9101" xr:uid="{00000000-0005-0000-0000-000078230000}"/>
    <cellStyle name="Dane wejściowe 2 18 27 3" xfId="9102" xr:uid="{00000000-0005-0000-0000-000079230000}"/>
    <cellStyle name="Dane wejściowe 2 18 28" xfId="9103" xr:uid="{00000000-0005-0000-0000-00007A230000}"/>
    <cellStyle name="Dane wejściowe 2 18 28 2" xfId="9104" xr:uid="{00000000-0005-0000-0000-00007B230000}"/>
    <cellStyle name="Dane wejściowe 2 18 28 3" xfId="9105" xr:uid="{00000000-0005-0000-0000-00007C230000}"/>
    <cellStyle name="Dane wejściowe 2 18 29" xfId="9106" xr:uid="{00000000-0005-0000-0000-00007D230000}"/>
    <cellStyle name="Dane wejściowe 2 18 29 2" xfId="9107" xr:uid="{00000000-0005-0000-0000-00007E230000}"/>
    <cellStyle name="Dane wejściowe 2 18 29 3" xfId="9108" xr:uid="{00000000-0005-0000-0000-00007F230000}"/>
    <cellStyle name="Dane wejściowe 2 18 3" xfId="9109" xr:uid="{00000000-0005-0000-0000-000080230000}"/>
    <cellStyle name="Dane wejściowe 2 18 3 2" xfId="9110" xr:uid="{00000000-0005-0000-0000-000081230000}"/>
    <cellStyle name="Dane wejściowe 2 18 3 3" xfId="9111" xr:uid="{00000000-0005-0000-0000-000082230000}"/>
    <cellStyle name="Dane wejściowe 2 18 3 4" xfId="9112" xr:uid="{00000000-0005-0000-0000-000083230000}"/>
    <cellStyle name="Dane wejściowe 2 18 30" xfId="9113" xr:uid="{00000000-0005-0000-0000-000084230000}"/>
    <cellStyle name="Dane wejściowe 2 18 30 2" xfId="9114" xr:uid="{00000000-0005-0000-0000-000085230000}"/>
    <cellStyle name="Dane wejściowe 2 18 30 3" xfId="9115" xr:uid="{00000000-0005-0000-0000-000086230000}"/>
    <cellStyle name="Dane wejściowe 2 18 31" xfId="9116" xr:uid="{00000000-0005-0000-0000-000087230000}"/>
    <cellStyle name="Dane wejściowe 2 18 31 2" xfId="9117" xr:uid="{00000000-0005-0000-0000-000088230000}"/>
    <cellStyle name="Dane wejściowe 2 18 31 3" xfId="9118" xr:uid="{00000000-0005-0000-0000-000089230000}"/>
    <cellStyle name="Dane wejściowe 2 18 32" xfId="9119" xr:uid="{00000000-0005-0000-0000-00008A230000}"/>
    <cellStyle name="Dane wejściowe 2 18 32 2" xfId="9120" xr:uid="{00000000-0005-0000-0000-00008B230000}"/>
    <cellStyle name="Dane wejściowe 2 18 32 3" xfId="9121" xr:uid="{00000000-0005-0000-0000-00008C230000}"/>
    <cellStyle name="Dane wejściowe 2 18 33" xfId="9122" xr:uid="{00000000-0005-0000-0000-00008D230000}"/>
    <cellStyle name="Dane wejściowe 2 18 33 2" xfId="9123" xr:uid="{00000000-0005-0000-0000-00008E230000}"/>
    <cellStyle name="Dane wejściowe 2 18 33 3" xfId="9124" xr:uid="{00000000-0005-0000-0000-00008F230000}"/>
    <cellStyle name="Dane wejściowe 2 18 34" xfId="9125" xr:uid="{00000000-0005-0000-0000-000090230000}"/>
    <cellStyle name="Dane wejściowe 2 18 34 2" xfId="9126" xr:uid="{00000000-0005-0000-0000-000091230000}"/>
    <cellStyle name="Dane wejściowe 2 18 34 3" xfId="9127" xr:uid="{00000000-0005-0000-0000-000092230000}"/>
    <cellStyle name="Dane wejściowe 2 18 35" xfId="9128" xr:uid="{00000000-0005-0000-0000-000093230000}"/>
    <cellStyle name="Dane wejściowe 2 18 35 2" xfId="9129" xr:uid="{00000000-0005-0000-0000-000094230000}"/>
    <cellStyle name="Dane wejściowe 2 18 35 3" xfId="9130" xr:uid="{00000000-0005-0000-0000-000095230000}"/>
    <cellStyle name="Dane wejściowe 2 18 36" xfId="9131" xr:uid="{00000000-0005-0000-0000-000096230000}"/>
    <cellStyle name="Dane wejściowe 2 18 36 2" xfId="9132" xr:uid="{00000000-0005-0000-0000-000097230000}"/>
    <cellStyle name="Dane wejściowe 2 18 36 3" xfId="9133" xr:uid="{00000000-0005-0000-0000-000098230000}"/>
    <cellStyle name="Dane wejściowe 2 18 37" xfId="9134" xr:uid="{00000000-0005-0000-0000-000099230000}"/>
    <cellStyle name="Dane wejściowe 2 18 37 2" xfId="9135" xr:uid="{00000000-0005-0000-0000-00009A230000}"/>
    <cellStyle name="Dane wejściowe 2 18 37 3" xfId="9136" xr:uid="{00000000-0005-0000-0000-00009B230000}"/>
    <cellStyle name="Dane wejściowe 2 18 38" xfId="9137" xr:uid="{00000000-0005-0000-0000-00009C230000}"/>
    <cellStyle name="Dane wejściowe 2 18 38 2" xfId="9138" xr:uid="{00000000-0005-0000-0000-00009D230000}"/>
    <cellStyle name="Dane wejściowe 2 18 38 3" xfId="9139" xr:uid="{00000000-0005-0000-0000-00009E230000}"/>
    <cellStyle name="Dane wejściowe 2 18 39" xfId="9140" xr:uid="{00000000-0005-0000-0000-00009F230000}"/>
    <cellStyle name="Dane wejściowe 2 18 39 2" xfId="9141" xr:uid="{00000000-0005-0000-0000-0000A0230000}"/>
    <cellStyle name="Dane wejściowe 2 18 39 3" xfId="9142" xr:uid="{00000000-0005-0000-0000-0000A1230000}"/>
    <cellStyle name="Dane wejściowe 2 18 4" xfId="9143" xr:uid="{00000000-0005-0000-0000-0000A2230000}"/>
    <cellStyle name="Dane wejściowe 2 18 4 2" xfId="9144" xr:uid="{00000000-0005-0000-0000-0000A3230000}"/>
    <cellStyle name="Dane wejściowe 2 18 4 3" xfId="9145" xr:uid="{00000000-0005-0000-0000-0000A4230000}"/>
    <cellStyle name="Dane wejściowe 2 18 4 4" xfId="9146" xr:uid="{00000000-0005-0000-0000-0000A5230000}"/>
    <cellStyle name="Dane wejściowe 2 18 40" xfId="9147" xr:uid="{00000000-0005-0000-0000-0000A6230000}"/>
    <cellStyle name="Dane wejściowe 2 18 40 2" xfId="9148" xr:uid="{00000000-0005-0000-0000-0000A7230000}"/>
    <cellStyle name="Dane wejściowe 2 18 40 3" xfId="9149" xr:uid="{00000000-0005-0000-0000-0000A8230000}"/>
    <cellStyle name="Dane wejściowe 2 18 41" xfId="9150" xr:uid="{00000000-0005-0000-0000-0000A9230000}"/>
    <cellStyle name="Dane wejściowe 2 18 41 2" xfId="9151" xr:uid="{00000000-0005-0000-0000-0000AA230000}"/>
    <cellStyle name="Dane wejściowe 2 18 41 3" xfId="9152" xr:uid="{00000000-0005-0000-0000-0000AB230000}"/>
    <cellStyle name="Dane wejściowe 2 18 42" xfId="9153" xr:uid="{00000000-0005-0000-0000-0000AC230000}"/>
    <cellStyle name="Dane wejściowe 2 18 42 2" xfId="9154" xr:uid="{00000000-0005-0000-0000-0000AD230000}"/>
    <cellStyle name="Dane wejściowe 2 18 42 3" xfId="9155" xr:uid="{00000000-0005-0000-0000-0000AE230000}"/>
    <cellStyle name="Dane wejściowe 2 18 43" xfId="9156" xr:uid="{00000000-0005-0000-0000-0000AF230000}"/>
    <cellStyle name="Dane wejściowe 2 18 43 2" xfId="9157" xr:uid="{00000000-0005-0000-0000-0000B0230000}"/>
    <cellStyle name="Dane wejściowe 2 18 43 3" xfId="9158" xr:uid="{00000000-0005-0000-0000-0000B1230000}"/>
    <cellStyle name="Dane wejściowe 2 18 44" xfId="9159" xr:uid="{00000000-0005-0000-0000-0000B2230000}"/>
    <cellStyle name="Dane wejściowe 2 18 44 2" xfId="9160" xr:uid="{00000000-0005-0000-0000-0000B3230000}"/>
    <cellStyle name="Dane wejściowe 2 18 44 3" xfId="9161" xr:uid="{00000000-0005-0000-0000-0000B4230000}"/>
    <cellStyle name="Dane wejściowe 2 18 45" xfId="9162" xr:uid="{00000000-0005-0000-0000-0000B5230000}"/>
    <cellStyle name="Dane wejściowe 2 18 45 2" xfId="9163" xr:uid="{00000000-0005-0000-0000-0000B6230000}"/>
    <cellStyle name="Dane wejściowe 2 18 45 3" xfId="9164" xr:uid="{00000000-0005-0000-0000-0000B7230000}"/>
    <cellStyle name="Dane wejściowe 2 18 46" xfId="9165" xr:uid="{00000000-0005-0000-0000-0000B8230000}"/>
    <cellStyle name="Dane wejściowe 2 18 46 2" xfId="9166" xr:uid="{00000000-0005-0000-0000-0000B9230000}"/>
    <cellStyle name="Dane wejściowe 2 18 46 3" xfId="9167" xr:uid="{00000000-0005-0000-0000-0000BA230000}"/>
    <cellStyle name="Dane wejściowe 2 18 47" xfId="9168" xr:uid="{00000000-0005-0000-0000-0000BB230000}"/>
    <cellStyle name="Dane wejściowe 2 18 47 2" xfId="9169" xr:uid="{00000000-0005-0000-0000-0000BC230000}"/>
    <cellStyle name="Dane wejściowe 2 18 47 3" xfId="9170" xr:uid="{00000000-0005-0000-0000-0000BD230000}"/>
    <cellStyle name="Dane wejściowe 2 18 48" xfId="9171" xr:uid="{00000000-0005-0000-0000-0000BE230000}"/>
    <cellStyle name="Dane wejściowe 2 18 48 2" xfId="9172" xr:uid="{00000000-0005-0000-0000-0000BF230000}"/>
    <cellStyle name="Dane wejściowe 2 18 48 3" xfId="9173" xr:uid="{00000000-0005-0000-0000-0000C0230000}"/>
    <cellStyle name="Dane wejściowe 2 18 49" xfId="9174" xr:uid="{00000000-0005-0000-0000-0000C1230000}"/>
    <cellStyle name="Dane wejściowe 2 18 49 2" xfId="9175" xr:uid="{00000000-0005-0000-0000-0000C2230000}"/>
    <cellStyle name="Dane wejściowe 2 18 49 3" xfId="9176" xr:uid="{00000000-0005-0000-0000-0000C3230000}"/>
    <cellStyle name="Dane wejściowe 2 18 5" xfId="9177" xr:uid="{00000000-0005-0000-0000-0000C4230000}"/>
    <cellStyle name="Dane wejściowe 2 18 5 2" xfId="9178" xr:uid="{00000000-0005-0000-0000-0000C5230000}"/>
    <cellStyle name="Dane wejściowe 2 18 5 3" xfId="9179" xr:uid="{00000000-0005-0000-0000-0000C6230000}"/>
    <cellStyle name="Dane wejściowe 2 18 5 4" xfId="9180" xr:uid="{00000000-0005-0000-0000-0000C7230000}"/>
    <cellStyle name="Dane wejściowe 2 18 50" xfId="9181" xr:uid="{00000000-0005-0000-0000-0000C8230000}"/>
    <cellStyle name="Dane wejściowe 2 18 50 2" xfId="9182" xr:uid="{00000000-0005-0000-0000-0000C9230000}"/>
    <cellStyle name="Dane wejściowe 2 18 50 3" xfId="9183" xr:uid="{00000000-0005-0000-0000-0000CA230000}"/>
    <cellStyle name="Dane wejściowe 2 18 51" xfId="9184" xr:uid="{00000000-0005-0000-0000-0000CB230000}"/>
    <cellStyle name="Dane wejściowe 2 18 51 2" xfId="9185" xr:uid="{00000000-0005-0000-0000-0000CC230000}"/>
    <cellStyle name="Dane wejściowe 2 18 51 3" xfId="9186" xr:uid="{00000000-0005-0000-0000-0000CD230000}"/>
    <cellStyle name="Dane wejściowe 2 18 52" xfId="9187" xr:uid="{00000000-0005-0000-0000-0000CE230000}"/>
    <cellStyle name="Dane wejściowe 2 18 52 2" xfId="9188" xr:uid="{00000000-0005-0000-0000-0000CF230000}"/>
    <cellStyle name="Dane wejściowe 2 18 52 3" xfId="9189" xr:uid="{00000000-0005-0000-0000-0000D0230000}"/>
    <cellStyle name="Dane wejściowe 2 18 53" xfId="9190" xr:uid="{00000000-0005-0000-0000-0000D1230000}"/>
    <cellStyle name="Dane wejściowe 2 18 53 2" xfId="9191" xr:uid="{00000000-0005-0000-0000-0000D2230000}"/>
    <cellStyle name="Dane wejściowe 2 18 53 3" xfId="9192" xr:uid="{00000000-0005-0000-0000-0000D3230000}"/>
    <cellStyle name="Dane wejściowe 2 18 54" xfId="9193" xr:uid="{00000000-0005-0000-0000-0000D4230000}"/>
    <cellStyle name="Dane wejściowe 2 18 54 2" xfId="9194" xr:uid="{00000000-0005-0000-0000-0000D5230000}"/>
    <cellStyle name="Dane wejściowe 2 18 54 3" xfId="9195" xr:uid="{00000000-0005-0000-0000-0000D6230000}"/>
    <cellStyle name="Dane wejściowe 2 18 55" xfId="9196" xr:uid="{00000000-0005-0000-0000-0000D7230000}"/>
    <cellStyle name="Dane wejściowe 2 18 55 2" xfId="9197" xr:uid="{00000000-0005-0000-0000-0000D8230000}"/>
    <cellStyle name="Dane wejściowe 2 18 55 3" xfId="9198" xr:uid="{00000000-0005-0000-0000-0000D9230000}"/>
    <cellStyle name="Dane wejściowe 2 18 56" xfId="9199" xr:uid="{00000000-0005-0000-0000-0000DA230000}"/>
    <cellStyle name="Dane wejściowe 2 18 56 2" xfId="9200" xr:uid="{00000000-0005-0000-0000-0000DB230000}"/>
    <cellStyle name="Dane wejściowe 2 18 56 3" xfId="9201" xr:uid="{00000000-0005-0000-0000-0000DC230000}"/>
    <cellStyle name="Dane wejściowe 2 18 57" xfId="9202" xr:uid="{00000000-0005-0000-0000-0000DD230000}"/>
    <cellStyle name="Dane wejściowe 2 18 58" xfId="9203" xr:uid="{00000000-0005-0000-0000-0000DE230000}"/>
    <cellStyle name="Dane wejściowe 2 18 6" xfId="9204" xr:uid="{00000000-0005-0000-0000-0000DF230000}"/>
    <cellStyle name="Dane wejściowe 2 18 6 2" xfId="9205" xr:uid="{00000000-0005-0000-0000-0000E0230000}"/>
    <cellStyle name="Dane wejściowe 2 18 6 3" xfId="9206" xr:uid="{00000000-0005-0000-0000-0000E1230000}"/>
    <cellStyle name="Dane wejściowe 2 18 6 4" xfId="9207" xr:uid="{00000000-0005-0000-0000-0000E2230000}"/>
    <cellStyle name="Dane wejściowe 2 18 7" xfId="9208" xr:uid="{00000000-0005-0000-0000-0000E3230000}"/>
    <cellStyle name="Dane wejściowe 2 18 7 2" xfId="9209" xr:uid="{00000000-0005-0000-0000-0000E4230000}"/>
    <cellStyle name="Dane wejściowe 2 18 7 3" xfId="9210" xr:uid="{00000000-0005-0000-0000-0000E5230000}"/>
    <cellStyle name="Dane wejściowe 2 18 7 4" xfId="9211" xr:uid="{00000000-0005-0000-0000-0000E6230000}"/>
    <cellStyle name="Dane wejściowe 2 18 8" xfId="9212" xr:uid="{00000000-0005-0000-0000-0000E7230000}"/>
    <cellStyle name="Dane wejściowe 2 18 8 2" xfId="9213" xr:uid="{00000000-0005-0000-0000-0000E8230000}"/>
    <cellStyle name="Dane wejściowe 2 18 8 3" xfId="9214" xr:uid="{00000000-0005-0000-0000-0000E9230000}"/>
    <cellStyle name="Dane wejściowe 2 18 8 4" xfId="9215" xr:uid="{00000000-0005-0000-0000-0000EA230000}"/>
    <cellStyle name="Dane wejściowe 2 18 9" xfId="9216" xr:uid="{00000000-0005-0000-0000-0000EB230000}"/>
    <cellStyle name="Dane wejściowe 2 18 9 2" xfId="9217" xr:uid="{00000000-0005-0000-0000-0000EC230000}"/>
    <cellStyle name="Dane wejściowe 2 18 9 3" xfId="9218" xr:uid="{00000000-0005-0000-0000-0000ED230000}"/>
    <cellStyle name="Dane wejściowe 2 18 9 4" xfId="9219" xr:uid="{00000000-0005-0000-0000-0000EE230000}"/>
    <cellStyle name="Dane wejściowe 2 19" xfId="9220" xr:uid="{00000000-0005-0000-0000-0000EF230000}"/>
    <cellStyle name="Dane wejściowe 2 19 10" xfId="9221" xr:uid="{00000000-0005-0000-0000-0000F0230000}"/>
    <cellStyle name="Dane wejściowe 2 19 10 2" xfId="9222" xr:uid="{00000000-0005-0000-0000-0000F1230000}"/>
    <cellStyle name="Dane wejściowe 2 19 10 3" xfId="9223" xr:uid="{00000000-0005-0000-0000-0000F2230000}"/>
    <cellStyle name="Dane wejściowe 2 19 10 4" xfId="9224" xr:uid="{00000000-0005-0000-0000-0000F3230000}"/>
    <cellStyle name="Dane wejściowe 2 19 11" xfId="9225" xr:uid="{00000000-0005-0000-0000-0000F4230000}"/>
    <cellStyle name="Dane wejściowe 2 19 11 2" xfId="9226" xr:uid="{00000000-0005-0000-0000-0000F5230000}"/>
    <cellStyle name="Dane wejściowe 2 19 11 3" xfId="9227" xr:uid="{00000000-0005-0000-0000-0000F6230000}"/>
    <cellStyle name="Dane wejściowe 2 19 11 4" xfId="9228" xr:uid="{00000000-0005-0000-0000-0000F7230000}"/>
    <cellStyle name="Dane wejściowe 2 19 12" xfId="9229" xr:uid="{00000000-0005-0000-0000-0000F8230000}"/>
    <cellStyle name="Dane wejściowe 2 19 12 2" xfId="9230" xr:uid="{00000000-0005-0000-0000-0000F9230000}"/>
    <cellStyle name="Dane wejściowe 2 19 12 3" xfId="9231" xr:uid="{00000000-0005-0000-0000-0000FA230000}"/>
    <cellStyle name="Dane wejściowe 2 19 12 4" xfId="9232" xr:uid="{00000000-0005-0000-0000-0000FB230000}"/>
    <cellStyle name="Dane wejściowe 2 19 13" xfId="9233" xr:uid="{00000000-0005-0000-0000-0000FC230000}"/>
    <cellStyle name="Dane wejściowe 2 19 13 2" xfId="9234" xr:uid="{00000000-0005-0000-0000-0000FD230000}"/>
    <cellStyle name="Dane wejściowe 2 19 13 3" xfId="9235" xr:uid="{00000000-0005-0000-0000-0000FE230000}"/>
    <cellStyle name="Dane wejściowe 2 19 13 4" xfId="9236" xr:uid="{00000000-0005-0000-0000-0000FF230000}"/>
    <cellStyle name="Dane wejściowe 2 19 14" xfId="9237" xr:uid="{00000000-0005-0000-0000-000000240000}"/>
    <cellStyle name="Dane wejściowe 2 19 14 2" xfId="9238" xr:uid="{00000000-0005-0000-0000-000001240000}"/>
    <cellStyle name="Dane wejściowe 2 19 14 3" xfId="9239" xr:uid="{00000000-0005-0000-0000-000002240000}"/>
    <cellStyle name="Dane wejściowe 2 19 14 4" xfId="9240" xr:uid="{00000000-0005-0000-0000-000003240000}"/>
    <cellStyle name="Dane wejściowe 2 19 15" xfId="9241" xr:uid="{00000000-0005-0000-0000-000004240000}"/>
    <cellStyle name="Dane wejściowe 2 19 15 2" xfId="9242" xr:uid="{00000000-0005-0000-0000-000005240000}"/>
    <cellStyle name="Dane wejściowe 2 19 15 3" xfId="9243" xr:uid="{00000000-0005-0000-0000-000006240000}"/>
    <cellStyle name="Dane wejściowe 2 19 15 4" xfId="9244" xr:uid="{00000000-0005-0000-0000-000007240000}"/>
    <cellStyle name="Dane wejściowe 2 19 16" xfId="9245" xr:uid="{00000000-0005-0000-0000-000008240000}"/>
    <cellStyle name="Dane wejściowe 2 19 16 2" xfId="9246" xr:uid="{00000000-0005-0000-0000-000009240000}"/>
    <cellStyle name="Dane wejściowe 2 19 16 3" xfId="9247" xr:uid="{00000000-0005-0000-0000-00000A240000}"/>
    <cellStyle name="Dane wejściowe 2 19 16 4" xfId="9248" xr:uid="{00000000-0005-0000-0000-00000B240000}"/>
    <cellStyle name="Dane wejściowe 2 19 17" xfId="9249" xr:uid="{00000000-0005-0000-0000-00000C240000}"/>
    <cellStyle name="Dane wejściowe 2 19 17 2" xfId="9250" xr:uid="{00000000-0005-0000-0000-00000D240000}"/>
    <cellStyle name="Dane wejściowe 2 19 17 3" xfId="9251" xr:uid="{00000000-0005-0000-0000-00000E240000}"/>
    <cellStyle name="Dane wejściowe 2 19 17 4" xfId="9252" xr:uid="{00000000-0005-0000-0000-00000F240000}"/>
    <cellStyle name="Dane wejściowe 2 19 18" xfId="9253" xr:uid="{00000000-0005-0000-0000-000010240000}"/>
    <cellStyle name="Dane wejściowe 2 19 18 2" xfId="9254" xr:uid="{00000000-0005-0000-0000-000011240000}"/>
    <cellStyle name="Dane wejściowe 2 19 18 3" xfId="9255" xr:uid="{00000000-0005-0000-0000-000012240000}"/>
    <cellStyle name="Dane wejściowe 2 19 18 4" xfId="9256" xr:uid="{00000000-0005-0000-0000-000013240000}"/>
    <cellStyle name="Dane wejściowe 2 19 19" xfId="9257" xr:uid="{00000000-0005-0000-0000-000014240000}"/>
    <cellStyle name="Dane wejściowe 2 19 19 2" xfId="9258" xr:uid="{00000000-0005-0000-0000-000015240000}"/>
    <cellStyle name="Dane wejściowe 2 19 19 3" xfId="9259" xr:uid="{00000000-0005-0000-0000-000016240000}"/>
    <cellStyle name="Dane wejściowe 2 19 19 4" xfId="9260" xr:uid="{00000000-0005-0000-0000-000017240000}"/>
    <cellStyle name="Dane wejściowe 2 19 2" xfId="9261" xr:uid="{00000000-0005-0000-0000-000018240000}"/>
    <cellStyle name="Dane wejściowe 2 19 2 2" xfId="9262" xr:uid="{00000000-0005-0000-0000-000019240000}"/>
    <cellStyle name="Dane wejściowe 2 19 2 3" xfId="9263" xr:uid="{00000000-0005-0000-0000-00001A240000}"/>
    <cellStyle name="Dane wejściowe 2 19 2 4" xfId="9264" xr:uid="{00000000-0005-0000-0000-00001B240000}"/>
    <cellStyle name="Dane wejściowe 2 19 20" xfId="9265" xr:uid="{00000000-0005-0000-0000-00001C240000}"/>
    <cellStyle name="Dane wejściowe 2 19 20 2" xfId="9266" xr:uid="{00000000-0005-0000-0000-00001D240000}"/>
    <cellStyle name="Dane wejściowe 2 19 20 3" xfId="9267" xr:uid="{00000000-0005-0000-0000-00001E240000}"/>
    <cellStyle name="Dane wejściowe 2 19 20 4" xfId="9268" xr:uid="{00000000-0005-0000-0000-00001F240000}"/>
    <cellStyle name="Dane wejściowe 2 19 21" xfId="9269" xr:uid="{00000000-0005-0000-0000-000020240000}"/>
    <cellStyle name="Dane wejściowe 2 19 21 2" xfId="9270" xr:uid="{00000000-0005-0000-0000-000021240000}"/>
    <cellStyle name="Dane wejściowe 2 19 21 3" xfId="9271" xr:uid="{00000000-0005-0000-0000-000022240000}"/>
    <cellStyle name="Dane wejściowe 2 19 22" xfId="9272" xr:uid="{00000000-0005-0000-0000-000023240000}"/>
    <cellStyle name="Dane wejściowe 2 19 22 2" xfId="9273" xr:uid="{00000000-0005-0000-0000-000024240000}"/>
    <cellStyle name="Dane wejściowe 2 19 22 3" xfId="9274" xr:uid="{00000000-0005-0000-0000-000025240000}"/>
    <cellStyle name="Dane wejściowe 2 19 23" xfId="9275" xr:uid="{00000000-0005-0000-0000-000026240000}"/>
    <cellStyle name="Dane wejściowe 2 19 23 2" xfId="9276" xr:uid="{00000000-0005-0000-0000-000027240000}"/>
    <cellStyle name="Dane wejściowe 2 19 23 3" xfId="9277" xr:uid="{00000000-0005-0000-0000-000028240000}"/>
    <cellStyle name="Dane wejściowe 2 19 24" xfId="9278" xr:uid="{00000000-0005-0000-0000-000029240000}"/>
    <cellStyle name="Dane wejściowe 2 19 24 2" xfId="9279" xr:uid="{00000000-0005-0000-0000-00002A240000}"/>
    <cellStyle name="Dane wejściowe 2 19 24 3" xfId="9280" xr:uid="{00000000-0005-0000-0000-00002B240000}"/>
    <cellStyle name="Dane wejściowe 2 19 25" xfId="9281" xr:uid="{00000000-0005-0000-0000-00002C240000}"/>
    <cellStyle name="Dane wejściowe 2 19 25 2" xfId="9282" xr:uid="{00000000-0005-0000-0000-00002D240000}"/>
    <cellStyle name="Dane wejściowe 2 19 25 3" xfId="9283" xr:uid="{00000000-0005-0000-0000-00002E240000}"/>
    <cellStyle name="Dane wejściowe 2 19 26" xfId="9284" xr:uid="{00000000-0005-0000-0000-00002F240000}"/>
    <cellStyle name="Dane wejściowe 2 19 26 2" xfId="9285" xr:uid="{00000000-0005-0000-0000-000030240000}"/>
    <cellStyle name="Dane wejściowe 2 19 26 3" xfId="9286" xr:uid="{00000000-0005-0000-0000-000031240000}"/>
    <cellStyle name="Dane wejściowe 2 19 27" xfId="9287" xr:uid="{00000000-0005-0000-0000-000032240000}"/>
    <cellStyle name="Dane wejściowe 2 19 27 2" xfId="9288" xr:uid="{00000000-0005-0000-0000-000033240000}"/>
    <cellStyle name="Dane wejściowe 2 19 27 3" xfId="9289" xr:uid="{00000000-0005-0000-0000-000034240000}"/>
    <cellStyle name="Dane wejściowe 2 19 28" xfId="9290" xr:uid="{00000000-0005-0000-0000-000035240000}"/>
    <cellStyle name="Dane wejściowe 2 19 28 2" xfId="9291" xr:uid="{00000000-0005-0000-0000-000036240000}"/>
    <cellStyle name="Dane wejściowe 2 19 28 3" xfId="9292" xr:uid="{00000000-0005-0000-0000-000037240000}"/>
    <cellStyle name="Dane wejściowe 2 19 29" xfId="9293" xr:uid="{00000000-0005-0000-0000-000038240000}"/>
    <cellStyle name="Dane wejściowe 2 19 29 2" xfId="9294" xr:uid="{00000000-0005-0000-0000-000039240000}"/>
    <cellStyle name="Dane wejściowe 2 19 29 3" xfId="9295" xr:uid="{00000000-0005-0000-0000-00003A240000}"/>
    <cellStyle name="Dane wejściowe 2 19 3" xfId="9296" xr:uid="{00000000-0005-0000-0000-00003B240000}"/>
    <cellStyle name="Dane wejściowe 2 19 3 2" xfId="9297" xr:uid="{00000000-0005-0000-0000-00003C240000}"/>
    <cellStyle name="Dane wejściowe 2 19 3 3" xfId="9298" xr:uid="{00000000-0005-0000-0000-00003D240000}"/>
    <cellStyle name="Dane wejściowe 2 19 3 4" xfId="9299" xr:uid="{00000000-0005-0000-0000-00003E240000}"/>
    <cellStyle name="Dane wejściowe 2 19 30" xfId="9300" xr:uid="{00000000-0005-0000-0000-00003F240000}"/>
    <cellStyle name="Dane wejściowe 2 19 30 2" xfId="9301" xr:uid="{00000000-0005-0000-0000-000040240000}"/>
    <cellStyle name="Dane wejściowe 2 19 30 3" xfId="9302" xr:uid="{00000000-0005-0000-0000-000041240000}"/>
    <cellStyle name="Dane wejściowe 2 19 31" xfId="9303" xr:uid="{00000000-0005-0000-0000-000042240000}"/>
    <cellStyle name="Dane wejściowe 2 19 31 2" xfId="9304" xr:uid="{00000000-0005-0000-0000-000043240000}"/>
    <cellStyle name="Dane wejściowe 2 19 31 3" xfId="9305" xr:uid="{00000000-0005-0000-0000-000044240000}"/>
    <cellStyle name="Dane wejściowe 2 19 32" xfId="9306" xr:uid="{00000000-0005-0000-0000-000045240000}"/>
    <cellStyle name="Dane wejściowe 2 19 32 2" xfId="9307" xr:uid="{00000000-0005-0000-0000-000046240000}"/>
    <cellStyle name="Dane wejściowe 2 19 32 3" xfId="9308" xr:uid="{00000000-0005-0000-0000-000047240000}"/>
    <cellStyle name="Dane wejściowe 2 19 33" xfId="9309" xr:uid="{00000000-0005-0000-0000-000048240000}"/>
    <cellStyle name="Dane wejściowe 2 19 33 2" xfId="9310" xr:uid="{00000000-0005-0000-0000-000049240000}"/>
    <cellStyle name="Dane wejściowe 2 19 33 3" xfId="9311" xr:uid="{00000000-0005-0000-0000-00004A240000}"/>
    <cellStyle name="Dane wejściowe 2 19 34" xfId="9312" xr:uid="{00000000-0005-0000-0000-00004B240000}"/>
    <cellStyle name="Dane wejściowe 2 19 34 2" xfId="9313" xr:uid="{00000000-0005-0000-0000-00004C240000}"/>
    <cellStyle name="Dane wejściowe 2 19 34 3" xfId="9314" xr:uid="{00000000-0005-0000-0000-00004D240000}"/>
    <cellStyle name="Dane wejściowe 2 19 35" xfId="9315" xr:uid="{00000000-0005-0000-0000-00004E240000}"/>
    <cellStyle name="Dane wejściowe 2 19 35 2" xfId="9316" xr:uid="{00000000-0005-0000-0000-00004F240000}"/>
    <cellStyle name="Dane wejściowe 2 19 35 3" xfId="9317" xr:uid="{00000000-0005-0000-0000-000050240000}"/>
    <cellStyle name="Dane wejściowe 2 19 36" xfId="9318" xr:uid="{00000000-0005-0000-0000-000051240000}"/>
    <cellStyle name="Dane wejściowe 2 19 36 2" xfId="9319" xr:uid="{00000000-0005-0000-0000-000052240000}"/>
    <cellStyle name="Dane wejściowe 2 19 36 3" xfId="9320" xr:uid="{00000000-0005-0000-0000-000053240000}"/>
    <cellStyle name="Dane wejściowe 2 19 37" xfId="9321" xr:uid="{00000000-0005-0000-0000-000054240000}"/>
    <cellStyle name="Dane wejściowe 2 19 37 2" xfId="9322" xr:uid="{00000000-0005-0000-0000-000055240000}"/>
    <cellStyle name="Dane wejściowe 2 19 37 3" xfId="9323" xr:uid="{00000000-0005-0000-0000-000056240000}"/>
    <cellStyle name="Dane wejściowe 2 19 38" xfId="9324" xr:uid="{00000000-0005-0000-0000-000057240000}"/>
    <cellStyle name="Dane wejściowe 2 19 38 2" xfId="9325" xr:uid="{00000000-0005-0000-0000-000058240000}"/>
    <cellStyle name="Dane wejściowe 2 19 38 3" xfId="9326" xr:uid="{00000000-0005-0000-0000-000059240000}"/>
    <cellStyle name="Dane wejściowe 2 19 39" xfId="9327" xr:uid="{00000000-0005-0000-0000-00005A240000}"/>
    <cellStyle name="Dane wejściowe 2 19 39 2" xfId="9328" xr:uid="{00000000-0005-0000-0000-00005B240000}"/>
    <cellStyle name="Dane wejściowe 2 19 39 3" xfId="9329" xr:uid="{00000000-0005-0000-0000-00005C240000}"/>
    <cellStyle name="Dane wejściowe 2 19 4" xfId="9330" xr:uid="{00000000-0005-0000-0000-00005D240000}"/>
    <cellStyle name="Dane wejściowe 2 19 4 2" xfId="9331" xr:uid="{00000000-0005-0000-0000-00005E240000}"/>
    <cellStyle name="Dane wejściowe 2 19 4 3" xfId="9332" xr:uid="{00000000-0005-0000-0000-00005F240000}"/>
    <cellStyle name="Dane wejściowe 2 19 4 4" xfId="9333" xr:uid="{00000000-0005-0000-0000-000060240000}"/>
    <cellStyle name="Dane wejściowe 2 19 40" xfId="9334" xr:uid="{00000000-0005-0000-0000-000061240000}"/>
    <cellStyle name="Dane wejściowe 2 19 40 2" xfId="9335" xr:uid="{00000000-0005-0000-0000-000062240000}"/>
    <cellStyle name="Dane wejściowe 2 19 40 3" xfId="9336" xr:uid="{00000000-0005-0000-0000-000063240000}"/>
    <cellStyle name="Dane wejściowe 2 19 41" xfId="9337" xr:uid="{00000000-0005-0000-0000-000064240000}"/>
    <cellStyle name="Dane wejściowe 2 19 41 2" xfId="9338" xr:uid="{00000000-0005-0000-0000-000065240000}"/>
    <cellStyle name="Dane wejściowe 2 19 41 3" xfId="9339" xr:uid="{00000000-0005-0000-0000-000066240000}"/>
    <cellStyle name="Dane wejściowe 2 19 42" xfId="9340" xr:uid="{00000000-0005-0000-0000-000067240000}"/>
    <cellStyle name="Dane wejściowe 2 19 42 2" xfId="9341" xr:uid="{00000000-0005-0000-0000-000068240000}"/>
    <cellStyle name="Dane wejściowe 2 19 42 3" xfId="9342" xr:uid="{00000000-0005-0000-0000-000069240000}"/>
    <cellStyle name="Dane wejściowe 2 19 43" xfId="9343" xr:uid="{00000000-0005-0000-0000-00006A240000}"/>
    <cellStyle name="Dane wejściowe 2 19 43 2" xfId="9344" xr:uid="{00000000-0005-0000-0000-00006B240000}"/>
    <cellStyle name="Dane wejściowe 2 19 43 3" xfId="9345" xr:uid="{00000000-0005-0000-0000-00006C240000}"/>
    <cellStyle name="Dane wejściowe 2 19 44" xfId="9346" xr:uid="{00000000-0005-0000-0000-00006D240000}"/>
    <cellStyle name="Dane wejściowe 2 19 44 2" xfId="9347" xr:uid="{00000000-0005-0000-0000-00006E240000}"/>
    <cellStyle name="Dane wejściowe 2 19 44 3" xfId="9348" xr:uid="{00000000-0005-0000-0000-00006F240000}"/>
    <cellStyle name="Dane wejściowe 2 19 45" xfId="9349" xr:uid="{00000000-0005-0000-0000-000070240000}"/>
    <cellStyle name="Dane wejściowe 2 19 45 2" xfId="9350" xr:uid="{00000000-0005-0000-0000-000071240000}"/>
    <cellStyle name="Dane wejściowe 2 19 45 3" xfId="9351" xr:uid="{00000000-0005-0000-0000-000072240000}"/>
    <cellStyle name="Dane wejściowe 2 19 46" xfId="9352" xr:uid="{00000000-0005-0000-0000-000073240000}"/>
    <cellStyle name="Dane wejściowe 2 19 46 2" xfId="9353" xr:uid="{00000000-0005-0000-0000-000074240000}"/>
    <cellStyle name="Dane wejściowe 2 19 46 3" xfId="9354" xr:uid="{00000000-0005-0000-0000-000075240000}"/>
    <cellStyle name="Dane wejściowe 2 19 47" xfId="9355" xr:uid="{00000000-0005-0000-0000-000076240000}"/>
    <cellStyle name="Dane wejściowe 2 19 47 2" xfId="9356" xr:uid="{00000000-0005-0000-0000-000077240000}"/>
    <cellStyle name="Dane wejściowe 2 19 47 3" xfId="9357" xr:uid="{00000000-0005-0000-0000-000078240000}"/>
    <cellStyle name="Dane wejściowe 2 19 48" xfId="9358" xr:uid="{00000000-0005-0000-0000-000079240000}"/>
    <cellStyle name="Dane wejściowe 2 19 48 2" xfId="9359" xr:uid="{00000000-0005-0000-0000-00007A240000}"/>
    <cellStyle name="Dane wejściowe 2 19 48 3" xfId="9360" xr:uid="{00000000-0005-0000-0000-00007B240000}"/>
    <cellStyle name="Dane wejściowe 2 19 49" xfId="9361" xr:uid="{00000000-0005-0000-0000-00007C240000}"/>
    <cellStyle name="Dane wejściowe 2 19 49 2" xfId="9362" xr:uid="{00000000-0005-0000-0000-00007D240000}"/>
    <cellStyle name="Dane wejściowe 2 19 49 3" xfId="9363" xr:uid="{00000000-0005-0000-0000-00007E240000}"/>
    <cellStyle name="Dane wejściowe 2 19 5" xfId="9364" xr:uid="{00000000-0005-0000-0000-00007F240000}"/>
    <cellStyle name="Dane wejściowe 2 19 5 2" xfId="9365" xr:uid="{00000000-0005-0000-0000-000080240000}"/>
    <cellStyle name="Dane wejściowe 2 19 5 3" xfId="9366" xr:uid="{00000000-0005-0000-0000-000081240000}"/>
    <cellStyle name="Dane wejściowe 2 19 5 4" xfId="9367" xr:uid="{00000000-0005-0000-0000-000082240000}"/>
    <cellStyle name="Dane wejściowe 2 19 50" xfId="9368" xr:uid="{00000000-0005-0000-0000-000083240000}"/>
    <cellStyle name="Dane wejściowe 2 19 50 2" xfId="9369" xr:uid="{00000000-0005-0000-0000-000084240000}"/>
    <cellStyle name="Dane wejściowe 2 19 50 3" xfId="9370" xr:uid="{00000000-0005-0000-0000-000085240000}"/>
    <cellStyle name="Dane wejściowe 2 19 51" xfId="9371" xr:uid="{00000000-0005-0000-0000-000086240000}"/>
    <cellStyle name="Dane wejściowe 2 19 51 2" xfId="9372" xr:uid="{00000000-0005-0000-0000-000087240000}"/>
    <cellStyle name="Dane wejściowe 2 19 51 3" xfId="9373" xr:uid="{00000000-0005-0000-0000-000088240000}"/>
    <cellStyle name="Dane wejściowe 2 19 52" xfId="9374" xr:uid="{00000000-0005-0000-0000-000089240000}"/>
    <cellStyle name="Dane wejściowe 2 19 52 2" xfId="9375" xr:uid="{00000000-0005-0000-0000-00008A240000}"/>
    <cellStyle name="Dane wejściowe 2 19 52 3" xfId="9376" xr:uid="{00000000-0005-0000-0000-00008B240000}"/>
    <cellStyle name="Dane wejściowe 2 19 53" xfId="9377" xr:uid="{00000000-0005-0000-0000-00008C240000}"/>
    <cellStyle name="Dane wejściowe 2 19 53 2" xfId="9378" xr:uid="{00000000-0005-0000-0000-00008D240000}"/>
    <cellStyle name="Dane wejściowe 2 19 53 3" xfId="9379" xr:uid="{00000000-0005-0000-0000-00008E240000}"/>
    <cellStyle name="Dane wejściowe 2 19 54" xfId="9380" xr:uid="{00000000-0005-0000-0000-00008F240000}"/>
    <cellStyle name="Dane wejściowe 2 19 54 2" xfId="9381" xr:uid="{00000000-0005-0000-0000-000090240000}"/>
    <cellStyle name="Dane wejściowe 2 19 54 3" xfId="9382" xr:uid="{00000000-0005-0000-0000-000091240000}"/>
    <cellStyle name="Dane wejściowe 2 19 55" xfId="9383" xr:uid="{00000000-0005-0000-0000-000092240000}"/>
    <cellStyle name="Dane wejściowe 2 19 55 2" xfId="9384" xr:uid="{00000000-0005-0000-0000-000093240000}"/>
    <cellStyle name="Dane wejściowe 2 19 55 3" xfId="9385" xr:uid="{00000000-0005-0000-0000-000094240000}"/>
    <cellStyle name="Dane wejściowe 2 19 56" xfId="9386" xr:uid="{00000000-0005-0000-0000-000095240000}"/>
    <cellStyle name="Dane wejściowe 2 19 56 2" xfId="9387" xr:uid="{00000000-0005-0000-0000-000096240000}"/>
    <cellStyle name="Dane wejściowe 2 19 56 3" xfId="9388" xr:uid="{00000000-0005-0000-0000-000097240000}"/>
    <cellStyle name="Dane wejściowe 2 19 57" xfId="9389" xr:uid="{00000000-0005-0000-0000-000098240000}"/>
    <cellStyle name="Dane wejściowe 2 19 58" xfId="9390" xr:uid="{00000000-0005-0000-0000-000099240000}"/>
    <cellStyle name="Dane wejściowe 2 19 6" xfId="9391" xr:uid="{00000000-0005-0000-0000-00009A240000}"/>
    <cellStyle name="Dane wejściowe 2 19 6 2" xfId="9392" xr:uid="{00000000-0005-0000-0000-00009B240000}"/>
    <cellStyle name="Dane wejściowe 2 19 6 3" xfId="9393" xr:uid="{00000000-0005-0000-0000-00009C240000}"/>
    <cellStyle name="Dane wejściowe 2 19 6 4" xfId="9394" xr:uid="{00000000-0005-0000-0000-00009D240000}"/>
    <cellStyle name="Dane wejściowe 2 19 7" xfId="9395" xr:uid="{00000000-0005-0000-0000-00009E240000}"/>
    <cellStyle name="Dane wejściowe 2 19 7 2" xfId="9396" xr:uid="{00000000-0005-0000-0000-00009F240000}"/>
    <cellStyle name="Dane wejściowe 2 19 7 3" xfId="9397" xr:uid="{00000000-0005-0000-0000-0000A0240000}"/>
    <cellStyle name="Dane wejściowe 2 19 7 4" xfId="9398" xr:uid="{00000000-0005-0000-0000-0000A1240000}"/>
    <cellStyle name="Dane wejściowe 2 19 8" xfId="9399" xr:uid="{00000000-0005-0000-0000-0000A2240000}"/>
    <cellStyle name="Dane wejściowe 2 19 8 2" xfId="9400" xr:uid="{00000000-0005-0000-0000-0000A3240000}"/>
    <cellStyle name="Dane wejściowe 2 19 8 3" xfId="9401" xr:uid="{00000000-0005-0000-0000-0000A4240000}"/>
    <cellStyle name="Dane wejściowe 2 19 8 4" xfId="9402" xr:uid="{00000000-0005-0000-0000-0000A5240000}"/>
    <cellStyle name="Dane wejściowe 2 19 9" xfId="9403" xr:uid="{00000000-0005-0000-0000-0000A6240000}"/>
    <cellStyle name="Dane wejściowe 2 19 9 2" xfId="9404" xr:uid="{00000000-0005-0000-0000-0000A7240000}"/>
    <cellStyle name="Dane wejściowe 2 19 9 3" xfId="9405" xr:uid="{00000000-0005-0000-0000-0000A8240000}"/>
    <cellStyle name="Dane wejściowe 2 19 9 4" xfId="9406" xr:uid="{00000000-0005-0000-0000-0000A9240000}"/>
    <cellStyle name="Dane wejściowe 2 2" xfId="9407" xr:uid="{00000000-0005-0000-0000-0000AA240000}"/>
    <cellStyle name="Dane wejściowe 2 2 10" xfId="9408" xr:uid="{00000000-0005-0000-0000-0000AB240000}"/>
    <cellStyle name="Dane wejściowe 2 2 10 2" xfId="9409" xr:uid="{00000000-0005-0000-0000-0000AC240000}"/>
    <cellStyle name="Dane wejściowe 2 2 10 3" xfId="9410" xr:uid="{00000000-0005-0000-0000-0000AD240000}"/>
    <cellStyle name="Dane wejściowe 2 2 10 4" xfId="9411" xr:uid="{00000000-0005-0000-0000-0000AE240000}"/>
    <cellStyle name="Dane wejściowe 2 2 11" xfId="9412" xr:uid="{00000000-0005-0000-0000-0000AF240000}"/>
    <cellStyle name="Dane wejściowe 2 2 11 2" xfId="9413" xr:uid="{00000000-0005-0000-0000-0000B0240000}"/>
    <cellStyle name="Dane wejściowe 2 2 11 3" xfId="9414" xr:uid="{00000000-0005-0000-0000-0000B1240000}"/>
    <cellStyle name="Dane wejściowe 2 2 11 4" xfId="9415" xr:uid="{00000000-0005-0000-0000-0000B2240000}"/>
    <cellStyle name="Dane wejściowe 2 2 12" xfId="9416" xr:uid="{00000000-0005-0000-0000-0000B3240000}"/>
    <cellStyle name="Dane wejściowe 2 2 12 2" xfId="9417" xr:uid="{00000000-0005-0000-0000-0000B4240000}"/>
    <cellStyle name="Dane wejściowe 2 2 12 3" xfId="9418" xr:uid="{00000000-0005-0000-0000-0000B5240000}"/>
    <cellStyle name="Dane wejściowe 2 2 12 4" xfId="9419" xr:uid="{00000000-0005-0000-0000-0000B6240000}"/>
    <cellStyle name="Dane wejściowe 2 2 13" xfId="9420" xr:uid="{00000000-0005-0000-0000-0000B7240000}"/>
    <cellStyle name="Dane wejściowe 2 2 13 2" xfId="9421" xr:uid="{00000000-0005-0000-0000-0000B8240000}"/>
    <cellStyle name="Dane wejściowe 2 2 13 3" xfId="9422" xr:uid="{00000000-0005-0000-0000-0000B9240000}"/>
    <cellStyle name="Dane wejściowe 2 2 13 4" xfId="9423" xr:uid="{00000000-0005-0000-0000-0000BA240000}"/>
    <cellStyle name="Dane wejściowe 2 2 14" xfId="9424" xr:uid="{00000000-0005-0000-0000-0000BB240000}"/>
    <cellStyle name="Dane wejściowe 2 2 14 2" xfId="9425" xr:uid="{00000000-0005-0000-0000-0000BC240000}"/>
    <cellStyle name="Dane wejściowe 2 2 14 3" xfId="9426" xr:uid="{00000000-0005-0000-0000-0000BD240000}"/>
    <cellStyle name="Dane wejściowe 2 2 14 4" xfId="9427" xr:uid="{00000000-0005-0000-0000-0000BE240000}"/>
    <cellStyle name="Dane wejściowe 2 2 15" xfId="9428" xr:uid="{00000000-0005-0000-0000-0000BF240000}"/>
    <cellStyle name="Dane wejściowe 2 2 15 2" xfId="9429" xr:uid="{00000000-0005-0000-0000-0000C0240000}"/>
    <cellStyle name="Dane wejściowe 2 2 15 3" xfId="9430" xr:uid="{00000000-0005-0000-0000-0000C1240000}"/>
    <cellStyle name="Dane wejściowe 2 2 15 4" xfId="9431" xr:uid="{00000000-0005-0000-0000-0000C2240000}"/>
    <cellStyle name="Dane wejściowe 2 2 16" xfId="9432" xr:uid="{00000000-0005-0000-0000-0000C3240000}"/>
    <cellStyle name="Dane wejściowe 2 2 16 2" xfId="9433" xr:uid="{00000000-0005-0000-0000-0000C4240000}"/>
    <cellStyle name="Dane wejściowe 2 2 16 3" xfId="9434" xr:uid="{00000000-0005-0000-0000-0000C5240000}"/>
    <cellStyle name="Dane wejściowe 2 2 16 4" xfId="9435" xr:uid="{00000000-0005-0000-0000-0000C6240000}"/>
    <cellStyle name="Dane wejściowe 2 2 17" xfId="9436" xr:uid="{00000000-0005-0000-0000-0000C7240000}"/>
    <cellStyle name="Dane wejściowe 2 2 17 2" xfId="9437" xr:uid="{00000000-0005-0000-0000-0000C8240000}"/>
    <cellStyle name="Dane wejściowe 2 2 17 3" xfId="9438" xr:uid="{00000000-0005-0000-0000-0000C9240000}"/>
    <cellStyle name="Dane wejściowe 2 2 17 4" xfId="9439" xr:uid="{00000000-0005-0000-0000-0000CA240000}"/>
    <cellStyle name="Dane wejściowe 2 2 18" xfId="9440" xr:uid="{00000000-0005-0000-0000-0000CB240000}"/>
    <cellStyle name="Dane wejściowe 2 2 18 2" xfId="9441" xr:uid="{00000000-0005-0000-0000-0000CC240000}"/>
    <cellStyle name="Dane wejściowe 2 2 18 3" xfId="9442" xr:uid="{00000000-0005-0000-0000-0000CD240000}"/>
    <cellStyle name="Dane wejściowe 2 2 18 4" xfId="9443" xr:uid="{00000000-0005-0000-0000-0000CE240000}"/>
    <cellStyle name="Dane wejściowe 2 2 19" xfId="9444" xr:uid="{00000000-0005-0000-0000-0000CF240000}"/>
    <cellStyle name="Dane wejściowe 2 2 19 2" xfId="9445" xr:uid="{00000000-0005-0000-0000-0000D0240000}"/>
    <cellStyle name="Dane wejściowe 2 2 19 3" xfId="9446" xr:uid="{00000000-0005-0000-0000-0000D1240000}"/>
    <cellStyle name="Dane wejściowe 2 2 19 4" xfId="9447" xr:uid="{00000000-0005-0000-0000-0000D2240000}"/>
    <cellStyle name="Dane wejściowe 2 2 2" xfId="9448" xr:uid="{00000000-0005-0000-0000-0000D3240000}"/>
    <cellStyle name="Dane wejściowe 2 2 2 2" xfId="9449" xr:uid="{00000000-0005-0000-0000-0000D4240000}"/>
    <cellStyle name="Dane wejściowe 2 2 2 3" xfId="9450" xr:uid="{00000000-0005-0000-0000-0000D5240000}"/>
    <cellStyle name="Dane wejściowe 2 2 2 4" xfId="9451" xr:uid="{00000000-0005-0000-0000-0000D6240000}"/>
    <cellStyle name="Dane wejściowe 2 2 20" xfId="9452" xr:uid="{00000000-0005-0000-0000-0000D7240000}"/>
    <cellStyle name="Dane wejściowe 2 2 20 2" xfId="9453" xr:uid="{00000000-0005-0000-0000-0000D8240000}"/>
    <cellStyle name="Dane wejściowe 2 2 20 3" xfId="9454" xr:uid="{00000000-0005-0000-0000-0000D9240000}"/>
    <cellStyle name="Dane wejściowe 2 2 20 4" xfId="9455" xr:uid="{00000000-0005-0000-0000-0000DA240000}"/>
    <cellStyle name="Dane wejściowe 2 2 21" xfId="9456" xr:uid="{00000000-0005-0000-0000-0000DB240000}"/>
    <cellStyle name="Dane wejściowe 2 2 21 2" xfId="9457" xr:uid="{00000000-0005-0000-0000-0000DC240000}"/>
    <cellStyle name="Dane wejściowe 2 2 21 3" xfId="9458" xr:uid="{00000000-0005-0000-0000-0000DD240000}"/>
    <cellStyle name="Dane wejściowe 2 2 22" xfId="9459" xr:uid="{00000000-0005-0000-0000-0000DE240000}"/>
    <cellStyle name="Dane wejściowe 2 2 22 2" xfId="9460" xr:uid="{00000000-0005-0000-0000-0000DF240000}"/>
    <cellStyle name="Dane wejściowe 2 2 22 3" xfId="9461" xr:uid="{00000000-0005-0000-0000-0000E0240000}"/>
    <cellStyle name="Dane wejściowe 2 2 22 4" xfId="9462" xr:uid="{00000000-0005-0000-0000-0000E1240000}"/>
    <cellStyle name="Dane wejściowe 2 2 23" xfId="9463" xr:uid="{00000000-0005-0000-0000-0000E2240000}"/>
    <cellStyle name="Dane wejściowe 2 2 23 2" xfId="9464" xr:uid="{00000000-0005-0000-0000-0000E3240000}"/>
    <cellStyle name="Dane wejściowe 2 2 23 3" xfId="9465" xr:uid="{00000000-0005-0000-0000-0000E4240000}"/>
    <cellStyle name="Dane wejściowe 2 2 23 4" xfId="9466" xr:uid="{00000000-0005-0000-0000-0000E5240000}"/>
    <cellStyle name="Dane wejściowe 2 2 24" xfId="9467" xr:uid="{00000000-0005-0000-0000-0000E6240000}"/>
    <cellStyle name="Dane wejściowe 2 2 24 2" xfId="9468" xr:uid="{00000000-0005-0000-0000-0000E7240000}"/>
    <cellStyle name="Dane wejściowe 2 2 24 3" xfId="9469" xr:uid="{00000000-0005-0000-0000-0000E8240000}"/>
    <cellStyle name="Dane wejściowe 2 2 24 4" xfId="9470" xr:uid="{00000000-0005-0000-0000-0000E9240000}"/>
    <cellStyle name="Dane wejściowe 2 2 25" xfId="9471" xr:uid="{00000000-0005-0000-0000-0000EA240000}"/>
    <cellStyle name="Dane wejściowe 2 2 25 2" xfId="9472" xr:uid="{00000000-0005-0000-0000-0000EB240000}"/>
    <cellStyle name="Dane wejściowe 2 2 25 3" xfId="9473" xr:uid="{00000000-0005-0000-0000-0000EC240000}"/>
    <cellStyle name="Dane wejściowe 2 2 26" xfId="9474" xr:uid="{00000000-0005-0000-0000-0000ED240000}"/>
    <cellStyle name="Dane wejściowe 2 2 26 2" xfId="9475" xr:uid="{00000000-0005-0000-0000-0000EE240000}"/>
    <cellStyle name="Dane wejściowe 2 2 26 3" xfId="9476" xr:uid="{00000000-0005-0000-0000-0000EF240000}"/>
    <cellStyle name="Dane wejściowe 2 2 27" xfId="9477" xr:uid="{00000000-0005-0000-0000-0000F0240000}"/>
    <cellStyle name="Dane wejściowe 2 2 27 2" xfId="9478" xr:uid="{00000000-0005-0000-0000-0000F1240000}"/>
    <cellStyle name="Dane wejściowe 2 2 27 3" xfId="9479" xr:uid="{00000000-0005-0000-0000-0000F2240000}"/>
    <cellStyle name="Dane wejściowe 2 2 28" xfId="9480" xr:uid="{00000000-0005-0000-0000-0000F3240000}"/>
    <cellStyle name="Dane wejściowe 2 2 28 2" xfId="9481" xr:uid="{00000000-0005-0000-0000-0000F4240000}"/>
    <cellStyle name="Dane wejściowe 2 2 28 3" xfId="9482" xr:uid="{00000000-0005-0000-0000-0000F5240000}"/>
    <cellStyle name="Dane wejściowe 2 2 29" xfId="9483" xr:uid="{00000000-0005-0000-0000-0000F6240000}"/>
    <cellStyle name="Dane wejściowe 2 2 29 2" xfId="9484" xr:uid="{00000000-0005-0000-0000-0000F7240000}"/>
    <cellStyle name="Dane wejściowe 2 2 29 3" xfId="9485" xr:uid="{00000000-0005-0000-0000-0000F8240000}"/>
    <cellStyle name="Dane wejściowe 2 2 3" xfId="9486" xr:uid="{00000000-0005-0000-0000-0000F9240000}"/>
    <cellStyle name="Dane wejściowe 2 2 3 2" xfId="9487" xr:uid="{00000000-0005-0000-0000-0000FA240000}"/>
    <cellStyle name="Dane wejściowe 2 2 3 3" xfId="9488" xr:uid="{00000000-0005-0000-0000-0000FB240000}"/>
    <cellStyle name="Dane wejściowe 2 2 3 4" xfId="9489" xr:uid="{00000000-0005-0000-0000-0000FC240000}"/>
    <cellStyle name="Dane wejściowe 2 2 30" xfId="9490" xr:uid="{00000000-0005-0000-0000-0000FD240000}"/>
    <cellStyle name="Dane wejściowe 2 2 30 2" xfId="9491" xr:uid="{00000000-0005-0000-0000-0000FE240000}"/>
    <cellStyle name="Dane wejściowe 2 2 30 3" xfId="9492" xr:uid="{00000000-0005-0000-0000-0000FF240000}"/>
    <cellStyle name="Dane wejściowe 2 2 31" xfId="9493" xr:uid="{00000000-0005-0000-0000-000000250000}"/>
    <cellStyle name="Dane wejściowe 2 2 31 2" xfId="9494" xr:uid="{00000000-0005-0000-0000-000001250000}"/>
    <cellStyle name="Dane wejściowe 2 2 31 3" xfId="9495" xr:uid="{00000000-0005-0000-0000-000002250000}"/>
    <cellStyle name="Dane wejściowe 2 2 32" xfId="9496" xr:uid="{00000000-0005-0000-0000-000003250000}"/>
    <cellStyle name="Dane wejściowe 2 2 32 2" xfId="9497" xr:uid="{00000000-0005-0000-0000-000004250000}"/>
    <cellStyle name="Dane wejściowe 2 2 32 3" xfId="9498" xr:uid="{00000000-0005-0000-0000-000005250000}"/>
    <cellStyle name="Dane wejściowe 2 2 33" xfId="9499" xr:uid="{00000000-0005-0000-0000-000006250000}"/>
    <cellStyle name="Dane wejściowe 2 2 33 2" xfId="9500" xr:uid="{00000000-0005-0000-0000-000007250000}"/>
    <cellStyle name="Dane wejściowe 2 2 33 3" xfId="9501" xr:uid="{00000000-0005-0000-0000-000008250000}"/>
    <cellStyle name="Dane wejściowe 2 2 34" xfId="9502" xr:uid="{00000000-0005-0000-0000-000009250000}"/>
    <cellStyle name="Dane wejściowe 2 2 34 2" xfId="9503" xr:uid="{00000000-0005-0000-0000-00000A250000}"/>
    <cellStyle name="Dane wejściowe 2 2 34 3" xfId="9504" xr:uid="{00000000-0005-0000-0000-00000B250000}"/>
    <cellStyle name="Dane wejściowe 2 2 35" xfId="9505" xr:uid="{00000000-0005-0000-0000-00000C250000}"/>
    <cellStyle name="Dane wejściowe 2 2 35 2" xfId="9506" xr:uid="{00000000-0005-0000-0000-00000D250000}"/>
    <cellStyle name="Dane wejściowe 2 2 35 3" xfId="9507" xr:uid="{00000000-0005-0000-0000-00000E250000}"/>
    <cellStyle name="Dane wejściowe 2 2 36" xfId="9508" xr:uid="{00000000-0005-0000-0000-00000F250000}"/>
    <cellStyle name="Dane wejściowe 2 2 36 2" xfId="9509" xr:uid="{00000000-0005-0000-0000-000010250000}"/>
    <cellStyle name="Dane wejściowe 2 2 36 3" xfId="9510" xr:uid="{00000000-0005-0000-0000-000011250000}"/>
    <cellStyle name="Dane wejściowe 2 2 37" xfId="9511" xr:uid="{00000000-0005-0000-0000-000012250000}"/>
    <cellStyle name="Dane wejściowe 2 2 37 2" xfId="9512" xr:uid="{00000000-0005-0000-0000-000013250000}"/>
    <cellStyle name="Dane wejściowe 2 2 37 3" xfId="9513" xr:uid="{00000000-0005-0000-0000-000014250000}"/>
    <cellStyle name="Dane wejściowe 2 2 38" xfId="9514" xr:uid="{00000000-0005-0000-0000-000015250000}"/>
    <cellStyle name="Dane wejściowe 2 2 38 2" xfId="9515" xr:uid="{00000000-0005-0000-0000-000016250000}"/>
    <cellStyle name="Dane wejściowe 2 2 38 3" xfId="9516" xr:uid="{00000000-0005-0000-0000-000017250000}"/>
    <cellStyle name="Dane wejściowe 2 2 39" xfId="9517" xr:uid="{00000000-0005-0000-0000-000018250000}"/>
    <cellStyle name="Dane wejściowe 2 2 39 2" xfId="9518" xr:uid="{00000000-0005-0000-0000-000019250000}"/>
    <cellStyle name="Dane wejściowe 2 2 39 3" xfId="9519" xr:uid="{00000000-0005-0000-0000-00001A250000}"/>
    <cellStyle name="Dane wejściowe 2 2 4" xfId="9520" xr:uid="{00000000-0005-0000-0000-00001B250000}"/>
    <cellStyle name="Dane wejściowe 2 2 4 2" xfId="9521" xr:uid="{00000000-0005-0000-0000-00001C250000}"/>
    <cellStyle name="Dane wejściowe 2 2 4 3" xfId="9522" xr:uid="{00000000-0005-0000-0000-00001D250000}"/>
    <cellStyle name="Dane wejściowe 2 2 4 4" xfId="9523" xr:uid="{00000000-0005-0000-0000-00001E250000}"/>
    <cellStyle name="Dane wejściowe 2 2 40" xfId="9524" xr:uid="{00000000-0005-0000-0000-00001F250000}"/>
    <cellStyle name="Dane wejściowe 2 2 40 2" xfId="9525" xr:uid="{00000000-0005-0000-0000-000020250000}"/>
    <cellStyle name="Dane wejściowe 2 2 40 3" xfId="9526" xr:uid="{00000000-0005-0000-0000-000021250000}"/>
    <cellStyle name="Dane wejściowe 2 2 41" xfId="9527" xr:uid="{00000000-0005-0000-0000-000022250000}"/>
    <cellStyle name="Dane wejściowe 2 2 41 2" xfId="9528" xr:uid="{00000000-0005-0000-0000-000023250000}"/>
    <cellStyle name="Dane wejściowe 2 2 41 3" xfId="9529" xr:uid="{00000000-0005-0000-0000-000024250000}"/>
    <cellStyle name="Dane wejściowe 2 2 42" xfId="9530" xr:uid="{00000000-0005-0000-0000-000025250000}"/>
    <cellStyle name="Dane wejściowe 2 2 42 2" xfId="9531" xr:uid="{00000000-0005-0000-0000-000026250000}"/>
    <cellStyle name="Dane wejściowe 2 2 42 3" xfId="9532" xr:uid="{00000000-0005-0000-0000-000027250000}"/>
    <cellStyle name="Dane wejściowe 2 2 43" xfId="9533" xr:uid="{00000000-0005-0000-0000-000028250000}"/>
    <cellStyle name="Dane wejściowe 2 2 43 2" xfId="9534" xr:uid="{00000000-0005-0000-0000-000029250000}"/>
    <cellStyle name="Dane wejściowe 2 2 43 3" xfId="9535" xr:uid="{00000000-0005-0000-0000-00002A250000}"/>
    <cellStyle name="Dane wejściowe 2 2 44" xfId="9536" xr:uid="{00000000-0005-0000-0000-00002B250000}"/>
    <cellStyle name="Dane wejściowe 2 2 44 2" xfId="9537" xr:uid="{00000000-0005-0000-0000-00002C250000}"/>
    <cellStyle name="Dane wejściowe 2 2 44 3" xfId="9538" xr:uid="{00000000-0005-0000-0000-00002D250000}"/>
    <cellStyle name="Dane wejściowe 2 2 45" xfId="9539" xr:uid="{00000000-0005-0000-0000-00002E250000}"/>
    <cellStyle name="Dane wejściowe 2 2 45 2" xfId="9540" xr:uid="{00000000-0005-0000-0000-00002F250000}"/>
    <cellStyle name="Dane wejściowe 2 2 45 3" xfId="9541" xr:uid="{00000000-0005-0000-0000-000030250000}"/>
    <cellStyle name="Dane wejściowe 2 2 46" xfId="9542" xr:uid="{00000000-0005-0000-0000-000031250000}"/>
    <cellStyle name="Dane wejściowe 2 2 46 2" xfId="9543" xr:uid="{00000000-0005-0000-0000-000032250000}"/>
    <cellStyle name="Dane wejściowe 2 2 46 3" xfId="9544" xr:uid="{00000000-0005-0000-0000-000033250000}"/>
    <cellStyle name="Dane wejściowe 2 2 47" xfId="9545" xr:uid="{00000000-0005-0000-0000-000034250000}"/>
    <cellStyle name="Dane wejściowe 2 2 47 2" xfId="9546" xr:uid="{00000000-0005-0000-0000-000035250000}"/>
    <cellStyle name="Dane wejściowe 2 2 47 3" xfId="9547" xr:uid="{00000000-0005-0000-0000-000036250000}"/>
    <cellStyle name="Dane wejściowe 2 2 48" xfId="9548" xr:uid="{00000000-0005-0000-0000-000037250000}"/>
    <cellStyle name="Dane wejściowe 2 2 48 2" xfId="9549" xr:uid="{00000000-0005-0000-0000-000038250000}"/>
    <cellStyle name="Dane wejściowe 2 2 48 3" xfId="9550" xr:uid="{00000000-0005-0000-0000-000039250000}"/>
    <cellStyle name="Dane wejściowe 2 2 49" xfId="9551" xr:uid="{00000000-0005-0000-0000-00003A250000}"/>
    <cellStyle name="Dane wejściowe 2 2 49 2" xfId="9552" xr:uid="{00000000-0005-0000-0000-00003B250000}"/>
    <cellStyle name="Dane wejściowe 2 2 49 3" xfId="9553" xr:uid="{00000000-0005-0000-0000-00003C250000}"/>
    <cellStyle name="Dane wejściowe 2 2 5" xfId="9554" xr:uid="{00000000-0005-0000-0000-00003D250000}"/>
    <cellStyle name="Dane wejściowe 2 2 5 2" xfId="9555" xr:uid="{00000000-0005-0000-0000-00003E250000}"/>
    <cellStyle name="Dane wejściowe 2 2 5 3" xfId="9556" xr:uid="{00000000-0005-0000-0000-00003F250000}"/>
    <cellStyle name="Dane wejściowe 2 2 5 4" xfId="9557" xr:uid="{00000000-0005-0000-0000-000040250000}"/>
    <cellStyle name="Dane wejściowe 2 2 50" xfId="9558" xr:uid="{00000000-0005-0000-0000-000041250000}"/>
    <cellStyle name="Dane wejściowe 2 2 50 2" xfId="9559" xr:uid="{00000000-0005-0000-0000-000042250000}"/>
    <cellStyle name="Dane wejściowe 2 2 50 3" xfId="9560" xr:uid="{00000000-0005-0000-0000-000043250000}"/>
    <cellStyle name="Dane wejściowe 2 2 51" xfId="9561" xr:uid="{00000000-0005-0000-0000-000044250000}"/>
    <cellStyle name="Dane wejściowe 2 2 51 2" xfId="9562" xr:uid="{00000000-0005-0000-0000-000045250000}"/>
    <cellStyle name="Dane wejściowe 2 2 51 3" xfId="9563" xr:uid="{00000000-0005-0000-0000-000046250000}"/>
    <cellStyle name="Dane wejściowe 2 2 52" xfId="9564" xr:uid="{00000000-0005-0000-0000-000047250000}"/>
    <cellStyle name="Dane wejściowe 2 2 52 2" xfId="9565" xr:uid="{00000000-0005-0000-0000-000048250000}"/>
    <cellStyle name="Dane wejściowe 2 2 52 3" xfId="9566" xr:uid="{00000000-0005-0000-0000-000049250000}"/>
    <cellStyle name="Dane wejściowe 2 2 53" xfId="9567" xr:uid="{00000000-0005-0000-0000-00004A250000}"/>
    <cellStyle name="Dane wejściowe 2 2 53 2" xfId="9568" xr:uid="{00000000-0005-0000-0000-00004B250000}"/>
    <cellStyle name="Dane wejściowe 2 2 53 3" xfId="9569" xr:uid="{00000000-0005-0000-0000-00004C250000}"/>
    <cellStyle name="Dane wejściowe 2 2 54" xfId="9570" xr:uid="{00000000-0005-0000-0000-00004D250000}"/>
    <cellStyle name="Dane wejściowe 2 2 54 2" xfId="9571" xr:uid="{00000000-0005-0000-0000-00004E250000}"/>
    <cellStyle name="Dane wejściowe 2 2 54 3" xfId="9572" xr:uid="{00000000-0005-0000-0000-00004F250000}"/>
    <cellStyle name="Dane wejściowe 2 2 55" xfId="9573" xr:uid="{00000000-0005-0000-0000-000050250000}"/>
    <cellStyle name="Dane wejściowe 2 2 55 2" xfId="9574" xr:uid="{00000000-0005-0000-0000-000051250000}"/>
    <cellStyle name="Dane wejściowe 2 2 55 3" xfId="9575" xr:uid="{00000000-0005-0000-0000-000052250000}"/>
    <cellStyle name="Dane wejściowe 2 2 56" xfId="9576" xr:uid="{00000000-0005-0000-0000-000053250000}"/>
    <cellStyle name="Dane wejściowe 2 2 56 2" xfId="9577" xr:uid="{00000000-0005-0000-0000-000054250000}"/>
    <cellStyle name="Dane wejściowe 2 2 56 3" xfId="9578" xr:uid="{00000000-0005-0000-0000-000055250000}"/>
    <cellStyle name="Dane wejściowe 2 2 57" xfId="9579" xr:uid="{00000000-0005-0000-0000-000056250000}"/>
    <cellStyle name="Dane wejściowe 2 2 58" xfId="9580" xr:uid="{00000000-0005-0000-0000-000057250000}"/>
    <cellStyle name="Dane wejściowe 2 2 59" xfId="9581" xr:uid="{00000000-0005-0000-0000-000058250000}"/>
    <cellStyle name="Dane wejściowe 2 2 6" xfId="9582" xr:uid="{00000000-0005-0000-0000-000059250000}"/>
    <cellStyle name="Dane wejściowe 2 2 6 2" xfId="9583" xr:uid="{00000000-0005-0000-0000-00005A250000}"/>
    <cellStyle name="Dane wejściowe 2 2 6 3" xfId="9584" xr:uid="{00000000-0005-0000-0000-00005B250000}"/>
    <cellStyle name="Dane wejściowe 2 2 6 4" xfId="9585" xr:uid="{00000000-0005-0000-0000-00005C250000}"/>
    <cellStyle name="Dane wejściowe 2 2 7" xfId="9586" xr:uid="{00000000-0005-0000-0000-00005D250000}"/>
    <cellStyle name="Dane wejściowe 2 2 7 2" xfId="9587" xr:uid="{00000000-0005-0000-0000-00005E250000}"/>
    <cellStyle name="Dane wejściowe 2 2 7 3" xfId="9588" xr:uid="{00000000-0005-0000-0000-00005F250000}"/>
    <cellStyle name="Dane wejściowe 2 2 7 4" xfId="9589" xr:uid="{00000000-0005-0000-0000-000060250000}"/>
    <cellStyle name="Dane wejściowe 2 2 8" xfId="9590" xr:uid="{00000000-0005-0000-0000-000061250000}"/>
    <cellStyle name="Dane wejściowe 2 2 8 2" xfId="9591" xr:uid="{00000000-0005-0000-0000-000062250000}"/>
    <cellStyle name="Dane wejściowe 2 2 8 3" xfId="9592" xr:uid="{00000000-0005-0000-0000-000063250000}"/>
    <cellStyle name="Dane wejściowe 2 2 8 4" xfId="9593" xr:uid="{00000000-0005-0000-0000-000064250000}"/>
    <cellStyle name="Dane wejściowe 2 2 9" xfId="9594" xr:uid="{00000000-0005-0000-0000-000065250000}"/>
    <cellStyle name="Dane wejściowe 2 2 9 2" xfId="9595" xr:uid="{00000000-0005-0000-0000-000066250000}"/>
    <cellStyle name="Dane wejściowe 2 2 9 3" xfId="9596" xr:uid="{00000000-0005-0000-0000-000067250000}"/>
    <cellStyle name="Dane wejściowe 2 2 9 4" xfId="9597" xr:uid="{00000000-0005-0000-0000-000068250000}"/>
    <cellStyle name="Dane wejściowe 2 20" xfId="9598" xr:uid="{00000000-0005-0000-0000-000069250000}"/>
    <cellStyle name="Dane wejściowe 2 20 10" xfId="9599" xr:uid="{00000000-0005-0000-0000-00006A250000}"/>
    <cellStyle name="Dane wejściowe 2 20 10 2" xfId="9600" xr:uid="{00000000-0005-0000-0000-00006B250000}"/>
    <cellStyle name="Dane wejściowe 2 20 10 3" xfId="9601" xr:uid="{00000000-0005-0000-0000-00006C250000}"/>
    <cellStyle name="Dane wejściowe 2 20 10 4" xfId="9602" xr:uid="{00000000-0005-0000-0000-00006D250000}"/>
    <cellStyle name="Dane wejściowe 2 20 11" xfId="9603" xr:uid="{00000000-0005-0000-0000-00006E250000}"/>
    <cellStyle name="Dane wejściowe 2 20 11 2" xfId="9604" xr:uid="{00000000-0005-0000-0000-00006F250000}"/>
    <cellStyle name="Dane wejściowe 2 20 11 3" xfId="9605" xr:uid="{00000000-0005-0000-0000-000070250000}"/>
    <cellStyle name="Dane wejściowe 2 20 11 4" xfId="9606" xr:uid="{00000000-0005-0000-0000-000071250000}"/>
    <cellStyle name="Dane wejściowe 2 20 12" xfId="9607" xr:uid="{00000000-0005-0000-0000-000072250000}"/>
    <cellStyle name="Dane wejściowe 2 20 12 2" xfId="9608" xr:uid="{00000000-0005-0000-0000-000073250000}"/>
    <cellStyle name="Dane wejściowe 2 20 12 3" xfId="9609" xr:uid="{00000000-0005-0000-0000-000074250000}"/>
    <cellStyle name="Dane wejściowe 2 20 12 4" xfId="9610" xr:uid="{00000000-0005-0000-0000-000075250000}"/>
    <cellStyle name="Dane wejściowe 2 20 13" xfId="9611" xr:uid="{00000000-0005-0000-0000-000076250000}"/>
    <cellStyle name="Dane wejściowe 2 20 13 2" xfId="9612" xr:uid="{00000000-0005-0000-0000-000077250000}"/>
    <cellStyle name="Dane wejściowe 2 20 13 3" xfId="9613" xr:uid="{00000000-0005-0000-0000-000078250000}"/>
    <cellStyle name="Dane wejściowe 2 20 13 4" xfId="9614" xr:uid="{00000000-0005-0000-0000-000079250000}"/>
    <cellStyle name="Dane wejściowe 2 20 14" xfId="9615" xr:uid="{00000000-0005-0000-0000-00007A250000}"/>
    <cellStyle name="Dane wejściowe 2 20 14 2" xfId="9616" xr:uid="{00000000-0005-0000-0000-00007B250000}"/>
    <cellStyle name="Dane wejściowe 2 20 14 3" xfId="9617" xr:uid="{00000000-0005-0000-0000-00007C250000}"/>
    <cellStyle name="Dane wejściowe 2 20 14 4" xfId="9618" xr:uid="{00000000-0005-0000-0000-00007D250000}"/>
    <cellStyle name="Dane wejściowe 2 20 15" xfId="9619" xr:uid="{00000000-0005-0000-0000-00007E250000}"/>
    <cellStyle name="Dane wejściowe 2 20 15 2" xfId="9620" xr:uid="{00000000-0005-0000-0000-00007F250000}"/>
    <cellStyle name="Dane wejściowe 2 20 15 3" xfId="9621" xr:uid="{00000000-0005-0000-0000-000080250000}"/>
    <cellStyle name="Dane wejściowe 2 20 15 4" xfId="9622" xr:uid="{00000000-0005-0000-0000-000081250000}"/>
    <cellStyle name="Dane wejściowe 2 20 16" xfId="9623" xr:uid="{00000000-0005-0000-0000-000082250000}"/>
    <cellStyle name="Dane wejściowe 2 20 16 2" xfId="9624" xr:uid="{00000000-0005-0000-0000-000083250000}"/>
    <cellStyle name="Dane wejściowe 2 20 16 3" xfId="9625" xr:uid="{00000000-0005-0000-0000-000084250000}"/>
    <cellStyle name="Dane wejściowe 2 20 16 4" xfId="9626" xr:uid="{00000000-0005-0000-0000-000085250000}"/>
    <cellStyle name="Dane wejściowe 2 20 17" xfId="9627" xr:uid="{00000000-0005-0000-0000-000086250000}"/>
    <cellStyle name="Dane wejściowe 2 20 17 2" xfId="9628" xr:uid="{00000000-0005-0000-0000-000087250000}"/>
    <cellStyle name="Dane wejściowe 2 20 17 3" xfId="9629" xr:uid="{00000000-0005-0000-0000-000088250000}"/>
    <cellStyle name="Dane wejściowe 2 20 17 4" xfId="9630" xr:uid="{00000000-0005-0000-0000-000089250000}"/>
    <cellStyle name="Dane wejściowe 2 20 18" xfId="9631" xr:uid="{00000000-0005-0000-0000-00008A250000}"/>
    <cellStyle name="Dane wejściowe 2 20 18 2" xfId="9632" xr:uid="{00000000-0005-0000-0000-00008B250000}"/>
    <cellStyle name="Dane wejściowe 2 20 18 3" xfId="9633" xr:uid="{00000000-0005-0000-0000-00008C250000}"/>
    <cellStyle name="Dane wejściowe 2 20 18 4" xfId="9634" xr:uid="{00000000-0005-0000-0000-00008D250000}"/>
    <cellStyle name="Dane wejściowe 2 20 19" xfId="9635" xr:uid="{00000000-0005-0000-0000-00008E250000}"/>
    <cellStyle name="Dane wejściowe 2 20 19 2" xfId="9636" xr:uid="{00000000-0005-0000-0000-00008F250000}"/>
    <cellStyle name="Dane wejściowe 2 20 19 3" xfId="9637" xr:uid="{00000000-0005-0000-0000-000090250000}"/>
    <cellStyle name="Dane wejściowe 2 20 19 4" xfId="9638" xr:uid="{00000000-0005-0000-0000-000091250000}"/>
    <cellStyle name="Dane wejściowe 2 20 2" xfId="9639" xr:uid="{00000000-0005-0000-0000-000092250000}"/>
    <cellStyle name="Dane wejściowe 2 20 2 2" xfId="9640" xr:uid="{00000000-0005-0000-0000-000093250000}"/>
    <cellStyle name="Dane wejściowe 2 20 2 3" xfId="9641" xr:uid="{00000000-0005-0000-0000-000094250000}"/>
    <cellStyle name="Dane wejściowe 2 20 2 4" xfId="9642" xr:uid="{00000000-0005-0000-0000-000095250000}"/>
    <cellStyle name="Dane wejściowe 2 20 20" xfId="9643" xr:uid="{00000000-0005-0000-0000-000096250000}"/>
    <cellStyle name="Dane wejściowe 2 20 20 2" xfId="9644" xr:uid="{00000000-0005-0000-0000-000097250000}"/>
    <cellStyle name="Dane wejściowe 2 20 20 3" xfId="9645" xr:uid="{00000000-0005-0000-0000-000098250000}"/>
    <cellStyle name="Dane wejściowe 2 20 20 4" xfId="9646" xr:uid="{00000000-0005-0000-0000-000099250000}"/>
    <cellStyle name="Dane wejściowe 2 20 21" xfId="9647" xr:uid="{00000000-0005-0000-0000-00009A250000}"/>
    <cellStyle name="Dane wejściowe 2 20 21 2" xfId="9648" xr:uid="{00000000-0005-0000-0000-00009B250000}"/>
    <cellStyle name="Dane wejściowe 2 20 21 3" xfId="9649" xr:uid="{00000000-0005-0000-0000-00009C250000}"/>
    <cellStyle name="Dane wejściowe 2 20 22" xfId="9650" xr:uid="{00000000-0005-0000-0000-00009D250000}"/>
    <cellStyle name="Dane wejściowe 2 20 22 2" xfId="9651" xr:uid="{00000000-0005-0000-0000-00009E250000}"/>
    <cellStyle name="Dane wejściowe 2 20 22 3" xfId="9652" xr:uid="{00000000-0005-0000-0000-00009F250000}"/>
    <cellStyle name="Dane wejściowe 2 20 23" xfId="9653" xr:uid="{00000000-0005-0000-0000-0000A0250000}"/>
    <cellStyle name="Dane wejściowe 2 20 23 2" xfId="9654" xr:uid="{00000000-0005-0000-0000-0000A1250000}"/>
    <cellStyle name="Dane wejściowe 2 20 23 3" xfId="9655" xr:uid="{00000000-0005-0000-0000-0000A2250000}"/>
    <cellStyle name="Dane wejściowe 2 20 24" xfId="9656" xr:uid="{00000000-0005-0000-0000-0000A3250000}"/>
    <cellStyle name="Dane wejściowe 2 20 24 2" xfId="9657" xr:uid="{00000000-0005-0000-0000-0000A4250000}"/>
    <cellStyle name="Dane wejściowe 2 20 24 3" xfId="9658" xr:uid="{00000000-0005-0000-0000-0000A5250000}"/>
    <cellStyle name="Dane wejściowe 2 20 25" xfId="9659" xr:uid="{00000000-0005-0000-0000-0000A6250000}"/>
    <cellStyle name="Dane wejściowe 2 20 25 2" xfId="9660" xr:uid="{00000000-0005-0000-0000-0000A7250000}"/>
    <cellStyle name="Dane wejściowe 2 20 25 3" xfId="9661" xr:uid="{00000000-0005-0000-0000-0000A8250000}"/>
    <cellStyle name="Dane wejściowe 2 20 26" xfId="9662" xr:uid="{00000000-0005-0000-0000-0000A9250000}"/>
    <cellStyle name="Dane wejściowe 2 20 26 2" xfId="9663" xr:uid="{00000000-0005-0000-0000-0000AA250000}"/>
    <cellStyle name="Dane wejściowe 2 20 26 3" xfId="9664" xr:uid="{00000000-0005-0000-0000-0000AB250000}"/>
    <cellStyle name="Dane wejściowe 2 20 27" xfId="9665" xr:uid="{00000000-0005-0000-0000-0000AC250000}"/>
    <cellStyle name="Dane wejściowe 2 20 27 2" xfId="9666" xr:uid="{00000000-0005-0000-0000-0000AD250000}"/>
    <cellStyle name="Dane wejściowe 2 20 27 3" xfId="9667" xr:uid="{00000000-0005-0000-0000-0000AE250000}"/>
    <cellStyle name="Dane wejściowe 2 20 28" xfId="9668" xr:uid="{00000000-0005-0000-0000-0000AF250000}"/>
    <cellStyle name="Dane wejściowe 2 20 28 2" xfId="9669" xr:uid="{00000000-0005-0000-0000-0000B0250000}"/>
    <cellStyle name="Dane wejściowe 2 20 28 3" xfId="9670" xr:uid="{00000000-0005-0000-0000-0000B1250000}"/>
    <cellStyle name="Dane wejściowe 2 20 29" xfId="9671" xr:uid="{00000000-0005-0000-0000-0000B2250000}"/>
    <cellStyle name="Dane wejściowe 2 20 29 2" xfId="9672" xr:uid="{00000000-0005-0000-0000-0000B3250000}"/>
    <cellStyle name="Dane wejściowe 2 20 29 3" xfId="9673" xr:uid="{00000000-0005-0000-0000-0000B4250000}"/>
    <cellStyle name="Dane wejściowe 2 20 3" xfId="9674" xr:uid="{00000000-0005-0000-0000-0000B5250000}"/>
    <cellStyle name="Dane wejściowe 2 20 3 2" xfId="9675" xr:uid="{00000000-0005-0000-0000-0000B6250000}"/>
    <cellStyle name="Dane wejściowe 2 20 3 3" xfId="9676" xr:uid="{00000000-0005-0000-0000-0000B7250000}"/>
    <cellStyle name="Dane wejściowe 2 20 3 4" xfId="9677" xr:uid="{00000000-0005-0000-0000-0000B8250000}"/>
    <cellStyle name="Dane wejściowe 2 20 30" xfId="9678" xr:uid="{00000000-0005-0000-0000-0000B9250000}"/>
    <cellStyle name="Dane wejściowe 2 20 30 2" xfId="9679" xr:uid="{00000000-0005-0000-0000-0000BA250000}"/>
    <cellStyle name="Dane wejściowe 2 20 30 3" xfId="9680" xr:uid="{00000000-0005-0000-0000-0000BB250000}"/>
    <cellStyle name="Dane wejściowe 2 20 31" xfId="9681" xr:uid="{00000000-0005-0000-0000-0000BC250000}"/>
    <cellStyle name="Dane wejściowe 2 20 31 2" xfId="9682" xr:uid="{00000000-0005-0000-0000-0000BD250000}"/>
    <cellStyle name="Dane wejściowe 2 20 31 3" xfId="9683" xr:uid="{00000000-0005-0000-0000-0000BE250000}"/>
    <cellStyle name="Dane wejściowe 2 20 32" xfId="9684" xr:uid="{00000000-0005-0000-0000-0000BF250000}"/>
    <cellStyle name="Dane wejściowe 2 20 32 2" xfId="9685" xr:uid="{00000000-0005-0000-0000-0000C0250000}"/>
    <cellStyle name="Dane wejściowe 2 20 32 3" xfId="9686" xr:uid="{00000000-0005-0000-0000-0000C1250000}"/>
    <cellStyle name="Dane wejściowe 2 20 33" xfId="9687" xr:uid="{00000000-0005-0000-0000-0000C2250000}"/>
    <cellStyle name="Dane wejściowe 2 20 33 2" xfId="9688" xr:uid="{00000000-0005-0000-0000-0000C3250000}"/>
    <cellStyle name="Dane wejściowe 2 20 33 3" xfId="9689" xr:uid="{00000000-0005-0000-0000-0000C4250000}"/>
    <cellStyle name="Dane wejściowe 2 20 34" xfId="9690" xr:uid="{00000000-0005-0000-0000-0000C5250000}"/>
    <cellStyle name="Dane wejściowe 2 20 34 2" xfId="9691" xr:uid="{00000000-0005-0000-0000-0000C6250000}"/>
    <cellStyle name="Dane wejściowe 2 20 34 3" xfId="9692" xr:uid="{00000000-0005-0000-0000-0000C7250000}"/>
    <cellStyle name="Dane wejściowe 2 20 35" xfId="9693" xr:uid="{00000000-0005-0000-0000-0000C8250000}"/>
    <cellStyle name="Dane wejściowe 2 20 35 2" xfId="9694" xr:uid="{00000000-0005-0000-0000-0000C9250000}"/>
    <cellStyle name="Dane wejściowe 2 20 35 3" xfId="9695" xr:uid="{00000000-0005-0000-0000-0000CA250000}"/>
    <cellStyle name="Dane wejściowe 2 20 36" xfId="9696" xr:uid="{00000000-0005-0000-0000-0000CB250000}"/>
    <cellStyle name="Dane wejściowe 2 20 36 2" xfId="9697" xr:uid="{00000000-0005-0000-0000-0000CC250000}"/>
    <cellStyle name="Dane wejściowe 2 20 36 3" xfId="9698" xr:uid="{00000000-0005-0000-0000-0000CD250000}"/>
    <cellStyle name="Dane wejściowe 2 20 37" xfId="9699" xr:uid="{00000000-0005-0000-0000-0000CE250000}"/>
    <cellStyle name="Dane wejściowe 2 20 37 2" xfId="9700" xr:uid="{00000000-0005-0000-0000-0000CF250000}"/>
    <cellStyle name="Dane wejściowe 2 20 37 3" xfId="9701" xr:uid="{00000000-0005-0000-0000-0000D0250000}"/>
    <cellStyle name="Dane wejściowe 2 20 38" xfId="9702" xr:uid="{00000000-0005-0000-0000-0000D1250000}"/>
    <cellStyle name="Dane wejściowe 2 20 38 2" xfId="9703" xr:uid="{00000000-0005-0000-0000-0000D2250000}"/>
    <cellStyle name="Dane wejściowe 2 20 38 3" xfId="9704" xr:uid="{00000000-0005-0000-0000-0000D3250000}"/>
    <cellStyle name="Dane wejściowe 2 20 39" xfId="9705" xr:uid="{00000000-0005-0000-0000-0000D4250000}"/>
    <cellStyle name="Dane wejściowe 2 20 39 2" xfId="9706" xr:uid="{00000000-0005-0000-0000-0000D5250000}"/>
    <cellStyle name="Dane wejściowe 2 20 39 3" xfId="9707" xr:uid="{00000000-0005-0000-0000-0000D6250000}"/>
    <cellStyle name="Dane wejściowe 2 20 4" xfId="9708" xr:uid="{00000000-0005-0000-0000-0000D7250000}"/>
    <cellStyle name="Dane wejściowe 2 20 4 2" xfId="9709" xr:uid="{00000000-0005-0000-0000-0000D8250000}"/>
    <cellStyle name="Dane wejściowe 2 20 4 3" xfId="9710" xr:uid="{00000000-0005-0000-0000-0000D9250000}"/>
    <cellStyle name="Dane wejściowe 2 20 4 4" xfId="9711" xr:uid="{00000000-0005-0000-0000-0000DA250000}"/>
    <cellStyle name="Dane wejściowe 2 20 40" xfId="9712" xr:uid="{00000000-0005-0000-0000-0000DB250000}"/>
    <cellStyle name="Dane wejściowe 2 20 40 2" xfId="9713" xr:uid="{00000000-0005-0000-0000-0000DC250000}"/>
    <cellStyle name="Dane wejściowe 2 20 40 3" xfId="9714" xr:uid="{00000000-0005-0000-0000-0000DD250000}"/>
    <cellStyle name="Dane wejściowe 2 20 41" xfId="9715" xr:uid="{00000000-0005-0000-0000-0000DE250000}"/>
    <cellStyle name="Dane wejściowe 2 20 41 2" xfId="9716" xr:uid="{00000000-0005-0000-0000-0000DF250000}"/>
    <cellStyle name="Dane wejściowe 2 20 41 3" xfId="9717" xr:uid="{00000000-0005-0000-0000-0000E0250000}"/>
    <cellStyle name="Dane wejściowe 2 20 42" xfId="9718" xr:uid="{00000000-0005-0000-0000-0000E1250000}"/>
    <cellStyle name="Dane wejściowe 2 20 42 2" xfId="9719" xr:uid="{00000000-0005-0000-0000-0000E2250000}"/>
    <cellStyle name="Dane wejściowe 2 20 42 3" xfId="9720" xr:uid="{00000000-0005-0000-0000-0000E3250000}"/>
    <cellStyle name="Dane wejściowe 2 20 43" xfId="9721" xr:uid="{00000000-0005-0000-0000-0000E4250000}"/>
    <cellStyle name="Dane wejściowe 2 20 43 2" xfId="9722" xr:uid="{00000000-0005-0000-0000-0000E5250000}"/>
    <cellStyle name="Dane wejściowe 2 20 43 3" xfId="9723" xr:uid="{00000000-0005-0000-0000-0000E6250000}"/>
    <cellStyle name="Dane wejściowe 2 20 44" xfId="9724" xr:uid="{00000000-0005-0000-0000-0000E7250000}"/>
    <cellStyle name="Dane wejściowe 2 20 44 2" xfId="9725" xr:uid="{00000000-0005-0000-0000-0000E8250000}"/>
    <cellStyle name="Dane wejściowe 2 20 44 3" xfId="9726" xr:uid="{00000000-0005-0000-0000-0000E9250000}"/>
    <cellStyle name="Dane wejściowe 2 20 45" xfId="9727" xr:uid="{00000000-0005-0000-0000-0000EA250000}"/>
    <cellStyle name="Dane wejściowe 2 20 45 2" xfId="9728" xr:uid="{00000000-0005-0000-0000-0000EB250000}"/>
    <cellStyle name="Dane wejściowe 2 20 45 3" xfId="9729" xr:uid="{00000000-0005-0000-0000-0000EC250000}"/>
    <cellStyle name="Dane wejściowe 2 20 46" xfId="9730" xr:uid="{00000000-0005-0000-0000-0000ED250000}"/>
    <cellStyle name="Dane wejściowe 2 20 46 2" xfId="9731" xr:uid="{00000000-0005-0000-0000-0000EE250000}"/>
    <cellStyle name="Dane wejściowe 2 20 46 3" xfId="9732" xr:uid="{00000000-0005-0000-0000-0000EF250000}"/>
    <cellStyle name="Dane wejściowe 2 20 47" xfId="9733" xr:uid="{00000000-0005-0000-0000-0000F0250000}"/>
    <cellStyle name="Dane wejściowe 2 20 47 2" xfId="9734" xr:uid="{00000000-0005-0000-0000-0000F1250000}"/>
    <cellStyle name="Dane wejściowe 2 20 47 3" xfId="9735" xr:uid="{00000000-0005-0000-0000-0000F2250000}"/>
    <cellStyle name="Dane wejściowe 2 20 48" xfId="9736" xr:uid="{00000000-0005-0000-0000-0000F3250000}"/>
    <cellStyle name="Dane wejściowe 2 20 48 2" xfId="9737" xr:uid="{00000000-0005-0000-0000-0000F4250000}"/>
    <cellStyle name="Dane wejściowe 2 20 48 3" xfId="9738" xr:uid="{00000000-0005-0000-0000-0000F5250000}"/>
    <cellStyle name="Dane wejściowe 2 20 49" xfId="9739" xr:uid="{00000000-0005-0000-0000-0000F6250000}"/>
    <cellStyle name="Dane wejściowe 2 20 49 2" xfId="9740" xr:uid="{00000000-0005-0000-0000-0000F7250000}"/>
    <cellStyle name="Dane wejściowe 2 20 49 3" xfId="9741" xr:uid="{00000000-0005-0000-0000-0000F8250000}"/>
    <cellStyle name="Dane wejściowe 2 20 5" xfId="9742" xr:uid="{00000000-0005-0000-0000-0000F9250000}"/>
    <cellStyle name="Dane wejściowe 2 20 5 2" xfId="9743" xr:uid="{00000000-0005-0000-0000-0000FA250000}"/>
    <cellStyle name="Dane wejściowe 2 20 5 3" xfId="9744" xr:uid="{00000000-0005-0000-0000-0000FB250000}"/>
    <cellStyle name="Dane wejściowe 2 20 5 4" xfId="9745" xr:uid="{00000000-0005-0000-0000-0000FC250000}"/>
    <cellStyle name="Dane wejściowe 2 20 50" xfId="9746" xr:uid="{00000000-0005-0000-0000-0000FD250000}"/>
    <cellStyle name="Dane wejściowe 2 20 50 2" xfId="9747" xr:uid="{00000000-0005-0000-0000-0000FE250000}"/>
    <cellStyle name="Dane wejściowe 2 20 50 3" xfId="9748" xr:uid="{00000000-0005-0000-0000-0000FF250000}"/>
    <cellStyle name="Dane wejściowe 2 20 51" xfId="9749" xr:uid="{00000000-0005-0000-0000-000000260000}"/>
    <cellStyle name="Dane wejściowe 2 20 51 2" xfId="9750" xr:uid="{00000000-0005-0000-0000-000001260000}"/>
    <cellStyle name="Dane wejściowe 2 20 51 3" xfId="9751" xr:uid="{00000000-0005-0000-0000-000002260000}"/>
    <cellStyle name="Dane wejściowe 2 20 52" xfId="9752" xr:uid="{00000000-0005-0000-0000-000003260000}"/>
    <cellStyle name="Dane wejściowe 2 20 52 2" xfId="9753" xr:uid="{00000000-0005-0000-0000-000004260000}"/>
    <cellStyle name="Dane wejściowe 2 20 52 3" xfId="9754" xr:uid="{00000000-0005-0000-0000-000005260000}"/>
    <cellStyle name="Dane wejściowe 2 20 53" xfId="9755" xr:uid="{00000000-0005-0000-0000-000006260000}"/>
    <cellStyle name="Dane wejściowe 2 20 53 2" xfId="9756" xr:uid="{00000000-0005-0000-0000-000007260000}"/>
    <cellStyle name="Dane wejściowe 2 20 53 3" xfId="9757" xr:uid="{00000000-0005-0000-0000-000008260000}"/>
    <cellStyle name="Dane wejściowe 2 20 54" xfId="9758" xr:uid="{00000000-0005-0000-0000-000009260000}"/>
    <cellStyle name="Dane wejściowe 2 20 54 2" xfId="9759" xr:uid="{00000000-0005-0000-0000-00000A260000}"/>
    <cellStyle name="Dane wejściowe 2 20 54 3" xfId="9760" xr:uid="{00000000-0005-0000-0000-00000B260000}"/>
    <cellStyle name="Dane wejściowe 2 20 55" xfId="9761" xr:uid="{00000000-0005-0000-0000-00000C260000}"/>
    <cellStyle name="Dane wejściowe 2 20 55 2" xfId="9762" xr:uid="{00000000-0005-0000-0000-00000D260000}"/>
    <cellStyle name="Dane wejściowe 2 20 55 3" xfId="9763" xr:uid="{00000000-0005-0000-0000-00000E260000}"/>
    <cellStyle name="Dane wejściowe 2 20 56" xfId="9764" xr:uid="{00000000-0005-0000-0000-00000F260000}"/>
    <cellStyle name="Dane wejściowe 2 20 56 2" xfId="9765" xr:uid="{00000000-0005-0000-0000-000010260000}"/>
    <cellStyle name="Dane wejściowe 2 20 56 3" xfId="9766" xr:uid="{00000000-0005-0000-0000-000011260000}"/>
    <cellStyle name="Dane wejściowe 2 20 57" xfId="9767" xr:uid="{00000000-0005-0000-0000-000012260000}"/>
    <cellStyle name="Dane wejściowe 2 20 58" xfId="9768" xr:uid="{00000000-0005-0000-0000-000013260000}"/>
    <cellStyle name="Dane wejściowe 2 20 6" xfId="9769" xr:uid="{00000000-0005-0000-0000-000014260000}"/>
    <cellStyle name="Dane wejściowe 2 20 6 2" xfId="9770" xr:uid="{00000000-0005-0000-0000-000015260000}"/>
    <cellStyle name="Dane wejściowe 2 20 6 3" xfId="9771" xr:uid="{00000000-0005-0000-0000-000016260000}"/>
    <cellStyle name="Dane wejściowe 2 20 6 4" xfId="9772" xr:uid="{00000000-0005-0000-0000-000017260000}"/>
    <cellStyle name="Dane wejściowe 2 20 7" xfId="9773" xr:uid="{00000000-0005-0000-0000-000018260000}"/>
    <cellStyle name="Dane wejściowe 2 20 7 2" xfId="9774" xr:uid="{00000000-0005-0000-0000-000019260000}"/>
    <cellStyle name="Dane wejściowe 2 20 7 3" xfId="9775" xr:uid="{00000000-0005-0000-0000-00001A260000}"/>
    <cellStyle name="Dane wejściowe 2 20 7 4" xfId="9776" xr:uid="{00000000-0005-0000-0000-00001B260000}"/>
    <cellStyle name="Dane wejściowe 2 20 8" xfId="9777" xr:uid="{00000000-0005-0000-0000-00001C260000}"/>
    <cellStyle name="Dane wejściowe 2 20 8 2" xfId="9778" xr:uid="{00000000-0005-0000-0000-00001D260000}"/>
    <cellStyle name="Dane wejściowe 2 20 8 3" xfId="9779" xr:uid="{00000000-0005-0000-0000-00001E260000}"/>
    <cellStyle name="Dane wejściowe 2 20 8 4" xfId="9780" xr:uid="{00000000-0005-0000-0000-00001F260000}"/>
    <cellStyle name="Dane wejściowe 2 20 9" xfId="9781" xr:uid="{00000000-0005-0000-0000-000020260000}"/>
    <cellStyle name="Dane wejściowe 2 20 9 2" xfId="9782" xr:uid="{00000000-0005-0000-0000-000021260000}"/>
    <cellStyle name="Dane wejściowe 2 20 9 3" xfId="9783" xr:uid="{00000000-0005-0000-0000-000022260000}"/>
    <cellStyle name="Dane wejściowe 2 20 9 4" xfId="9784" xr:uid="{00000000-0005-0000-0000-000023260000}"/>
    <cellStyle name="Dane wejściowe 2 21" xfId="9785" xr:uid="{00000000-0005-0000-0000-000024260000}"/>
    <cellStyle name="Dane wejściowe 2 21 10" xfId="9786" xr:uid="{00000000-0005-0000-0000-000025260000}"/>
    <cellStyle name="Dane wejściowe 2 21 10 2" xfId="9787" xr:uid="{00000000-0005-0000-0000-000026260000}"/>
    <cellStyle name="Dane wejściowe 2 21 10 3" xfId="9788" xr:uid="{00000000-0005-0000-0000-000027260000}"/>
    <cellStyle name="Dane wejściowe 2 21 10 4" xfId="9789" xr:uid="{00000000-0005-0000-0000-000028260000}"/>
    <cellStyle name="Dane wejściowe 2 21 11" xfId="9790" xr:uid="{00000000-0005-0000-0000-000029260000}"/>
    <cellStyle name="Dane wejściowe 2 21 11 2" xfId="9791" xr:uid="{00000000-0005-0000-0000-00002A260000}"/>
    <cellStyle name="Dane wejściowe 2 21 11 3" xfId="9792" xr:uid="{00000000-0005-0000-0000-00002B260000}"/>
    <cellStyle name="Dane wejściowe 2 21 11 4" xfId="9793" xr:uid="{00000000-0005-0000-0000-00002C260000}"/>
    <cellStyle name="Dane wejściowe 2 21 12" xfId="9794" xr:uid="{00000000-0005-0000-0000-00002D260000}"/>
    <cellStyle name="Dane wejściowe 2 21 12 2" xfId="9795" xr:uid="{00000000-0005-0000-0000-00002E260000}"/>
    <cellStyle name="Dane wejściowe 2 21 12 3" xfId="9796" xr:uid="{00000000-0005-0000-0000-00002F260000}"/>
    <cellStyle name="Dane wejściowe 2 21 12 4" xfId="9797" xr:uid="{00000000-0005-0000-0000-000030260000}"/>
    <cellStyle name="Dane wejściowe 2 21 13" xfId="9798" xr:uid="{00000000-0005-0000-0000-000031260000}"/>
    <cellStyle name="Dane wejściowe 2 21 13 2" xfId="9799" xr:uid="{00000000-0005-0000-0000-000032260000}"/>
    <cellStyle name="Dane wejściowe 2 21 13 3" xfId="9800" xr:uid="{00000000-0005-0000-0000-000033260000}"/>
    <cellStyle name="Dane wejściowe 2 21 13 4" xfId="9801" xr:uid="{00000000-0005-0000-0000-000034260000}"/>
    <cellStyle name="Dane wejściowe 2 21 14" xfId="9802" xr:uid="{00000000-0005-0000-0000-000035260000}"/>
    <cellStyle name="Dane wejściowe 2 21 14 2" xfId="9803" xr:uid="{00000000-0005-0000-0000-000036260000}"/>
    <cellStyle name="Dane wejściowe 2 21 14 3" xfId="9804" xr:uid="{00000000-0005-0000-0000-000037260000}"/>
    <cellStyle name="Dane wejściowe 2 21 14 4" xfId="9805" xr:uid="{00000000-0005-0000-0000-000038260000}"/>
    <cellStyle name="Dane wejściowe 2 21 15" xfId="9806" xr:uid="{00000000-0005-0000-0000-000039260000}"/>
    <cellStyle name="Dane wejściowe 2 21 15 2" xfId="9807" xr:uid="{00000000-0005-0000-0000-00003A260000}"/>
    <cellStyle name="Dane wejściowe 2 21 15 3" xfId="9808" xr:uid="{00000000-0005-0000-0000-00003B260000}"/>
    <cellStyle name="Dane wejściowe 2 21 15 4" xfId="9809" xr:uid="{00000000-0005-0000-0000-00003C260000}"/>
    <cellStyle name="Dane wejściowe 2 21 16" xfId="9810" xr:uid="{00000000-0005-0000-0000-00003D260000}"/>
    <cellStyle name="Dane wejściowe 2 21 16 2" xfId="9811" xr:uid="{00000000-0005-0000-0000-00003E260000}"/>
    <cellStyle name="Dane wejściowe 2 21 16 3" xfId="9812" xr:uid="{00000000-0005-0000-0000-00003F260000}"/>
    <cellStyle name="Dane wejściowe 2 21 16 4" xfId="9813" xr:uid="{00000000-0005-0000-0000-000040260000}"/>
    <cellStyle name="Dane wejściowe 2 21 17" xfId="9814" xr:uid="{00000000-0005-0000-0000-000041260000}"/>
    <cellStyle name="Dane wejściowe 2 21 17 2" xfId="9815" xr:uid="{00000000-0005-0000-0000-000042260000}"/>
    <cellStyle name="Dane wejściowe 2 21 17 3" xfId="9816" xr:uid="{00000000-0005-0000-0000-000043260000}"/>
    <cellStyle name="Dane wejściowe 2 21 17 4" xfId="9817" xr:uid="{00000000-0005-0000-0000-000044260000}"/>
    <cellStyle name="Dane wejściowe 2 21 18" xfId="9818" xr:uid="{00000000-0005-0000-0000-000045260000}"/>
    <cellStyle name="Dane wejściowe 2 21 18 2" xfId="9819" xr:uid="{00000000-0005-0000-0000-000046260000}"/>
    <cellStyle name="Dane wejściowe 2 21 18 3" xfId="9820" xr:uid="{00000000-0005-0000-0000-000047260000}"/>
    <cellStyle name="Dane wejściowe 2 21 18 4" xfId="9821" xr:uid="{00000000-0005-0000-0000-000048260000}"/>
    <cellStyle name="Dane wejściowe 2 21 19" xfId="9822" xr:uid="{00000000-0005-0000-0000-000049260000}"/>
    <cellStyle name="Dane wejściowe 2 21 19 2" xfId="9823" xr:uid="{00000000-0005-0000-0000-00004A260000}"/>
    <cellStyle name="Dane wejściowe 2 21 19 3" xfId="9824" xr:uid="{00000000-0005-0000-0000-00004B260000}"/>
    <cellStyle name="Dane wejściowe 2 21 19 4" xfId="9825" xr:uid="{00000000-0005-0000-0000-00004C260000}"/>
    <cellStyle name="Dane wejściowe 2 21 2" xfId="9826" xr:uid="{00000000-0005-0000-0000-00004D260000}"/>
    <cellStyle name="Dane wejściowe 2 21 2 2" xfId="9827" xr:uid="{00000000-0005-0000-0000-00004E260000}"/>
    <cellStyle name="Dane wejściowe 2 21 2 3" xfId="9828" xr:uid="{00000000-0005-0000-0000-00004F260000}"/>
    <cellStyle name="Dane wejściowe 2 21 2 4" xfId="9829" xr:uid="{00000000-0005-0000-0000-000050260000}"/>
    <cellStyle name="Dane wejściowe 2 21 20" xfId="9830" xr:uid="{00000000-0005-0000-0000-000051260000}"/>
    <cellStyle name="Dane wejściowe 2 21 20 2" xfId="9831" xr:uid="{00000000-0005-0000-0000-000052260000}"/>
    <cellStyle name="Dane wejściowe 2 21 20 3" xfId="9832" xr:uid="{00000000-0005-0000-0000-000053260000}"/>
    <cellStyle name="Dane wejściowe 2 21 20 4" xfId="9833" xr:uid="{00000000-0005-0000-0000-000054260000}"/>
    <cellStyle name="Dane wejściowe 2 21 21" xfId="9834" xr:uid="{00000000-0005-0000-0000-000055260000}"/>
    <cellStyle name="Dane wejściowe 2 21 21 2" xfId="9835" xr:uid="{00000000-0005-0000-0000-000056260000}"/>
    <cellStyle name="Dane wejściowe 2 21 21 3" xfId="9836" xr:uid="{00000000-0005-0000-0000-000057260000}"/>
    <cellStyle name="Dane wejściowe 2 21 22" xfId="9837" xr:uid="{00000000-0005-0000-0000-000058260000}"/>
    <cellStyle name="Dane wejściowe 2 21 22 2" xfId="9838" xr:uid="{00000000-0005-0000-0000-000059260000}"/>
    <cellStyle name="Dane wejściowe 2 21 22 3" xfId="9839" xr:uid="{00000000-0005-0000-0000-00005A260000}"/>
    <cellStyle name="Dane wejściowe 2 21 23" xfId="9840" xr:uid="{00000000-0005-0000-0000-00005B260000}"/>
    <cellStyle name="Dane wejściowe 2 21 23 2" xfId="9841" xr:uid="{00000000-0005-0000-0000-00005C260000}"/>
    <cellStyle name="Dane wejściowe 2 21 23 3" xfId="9842" xr:uid="{00000000-0005-0000-0000-00005D260000}"/>
    <cellStyle name="Dane wejściowe 2 21 24" xfId="9843" xr:uid="{00000000-0005-0000-0000-00005E260000}"/>
    <cellStyle name="Dane wejściowe 2 21 24 2" xfId="9844" xr:uid="{00000000-0005-0000-0000-00005F260000}"/>
    <cellStyle name="Dane wejściowe 2 21 24 3" xfId="9845" xr:uid="{00000000-0005-0000-0000-000060260000}"/>
    <cellStyle name="Dane wejściowe 2 21 25" xfId="9846" xr:uid="{00000000-0005-0000-0000-000061260000}"/>
    <cellStyle name="Dane wejściowe 2 21 25 2" xfId="9847" xr:uid="{00000000-0005-0000-0000-000062260000}"/>
    <cellStyle name="Dane wejściowe 2 21 25 3" xfId="9848" xr:uid="{00000000-0005-0000-0000-000063260000}"/>
    <cellStyle name="Dane wejściowe 2 21 26" xfId="9849" xr:uid="{00000000-0005-0000-0000-000064260000}"/>
    <cellStyle name="Dane wejściowe 2 21 26 2" xfId="9850" xr:uid="{00000000-0005-0000-0000-000065260000}"/>
    <cellStyle name="Dane wejściowe 2 21 26 3" xfId="9851" xr:uid="{00000000-0005-0000-0000-000066260000}"/>
    <cellStyle name="Dane wejściowe 2 21 27" xfId="9852" xr:uid="{00000000-0005-0000-0000-000067260000}"/>
    <cellStyle name="Dane wejściowe 2 21 27 2" xfId="9853" xr:uid="{00000000-0005-0000-0000-000068260000}"/>
    <cellStyle name="Dane wejściowe 2 21 27 3" xfId="9854" xr:uid="{00000000-0005-0000-0000-000069260000}"/>
    <cellStyle name="Dane wejściowe 2 21 28" xfId="9855" xr:uid="{00000000-0005-0000-0000-00006A260000}"/>
    <cellStyle name="Dane wejściowe 2 21 28 2" xfId="9856" xr:uid="{00000000-0005-0000-0000-00006B260000}"/>
    <cellStyle name="Dane wejściowe 2 21 28 3" xfId="9857" xr:uid="{00000000-0005-0000-0000-00006C260000}"/>
    <cellStyle name="Dane wejściowe 2 21 29" xfId="9858" xr:uid="{00000000-0005-0000-0000-00006D260000}"/>
    <cellStyle name="Dane wejściowe 2 21 29 2" xfId="9859" xr:uid="{00000000-0005-0000-0000-00006E260000}"/>
    <cellStyle name="Dane wejściowe 2 21 29 3" xfId="9860" xr:uid="{00000000-0005-0000-0000-00006F260000}"/>
    <cellStyle name="Dane wejściowe 2 21 3" xfId="9861" xr:uid="{00000000-0005-0000-0000-000070260000}"/>
    <cellStyle name="Dane wejściowe 2 21 3 2" xfId="9862" xr:uid="{00000000-0005-0000-0000-000071260000}"/>
    <cellStyle name="Dane wejściowe 2 21 3 3" xfId="9863" xr:uid="{00000000-0005-0000-0000-000072260000}"/>
    <cellStyle name="Dane wejściowe 2 21 3 4" xfId="9864" xr:uid="{00000000-0005-0000-0000-000073260000}"/>
    <cellStyle name="Dane wejściowe 2 21 30" xfId="9865" xr:uid="{00000000-0005-0000-0000-000074260000}"/>
    <cellStyle name="Dane wejściowe 2 21 30 2" xfId="9866" xr:uid="{00000000-0005-0000-0000-000075260000}"/>
    <cellStyle name="Dane wejściowe 2 21 30 3" xfId="9867" xr:uid="{00000000-0005-0000-0000-000076260000}"/>
    <cellStyle name="Dane wejściowe 2 21 31" xfId="9868" xr:uid="{00000000-0005-0000-0000-000077260000}"/>
    <cellStyle name="Dane wejściowe 2 21 31 2" xfId="9869" xr:uid="{00000000-0005-0000-0000-000078260000}"/>
    <cellStyle name="Dane wejściowe 2 21 31 3" xfId="9870" xr:uid="{00000000-0005-0000-0000-000079260000}"/>
    <cellStyle name="Dane wejściowe 2 21 32" xfId="9871" xr:uid="{00000000-0005-0000-0000-00007A260000}"/>
    <cellStyle name="Dane wejściowe 2 21 32 2" xfId="9872" xr:uid="{00000000-0005-0000-0000-00007B260000}"/>
    <cellStyle name="Dane wejściowe 2 21 32 3" xfId="9873" xr:uid="{00000000-0005-0000-0000-00007C260000}"/>
    <cellStyle name="Dane wejściowe 2 21 33" xfId="9874" xr:uid="{00000000-0005-0000-0000-00007D260000}"/>
    <cellStyle name="Dane wejściowe 2 21 33 2" xfId="9875" xr:uid="{00000000-0005-0000-0000-00007E260000}"/>
    <cellStyle name="Dane wejściowe 2 21 33 3" xfId="9876" xr:uid="{00000000-0005-0000-0000-00007F260000}"/>
    <cellStyle name="Dane wejściowe 2 21 34" xfId="9877" xr:uid="{00000000-0005-0000-0000-000080260000}"/>
    <cellStyle name="Dane wejściowe 2 21 34 2" xfId="9878" xr:uid="{00000000-0005-0000-0000-000081260000}"/>
    <cellStyle name="Dane wejściowe 2 21 34 3" xfId="9879" xr:uid="{00000000-0005-0000-0000-000082260000}"/>
    <cellStyle name="Dane wejściowe 2 21 35" xfId="9880" xr:uid="{00000000-0005-0000-0000-000083260000}"/>
    <cellStyle name="Dane wejściowe 2 21 35 2" xfId="9881" xr:uid="{00000000-0005-0000-0000-000084260000}"/>
    <cellStyle name="Dane wejściowe 2 21 35 3" xfId="9882" xr:uid="{00000000-0005-0000-0000-000085260000}"/>
    <cellStyle name="Dane wejściowe 2 21 36" xfId="9883" xr:uid="{00000000-0005-0000-0000-000086260000}"/>
    <cellStyle name="Dane wejściowe 2 21 36 2" xfId="9884" xr:uid="{00000000-0005-0000-0000-000087260000}"/>
    <cellStyle name="Dane wejściowe 2 21 36 3" xfId="9885" xr:uid="{00000000-0005-0000-0000-000088260000}"/>
    <cellStyle name="Dane wejściowe 2 21 37" xfId="9886" xr:uid="{00000000-0005-0000-0000-000089260000}"/>
    <cellStyle name="Dane wejściowe 2 21 37 2" xfId="9887" xr:uid="{00000000-0005-0000-0000-00008A260000}"/>
    <cellStyle name="Dane wejściowe 2 21 37 3" xfId="9888" xr:uid="{00000000-0005-0000-0000-00008B260000}"/>
    <cellStyle name="Dane wejściowe 2 21 38" xfId="9889" xr:uid="{00000000-0005-0000-0000-00008C260000}"/>
    <cellStyle name="Dane wejściowe 2 21 38 2" xfId="9890" xr:uid="{00000000-0005-0000-0000-00008D260000}"/>
    <cellStyle name="Dane wejściowe 2 21 38 3" xfId="9891" xr:uid="{00000000-0005-0000-0000-00008E260000}"/>
    <cellStyle name="Dane wejściowe 2 21 39" xfId="9892" xr:uid="{00000000-0005-0000-0000-00008F260000}"/>
    <cellStyle name="Dane wejściowe 2 21 39 2" xfId="9893" xr:uid="{00000000-0005-0000-0000-000090260000}"/>
    <cellStyle name="Dane wejściowe 2 21 39 3" xfId="9894" xr:uid="{00000000-0005-0000-0000-000091260000}"/>
    <cellStyle name="Dane wejściowe 2 21 4" xfId="9895" xr:uid="{00000000-0005-0000-0000-000092260000}"/>
    <cellStyle name="Dane wejściowe 2 21 4 2" xfId="9896" xr:uid="{00000000-0005-0000-0000-000093260000}"/>
    <cellStyle name="Dane wejściowe 2 21 4 3" xfId="9897" xr:uid="{00000000-0005-0000-0000-000094260000}"/>
    <cellStyle name="Dane wejściowe 2 21 4 4" xfId="9898" xr:uid="{00000000-0005-0000-0000-000095260000}"/>
    <cellStyle name="Dane wejściowe 2 21 40" xfId="9899" xr:uid="{00000000-0005-0000-0000-000096260000}"/>
    <cellStyle name="Dane wejściowe 2 21 40 2" xfId="9900" xr:uid="{00000000-0005-0000-0000-000097260000}"/>
    <cellStyle name="Dane wejściowe 2 21 40 3" xfId="9901" xr:uid="{00000000-0005-0000-0000-000098260000}"/>
    <cellStyle name="Dane wejściowe 2 21 41" xfId="9902" xr:uid="{00000000-0005-0000-0000-000099260000}"/>
    <cellStyle name="Dane wejściowe 2 21 41 2" xfId="9903" xr:uid="{00000000-0005-0000-0000-00009A260000}"/>
    <cellStyle name="Dane wejściowe 2 21 41 3" xfId="9904" xr:uid="{00000000-0005-0000-0000-00009B260000}"/>
    <cellStyle name="Dane wejściowe 2 21 42" xfId="9905" xr:uid="{00000000-0005-0000-0000-00009C260000}"/>
    <cellStyle name="Dane wejściowe 2 21 42 2" xfId="9906" xr:uid="{00000000-0005-0000-0000-00009D260000}"/>
    <cellStyle name="Dane wejściowe 2 21 42 3" xfId="9907" xr:uid="{00000000-0005-0000-0000-00009E260000}"/>
    <cellStyle name="Dane wejściowe 2 21 43" xfId="9908" xr:uid="{00000000-0005-0000-0000-00009F260000}"/>
    <cellStyle name="Dane wejściowe 2 21 43 2" xfId="9909" xr:uid="{00000000-0005-0000-0000-0000A0260000}"/>
    <cellStyle name="Dane wejściowe 2 21 43 3" xfId="9910" xr:uid="{00000000-0005-0000-0000-0000A1260000}"/>
    <cellStyle name="Dane wejściowe 2 21 44" xfId="9911" xr:uid="{00000000-0005-0000-0000-0000A2260000}"/>
    <cellStyle name="Dane wejściowe 2 21 44 2" xfId="9912" xr:uid="{00000000-0005-0000-0000-0000A3260000}"/>
    <cellStyle name="Dane wejściowe 2 21 44 3" xfId="9913" xr:uid="{00000000-0005-0000-0000-0000A4260000}"/>
    <cellStyle name="Dane wejściowe 2 21 45" xfId="9914" xr:uid="{00000000-0005-0000-0000-0000A5260000}"/>
    <cellStyle name="Dane wejściowe 2 21 45 2" xfId="9915" xr:uid="{00000000-0005-0000-0000-0000A6260000}"/>
    <cellStyle name="Dane wejściowe 2 21 45 3" xfId="9916" xr:uid="{00000000-0005-0000-0000-0000A7260000}"/>
    <cellStyle name="Dane wejściowe 2 21 46" xfId="9917" xr:uid="{00000000-0005-0000-0000-0000A8260000}"/>
    <cellStyle name="Dane wejściowe 2 21 46 2" xfId="9918" xr:uid="{00000000-0005-0000-0000-0000A9260000}"/>
    <cellStyle name="Dane wejściowe 2 21 46 3" xfId="9919" xr:uid="{00000000-0005-0000-0000-0000AA260000}"/>
    <cellStyle name="Dane wejściowe 2 21 47" xfId="9920" xr:uid="{00000000-0005-0000-0000-0000AB260000}"/>
    <cellStyle name="Dane wejściowe 2 21 47 2" xfId="9921" xr:uid="{00000000-0005-0000-0000-0000AC260000}"/>
    <cellStyle name="Dane wejściowe 2 21 47 3" xfId="9922" xr:uid="{00000000-0005-0000-0000-0000AD260000}"/>
    <cellStyle name="Dane wejściowe 2 21 48" xfId="9923" xr:uid="{00000000-0005-0000-0000-0000AE260000}"/>
    <cellStyle name="Dane wejściowe 2 21 48 2" xfId="9924" xr:uid="{00000000-0005-0000-0000-0000AF260000}"/>
    <cellStyle name="Dane wejściowe 2 21 48 3" xfId="9925" xr:uid="{00000000-0005-0000-0000-0000B0260000}"/>
    <cellStyle name="Dane wejściowe 2 21 49" xfId="9926" xr:uid="{00000000-0005-0000-0000-0000B1260000}"/>
    <cellStyle name="Dane wejściowe 2 21 49 2" xfId="9927" xr:uid="{00000000-0005-0000-0000-0000B2260000}"/>
    <cellStyle name="Dane wejściowe 2 21 49 3" xfId="9928" xr:uid="{00000000-0005-0000-0000-0000B3260000}"/>
    <cellStyle name="Dane wejściowe 2 21 5" xfId="9929" xr:uid="{00000000-0005-0000-0000-0000B4260000}"/>
    <cellStyle name="Dane wejściowe 2 21 5 2" xfId="9930" xr:uid="{00000000-0005-0000-0000-0000B5260000}"/>
    <cellStyle name="Dane wejściowe 2 21 5 3" xfId="9931" xr:uid="{00000000-0005-0000-0000-0000B6260000}"/>
    <cellStyle name="Dane wejściowe 2 21 5 4" xfId="9932" xr:uid="{00000000-0005-0000-0000-0000B7260000}"/>
    <cellStyle name="Dane wejściowe 2 21 50" xfId="9933" xr:uid="{00000000-0005-0000-0000-0000B8260000}"/>
    <cellStyle name="Dane wejściowe 2 21 50 2" xfId="9934" xr:uid="{00000000-0005-0000-0000-0000B9260000}"/>
    <cellStyle name="Dane wejściowe 2 21 50 3" xfId="9935" xr:uid="{00000000-0005-0000-0000-0000BA260000}"/>
    <cellStyle name="Dane wejściowe 2 21 51" xfId="9936" xr:uid="{00000000-0005-0000-0000-0000BB260000}"/>
    <cellStyle name="Dane wejściowe 2 21 51 2" xfId="9937" xr:uid="{00000000-0005-0000-0000-0000BC260000}"/>
    <cellStyle name="Dane wejściowe 2 21 51 3" xfId="9938" xr:uid="{00000000-0005-0000-0000-0000BD260000}"/>
    <cellStyle name="Dane wejściowe 2 21 52" xfId="9939" xr:uid="{00000000-0005-0000-0000-0000BE260000}"/>
    <cellStyle name="Dane wejściowe 2 21 52 2" xfId="9940" xr:uid="{00000000-0005-0000-0000-0000BF260000}"/>
    <cellStyle name="Dane wejściowe 2 21 52 3" xfId="9941" xr:uid="{00000000-0005-0000-0000-0000C0260000}"/>
    <cellStyle name="Dane wejściowe 2 21 53" xfId="9942" xr:uid="{00000000-0005-0000-0000-0000C1260000}"/>
    <cellStyle name="Dane wejściowe 2 21 53 2" xfId="9943" xr:uid="{00000000-0005-0000-0000-0000C2260000}"/>
    <cellStyle name="Dane wejściowe 2 21 53 3" xfId="9944" xr:uid="{00000000-0005-0000-0000-0000C3260000}"/>
    <cellStyle name="Dane wejściowe 2 21 54" xfId="9945" xr:uid="{00000000-0005-0000-0000-0000C4260000}"/>
    <cellStyle name="Dane wejściowe 2 21 54 2" xfId="9946" xr:uid="{00000000-0005-0000-0000-0000C5260000}"/>
    <cellStyle name="Dane wejściowe 2 21 54 3" xfId="9947" xr:uid="{00000000-0005-0000-0000-0000C6260000}"/>
    <cellStyle name="Dane wejściowe 2 21 55" xfId="9948" xr:uid="{00000000-0005-0000-0000-0000C7260000}"/>
    <cellStyle name="Dane wejściowe 2 21 55 2" xfId="9949" xr:uid="{00000000-0005-0000-0000-0000C8260000}"/>
    <cellStyle name="Dane wejściowe 2 21 55 3" xfId="9950" xr:uid="{00000000-0005-0000-0000-0000C9260000}"/>
    <cellStyle name="Dane wejściowe 2 21 56" xfId="9951" xr:uid="{00000000-0005-0000-0000-0000CA260000}"/>
    <cellStyle name="Dane wejściowe 2 21 56 2" xfId="9952" xr:uid="{00000000-0005-0000-0000-0000CB260000}"/>
    <cellStyle name="Dane wejściowe 2 21 56 3" xfId="9953" xr:uid="{00000000-0005-0000-0000-0000CC260000}"/>
    <cellStyle name="Dane wejściowe 2 21 57" xfId="9954" xr:uid="{00000000-0005-0000-0000-0000CD260000}"/>
    <cellStyle name="Dane wejściowe 2 21 58" xfId="9955" xr:uid="{00000000-0005-0000-0000-0000CE260000}"/>
    <cellStyle name="Dane wejściowe 2 21 6" xfId="9956" xr:uid="{00000000-0005-0000-0000-0000CF260000}"/>
    <cellStyle name="Dane wejściowe 2 21 6 2" xfId="9957" xr:uid="{00000000-0005-0000-0000-0000D0260000}"/>
    <cellStyle name="Dane wejściowe 2 21 6 3" xfId="9958" xr:uid="{00000000-0005-0000-0000-0000D1260000}"/>
    <cellStyle name="Dane wejściowe 2 21 6 4" xfId="9959" xr:uid="{00000000-0005-0000-0000-0000D2260000}"/>
    <cellStyle name="Dane wejściowe 2 21 7" xfId="9960" xr:uid="{00000000-0005-0000-0000-0000D3260000}"/>
    <cellStyle name="Dane wejściowe 2 21 7 2" xfId="9961" xr:uid="{00000000-0005-0000-0000-0000D4260000}"/>
    <cellStyle name="Dane wejściowe 2 21 7 3" xfId="9962" xr:uid="{00000000-0005-0000-0000-0000D5260000}"/>
    <cellStyle name="Dane wejściowe 2 21 7 4" xfId="9963" xr:uid="{00000000-0005-0000-0000-0000D6260000}"/>
    <cellStyle name="Dane wejściowe 2 21 8" xfId="9964" xr:uid="{00000000-0005-0000-0000-0000D7260000}"/>
    <cellStyle name="Dane wejściowe 2 21 8 2" xfId="9965" xr:uid="{00000000-0005-0000-0000-0000D8260000}"/>
    <cellStyle name="Dane wejściowe 2 21 8 3" xfId="9966" xr:uid="{00000000-0005-0000-0000-0000D9260000}"/>
    <cellStyle name="Dane wejściowe 2 21 8 4" xfId="9967" xr:uid="{00000000-0005-0000-0000-0000DA260000}"/>
    <cellStyle name="Dane wejściowe 2 21 9" xfId="9968" xr:uid="{00000000-0005-0000-0000-0000DB260000}"/>
    <cellStyle name="Dane wejściowe 2 21 9 2" xfId="9969" xr:uid="{00000000-0005-0000-0000-0000DC260000}"/>
    <cellStyle name="Dane wejściowe 2 21 9 3" xfId="9970" xr:uid="{00000000-0005-0000-0000-0000DD260000}"/>
    <cellStyle name="Dane wejściowe 2 21 9 4" xfId="9971" xr:uid="{00000000-0005-0000-0000-0000DE260000}"/>
    <cellStyle name="Dane wejściowe 2 22" xfId="9972" xr:uid="{00000000-0005-0000-0000-0000DF260000}"/>
    <cellStyle name="Dane wejściowe 2 22 10" xfId="9973" xr:uid="{00000000-0005-0000-0000-0000E0260000}"/>
    <cellStyle name="Dane wejściowe 2 22 10 2" xfId="9974" xr:uid="{00000000-0005-0000-0000-0000E1260000}"/>
    <cellStyle name="Dane wejściowe 2 22 10 3" xfId="9975" xr:uid="{00000000-0005-0000-0000-0000E2260000}"/>
    <cellStyle name="Dane wejściowe 2 22 10 4" xfId="9976" xr:uid="{00000000-0005-0000-0000-0000E3260000}"/>
    <cellStyle name="Dane wejściowe 2 22 11" xfId="9977" xr:uid="{00000000-0005-0000-0000-0000E4260000}"/>
    <cellStyle name="Dane wejściowe 2 22 11 2" xfId="9978" xr:uid="{00000000-0005-0000-0000-0000E5260000}"/>
    <cellStyle name="Dane wejściowe 2 22 11 3" xfId="9979" xr:uid="{00000000-0005-0000-0000-0000E6260000}"/>
    <cellStyle name="Dane wejściowe 2 22 11 4" xfId="9980" xr:uid="{00000000-0005-0000-0000-0000E7260000}"/>
    <cellStyle name="Dane wejściowe 2 22 12" xfId="9981" xr:uid="{00000000-0005-0000-0000-0000E8260000}"/>
    <cellStyle name="Dane wejściowe 2 22 12 2" xfId="9982" xr:uid="{00000000-0005-0000-0000-0000E9260000}"/>
    <cellStyle name="Dane wejściowe 2 22 12 3" xfId="9983" xr:uid="{00000000-0005-0000-0000-0000EA260000}"/>
    <cellStyle name="Dane wejściowe 2 22 12 4" xfId="9984" xr:uid="{00000000-0005-0000-0000-0000EB260000}"/>
    <cellStyle name="Dane wejściowe 2 22 13" xfId="9985" xr:uid="{00000000-0005-0000-0000-0000EC260000}"/>
    <cellStyle name="Dane wejściowe 2 22 13 2" xfId="9986" xr:uid="{00000000-0005-0000-0000-0000ED260000}"/>
    <cellStyle name="Dane wejściowe 2 22 13 3" xfId="9987" xr:uid="{00000000-0005-0000-0000-0000EE260000}"/>
    <cellStyle name="Dane wejściowe 2 22 13 4" xfId="9988" xr:uid="{00000000-0005-0000-0000-0000EF260000}"/>
    <cellStyle name="Dane wejściowe 2 22 14" xfId="9989" xr:uid="{00000000-0005-0000-0000-0000F0260000}"/>
    <cellStyle name="Dane wejściowe 2 22 14 2" xfId="9990" xr:uid="{00000000-0005-0000-0000-0000F1260000}"/>
    <cellStyle name="Dane wejściowe 2 22 14 3" xfId="9991" xr:uid="{00000000-0005-0000-0000-0000F2260000}"/>
    <cellStyle name="Dane wejściowe 2 22 14 4" xfId="9992" xr:uid="{00000000-0005-0000-0000-0000F3260000}"/>
    <cellStyle name="Dane wejściowe 2 22 15" xfId="9993" xr:uid="{00000000-0005-0000-0000-0000F4260000}"/>
    <cellStyle name="Dane wejściowe 2 22 15 2" xfId="9994" xr:uid="{00000000-0005-0000-0000-0000F5260000}"/>
    <cellStyle name="Dane wejściowe 2 22 15 3" xfId="9995" xr:uid="{00000000-0005-0000-0000-0000F6260000}"/>
    <cellStyle name="Dane wejściowe 2 22 15 4" xfId="9996" xr:uid="{00000000-0005-0000-0000-0000F7260000}"/>
    <cellStyle name="Dane wejściowe 2 22 16" xfId="9997" xr:uid="{00000000-0005-0000-0000-0000F8260000}"/>
    <cellStyle name="Dane wejściowe 2 22 16 2" xfId="9998" xr:uid="{00000000-0005-0000-0000-0000F9260000}"/>
    <cellStyle name="Dane wejściowe 2 22 16 3" xfId="9999" xr:uid="{00000000-0005-0000-0000-0000FA260000}"/>
    <cellStyle name="Dane wejściowe 2 22 16 4" xfId="10000" xr:uid="{00000000-0005-0000-0000-0000FB260000}"/>
    <cellStyle name="Dane wejściowe 2 22 17" xfId="10001" xr:uid="{00000000-0005-0000-0000-0000FC260000}"/>
    <cellStyle name="Dane wejściowe 2 22 17 2" xfId="10002" xr:uid="{00000000-0005-0000-0000-0000FD260000}"/>
    <cellStyle name="Dane wejściowe 2 22 17 3" xfId="10003" xr:uid="{00000000-0005-0000-0000-0000FE260000}"/>
    <cellStyle name="Dane wejściowe 2 22 17 4" xfId="10004" xr:uid="{00000000-0005-0000-0000-0000FF260000}"/>
    <cellStyle name="Dane wejściowe 2 22 18" xfId="10005" xr:uid="{00000000-0005-0000-0000-000000270000}"/>
    <cellStyle name="Dane wejściowe 2 22 18 2" xfId="10006" xr:uid="{00000000-0005-0000-0000-000001270000}"/>
    <cellStyle name="Dane wejściowe 2 22 18 3" xfId="10007" xr:uid="{00000000-0005-0000-0000-000002270000}"/>
    <cellStyle name="Dane wejściowe 2 22 18 4" xfId="10008" xr:uid="{00000000-0005-0000-0000-000003270000}"/>
    <cellStyle name="Dane wejściowe 2 22 19" xfId="10009" xr:uid="{00000000-0005-0000-0000-000004270000}"/>
    <cellStyle name="Dane wejściowe 2 22 19 2" xfId="10010" xr:uid="{00000000-0005-0000-0000-000005270000}"/>
    <cellStyle name="Dane wejściowe 2 22 19 3" xfId="10011" xr:uid="{00000000-0005-0000-0000-000006270000}"/>
    <cellStyle name="Dane wejściowe 2 22 19 4" xfId="10012" xr:uid="{00000000-0005-0000-0000-000007270000}"/>
    <cellStyle name="Dane wejściowe 2 22 2" xfId="10013" xr:uid="{00000000-0005-0000-0000-000008270000}"/>
    <cellStyle name="Dane wejściowe 2 22 2 2" xfId="10014" xr:uid="{00000000-0005-0000-0000-000009270000}"/>
    <cellStyle name="Dane wejściowe 2 22 2 3" xfId="10015" xr:uid="{00000000-0005-0000-0000-00000A270000}"/>
    <cellStyle name="Dane wejściowe 2 22 2 4" xfId="10016" xr:uid="{00000000-0005-0000-0000-00000B270000}"/>
    <cellStyle name="Dane wejściowe 2 22 20" xfId="10017" xr:uid="{00000000-0005-0000-0000-00000C270000}"/>
    <cellStyle name="Dane wejściowe 2 22 20 2" xfId="10018" xr:uid="{00000000-0005-0000-0000-00000D270000}"/>
    <cellStyle name="Dane wejściowe 2 22 20 3" xfId="10019" xr:uid="{00000000-0005-0000-0000-00000E270000}"/>
    <cellStyle name="Dane wejściowe 2 22 20 4" xfId="10020" xr:uid="{00000000-0005-0000-0000-00000F270000}"/>
    <cellStyle name="Dane wejściowe 2 22 21" xfId="10021" xr:uid="{00000000-0005-0000-0000-000010270000}"/>
    <cellStyle name="Dane wejściowe 2 22 21 2" xfId="10022" xr:uid="{00000000-0005-0000-0000-000011270000}"/>
    <cellStyle name="Dane wejściowe 2 22 21 3" xfId="10023" xr:uid="{00000000-0005-0000-0000-000012270000}"/>
    <cellStyle name="Dane wejściowe 2 22 22" xfId="10024" xr:uid="{00000000-0005-0000-0000-000013270000}"/>
    <cellStyle name="Dane wejściowe 2 22 22 2" xfId="10025" xr:uid="{00000000-0005-0000-0000-000014270000}"/>
    <cellStyle name="Dane wejściowe 2 22 22 3" xfId="10026" xr:uid="{00000000-0005-0000-0000-000015270000}"/>
    <cellStyle name="Dane wejściowe 2 22 23" xfId="10027" xr:uid="{00000000-0005-0000-0000-000016270000}"/>
    <cellStyle name="Dane wejściowe 2 22 23 2" xfId="10028" xr:uid="{00000000-0005-0000-0000-000017270000}"/>
    <cellStyle name="Dane wejściowe 2 22 23 3" xfId="10029" xr:uid="{00000000-0005-0000-0000-000018270000}"/>
    <cellStyle name="Dane wejściowe 2 22 24" xfId="10030" xr:uid="{00000000-0005-0000-0000-000019270000}"/>
    <cellStyle name="Dane wejściowe 2 22 24 2" xfId="10031" xr:uid="{00000000-0005-0000-0000-00001A270000}"/>
    <cellStyle name="Dane wejściowe 2 22 24 3" xfId="10032" xr:uid="{00000000-0005-0000-0000-00001B270000}"/>
    <cellStyle name="Dane wejściowe 2 22 25" xfId="10033" xr:uid="{00000000-0005-0000-0000-00001C270000}"/>
    <cellStyle name="Dane wejściowe 2 22 25 2" xfId="10034" xr:uid="{00000000-0005-0000-0000-00001D270000}"/>
    <cellStyle name="Dane wejściowe 2 22 25 3" xfId="10035" xr:uid="{00000000-0005-0000-0000-00001E270000}"/>
    <cellStyle name="Dane wejściowe 2 22 26" xfId="10036" xr:uid="{00000000-0005-0000-0000-00001F270000}"/>
    <cellStyle name="Dane wejściowe 2 22 26 2" xfId="10037" xr:uid="{00000000-0005-0000-0000-000020270000}"/>
    <cellStyle name="Dane wejściowe 2 22 26 3" xfId="10038" xr:uid="{00000000-0005-0000-0000-000021270000}"/>
    <cellStyle name="Dane wejściowe 2 22 27" xfId="10039" xr:uid="{00000000-0005-0000-0000-000022270000}"/>
    <cellStyle name="Dane wejściowe 2 22 27 2" xfId="10040" xr:uid="{00000000-0005-0000-0000-000023270000}"/>
    <cellStyle name="Dane wejściowe 2 22 27 3" xfId="10041" xr:uid="{00000000-0005-0000-0000-000024270000}"/>
    <cellStyle name="Dane wejściowe 2 22 28" xfId="10042" xr:uid="{00000000-0005-0000-0000-000025270000}"/>
    <cellStyle name="Dane wejściowe 2 22 28 2" xfId="10043" xr:uid="{00000000-0005-0000-0000-000026270000}"/>
    <cellStyle name="Dane wejściowe 2 22 28 3" xfId="10044" xr:uid="{00000000-0005-0000-0000-000027270000}"/>
    <cellStyle name="Dane wejściowe 2 22 29" xfId="10045" xr:uid="{00000000-0005-0000-0000-000028270000}"/>
    <cellStyle name="Dane wejściowe 2 22 29 2" xfId="10046" xr:uid="{00000000-0005-0000-0000-000029270000}"/>
    <cellStyle name="Dane wejściowe 2 22 29 3" xfId="10047" xr:uid="{00000000-0005-0000-0000-00002A270000}"/>
    <cellStyle name="Dane wejściowe 2 22 3" xfId="10048" xr:uid="{00000000-0005-0000-0000-00002B270000}"/>
    <cellStyle name="Dane wejściowe 2 22 3 2" xfId="10049" xr:uid="{00000000-0005-0000-0000-00002C270000}"/>
    <cellStyle name="Dane wejściowe 2 22 3 3" xfId="10050" xr:uid="{00000000-0005-0000-0000-00002D270000}"/>
    <cellStyle name="Dane wejściowe 2 22 3 4" xfId="10051" xr:uid="{00000000-0005-0000-0000-00002E270000}"/>
    <cellStyle name="Dane wejściowe 2 22 30" xfId="10052" xr:uid="{00000000-0005-0000-0000-00002F270000}"/>
    <cellStyle name="Dane wejściowe 2 22 30 2" xfId="10053" xr:uid="{00000000-0005-0000-0000-000030270000}"/>
    <cellStyle name="Dane wejściowe 2 22 30 3" xfId="10054" xr:uid="{00000000-0005-0000-0000-000031270000}"/>
    <cellStyle name="Dane wejściowe 2 22 31" xfId="10055" xr:uid="{00000000-0005-0000-0000-000032270000}"/>
    <cellStyle name="Dane wejściowe 2 22 31 2" xfId="10056" xr:uid="{00000000-0005-0000-0000-000033270000}"/>
    <cellStyle name="Dane wejściowe 2 22 31 3" xfId="10057" xr:uid="{00000000-0005-0000-0000-000034270000}"/>
    <cellStyle name="Dane wejściowe 2 22 32" xfId="10058" xr:uid="{00000000-0005-0000-0000-000035270000}"/>
    <cellStyle name="Dane wejściowe 2 22 32 2" xfId="10059" xr:uid="{00000000-0005-0000-0000-000036270000}"/>
    <cellStyle name="Dane wejściowe 2 22 32 3" xfId="10060" xr:uid="{00000000-0005-0000-0000-000037270000}"/>
    <cellStyle name="Dane wejściowe 2 22 33" xfId="10061" xr:uid="{00000000-0005-0000-0000-000038270000}"/>
    <cellStyle name="Dane wejściowe 2 22 33 2" xfId="10062" xr:uid="{00000000-0005-0000-0000-000039270000}"/>
    <cellStyle name="Dane wejściowe 2 22 33 3" xfId="10063" xr:uid="{00000000-0005-0000-0000-00003A270000}"/>
    <cellStyle name="Dane wejściowe 2 22 34" xfId="10064" xr:uid="{00000000-0005-0000-0000-00003B270000}"/>
    <cellStyle name="Dane wejściowe 2 22 34 2" xfId="10065" xr:uid="{00000000-0005-0000-0000-00003C270000}"/>
    <cellStyle name="Dane wejściowe 2 22 34 3" xfId="10066" xr:uid="{00000000-0005-0000-0000-00003D270000}"/>
    <cellStyle name="Dane wejściowe 2 22 35" xfId="10067" xr:uid="{00000000-0005-0000-0000-00003E270000}"/>
    <cellStyle name="Dane wejściowe 2 22 35 2" xfId="10068" xr:uid="{00000000-0005-0000-0000-00003F270000}"/>
    <cellStyle name="Dane wejściowe 2 22 35 3" xfId="10069" xr:uid="{00000000-0005-0000-0000-000040270000}"/>
    <cellStyle name="Dane wejściowe 2 22 36" xfId="10070" xr:uid="{00000000-0005-0000-0000-000041270000}"/>
    <cellStyle name="Dane wejściowe 2 22 36 2" xfId="10071" xr:uid="{00000000-0005-0000-0000-000042270000}"/>
    <cellStyle name="Dane wejściowe 2 22 36 3" xfId="10072" xr:uid="{00000000-0005-0000-0000-000043270000}"/>
    <cellStyle name="Dane wejściowe 2 22 37" xfId="10073" xr:uid="{00000000-0005-0000-0000-000044270000}"/>
    <cellStyle name="Dane wejściowe 2 22 37 2" xfId="10074" xr:uid="{00000000-0005-0000-0000-000045270000}"/>
    <cellStyle name="Dane wejściowe 2 22 37 3" xfId="10075" xr:uid="{00000000-0005-0000-0000-000046270000}"/>
    <cellStyle name="Dane wejściowe 2 22 38" xfId="10076" xr:uid="{00000000-0005-0000-0000-000047270000}"/>
    <cellStyle name="Dane wejściowe 2 22 38 2" xfId="10077" xr:uid="{00000000-0005-0000-0000-000048270000}"/>
    <cellStyle name="Dane wejściowe 2 22 38 3" xfId="10078" xr:uid="{00000000-0005-0000-0000-000049270000}"/>
    <cellStyle name="Dane wejściowe 2 22 39" xfId="10079" xr:uid="{00000000-0005-0000-0000-00004A270000}"/>
    <cellStyle name="Dane wejściowe 2 22 39 2" xfId="10080" xr:uid="{00000000-0005-0000-0000-00004B270000}"/>
    <cellStyle name="Dane wejściowe 2 22 39 3" xfId="10081" xr:uid="{00000000-0005-0000-0000-00004C270000}"/>
    <cellStyle name="Dane wejściowe 2 22 4" xfId="10082" xr:uid="{00000000-0005-0000-0000-00004D270000}"/>
    <cellStyle name="Dane wejściowe 2 22 4 2" xfId="10083" xr:uid="{00000000-0005-0000-0000-00004E270000}"/>
    <cellStyle name="Dane wejściowe 2 22 4 3" xfId="10084" xr:uid="{00000000-0005-0000-0000-00004F270000}"/>
    <cellStyle name="Dane wejściowe 2 22 4 4" xfId="10085" xr:uid="{00000000-0005-0000-0000-000050270000}"/>
    <cellStyle name="Dane wejściowe 2 22 40" xfId="10086" xr:uid="{00000000-0005-0000-0000-000051270000}"/>
    <cellStyle name="Dane wejściowe 2 22 40 2" xfId="10087" xr:uid="{00000000-0005-0000-0000-000052270000}"/>
    <cellStyle name="Dane wejściowe 2 22 40 3" xfId="10088" xr:uid="{00000000-0005-0000-0000-000053270000}"/>
    <cellStyle name="Dane wejściowe 2 22 41" xfId="10089" xr:uid="{00000000-0005-0000-0000-000054270000}"/>
    <cellStyle name="Dane wejściowe 2 22 41 2" xfId="10090" xr:uid="{00000000-0005-0000-0000-000055270000}"/>
    <cellStyle name="Dane wejściowe 2 22 41 3" xfId="10091" xr:uid="{00000000-0005-0000-0000-000056270000}"/>
    <cellStyle name="Dane wejściowe 2 22 42" xfId="10092" xr:uid="{00000000-0005-0000-0000-000057270000}"/>
    <cellStyle name="Dane wejściowe 2 22 42 2" xfId="10093" xr:uid="{00000000-0005-0000-0000-000058270000}"/>
    <cellStyle name="Dane wejściowe 2 22 42 3" xfId="10094" xr:uid="{00000000-0005-0000-0000-000059270000}"/>
    <cellStyle name="Dane wejściowe 2 22 43" xfId="10095" xr:uid="{00000000-0005-0000-0000-00005A270000}"/>
    <cellStyle name="Dane wejściowe 2 22 43 2" xfId="10096" xr:uid="{00000000-0005-0000-0000-00005B270000}"/>
    <cellStyle name="Dane wejściowe 2 22 43 3" xfId="10097" xr:uid="{00000000-0005-0000-0000-00005C270000}"/>
    <cellStyle name="Dane wejściowe 2 22 44" xfId="10098" xr:uid="{00000000-0005-0000-0000-00005D270000}"/>
    <cellStyle name="Dane wejściowe 2 22 44 2" xfId="10099" xr:uid="{00000000-0005-0000-0000-00005E270000}"/>
    <cellStyle name="Dane wejściowe 2 22 44 3" xfId="10100" xr:uid="{00000000-0005-0000-0000-00005F270000}"/>
    <cellStyle name="Dane wejściowe 2 22 45" xfId="10101" xr:uid="{00000000-0005-0000-0000-000060270000}"/>
    <cellStyle name="Dane wejściowe 2 22 45 2" xfId="10102" xr:uid="{00000000-0005-0000-0000-000061270000}"/>
    <cellStyle name="Dane wejściowe 2 22 45 3" xfId="10103" xr:uid="{00000000-0005-0000-0000-000062270000}"/>
    <cellStyle name="Dane wejściowe 2 22 46" xfId="10104" xr:uid="{00000000-0005-0000-0000-000063270000}"/>
    <cellStyle name="Dane wejściowe 2 22 46 2" xfId="10105" xr:uid="{00000000-0005-0000-0000-000064270000}"/>
    <cellStyle name="Dane wejściowe 2 22 46 3" xfId="10106" xr:uid="{00000000-0005-0000-0000-000065270000}"/>
    <cellStyle name="Dane wejściowe 2 22 47" xfId="10107" xr:uid="{00000000-0005-0000-0000-000066270000}"/>
    <cellStyle name="Dane wejściowe 2 22 47 2" xfId="10108" xr:uid="{00000000-0005-0000-0000-000067270000}"/>
    <cellStyle name="Dane wejściowe 2 22 47 3" xfId="10109" xr:uid="{00000000-0005-0000-0000-000068270000}"/>
    <cellStyle name="Dane wejściowe 2 22 48" xfId="10110" xr:uid="{00000000-0005-0000-0000-000069270000}"/>
    <cellStyle name="Dane wejściowe 2 22 48 2" xfId="10111" xr:uid="{00000000-0005-0000-0000-00006A270000}"/>
    <cellStyle name="Dane wejściowe 2 22 48 3" xfId="10112" xr:uid="{00000000-0005-0000-0000-00006B270000}"/>
    <cellStyle name="Dane wejściowe 2 22 49" xfId="10113" xr:uid="{00000000-0005-0000-0000-00006C270000}"/>
    <cellStyle name="Dane wejściowe 2 22 49 2" xfId="10114" xr:uid="{00000000-0005-0000-0000-00006D270000}"/>
    <cellStyle name="Dane wejściowe 2 22 49 3" xfId="10115" xr:uid="{00000000-0005-0000-0000-00006E270000}"/>
    <cellStyle name="Dane wejściowe 2 22 5" xfId="10116" xr:uid="{00000000-0005-0000-0000-00006F270000}"/>
    <cellStyle name="Dane wejściowe 2 22 5 2" xfId="10117" xr:uid="{00000000-0005-0000-0000-000070270000}"/>
    <cellStyle name="Dane wejściowe 2 22 5 3" xfId="10118" xr:uid="{00000000-0005-0000-0000-000071270000}"/>
    <cellStyle name="Dane wejściowe 2 22 5 4" xfId="10119" xr:uid="{00000000-0005-0000-0000-000072270000}"/>
    <cellStyle name="Dane wejściowe 2 22 50" xfId="10120" xr:uid="{00000000-0005-0000-0000-000073270000}"/>
    <cellStyle name="Dane wejściowe 2 22 50 2" xfId="10121" xr:uid="{00000000-0005-0000-0000-000074270000}"/>
    <cellStyle name="Dane wejściowe 2 22 50 3" xfId="10122" xr:uid="{00000000-0005-0000-0000-000075270000}"/>
    <cellStyle name="Dane wejściowe 2 22 51" xfId="10123" xr:uid="{00000000-0005-0000-0000-000076270000}"/>
    <cellStyle name="Dane wejściowe 2 22 51 2" xfId="10124" xr:uid="{00000000-0005-0000-0000-000077270000}"/>
    <cellStyle name="Dane wejściowe 2 22 51 3" xfId="10125" xr:uid="{00000000-0005-0000-0000-000078270000}"/>
    <cellStyle name="Dane wejściowe 2 22 52" xfId="10126" xr:uid="{00000000-0005-0000-0000-000079270000}"/>
    <cellStyle name="Dane wejściowe 2 22 52 2" xfId="10127" xr:uid="{00000000-0005-0000-0000-00007A270000}"/>
    <cellStyle name="Dane wejściowe 2 22 52 3" xfId="10128" xr:uid="{00000000-0005-0000-0000-00007B270000}"/>
    <cellStyle name="Dane wejściowe 2 22 53" xfId="10129" xr:uid="{00000000-0005-0000-0000-00007C270000}"/>
    <cellStyle name="Dane wejściowe 2 22 53 2" xfId="10130" xr:uid="{00000000-0005-0000-0000-00007D270000}"/>
    <cellStyle name="Dane wejściowe 2 22 53 3" xfId="10131" xr:uid="{00000000-0005-0000-0000-00007E270000}"/>
    <cellStyle name="Dane wejściowe 2 22 54" xfId="10132" xr:uid="{00000000-0005-0000-0000-00007F270000}"/>
    <cellStyle name="Dane wejściowe 2 22 54 2" xfId="10133" xr:uid="{00000000-0005-0000-0000-000080270000}"/>
    <cellStyle name="Dane wejściowe 2 22 54 3" xfId="10134" xr:uid="{00000000-0005-0000-0000-000081270000}"/>
    <cellStyle name="Dane wejściowe 2 22 55" xfId="10135" xr:uid="{00000000-0005-0000-0000-000082270000}"/>
    <cellStyle name="Dane wejściowe 2 22 55 2" xfId="10136" xr:uid="{00000000-0005-0000-0000-000083270000}"/>
    <cellStyle name="Dane wejściowe 2 22 55 3" xfId="10137" xr:uid="{00000000-0005-0000-0000-000084270000}"/>
    <cellStyle name="Dane wejściowe 2 22 56" xfId="10138" xr:uid="{00000000-0005-0000-0000-000085270000}"/>
    <cellStyle name="Dane wejściowe 2 22 56 2" xfId="10139" xr:uid="{00000000-0005-0000-0000-000086270000}"/>
    <cellStyle name="Dane wejściowe 2 22 56 3" xfId="10140" xr:uid="{00000000-0005-0000-0000-000087270000}"/>
    <cellStyle name="Dane wejściowe 2 22 57" xfId="10141" xr:uid="{00000000-0005-0000-0000-000088270000}"/>
    <cellStyle name="Dane wejściowe 2 22 58" xfId="10142" xr:uid="{00000000-0005-0000-0000-000089270000}"/>
    <cellStyle name="Dane wejściowe 2 22 6" xfId="10143" xr:uid="{00000000-0005-0000-0000-00008A270000}"/>
    <cellStyle name="Dane wejściowe 2 22 6 2" xfId="10144" xr:uid="{00000000-0005-0000-0000-00008B270000}"/>
    <cellStyle name="Dane wejściowe 2 22 6 3" xfId="10145" xr:uid="{00000000-0005-0000-0000-00008C270000}"/>
    <cellStyle name="Dane wejściowe 2 22 6 4" xfId="10146" xr:uid="{00000000-0005-0000-0000-00008D270000}"/>
    <cellStyle name="Dane wejściowe 2 22 7" xfId="10147" xr:uid="{00000000-0005-0000-0000-00008E270000}"/>
    <cellStyle name="Dane wejściowe 2 22 7 2" xfId="10148" xr:uid="{00000000-0005-0000-0000-00008F270000}"/>
    <cellStyle name="Dane wejściowe 2 22 7 3" xfId="10149" xr:uid="{00000000-0005-0000-0000-000090270000}"/>
    <cellStyle name="Dane wejściowe 2 22 7 4" xfId="10150" xr:uid="{00000000-0005-0000-0000-000091270000}"/>
    <cellStyle name="Dane wejściowe 2 22 8" xfId="10151" xr:uid="{00000000-0005-0000-0000-000092270000}"/>
    <cellStyle name="Dane wejściowe 2 22 8 2" xfId="10152" xr:uid="{00000000-0005-0000-0000-000093270000}"/>
    <cellStyle name="Dane wejściowe 2 22 8 3" xfId="10153" xr:uid="{00000000-0005-0000-0000-000094270000}"/>
    <cellStyle name="Dane wejściowe 2 22 8 4" xfId="10154" xr:uid="{00000000-0005-0000-0000-000095270000}"/>
    <cellStyle name="Dane wejściowe 2 22 9" xfId="10155" xr:uid="{00000000-0005-0000-0000-000096270000}"/>
    <cellStyle name="Dane wejściowe 2 22 9 2" xfId="10156" xr:uid="{00000000-0005-0000-0000-000097270000}"/>
    <cellStyle name="Dane wejściowe 2 22 9 3" xfId="10157" xr:uid="{00000000-0005-0000-0000-000098270000}"/>
    <cellStyle name="Dane wejściowe 2 22 9 4" xfId="10158" xr:uid="{00000000-0005-0000-0000-000099270000}"/>
    <cellStyle name="Dane wejściowe 2 23" xfId="10159" xr:uid="{00000000-0005-0000-0000-00009A270000}"/>
    <cellStyle name="Dane wejściowe 2 23 10" xfId="10160" xr:uid="{00000000-0005-0000-0000-00009B270000}"/>
    <cellStyle name="Dane wejściowe 2 23 10 2" xfId="10161" xr:uid="{00000000-0005-0000-0000-00009C270000}"/>
    <cellStyle name="Dane wejściowe 2 23 10 3" xfId="10162" xr:uid="{00000000-0005-0000-0000-00009D270000}"/>
    <cellStyle name="Dane wejściowe 2 23 10 4" xfId="10163" xr:uid="{00000000-0005-0000-0000-00009E270000}"/>
    <cellStyle name="Dane wejściowe 2 23 11" xfId="10164" xr:uid="{00000000-0005-0000-0000-00009F270000}"/>
    <cellStyle name="Dane wejściowe 2 23 11 2" xfId="10165" xr:uid="{00000000-0005-0000-0000-0000A0270000}"/>
    <cellStyle name="Dane wejściowe 2 23 11 3" xfId="10166" xr:uid="{00000000-0005-0000-0000-0000A1270000}"/>
    <cellStyle name="Dane wejściowe 2 23 11 4" xfId="10167" xr:uid="{00000000-0005-0000-0000-0000A2270000}"/>
    <cellStyle name="Dane wejściowe 2 23 12" xfId="10168" xr:uid="{00000000-0005-0000-0000-0000A3270000}"/>
    <cellStyle name="Dane wejściowe 2 23 12 2" xfId="10169" xr:uid="{00000000-0005-0000-0000-0000A4270000}"/>
    <cellStyle name="Dane wejściowe 2 23 12 3" xfId="10170" xr:uid="{00000000-0005-0000-0000-0000A5270000}"/>
    <cellStyle name="Dane wejściowe 2 23 12 4" xfId="10171" xr:uid="{00000000-0005-0000-0000-0000A6270000}"/>
    <cellStyle name="Dane wejściowe 2 23 13" xfId="10172" xr:uid="{00000000-0005-0000-0000-0000A7270000}"/>
    <cellStyle name="Dane wejściowe 2 23 13 2" xfId="10173" xr:uid="{00000000-0005-0000-0000-0000A8270000}"/>
    <cellStyle name="Dane wejściowe 2 23 13 3" xfId="10174" xr:uid="{00000000-0005-0000-0000-0000A9270000}"/>
    <cellStyle name="Dane wejściowe 2 23 13 4" xfId="10175" xr:uid="{00000000-0005-0000-0000-0000AA270000}"/>
    <cellStyle name="Dane wejściowe 2 23 14" xfId="10176" xr:uid="{00000000-0005-0000-0000-0000AB270000}"/>
    <cellStyle name="Dane wejściowe 2 23 14 2" xfId="10177" xr:uid="{00000000-0005-0000-0000-0000AC270000}"/>
    <cellStyle name="Dane wejściowe 2 23 14 3" xfId="10178" xr:uid="{00000000-0005-0000-0000-0000AD270000}"/>
    <cellStyle name="Dane wejściowe 2 23 14 4" xfId="10179" xr:uid="{00000000-0005-0000-0000-0000AE270000}"/>
    <cellStyle name="Dane wejściowe 2 23 15" xfId="10180" xr:uid="{00000000-0005-0000-0000-0000AF270000}"/>
    <cellStyle name="Dane wejściowe 2 23 15 2" xfId="10181" xr:uid="{00000000-0005-0000-0000-0000B0270000}"/>
    <cellStyle name="Dane wejściowe 2 23 15 3" xfId="10182" xr:uid="{00000000-0005-0000-0000-0000B1270000}"/>
    <cellStyle name="Dane wejściowe 2 23 15 4" xfId="10183" xr:uid="{00000000-0005-0000-0000-0000B2270000}"/>
    <cellStyle name="Dane wejściowe 2 23 16" xfId="10184" xr:uid="{00000000-0005-0000-0000-0000B3270000}"/>
    <cellStyle name="Dane wejściowe 2 23 16 2" xfId="10185" xr:uid="{00000000-0005-0000-0000-0000B4270000}"/>
    <cellStyle name="Dane wejściowe 2 23 16 3" xfId="10186" xr:uid="{00000000-0005-0000-0000-0000B5270000}"/>
    <cellStyle name="Dane wejściowe 2 23 16 4" xfId="10187" xr:uid="{00000000-0005-0000-0000-0000B6270000}"/>
    <cellStyle name="Dane wejściowe 2 23 17" xfId="10188" xr:uid="{00000000-0005-0000-0000-0000B7270000}"/>
    <cellStyle name="Dane wejściowe 2 23 17 2" xfId="10189" xr:uid="{00000000-0005-0000-0000-0000B8270000}"/>
    <cellStyle name="Dane wejściowe 2 23 17 3" xfId="10190" xr:uid="{00000000-0005-0000-0000-0000B9270000}"/>
    <cellStyle name="Dane wejściowe 2 23 17 4" xfId="10191" xr:uid="{00000000-0005-0000-0000-0000BA270000}"/>
    <cellStyle name="Dane wejściowe 2 23 18" xfId="10192" xr:uid="{00000000-0005-0000-0000-0000BB270000}"/>
    <cellStyle name="Dane wejściowe 2 23 18 2" xfId="10193" xr:uid="{00000000-0005-0000-0000-0000BC270000}"/>
    <cellStyle name="Dane wejściowe 2 23 18 3" xfId="10194" xr:uid="{00000000-0005-0000-0000-0000BD270000}"/>
    <cellStyle name="Dane wejściowe 2 23 18 4" xfId="10195" xr:uid="{00000000-0005-0000-0000-0000BE270000}"/>
    <cellStyle name="Dane wejściowe 2 23 19" xfId="10196" xr:uid="{00000000-0005-0000-0000-0000BF270000}"/>
    <cellStyle name="Dane wejściowe 2 23 19 2" xfId="10197" xr:uid="{00000000-0005-0000-0000-0000C0270000}"/>
    <cellStyle name="Dane wejściowe 2 23 19 3" xfId="10198" xr:uid="{00000000-0005-0000-0000-0000C1270000}"/>
    <cellStyle name="Dane wejściowe 2 23 19 4" xfId="10199" xr:uid="{00000000-0005-0000-0000-0000C2270000}"/>
    <cellStyle name="Dane wejściowe 2 23 2" xfId="10200" xr:uid="{00000000-0005-0000-0000-0000C3270000}"/>
    <cellStyle name="Dane wejściowe 2 23 2 2" xfId="10201" xr:uid="{00000000-0005-0000-0000-0000C4270000}"/>
    <cellStyle name="Dane wejściowe 2 23 2 3" xfId="10202" xr:uid="{00000000-0005-0000-0000-0000C5270000}"/>
    <cellStyle name="Dane wejściowe 2 23 2 4" xfId="10203" xr:uid="{00000000-0005-0000-0000-0000C6270000}"/>
    <cellStyle name="Dane wejściowe 2 23 20" xfId="10204" xr:uid="{00000000-0005-0000-0000-0000C7270000}"/>
    <cellStyle name="Dane wejściowe 2 23 20 2" xfId="10205" xr:uid="{00000000-0005-0000-0000-0000C8270000}"/>
    <cellStyle name="Dane wejściowe 2 23 20 3" xfId="10206" xr:uid="{00000000-0005-0000-0000-0000C9270000}"/>
    <cellStyle name="Dane wejściowe 2 23 20 4" xfId="10207" xr:uid="{00000000-0005-0000-0000-0000CA270000}"/>
    <cellStyle name="Dane wejściowe 2 23 21" xfId="10208" xr:uid="{00000000-0005-0000-0000-0000CB270000}"/>
    <cellStyle name="Dane wejściowe 2 23 21 2" xfId="10209" xr:uid="{00000000-0005-0000-0000-0000CC270000}"/>
    <cellStyle name="Dane wejściowe 2 23 21 3" xfId="10210" xr:uid="{00000000-0005-0000-0000-0000CD270000}"/>
    <cellStyle name="Dane wejściowe 2 23 22" xfId="10211" xr:uid="{00000000-0005-0000-0000-0000CE270000}"/>
    <cellStyle name="Dane wejściowe 2 23 22 2" xfId="10212" xr:uid="{00000000-0005-0000-0000-0000CF270000}"/>
    <cellStyle name="Dane wejściowe 2 23 22 3" xfId="10213" xr:uid="{00000000-0005-0000-0000-0000D0270000}"/>
    <cellStyle name="Dane wejściowe 2 23 23" xfId="10214" xr:uid="{00000000-0005-0000-0000-0000D1270000}"/>
    <cellStyle name="Dane wejściowe 2 23 23 2" xfId="10215" xr:uid="{00000000-0005-0000-0000-0000D2270000}"/>
    <cellStyle name="Dane wejściowe 2 23 23 3" xfId="10216" xr:uid="{00000000-0005-0000-0000-0000D3270000}"/>
    <cellStyle name="Dane wejściowe 2 23 24" xfId="10217" xr:uid="{00000000-0005-0000-0000-0000D4270000}"/>
    <cellStyle name="Dane wejściowe 2 23 24 2" xfId="10218" xr:uid="{00000000-0005-0000-0000-0000D5270000}"/>
    <cellStyle name="Dane wejściowe 2 23 24 3" xfId="10219" xr:uid="{00000000-0005-0000-0000-0000D6270000}"/>
    <cellStyle name="Dane wejściowe 2 23 25" xfId="10220" xr:uid="{00000000-0005-0000-0000-0000D7270000}"/>
    <cellStyle name="Dane wejściowe 2 23 25 2" xfId="10221" xr:uid="{00000000-0005-0000-0000-0000D8270000}"/>
    <cellStyle name="Dane wejściowe 2 23 25 3" xfId="10222" xr:uid="{00000000-0005-0000-0000-0000D9270000}"/>
    <cellStyle name="Dane wejściowe 2 23 26" xfId="10223" xr:uid="{00000000-0005-0000-0000-0000DA270000}"/>
    <cellStyle name="Dane wejściowe 2 23 26 2" xfId="10224" xr:uid="{00000000-0005-0000-0000-0000DB270000}"/>
    <cellStyle name="Dane wejściowe 2 23 26 3" xfId="10225" xr:uid="{00000000-0005-0000-0000-0000DC270000}"/>
    <cellStyle name="Dane wejściowe 2 23 27" xfId="10226" xr:uid="{00000000-0005-0000-0000-0000DD270000}"/>
    <cellStyle name="Dane wejściowe 2 23 27 2" xfId="10227" xr:uid="{00000000-0005-0000-0000-0000DE270000}"/>
    <cellStyle name="Dane wejściowe 2 23 27 3" xfId="10228" xr:uid="{00000000-0005-0000-0000-0000DF270000}"/>
    <cellStyle name="Dane wejściowe 2 23 28" xfId="10229" xr:uid="{00000000-0005-0000-0000-0000E0270000}"/>
    <cellStyle name="Dane wejściowe 2 23 28 2" xfId="10230" xr:uid="{00000000-0005-0000-0000-0000E1270000}"/>
    <cellStyle name="Dane wejściowe 2 23 28 3" xfId="10231" xr:uid="{00000000-0005-0000-0000-0000E2270000}"/>
    <cellStyle name="Dane wejściowe 2 23 29" xfId="10232" xr:uid="{00000000-0005-0000-0000-0000E3270000}"/>
    <cellStyle name="Dane wejściowe 2 23 29 2" xfId="10233" xr:uid="{00000000-0005-0000-0000-0000E4270000}"/>
    <cellStyle name="Dane wejściowe 2 23 29 3" xfId="10234" xr:uid="{00000000-0005-0000-0000-0000E5270000}"/>
    <cellStyle name="Dane wejściowe 2 23 3" xfId="10235" xr:uid="{00000000-0005-0000-0000-0000E6270000}"/>
    <cellStyle name="Dane wejściowe 2 23 3 2" xfId="10236" xr:uid="{00000000-0005-0000-0000-0000E7270000}"/>
    <cellStyle name="Dane wejściowe 2 23 3 3" xfId="10237" xr:uid="{00000000-0005-0000-0000-0000E8270000}"/>
    <cellStyle name="Dane wejściowe 2 23 3 4" xfId="10238" xr:uid="{00000000-0005-0000-0000-0000E9270000}"/>
    <cellStyle name="Dane wejściowe 2 23 30" xfId="10239" xr:uid="{00000000-0005-0000-0000-0000EA270000}"/>
    <cellStyle name="Dane wejściowe 2 23 30 2" xfId="10240" xr:uid="{00000000-0005-0000-0000-0000EB270000}"/>
    <cellStyle name="Dane wejściowe 2 23 30 3" xfId="10241" xr:uid="{00000000-0005-0000-0000-0000EC270000}"/>
    <cellStyle name="Dane wejściowe 2 23 31" xfId="10242" xr:uid="{00000000-0005-0000-0000-0000ED270000}"/>
    <cellStyle name="Dane wejściowe 2 23 31 2" xfId="10243" xr:uid="{00000000-0005-0000-0000-0000EE270000}"/>
    <cellStyle name="Dane wejściowe 2 23 31 3" xfId="10244" xr:uid="{00000000-0005-0000-0000-0000EF270000}"/>
    <cellStyle name="Dane wejściowe 2 23 32" xfId="10245" xr:uid="{00000000-0005-0000-0000-0000F0270000}"/>
    <cellStyle name="Dane wejściowe 2 23 32 2" xfId="10246" xr:uid="{00000000-0005-0000-0000-0000F1270000}"/>
    <cellStyle name="Dane wejściowe 2 23 32 3" xfId="10247" xr:uid="{00000000-0005-0000-0000-0000F2270000}"/>
    <cellStyle name="Dane wejściowe 2 23 33" xfId="10248" xr:uid="{00000000-0005-0000-0000-0000F3270000}"/>
    <cellStyle name="Dane wejściowe 2 23 33 2" xfId="10249" xr:uid="{00000000-0005-0000-0000-0000F4270000}"/>
    <cellStyle name="Dane wejściowe 2 23 33 3" xfId="10250" xr:uid="{00000000-0005-0000-0000-0000F5270000}"/>
    <cellStyle name="Dane wejściowe 2 23 34" xfId="10251" xr:uid="{00000000-0005-0000-0000-0000F6270000}"/>
    <cellStyle name="Dane wejściowe 2 23 34 2" xfId="10252" xr:uid="{00000000-0005-0000-0000-0000F7270000}"/>
    <cellStyle name="Dane wejściowe 2 23 34 3" xfId="10253" xr:uid="{00000000-0005-0000-0000-0000F8270000}"/>
    <cellStyle name="Dane wejściowe 2 23 35" xfId="10254" xr:uid="{00000000-0005-0000-0000-0000F9270000}"/>
    <cellStyle name="Dane wejściowe 2 23 35 2" xfId="10255" xr:uid="{00000000-0005-0000-0000-0000FA270000}"/>
    <cellStyle name="Dane wejściowe 2 23 35 3" xfId="10256" xr:uid="{00000000-0005-0000-0000-0000FB270000}"/>
    <cellStyle name="Dane wejściowe 2 23 36" xfId="10257" xr:uid="{00000000-0005-0000-0000-0000FC270000}"/>
    <cellStyle name="Dane wejściowe 2 23 36 2" xfId="10258" xr:uid="{00000000-0005-0000-0000-0000FD270000}"/>
    <cellStyle name="Dane wejściowe 2 23 36 3" xfId="10259" xr:uid="{00000000-0005-0000-0000-0000FE270000}"/>
    <cellStyle name="Dane wejściowe 2 23 37" xfId="10260" xr:uid="{00000000-0005-0000-0000-0000FF270000}"/>
    <cellStyle name="Dane wejściowe 2 23 37 2" xfId="10261" xr:uid="{00000000-0005-0000-0000-000000280000}"/>
    <cellStyle name="Dane wejściowe 2 23 37 3" xfId="10262" xr:uid="{00000000-0005-0000-0000-000001280000}"/>
    <cellStyle name="Dane wejściowe 2 23 38" xfId="10263" xr:uid="{00000000-0005-0000-0000-000002280000}"/>
    <cellStyle name="Dane wejściowe 2 23 38 2" xfId="10264" xr:uid="{00000000-0005-0000-0000-000003280000}"/>
    <cellStyle name="Dane wejściowe 2 23 38 3" xfId="10265" xr:uid="{00000000-0005-0000-0000-000004280000}"/>
    <cellStyle name="Dane wejściowe 2 23 39" xfId="10266" xr:uid="{00000000-0005-0000-0000-000005280000}"/>
    <cellStyle name="Dane wejściowe 2 23 39 2" xfId="10267" xr:uid="{00000000-0005-0000-0000-000006280000}"/>
    <cellStyle name="Dane wejściowe 2 23 39 3" xfId="10268" xr:uid="{00000000-0005-0000-0000-000007280000}"/>
    <cellStyle name="Dane wejściowe 2 23 4" xfId="10269" xr:uid="{00000000-0005-0000-0000-000008280000}"/>
    <cellStyle name="Dane wejściowe 2 23 4 2" xfId="10270" xr:uid="{00000000-0005-0000-0000-000009280000}"/>
    <cellStyle name="Dane wejściowe 2 23 4 3" xfId="10271" xr:uid="{00000000-0005-0000-0000-00000A280000}"/>
    <cellStyle name="Dane wejściowe 2 23 4 4" xfId="10272" xr:uid="{00000000-0005-0000-0000-00000B280000}"/>
    <cellStyle name="Dane wejściowe 2 23 40" xfId="10273" xr:uid="{00000000-0005-0000-0000-00000C280000}"/>
    <cellStyle name="Dane wejściowe 2 23 40 2" xfId="10274" xr:uid="{00000000-0005-0000-0000-00000D280000}"/>
    <cellStyle name="Dane wejściowe 2 23 40 3" xfId="10275" xr:uid="{00000000-0005-0000-0000-00000E280000}"/>
    <cellStyle name="Dane wejściowe 2 23 41" xfId="10276" xr:uid="{00000000-0005-0000-0000-00000F280000}"/>
    <cellStyle name="Dane wejściowe 2 23 41 2" xfId="10277" xr:uid="{00000000-0005-0000-0000-000010280000}"/>
    <cellStyle name="Dane wejściowe 2 23 41 3" xfId="10278" xr:uid="{00000000-0005-0000-0000-000011280000}"/>
    <cellStyle name="Dane wejściowe 2 23 42" xfId="10279" xr:uid="{00000000-0005-0000-0000-000012280000}"/>
    <cellStyle name="Dane wejściowe 2 23 42 2" xfId="10280" xr:uid="{00000000-0005-0000-0000-000013280000}"/>
    <cellStyle name="Dane wejściowe 2 23 42 3" xfId="10281" xr:uid="{00000000-0005-0000-0000-000014280000}"/>
    <cellStyle name="Dane wejściowe 2 23 43" xfId="10282" xr:uid="{00000000-0005-0000-0000-000015280000}"/>
    <cellStyle name="Dane wejściowe 2 23 43 2" xfId="10283" xr:uid="{00000000-0005-0000-0000-000016280000}"/>
    <cellStyle name="Dane wejściowe 2 23 43 3" xfId="10284" xr:uid="{00000000-0005-0000-0000-000017280000}"/>
    <cellStyle name="Dane wejściowe 2 23 44" xfId="10285" xr:uid="{00000000-0005-0000-0000-000018280000}"/>
    <cellStyle name="Dane wejściowe 2 23 44 2" xfId="10286" xr:uid="{00000000-0005-0000-0000-000019280000}"/>
    <cellStyle name="Dane wejściowe 2 23 44 3" xfId="10287" xr:uid="{00000000-0005-0000-0000-00001A280000}"/>
    <cellStyle name="Dane wejściowe 2 23 45" xfId="10288" xr:uid="{00000000-0005-0000-0000-00001B280000}"/>
    <cellStyle name="Dane wejściowe 2 23 45 2" xfId="10289" xr:uid="{00000000-0005-0000-0000-00001C280000}"/>
    <cellStyle name="Dane wejściowe 2 23 45 3" xfId="10290" xr:uid="{00000000-0005-0000-0000-00001D280000}"/>
    <cellStyle name="Dane wejściowe 2 23 46" xfId="10291" xr:uid="{00000000-0005-0000-0000-00001E280000}"/>
    <cellStyle name="Dane wejściowe 2 23 46 2" xfId="10292" xr:uid="{00000000-0005-0000-0000-00001F280000}"/>
    <cellStyle name="Dane wejściowe 2 23 46 3" xfId="10293" xr:uid="{00000000-0005-0000-0000-000020280000}"/>
    <cellStyle name="Dane wejściowe 2 23 47" xfId="10294" xr:uid="{00000000-0005-0000-0000-000021280000}"/>
    <cellStyle name="Dane wejściowe 2 23 47 2" xfId="10295" xr:uid="{00000000-0005-0000-0000-000022280000}"/>
    <cellStyle name="Dane wejściowe 2 23 47 3" xfId="10296" xr:uid="{00000000-0005-0000-0000-000023280000}"/>
    <cellStyle name="Dane wejściowe 2 23 48" xfId="10297" xr:uid="{00000000-0005-0000-0000-000024280000}"/>
    <cellStyle name="Dane wejściowe 2 23 48 2" xfId="10298" xr:uid="{00000000-0005-0000-0000-000025280000}"/>
    <cellStyle name="Dane wejściowe 2 23 48 3" xfId="10299" xr:uid="{00000000-0005-0000-0000-000026280000}"/>
    <cellStyle name="Dane wejściowe 2 23 49" xfId="10300" xr:uid="{00000000-0005-0000-0000-000027280000}"/>
    <cellStyle name="Dane wejściowe 2 23 49 2" xfId="10301" xr:uid="{00000000-0005-0000-0000-000028280000}"/>
    <cellStyle name="Dane wejściowe 2 23 49 3" xfId="10302" xr:uid="{00000000-0005-0000-0000-000029280000}"/>
    <cellStyle name="Dane wejściowe 2 23 5" xfId="10303" xr:uid="{00000000-0005-0000-0000-00002A280000}"/>
    <cellStyle name="Dane wejściowe 2 23 5 2" xfId="10304" xr:uid="{00000000-0005-0000-0000-00002B280000}"/>
    <cellStyle name="Dane wejściowe 2 23 5 3" xfId="10305" xr:uid="{00000000-0005-0000-0000-00002C280000}"/>
    <cellStyle name="Dane wejściowe 2 23 5 4" xfId="10306" xr:uid="{00000000-0005-0000-0000-00002D280000}"/>
    <cellStyle name="Dane wejściowe 2 23 50" xfId="10307" xr:uid="{00000000-0005-0000-0000-00002E280000}"/>
    <cellStyle name="Dane wejściowe 2 23 50 2" xfId="10308" xr:uid="{00000000-0005-0000-0000-00002F280000}"/>
    <cellStyle name="Dane wejściowe 2 23 50 3" xfId="10309" xr:uid="{00000000-0005-0000-0000-000030280000}"/>
    <cellStyle name="Dane wejściowe 2 23 51" xfId="10310" xr:uid="{00000000-0005-0000-0000-000031280000}"/>
    <cellStyle name="Dane wejściowe 2 23 51 2" xfId="10311" xr:uid="{00000000-0005-0000-0000-000032280000}"/>
    <cellStyle name="Dane wejściowe 2 23 51 3" xfId="10312" xr:uid="{00000000-0005-0000-0000-000033280000}"/>
    <cellStyle name="Dane wejściowe 2 23 52" xfId="10313" xr:uid="{00000000-0005-0000-0000-000034280000}"/>
    <cellStyle name="Dane wejściowe 2 23 52 2" xfId="10314" xr:uid="{00000000-0005-0000-0000-000035280000}"/>
    <cellStyle name="Dane wejściowe 2 23 52 3" xfId="10315" xr:uid="{00000000-0005-0000-0000-000036280000}"/>
    <cellStyle name="Dane wejściowe 2 23 53" xfId="10316" xr:uid="{00000000-0005-0000-0000-000037280000}"/>
    <cellStyle name="Dane wejściowe 2 23 53 2" xfId="10317" xr:uid="{00000000-0005-0000-0000-000038280000}"/>
    <cellStyle name="Dane wejściowe 2 23 53 3" xfId="10318" xr:uid="{00000000-0005-0000-0000-000039280000}"/>
    <cellStyle name="Dane wejściowe 2 23 54" xfId="10319" xr:uid="{00000000-0005-0000-0000-00003A280000}"/>
    <cellStyle name="Dane wejściowe 2 23 54 2" xfId="10320" xr:uid="{00000000-0005-0000-0000-00003B280000}"/>
    <cellStyle name="Dane wejściowe 2 23 54 3" xfId="10321" xr:uid="{00000000-0005-0000-0000-00003C280000}"/>
    <cellStyle name="Dane wejściowe 2 23 55" xfId="10322" xr:uid="{00000000-0005-0000-0000-00003D280000}"/>
    <cellStyle name="Dane wejściowe 2 23 55 2" xfId="10323" xr:uid="{00000000-0005-0000-0000-00003E280000}"/>
    <cellStyle name="Dane wejściowe 2 23 55 3" xfId="10324" xr:uid="{00000000-0005-0000-0000-00003F280000}"/>
    <cellStyle name="Dane wejściowe 2 23 56" xfId="10325" xr:uid="{00000000-0005-0000-0000-000040280000}"/>
    <cellStyle name="Dane wejściowe 2 23 56 2" xfId="10326" xr:uid="{00000000-0005-0000-0000-000041280000}"/>
    <cellStyle name="Dane wejściowe 2 23 56 3" xfId="10327" xr:uid="{00000000-0005-0000-0000-000042280000}"/>
    <cellStyle name="Dane wejściowe 2 23 57" xfId="10328" xr:uid="{00000000-0005-0000-0000-000043280000}"/>
    <cellStyle name="Dane wejściowe 2 23 58" xfId="10329" xr:uid="{00000000-0005-0000-0000-000044280000}"/>
    <cellStyle name="Dane wejściowe 2 23 6" xfId="10330" xr:uid="{00000000-0005-0000-0000-000045280000}"/>
    <cellStyle name="Dane wejściowe 2 23 6 2" xfId="10331" xr:uid="{00000000-0005-0000-0000-000046280000}"/>
    <cellStyle name="Dane wejściowe 2 23 6 3" xfId="10332" xr:uid="{00000000-0005-0000-0000-000047280000}"/>
    <cellStyle name="Dane wejściowe 2 23 6 4" xfId="10333" xr:uid="{00000000-0005-0000-0000-000048280000}"/>
    <cellStyle name="Dane wejściowe 2 23 7" xfId="10334" xr:uid="{00000000-0005-0000-0000-000049280000}"/>
    <cellStyle name="Dane wejściowe 2 23 7 2" xfId="10335" xr:uid="{00000000-0005-0000-0000-00004A280000}"/>
    <cellStyle name="Dane wejściowe 2 23 7 3" xfId="10336" xr:uid="{00000000-0005-0000-0000-00004B280000}"/>
    <cellStyle name="Dane wejściowe 2 23 7 4" xfId="10337" xr:uid="{00000000-0005-0000-0000-00004C280000}"/>
    <cellStyle name="Dane wejściowe 2 23 8" xfId="10338" xr:uid="{00000000-0005-0000-0000-00004D280000}"/>
    <cellStyle name="Dane wejściowe 2 23 8 2" xfId="10339" xr:uid="{00000000-0005-0000-0000-00004E280000}"/>
    <cellStyle name="Dane wejściowe 2 23 8 3" xfId="10340" xr:uid="{00000000-0005-0000-0000-00004F280000}"/>
    <cellStyle name="Dane wejściowe 2 23 8 4" xfId="10341" xr:uid="{00000000-0005-0000-0000-000050280000}"/>
    <cellStyle name="Dane wejściowe 2 23 9" xfId="10342" xr:uid="{00000000-0005-0000-0000-000051280000}"/>
    <cellStyle name="Dane wejściowe 2 23 9 2" xfId="10343" xr:uid="{00000000-0005-0000-0000-000052280000}"/>
    <cellStyle name="Dane wejściowe 2 23 9 3" xfId="10344" xr:uid="{00000000-0005-0000-0000-000053280000}"/>
    <cellStyle name="Dane wejściowe 2 23 9 4" xfId="10345" xr:uid="{00000000-0005-0000-0000-000054280000}"/>
    <cellStyle name="Dane wejściowe 2 24" xfId="10346" xr:uid="{00000000-0005-0000-0000-000055280000}"/>
    <cellStyle name="Dane wejściowe 2 24 10" xfId="10347" xr:uid="{00000000-0005-0000-0000-000056280000}"/>
    <cellStyle name="Dane wejściowe 2 24 10 2" xfId="10348" xr:uid="{00000000-0005-0000-0000-000057280000}"/>
    <cellStyle name="Dane wejściowe 2 24 10 3" xfId="10349" xr:uid="{00000000-0005-0000-0000-000058280000}"/>
    <cellStyle name="Dane wejściowe 2 24 10 4" xfId="10350" xr:uid="{00000000-0005-0000-0000-000059280000}"/>
    <cellStyle name="Dane wejściowe 2 24 11" xfId="10351" xr:uid="{00000000-0005-0000-0000-00005A280000}"/>
    <cellStyle name="Dane wejściowe 2 24 11 2" xfId="10352" xr:uid="{00000000-0005-0000-0000-00005B280000}"/>
    <cellStyle name="Dane wejściowe 2 24 11 3" xfId="10353" xr:uid="{00000000-0005-0000-0000-00005C280000}"/>
    <cellStyle name="Dane wejściowe 2 24 11 4" xfId="10354" xr:uid="{00000000-0005-0000-0000-00005D280000}"/>
    <cellStyle name="Dane wejściowe 2 24 12" xfId="10355" xr:uid="{00000000-0005-0000-0000-00005E280000}"/>
    <cellStyle name="Dane wejściowe 2 24 12 2" xfId="10356" xr:uid="{00000000-0005-0000-0000-00005F280000}"/>
    <cellStyle name="Dane wejściowe 2 24 12 3" xfId="10357" xr:uid="{00000000-0005-0000-0000-000060280000}"/>
    <cellStyle name="Dane wejściowe 2 24 12 4" xfId="10358" xr:uid="{00000000-0005-0000-0000-000061280000}"/>
    <cellStyle name="Dane wejściowe 2 24 13" xfId="10359" xr:uid="{00000000-0005-0000-0000-000062280000}"/>
    <cellStyle name="Dane wejściowe 2 24 13 2" xfId="10360" xr:uid="{00000000-0005-0000-0000-000063280000}"/>
    <cellStyle name="Dane wejściowe 2 24 13 3" xfId="10361" xr:uid="{00000000-0005-0000-0000-000064280000}"/>
    <cellStyle name="Dane wejściowe 2 24 13 4" xfId="10362" xr:uid="{00000000-0005-0000-0000-000065280000}"/>
    <cellStyle name="Dane wejściowe 2 24 14" xfId="10363" xr:uid="{00000000-0005-0000-0000-000066280000}"/>
    <cellStyle name="Dane wejściowe 2 24 14 2" xfId="10364" xr:uid="{00000000-0005-0000-0000-000067280000}"/>
    <cellStyle name="Dane wejściowe 2 24 14 3" xfId="10365" xr:uid="{00000000-0005-0000-0000-000068280000}"/>
    <cellStyle name="Dane wejściowe 2 24 14 4" xfId="10366" xr:uid="{00000000-0005-0000-0000-000069280000}"/>
    <cellStyle name="Dane wejściowe 2 24 15" xfId="10367" xr:uid="{00000000-0005-0000-0000-00006A280000}"/>
    <cellStyle name="Dane wejściowe 2 24 15 2" xfId="10368" xr:uid="{00000000-0005-0000-0000-00006B280000}"/>
    <cellStyle name="Dane wejściowe 2 24 15 3" xfId="10369" xr:uid="{00000000-0005-0000-0000-00006C280000}"/>
    <cellStyle name="Dane wejściowe 2 24 15 4" xfId="10370" xr:uid="{00000000-0005-0000-0000-00006D280000}"/>
    <cellStyle name="Dane wejściowe 2 24 16" xfId="10371" xr:uid="{00000000-0005-0000-0000-00006E280000}"/>
    <cellStyle name="Dane wejściowe 2 24 16 2" xfId="10372" xr:uid="{00000000-0005-0000-0000-00006F280000}"/>
    <cellStyle name="Dane wejściowe 2 24 16 3" xfId="10373" xr:uid="{00000000-0005-0000-0000-000070280000}"/>
    <cellStyle name="Dane wejściowe 2 24 16 4" xfId="10374" xr:uid="{00000000-0005-0000-0000-000071280000}"/>
    <cellStyle name="Dane wejściowe 2 24 17" xfId="10375" xr:uid="{00000000-0005-0000-0000-000072280000}"/>
    <cellStyle name="Dane wejściowe 2 24 17 2" xfId="10376" xr:uid="{00000000-0005-0000-0000-000073280000}"/>
    <cellStyle name="Dane wejściowe 2 24 17 3" xfId="10377" xr:uid="{00000000-0005-0000-0000-000074280000}"/>
    <cellStyle name="Dane wejściowe 2 24 17 4" xfId="10378" xr:uid="{00000000-0005-0000-0000-000075280000}"/>
    <cellStyle name="Dane wejściowe 2 24 18" xfId="10379" xr:uid="{00000000-0005-0000-0000-000076280000}"/>
    <cellStyle name="Dane wejściowe 2 24 18 2" xfId="10380" xr:uid="{00000000-0005-0000-0000-000077280000}"/>
    <cellStyle name="Dane wejściowe 2 24 18 3" xfId="10381" xr:uid="{00000000-0005-0000-0000-000078280000}"/>
    <cellStyle name="Dane wejściowe 2 24 18 4" xfId="10382" xr:uid="{00000000-0005-0000-0000-000079280000}"/>
    <cellStyle name="Dane wejściowe 2 24 19" xfId="10383" xr:uid="{00000000-0005-0000-0000-00007A280000}"/>
    <cellStyle name="Dane wejściowe 2 24 19 2" xfId="10384" xr:uid="{00000000-0005-0000-0000-00007B280000}"/>
    <cellStyle name="Dane wejściowe 2 24 19 3" xfId="10385" xr:uid="{00000000-0005-0000-0000-00007C280000}"/>
    <cellStyle name="Dane wejściowe 2 24 19 4" xfId="10386" xr:uid="{00000000-0005-0000-0000-00007D280000}"/>
    <cellStyle name="Dane wejściowe 2 24 2" xfId="10387" xr:uid="{00000000-0005-0000-0000-00007E280000}"/>
    <cellStyle name="Dane wejściowe 2 24 2 2" xfId="10388" xr:uid="{00000000-0005-0000-0000-00007F280000}"/>
    <cellStyle name="Dane wejściowe 2 24 2 3" xfId="10389" xr:uid="{00000000-0005-0000-0000-000080280000}"/>
    <cellStyle name="Dane wejściowe 2 24 2 4" xfId="10390" xr:uid="{00000000-0005-0000-0000-000081280000}"/>
    <cellStyle name="Dane wejściowe 2 24 20" xfId="10391" xr:uid="{00000000-0005-0000-0000-000082280000}"/>
    <cellStyle name="Dane wejściowe 2 24 20 2" xfId="10392" xr:uid="{00000000-0005-0000-0000-000083280000}"/>
    <cellStyle name="Dane wejściowe 2 24 20 3" xfId="10393" xr:uid="{00000000-0005-0000-0000-000084280000}"/>
    <cellStyle name="Dane wejściowe 2 24 20 4" xfId="10394" xr:uid="{00000000-0005-0000-0000-000085280000}"/>
    <cellStyle name="Dane wejściowe 2 24 21" xfId="10395" xr:uid="{00000000-0005-0000-0000-000086280000}"/>
    <cellStyle name="Dane wejściowe 2 24 21 2" xfId="10396" xr:uid="{00000000-0005-0000-0000-000087280000}"/>
    <cellStyle name="Dane wejściowe 2 24 21 3" xfId="10397" xr:uid="{00000000-0005-0000-0000-000088280000}"/>
    <cellStyle name="Dane wejściowe 2 24 22" xfId="10398" xr:uid="{00000000-0005-0000-0000-000089280000}"/>
    <cellStyle name="Dane wejściowe 2 24 22 2" xfId="10399" xr:uid="{00000000-0005-0000-0000-00008A280000}"/>
    <cellStyle name="Dane wejściowe 2 24 22 3" xfId="10400" xr:uid="{00000000-0005-0000-0000-00008B280000}"/>
    <cellStyle name="Dane wejściowe 2 24 23" xfId="10401" xr:uid="{00000000-0005-0000-0000-00008C280000}"/>
    <cellStyle name="Dane wejściowe 2 24 23 2" xfId="10402" xr:uid="{00000000-0005-0000-0000-00008D280000}"/>
    <cellStyle name="Dane wejściowe 2 24 23 3" xfId="10403" xr:uid="{00000000-0005-0000-0000-00008E280000}"/>
    <cellStyle name="Dane wejściowe 2 24 24" xfId="10404" xr:uid="{00000000-0005-0000-0000-00008F280000}"/>
    <cellStyle name="Dane wejściowe 2 24 24 2" xfId="10405" xr:uid="{00000000-0005-0000-0000-000090280000}"/>
    <cellStyle name="Dane wejściowe 2 24 24 3" xfId="10406" xr:uid="{00000000-0005-0000-0000-000091280000}"/>
    <cellStyle name="Dane wejściowe 2 24 25" xfId="10407" xr:uid="{00000000-0005-0000-0000-000092280000}"/>
    <cellStyle name="Dane wejściowe 2 24 25 2" xfId="10408" xr:uid="{00000000-0005-0000-0000-000093280000}"/>
    <cellStyle name="Dane wejściowe 2 24 25 3" xfId="10409" xr:uid="{00000000-0005-0000-0000-000094280000}"/>
    <cellStyle name="Dane wejściowe 2 24 26" xfId="10410" xr:uid="{00000000-0005-0000-0000-000095280000}"/>
    <cellStyle name="Dane wejściowe 2 24 26 2" xfId="10411" xr:uid="{00000000-0005-0000-0000-000096280000}"/>
    <cellStyle name="Dane wejściowe 2 24 26 3" xfId="10412" xr:uid="{00000000-0005-0000-0000-000097280000}"/>
    <cellStyle name="Dane wejściowe 2 24 27" xfId="10413" xr:uid="{00000000-0005-0000-0000-000098280000}"/>
    <cellStyle name="Dane wejściowe 2 24 27 2" xfId="10414" xr:uid="{00000000-0005-0000-0000-000099280000}"/>
    <cellStyle name="Dane wejściowe 2 24 27 3" xfId="10415" xr:uid="{00000000-0005-0000-0000-00009A280000}"/>
    <cellStyle name="Dane wejściowe 2 24 28" xfId="10416" xr:uid="{00000000-0005-0000-0000-00009B280000}"/>
    <cellStyle name="Dane wejściowe 2 24 28 2" xfId="10417" xr:uid="{00000000-0005-0000-0000-00009C280000}"/>
    <cellStyle name="Dane wejściowe 2 24 28 3" xfId="10418" xr:uid="{00000000-0005-0000-0000-00009D280000}"/>
    <cellStyle name="Dane wejściowe 2 24 29" xfId="10419" xr:uid="{00000000-0005-0000-0000-00009E280000}"/>
    <cellStyle name="Dane wejściowe 2 24 29 2" xfId="10420" xr:uid="{00000000-0005-0000-0000-00009F280000}"/>
    <cellStyle name="Dane wejściowe 2 24 29 3" xfId="10421" xr:uid="{00000000-0005-0000-0000-0000A0280000}"/>
    <cellStyle name="Dane wejściowe 2 24 3" xfId="10422" xr:uid="{00000000-0005-0000-0000-0000A1280000}"/>
    <cellStyle name="Dane wejściowe 2 24 3 2" xfId="10423" xr:uid="{00000000-0005-0000-0000-0000A2280000}"/>
    <cellStyle name="Dane wejściowe 2 24 3 3" xfId="10424" xr:uid="{00000000-0005-0000-0000-0000A3280000}"/>
    <cellStyle name="Dane wejściowe 2 24 3 4" xfId="10425" xr:uid="{00000000-0005-0000-0000-0000A4280000}"/>
    <cellStyle name="Dane wejściowe 2 24 30" xfId="10426" xr:uid="{00000000-0005-0000-0000-0000A5280000}"/>
    <cellStyle name="Dane wejściowe 2 24 30 2" xfId="10427" xr:uid="{00000000-0005-0000-0000-0000A6280000}"/>
    <cellStyle name="Dane wejściowe 2 24 30 3" xfId="10428" xr:uid="{00000000-0005-0000-0000-0000A7280000}"/>
    <cellStyle name="Dane wejściowe 2 24 31" xfId="10429" xr:uid="{00000000-0005-0000-0000-0000A8280000}"/>
    <cellStyle name="Dane wejściowe 2 24 31 2" xfId="10430" xr:uid="{00000000-0005-0000-0000-0000A9280000}"/>
    <cellStyle name="Dane wejściowe 2 24 31 3" xfId="10431" xr:uid="{00000000-0005-0000-0000-0000AA280000}"/>
    <cellStyle name="Dane wejściowe 2 24 32" xfId="10432" xr:uid="{00000000-0005-0000-0000-0000AB280000}"/>
    <cellStyle name="Dane wejściowe 2 24 32 2" xfId="10433" xr:uid="{00000000-0005-0000-0000-0000AC280000}"/>
    <cellStyle name="Dane wejściowe 2 24 32 3" xfId="10434" xr:uid="{00000000-0005-0000-0000-0000AD280000}"/>
    <cellStyle name="Dane wejściowe 2 24 33" xfId="10435" xr:uid="{00000000-0005-0000-0000-0000AE280000}"/>
    <cellStyle name="Dane wejściowe 2 24 33 2" xfId="10436" xr:uid="{00000000-0005-0000-0000-0000AF280000}"/>
    <cellStyle name="Dane wejściowe 2 24 33 3" xfId="10437" xr:uid="{00000000-0005-0000-0000-0000B0280000}"/>
    <cellStyle name="Dane wejściowe 2 24 34" xfId="10438" xr:uid="{00000000-0005-0000-0000-0000B1280000}"/>
    <cellStyle name="Dane wejściowe 2 24 34 2" xfId="10439" xr:uid="{00000000-0005-0000-0000-0000B2280000}"/>
    <cellStyle name="Dane wejściowe 2 24 34 3" xfId="10440" xr:uid="{00000000-0005-0000-0000-0000B3280000}"/>
    <cellStyle name="Dane wejściowe 2 24 35" xfId="10441" xr:uid="{00000000-0005-0000-0000-0000B4280000}"/>
    <cellStyle name="Dane wejściowe 2 24 35 2" xfId="10442" xr:uid="{00000000-0005-0000-0000-0000B5280000}"/>
    <cellStyle name="Dane wejściowe 2 24 35 3" xfId="10443" xr:uid="{00000000-0005-0000-0000-0000B6280000}"/>
    <cellStyle name="Dane wejściowe 2 24 36" xfId="10444" xr:uid="{00000000-0005-0000-0000-0000B7280000}"/>
    <cellStyle name="Dane wejściowe 2 24 36 2" xfId="10445" xr:uid="{00000000-0005-0000-0000-0000B8280000}"/>
    <cellStyle name="Dane wejściowe 2 24 36 3" xfId="10446" xr:uid="{00000000-0005-0000-0000-0000B9280000}"/>
    <cellStyle name="Dane wejściowe 2 24 37" xfId="10447" xr:uid="{00000000-0005-0000-0000-0000BA280000}"/>
    <cellStyle name="Dane wejściowe 2 24 37 2" xfId="10448" xr:uid="{00000000-0005-0000-0000-0000BB280000}"/>
    <cellStyle name="Dane wejściowe 2 24 37 3" xfId="10449" xr:uid="{00000000-0005-0000-0000-0000BC280000}"/>
    <cellStyle name="Dane wejściowe 2 24 38" xfId="10450" xr:uid="{00000000-0005-0000-0000-0000BD280000}"/>
    <cellStyle name="Dane wejściowe 2 24 38 2" xfId="10451" xr:uid="{00000000-0005-0000-0000-0000BE280000}"/>
    <cellStyle name="Dane wejściowe 2 24 38 3" xfId="10452" xr:uid="{00000000-0005-0000-0000-0000BF280000}"/>
    <cellStyle name="Dane wejściowe 2 24 39" xfId="10453" xr:uid="{00000000-0005-0000-0000-0000C0280000}"/>
    <cellStyle name="Dane wejściowe 2 24 39 2" xfId="10454" xr:uid="{00000000-0005-0000-0000-0000C1280000}"/>
    <cellStyle name="Dane wejściowe 2 24 39 3" xfId="10455" xr:uid="{00000000-0005-0000-0000-0000C2280000}"/>
    <cellStyle name="Dane wejściowe 2 24 4" xfId="10456" xr:uid="{00000000-0005-0000-0000-0000C3280000}"/>
    <cellStyle name="Dane wejściowe 2 24 4 2" xfId="10457" xr:uid="{00000000-0005-0000-0000-0000C4280000}"/>
    <cellStyle name="Dane wejściowe 2 24 4 3" xfId="10458" xr:uid="{00000000-0005-0000-0000-0000C5280000}"/>
    <cellStyle name="Dane wejściowe 2 24 4 4" xfId="10459" xr:uid="{00000000-0005-0000-0000-0000C6280000}"/>
    <cellStyle name="Dane wejściowe 2 24 40" xfId="10460" xr:uid="{00000000-0005-0000-0000-0000C7280000}"/>
    <cellStyle name="Dane wejściowe 2 24 40 2" xfId="10461" xr:uid="{00000000-0005-0000-0000-0000C8280000}"/>
    <cellStyle name="Dane wejściowe 2 24 40 3" xfId="10462" xr:uid="{00000000-0005-0000-0000-0000C9280000}"/>
    <cellStyle name="Dane wejściowe 2 24 41" xfId="10463" xr:uid="{00000000-0005-0000-0000-0000CA280000}"/>
    <cellStyle name="Dane wejściowe 2 24 41 2" xfId="10464" xr:uid="{00000000-0005-0000-0000-0000CB280000}"/>
    <cellStyle name="Dane wejściowe 2 24 41 3" xfId="10465" xr:uid="{00000000-0005-0000-0000-0000CC280000}"/>
    <cellStyle name="Dane wejściowe 2 24 42" xfId="10466" xr:uid="{00000000-0005-0000-0000-0000CD280000}"/>
    <cellStyle name="Dane wejściowe 2 24 42 2" xfId="10467" xr:uid="{00000000-0005-0000-0000-0000CE280000}"/>
    <cellStyle name="Dane wejściowe 2 24 42 3" xfId="10468" xr:uid="{00000000-0005-0000-0000-0000CF280000}"/>
    <cellStyle name="Dane wejściowe 2 24 43" xfId="10469" xr:uid="{00000000-0005-0000-0000-0000D0280000}"/>
    <cellStyle name="Dane wejściowe 2 24 43 2" xfId="10470" xr:uid="{00000000-0005-0000-0000-0000D1280000}"/>
    <cellStyle name="Dane wejściowe 2 24 43 3" xfId="10471" xr:uid="{00000000-0005-0000-0000-0000D2280000}"/>
    <cellStyle name="Dane wejściowe 2 24 44" xfId="10472" xr:uid="{00000000-0005-0000-0000-0000D3280000}"/>
    <cellStyle name="Dane wejściowe 2 24 44 2" xfId="10473" xr:uid="{00000000-0005-0000-0000-0000D4280000}"/>
    <cellStyle name="Dane wejściowe 2 24 44 3" xfId="10474" xr:uid="{00000000-0005-0000-0000-0000D5280000}"/>
    <cellStyle name="Dane wejściowe 2 24 45" xfId="10475" xr:uid="{00000000-0005-0000-0000-0000D6280000}"/>
    <cellStyle name="Dane wejściowe 2 24 45 2" xfId="10476" xr:uid="{00000000-0005-0000-0000-0000D7280000}"/>
    <cellStyle name="Dane wejściowe 2 24 45 3" xfId="10477" xr:uid="{00000000-0005-0000-0000-0000D8280000}"/>
    <cellStyle name="Dane wejściowe 2 24 46" xfId="10478" xr:uid="{00000000-0005-0000-0000-0000D9280000}"/>
    <cellStyle name="Dane wejściowe 2 24 46 2" xfId="10479" xr:uid="{00000000-0005-0000-0000-0000DA280000}"/>
    <cellStyle name="Dane wejściowe 2 24 46 3" xfId="10480" xr:uid="{00000000-0005-0000-0000-0000DB280000}"/>
    <cellStyle name="Dane wejściowe 2 24 47" xfId="10481" xr:uid="{00000000-0005-0000-0000-0000DC280000}"/>
    <cellStyle name="Dane wejściowe 2 24 47 2" xfId="10482" xr:uid="{00000000-0005-0000-0000-0000DD280000}"/>
    <cellStyle name="Dane wejściowe 2 24 47 3" xfId="10483" xr:uid="{00000000-0005-0000-0000-0000DE280000}"/>
    <cellStyle name="Dane wejściowe 2 24 48" xfId="10484" xr:uid="{00000000-0005-0000-0000-0000DF280000}"/>
    <cellStyle name="Dane wejściowe 2 24 48 2" xfId="10485" xr:uid="{00000000-0005-0000-0000-0000E0280000}"/>
    <cellStyle name="Dane wejściowe 2 24 48 3" xfId="10486" xr:uid="{00000000-0005-0000-0000-0000E1280000}"/>
    <cellStyle name="Dane wejściowe 2 24 49" xfId="10487" xr:uid="{00000000-0005-0000-0000-0000E2280000}"/>
    <cellStyle name="Dane wejściowe 2 24 49 2" xfId="10488" xr:uid="{00000000-0005-0000-0000-0000E3280000}"/>
    <cellStyle name="Dane wejściowe 2 24 49 3" xfId="10489" xr:uid="{00000000-0005-0000-0000-0000E4280000}"/>
    <cellStyle name="Dane wejściowe 2 24 5" xfId="10490" xr:uid="{00000000-0005-0000-0000-0000E5280000}"/>
    <cellStyle name="Dane wejściowe 2 24 5 2" xfId="10491" xr:uid="{00000000-0005-0000-0000-0000E6280000}"/>
    <cellStyle name="Dane wejściowe 2 24 5 3" xfId="10492" xr:uid="{00000000-0005-0000-0000-0000E7280000}"/>
    <cellStyle name="Dane wejściowe 2 24 5 4" xfId="10493" xr:uid="{00000000-0005-0000-0000-0000E8280000}"/>
    <cellStyle name="Dane wejściowe 2 24 50" xfId="10494" xr:uid="{00000000-0005-0000-0000-0000E9280000}"/>
    <cellStyle name="Dane wejściowe 2 24 50 2" xfId="10495" xr:uid="{00000000-0005-0000-0000-0000EA280000}"/>
    <cellStyle name="Dane wejściowe 2 24 50 3" xfId="10496" xr:uid="{00000000-0005-0000-0000-0000EB280000}"/>
    <cellStyle name="Dane wejściowe 2 24 51" xfId="10497" xr:uid="{00000000-0005-0000-0000-0000EC280000}"/>
    <cellStyle name="Dane wejściowe 2 24 51 2" xfId="10498" xr:uid="{00000000-0005-0000-0000-0000ED280000}"/>
    <cellStyle name="Dane wejściowe 2 24 51 3" xfId="10499" xr:uid="{00000000-0005-0000-0000-0000EE280000}"/>
    <cellStyle name="Dane wejściowe 2 24 52" xfId="10500" xr:uid="{00000000-0005-0000-0000-0000EF280000}"/>
    <cellStyle name="Dane wejściowe 2 24 52 2" xfId="10501" xr:uid="{00000000-0005-0000-0000-0000F0280000}"/>
    <cellStyle name="Dane wejściowe 2 24 52 3" xfId="10502" xr:uid="{00000000-0005-0000-0000-0000F1280000}"/>
    <cellStyle name="Dane wejściowe 2 24 53" xfId="10503" xr:uid="{00000000-0005-0000-0000-0000F2280000}"/>
    <cellStyle name="Dane wejściowe 2 24 53 2" xfId="10504" xr:uid="{00000000-0005-0000-0000-0000F3280000}"/>
    <cellStyle name="Dane wejściowe 2 24 53 3" xfId="10505" xr:uid="{00000000-0005-0000-0000-0000F4280000}"/>
    <cellStyle name="Dane wejściowe 2 24 54" xfId="10506" xr:uid="{00000000-0005-0000-0000-0000F5280000}"/>
    <cellStyle name="Dane wejściowe 2 24 54 2" xfId="10507" xr:uid="{00000000-0005-0000-0000-0000F6280000}"/>
    <cellStyle name="Dane wejściowe 2 24 54 3" xfId="10508" xr:uid="{00000000-0005-0000-0000-0000F7280000}"/>
    <cellStyle name="Dane wejściowe 2 24 55" xfId="10509" xr:uid="{00000000-0005-0000-0000-0000F8280000}"/>
    <cellStyle name="Dane wejściowe 2 24 55 2" xfId="10510" xr:uid="{00000000-0005-0000-0000-0000F9280000}"/>
    <cellStyle name="Dane wejściowe 2 24 55 3" xfId="10511" xr:uid="{00000000-0005-0000-0000-0000FA280000}"/>
    <cellStyle name="Dane wejściowe 2 24 56" xfId="10512" xr:uid="{00000000-0005-0000-0000-0000FB280000}"/>
    <cellStyle name="Dane wejściowe 2 24 56 2" xfId="10513" xr:uid="{00000000-0005-0000-0000-0000FC280000}"/>
    <cellStyle name="Dane wejściowe 2 24 56 3" xfId="10514" xr:uid="{00000000-0005-0000-0000-0000FD280000}"/>
    <cellStyle name="Dane wejściowe 2 24 57" xfId="10515" xr:uid="{00000000-0005-0000-0000-0000FE280000}"/>
    <cellStyle name="Dane wejściowe 2 24 58" xfId="10516" xr:uid="{00000000-0005-0000-0000-0000FF280000}"/>
    <cellStyle name="Dane wejściowe 2 24 6" xfId="10517" xr:uid="{00000000-0005-0000-0000-000000290000}"/>
    <cellStyle name="Dane wejściowe 2 24 6 2" xfId="10518" xr:uid="{00000000-0005-0000-0000-000001290000}"/>
    <cellStyle name="Dane wejściowe 2 24 6 3" xfId="10519" xr:uid="{00000000-0005-0000-0000-000002290000}"/>
    <cellStyle name="Dane wejściowe 2 24 6 4" xfId="10520" xr:uid="{00000000-0005-0000-0000-000003290000}"/>
    <cellStyle name="Dane wejściowe 2 24 7" xfId="10521" xr:uid="{00000000-0005-0000-0000-000004290000}"/>
    <cellStyle name="Dane wejściowe 2 24 7 2" xfId="10522" xr:uid="{00000000-0005-0000-0000-000005290000}"/>
    <cellStyle name="Dane wejściowe 2 24 7 3" xfId="10523" xr:uid="{00000000-0005-0000-0000-000006290000}"/>
    <cellStyle name="Dane wejściowe 2 24 7 4" xfId="10524" xr:uid="{00000000-0005-0000-0000-000007290000}"/>
    <cellStyle name="Dane wejściowe 2 24 8" xfId="10525" xr:uid="{00000000-0005-0000-0000-000008290000}"/>
    <cellStyle name="Dane wejściowe 2 24 8 2" xfId="10526" xr:uid="{00000000-0005-0000-0000-000009290000}"/>
    <cellStyle name="Dane wejściowe 2 24 8 3" xfId="10527" xr:uid="{00000000-0005-0000-0000-00000A290000}"/>
    <cellStyle name="Dane wejściowe 2 24 8 4" xfId="10528" xr:uid="{00000000-0005-0000-0000-00000B290000}"/>
    <cellStyle name="Dane wejściowe 2 24 9" xfId="10529" xr:uid="{00000000-0005-0000-0000-00000C290000}"/>
    <cellStyle name="Dane wejściowe 2 24 9 2" xfId="10530" xr:uid="{00000000-0005-0000-0000-00000D290000}"/>
    <cellStyle name="Dane wejściowe 2 24 9 3" xfId="10531" xr:uid="{00000000-0005-0000-0000-00000E290000}"/>
    <cellStyle name="Dane wejściowe 2 24 9 4" xfId="10532" xr:uid="{00000000-0005-0000-0000-00000F290000}"/>
    <cellStyle name="Dane wejściowe 2 25" xfId="10533" xr:uid="{00000000-0005-0000-0000-000010290000}"/>
    <cellStyle name="Dane wejściowe 2 25 10" xfId="10534" xr:uid="{00000000-0005-0000-0000-000011290000}"/>
    <cellStyle name="Dane wejściowe 2 25 10 2" xfId="10535" xr:uid="{00000000-0005-0000-0000-000012290000}"/>
    <cellStyle name="Dane wejściowe 2 25 10 3" xfId="10536" xr:uid="{00000000-0005-0000-0000-000013290000}"/>
    <cellStyle name="Dane wejściowe 2 25 10 4" xfId="10537" xr:uid="{00000000-0005-0000-0000-000014290000}"/>
    <cellStyle name="Dane wejściowe 2 25 11" xfId="10538" xr:uid="{00000000-0005-0000-0000-000015290000}"/>
    <cellStyle name="Dane wejściowe 2 25 11 2" xfId="10539" xr:uid="{00000000-0005-0000-0000-000016290000}"/>
    <cellStyle name="Dane wejściowe 2 25 11 3" xfId="10540" xr:uid="{00000000-0005-0000-0000-000017290000}"/>
    <cellStyle name="Dane wejściowe 2 25 11 4" xfId="10541" xr:uid="{00000000-0005-0000-0000-000018290000}"/>
    <cellStyle name="Dane wejściowe 2 25 12" xfId="10542" xr:uid="{00000000-0005-0000-0000-000019290000}"/>
    <cellStyle name="Dane wejściowe 2 25 12 2" xfId="10543" xr:uid="{00000000-0005-0000-0000-00001A290000}"/>
    <cellStyle name="Dane wejściowe 2 25 12 3" xfId="10544" xr:uid="{00000000-0005-0000-0000-00001B290000}"/>
    <cellStyle name="Dane wejściowe 2 25 12 4" xfId="10545" xr:uid="{00000000-0005-0000-0000-00001C290000}"/>
    <cellStyle name="Dane wejściowe 2 25 13" xfId="10546" xr:uid="{00000000-0005-0000-0000-00001D290000}"/>
    <cellStyle name="Dane wejściowe 2 25 13 2" xfId="10547" xr:uid="{00000000-0005-0000-0000-00001E290000}"/>
    <cellStyle name="Dane wejściowe 2 25 13 3" xfId="10548" xr:uid="{00000000-0005-0000-0000-00001F290000}"/>
    <cellStyle name="Dane wejściowe 2 25 13 4" xfId="10549" xr:uid="{00000000-0005-0000-0000-000020290000}"/>
    <cellStyle name="Dane wejściowe 2 25 14" xfId="10550" xr:uid="{00000000-0005-0000-0000-000021290000}"/>
    <cellStyle name="Dane wejściowe 2 25 14 2" xfId="10551" xr:uid="{00000000-0005-0000-0000-000022290000}"/>
    <cellStyle name="Dane wejściowe 2 25 14 3" xfId="10552" xr:uid="{00000000-0005-0000-0000-000023290000}"/>
    <cellStyle name="Dane wejściowe 2 25 14 4" xfId="10553" xr:uid="{00000000-0005-0000-0000-000024290000}"/>
    <cellStyle name="Dane wejściowe 2 25 15" xfId="10554" xr:uid="{00000000-0005-0000-0000-000025290000}"/>
    <cellStyle name="Dane wejściowe 2 25 15 2" xfId="10555" xr:uid="{00000000-0005-0000-0000-000026290000}"/>
    <cellStyle name="Dane wejściowe 2 25 15 3" xfId="10556" xr:uid="{00000000-0005-0000-0000-000027290000}"/>
    <cellStyle name="Dane wejściowe 2 25 15 4" xfId="10557" xr:uid="{00000000-0005-0000-0000-000028290000}"/>
    <cellStyle name="Dane wejściowe 2 25 16" xfId="10558" xr:uid="{00000000-0005-0000-0000-000029290000}"/>
    <cellStyle name="Dane wejściowe 2 25 16 2" xfId="10559" xr:uid="{00000000-0005-0000-0000-00002A290000}"/>
    <cellStyle name="Dane wejściowe 2 25 16 3" xfId="10560" xr:uid="{00000000-0005-0000-0000-00002B290000}"/>
    <cellStyle name="Dane wejściowe 2 25 16 4" xfId="10561" xr:uid="{00000000-0005-0000-0000-00002C290000}"/>
    <cellStyle name="Dane wejściowe 2 25 17" xfId="10562" xr:uid="{00000000-0005-0000-0000-00002D290000}"/>
    <cellStyle name="Dane wejściowe 2 25 17 2" xfId="10563" xr:uid="{00000000-0005-0000-0000-00002E290000}"/>
    <cellStyle name="Dane wejściowe 2 25 17 3" xfId="10564" xr:uid="{00000000-0005-0000-0000-00002F290000}"/>
    <cellStyle name="Dane wejściowe 2 25 17 4" xfId="10565" xr:uid="{00000000-0005-0000-0000-000030290000}"/>
    <cellStyle name="Dane wejściowe 2 25 18" xfId="10566" xr:uid="{00000000-0005-0000-0000-000031290000}"/>
    <cellStyle name="Dane wejściowe 2 25 18 2" xfId="10567" xr:uid="{00000000-0005-0000-0000-000032290000}"/>
    <cellStyle name="Dane wejściowe 2 25 18 3" xfId="10568" xr:uid="{00000000-0005-0000-0000-000033290000}"/>
    <cellStyle name="Dane wejściowe 2 25 18 4" xfId="10569" xr:uid="{00000000-0005-0000-0000-000034290000}"/>
    <cellStyle name="Dane wejściowe 2 25 19" xfId="10570" xr:uid="{00000000-0005-0000-0000-000035290000}"/>
    <cellStyle name="Dane wejściowe 2 25 19 2" xfId="10571" xr:uid="{00000000-0005-0000-0000-000036290000}"/>
    <cellStyle name="Dane wejściowe 2 25 19 3" xfId="10572" xr:uid="{00000000-0005-0000-0000-000037290000}"/>
    <cellStyle name="Dane wejściowe 2 25 19 4" xfId="10573" xr:uid="{00000000-0005-0000-0000-000038290000}"/>
    <cellStyle name="Dane wejściowe 2 25 2" xfId="10574" xr:uid="{00000000-0005-0000-0000-000039290000}"/>
    <cellStyle name="Dane wejściowe 2 25 2 2" xfId="10575" xr:uid="{00000000-0005-0000-0000-00003A290000}"/>
    <cellStyle name="Dane wejściowe 2 25 2 3" xfId="10576" xr:uid="{00000000-0005-0000-0000-00003B290000}"/>
    <cellStyle name="Dane wejściowe 2 25 2 4" xfId="10577" xr:uid="{00000000-0005-0000-0000-00003C290000}"/>
    <cellStyle name="Dane wejściowe 2 25 20" xfId="10578" xr:uid="{00000000-0005-0000-0000-00003D290000}"/>
    <cellStyle name="Dane wejściowe 2 25 20 2" xfId="10579" xr:uid="{00000000-0005-0000-0000-00003E290000}"/>
    <cellStyle name="Dane wejściowe 2 25 20 3" xfId="10580" xr:uid="{00000000-0005-0000-0000-00003F290000}"/>
    <cellStyle name="Dane wejściowe 2 25 20 4" xfId="10581" xr:uid="{00000000-0005-0000-0000-000040290000}"/>
    <cellStyle name="Dane wejściowe 2 25 21" xfId="10582" xr:uid="{00000000-0005-0000-0000-000041290000}"/>
    <cellStyle name="Dane wejściowe 2 25 21 2" xfId="10583" xr:uid="{00000000-0005-0000-0000-000042290000}"/>
    <cellStyle name="Dane wejściowe 2 25 21 3" xfId="10584" xr:uid="{00000000-0005-0000-0000-000043290000}"/>
    <cellStyle name="Dane wejściowe 2 25 22" xfId="10585" xr:uid="{00000000-0005-0000-0000-000044290000}"/>
    <cellStyle name="Dane wejściowe 2 25 22 2" xfId="10586" xr:uid="{00000000-0005-0000-0000-000045290000}"/>
    <cellStyle name="Dane wejściowe 2 25 22 3" xfId="10587" xr:uid="{00000000-0005-0000-0000-000046290000}"/>
    <cellStyle name="Dane wejściowe 2 25 23" xfId="10588" xr:uid="{00000000-0005-0000-0000-000047290000}"/>
    <cellStyle name="Dane wejściowe 2 25 23 2" xfId="10589" xr:uid="{00000000-0005-0000-0000-000048290000}"/>
    <cellStyle name="Dane wejściowe 2 25 23 3" xfId="10590" xr:uid="{00000000-0005-0000-0000-000049290000}"/>
    <cellStyle name="Dane wejściowe 2 25 24" xfId="10591" xr:uid="{00000000-0005-0000-0000-00004A290000}"/>
    <cellStyle name="Dane wejściowe 2 25 24 2" xfId="10592" xr:uid="{00000000-0005-0000-0000-00004B290000}"/>
    <cellStyle name="Dane wejściowe 2 25 24 3" xfId="10593" xr:uid="{00000000-0005-0000-0000-00004C290000}"/>
    <cellStyle name="Dane wejściowe 2 25 25" xfId="10594" xr:uid="{00000000-0005-0000-0000-00004D290000}"/>
    <cellStyle name="Dane wejściowe 2 25 25 2" xfId="10595" xr:uid="{00000000-0005-0000-0000-00004E290000}"/>
    <cellStyle name="Dane wejściowe 2 25 25 3" xfId="10596" xr:uid="{00000000-0005-0000-0000-00004F290000}"/>
    <cellStyle name="Dane wejściowe 2 25 26" xfId="10597" xr:uid="{00000000-0005-0000-0000-000050290000}"/>
    <cellStyle name="Dane wejściowe 2 25 26 2" xfId="10598" xr:uid="{00000000-0005-0000-0000-000051290000}"/>
    <cellStyle name="Dane wejściowe 2 25 26 3" xfId="10599" xr:uid="{00000000-0005-0000-0000-000052290000}"/>
    <cellStyle name="Dane wejściowe 2 25 27" xfId="10600" xr:uid="{00000000-0005-0000-0000-000053290000}"/>
    <cellStyle name="Dane wejściowe 2 25 27 2" xfId="10601" xr:uid="{00000000-0005-0000-0000-000054290000}"/>
    <cellStyle name="Dane wejściowe 2 25 27 3" xfId="10602" xr:uid="{00000000-0005-0000-0000-000055290000}"/>
    <cellStyle name="Dane wejściowe 2 25 28" xfId="10603" xr:uid="{00000000-0005-0000-0000-000056290000}"/>
    <cellStyle name="Dane wejściowe 2 25 28 2" xfId="10604" xr:uid="{00000000-0005-0000-0000-000057290000}"/>
    <cellStyle name="Dane wejściowe 2 25 28 3" xfId="10605" xr:uid="{00000000-0005-0000-0000-000058290000}"/>
    <cellStyle name="Dane wejściowe 2 25 29" xfId="10606" xr:uid="{00000000-0005-0000-0000-000059290000}"/>
    <cellStyle name="Dane wejściowe 2 25 29 2" xfId="10607" xr:uid="{00000000-0005-0000-0000-00005A290000}"/>
    <cellStyle name="Dane wejściowe 2 25 29 3" xfId="10608" xr:uid="{00000000-0005-0000-0000-00005B290000}"/>
    <cellStyle name="Dane wejściowe 2 25 3" xfId="10609" xr:uid="{00000000-0005-0000-0000-00005C290000}"/>
    <cellStyle name="Dane wejściowe 2 25 3 2" xfId="10610" xr:uid="{00000000-0005-0000-0000-00005D290000}"/>
    <cellStyle name="Dane wejściowe 2 25 3 3" xfId="10611" xr:uid="{00000000-0005-0000-0000-00005E290000}"/>
    <cellStyle name="Dane wejściowe 2 25 3 4" xfId="10612" xr:uid="{00000000-0005-0000-0000-00005F290000}"/>
    <cellStyle name="Dane wejściowe 2 25 30" xfId="10613" xr:uid="{00000000-0005-0000-0000-000060290000}"/>
    <cellStyle name="Dane wejściowe 2 25 30 2" xfId="10614" xr:uid="{00000000-0005-0000-0000-000061290000}"/>
    <cellStyle name="Dane wejściowe 2 25 30 3" xfId="10615" xr:uid="{00000000-0005-0000-0000-000062290000}"/>
    <cellStyle name="Dane wejściowe 2 25 31" xfId="10616" xr:uid="{00000000-0005-0000-0000-000063290000}"/>
    <cellStyle name="Dane wejściowe 2 25 31 2" xfId="10617" xr:uid="{00000000-0005-0000-0000-000064290000}"/>
    <cellStyle name="Dane wejściowe 2 25 31 3" xfId="10618" xr:uid="{00000000-0005-0000-0000-000065290000}"/>
    <cellStyle name="Dane wejściowe 2 25 32" xfId="10619" xr:uid="{00000000-0005-0000-0000-000066290000}"/>
    <cellStyle name="Dane wejściowe 2 25 32 2" xfId="10620" xr:uid="{00000000-0005-0000-0000-000067290000}"/>
    <cellStyle name="Dane wejściowe 2 25 32 3" xfId="10621" xr:uid="{00000000-0005-0000-0000-000068290000}"/>
    <cellStyle name="Dane wejściowe 2 25 33" xfId="10622" xr:uid="{00000000-0005-0000-0000-000069290000}"/>
    <cellStyle name="Dane wejściowe 2 25 33 2" xfId="10623" xr:uid="{00000000-0005-0000-0000-00006A290000}"/>
    <cellStyle name="Dane wejściowe 2 25 33 3" xfId="10624" xr:uid="{00000000-0005-0000-0000-00006B290000}"/>
    <cellStyle name="Dane wejściowe 2 25 34" xfId="10625" xr:uid="{00000000-0005-0000-0000-00006C290000}"/>
    <cellStyle name="Dane wejściowe 2 25 34 2" xfId="10626" xr:uid="{00000000-0005-0000-0000-00006D290000}"/>
    <cellStyle name="Dane wejściowe 2 25 34 3" xfId="10627" xr:uid="{00000000-0005-0000-0000-00006E290000}"/>
    <cellStyle name="Dane wejściowe 2 25 35" xfId="10628" xr:uid="{00000000-0005-0000-0000-00006F290000}"/>
    <cellStyle name="Dane wejściowe 2 25 35 2" xfId="10629" xr:uid="{00000000-0005-0000-0000-000070290000}"/>
    <cellStyle name="Dane wejściowe 2 25 35 3" xfId="10630" xr:uid="{00000000-0005-0000-0000-000071290000}"/>
    <cellStyle name="Dane wejściowe 2 25 36" xfId="10631" xr:uid="{00000000-0005-0000-0000-000072290000}"/>
    <cellStyle name="Dane wejściowe 2 25 36 2" xfId="10632" xr:uid="{00000000-0005-0000-0000-000073290000}"/>
    <cellStyle name="Dane wejściowe 2 25 36 3" xfId="10633" xr:uid="{00000000-0005-0000-0000-000074290000}"/>
    <cellStyle name="Dane wejściowe 2 25 37" xfId="10634" xr:uid="{00000000-0005-0000-0000-000075290000}"/>
    <cellStyle name="Dane wejściowe 2 25 37 2" xfId="10635" xr:uid="{00000000-0005-0000-0000-000076290000}"/>
    <cellStyle name="Dane wejściowe 2 25 37 3" xfId="10636" xr:uid="{00000000-0005-0000-0000-000077290000}"/>
    <cellStyle name="Dane wejściowe 2 25 38" xfId="10637" xr:uid="{00000000-0005-0000-0000-000078290000}"/>
    <cellStyle name="Dane wejściowe 2 25 38 2" xfId="10638" xr:uid="{00000000-0005-0000-0000-000079290000}"/>
    <cellStyle name="Dane wejściowe 2 25 38 3" xfId="10639" xr:uid="{00000000-0005-0000-0000-00007A290000}"/>
    <cellStyle name="Dane wejściowe 2 25 39" xfId="10640" xr:uid="{00000000-0005-0000-0000-00007B290000}"/>
    <cellStyle name="Dane wejściowe 2 25 39 2" xfId="10641" xr:uid="{00000000-0005-0000-0000-00007C290000}"/>
    <cellStyle name="Dane wejściowe 2 25 39 3" xfId="10642" xr:uid="{00000000-0005-0000-0000-00007D290000}"/>
    <cellStyle name="Dane wejściowe 2 25 4" xfId="10643" xr:uid="{00000000-0005-0000-0000-00007E290000}"/>
    <cellStyle name="Dane wejściowe 2 25 4 2" xfId="10644" xr:uid="{00000000-0005-0000-0000-00007F290000}"/>
    <cellStyle name="Dane wejściowe 2 25 4 3" xfId="10645" xr:uid="{00000000-0005-0000-0000-000080290000}"/>
    <cellStyle name="Dane wejściowe 2 25 4 4" xfId="10646" xr:uid="{00000000-0005-0000-0000-000081290000}"/>
    <cellStyle name="Dane wejściowe 2 25 40" xfId="10647" xr:uid="{00000000-0005-0000-0000-000082290000}"/>
    <cellStyle name="Dane wejściowe 2 25 40 2" xfId="10648" xr:uid="{00000000-0005-0000-0000-000083290000}"/>
    <cellStyle name="Dane wejściowe 2 25 40 3" xfId="10649" xr:uid="{00000000-0005-0000-0000-000084290000}"/>
    <cellStyle name="Dane wejściowe 2 25 41" xfId="10650" xr:uid="{00000000-0005-0000-0000-000085290000}"/>
    <cellStyle name="Dane wejściowe 2 25 41 2" xfId="10651" xr:uid="{00000000-0005-0000-0000-000086290000}"/>
    <cellStyle name="Dane wejściowe 2 25 41 3" xfId="10652" xr:uid="{00000000-0005-0000-0000-000087290000}"/>
    <cellStyle name="Dane wejściowe 2 25 42" xfId="10653" xr:uid="{00000000-0005-0000-0000-000088290000}"/>
    <cellStyle name="Dane wejściowe 2 25 42 2" xfId="10654" xr:uid="{00000000-0005-0000-0000-000089290000}"/>
    <cellStyle name="Dane wejściowe 2 25 42 3" xfId="10655" xr:uid="{00000000-0005-0000-0000-00008A290000}"/>
    <cellStyle name="Dane wejściowe 2 25 43" xfId="10656" xr:uid="{00000000-0005-0000-0000-00008B290000}"/>
    <cellStyle name="Dane wejściowe 2 25 43 2" xfId="10657" xr:uid="{00000000-0005-0000-0000-00008C290000}"/>
    <cellStyle name="Dane wejściowe 2 25 43 3" xfId="10658" xr:uid="{00000000-0005-0000-0000-00008D290000}"/>
    <cellStyle name="Dane wejściowe 2 25 44" xfId="10659" xr:uid="{00000000-0005-0000-0000-00008E290000}"/>
    <cellStyle name="Dane wejściowe 2 25 44 2" xfId="10660" xr:uid="{00000000-0005-0000-0000-00008F290000}"/>
    <cellStyle name="Dane wejściowe 2 25 44 3" xfId="10661" xr:uid="{00000000-0005-0000-0000-000090290000}"/>
    <cellStyle name="Dane wejściowe 2 25 45" xfId="10662" xr:uid="{00000000-0005-0000-0000-000091290000}"/>
    <cellStyle name="Dane wejściowe 2 25 45 2" xfId="10663" xr:uid="{00000000-0005-0000-0000-000092290000}"/>
    <cellStyle name="Dane wejściowe 2 25 45 3" xfId="10664" xr:uid="{00000000-0005-0000-0000-000093290000}"/>
    <cellStyle name="Dane wejściowe 2 25 46" xfId="10665" xr:uid="{00000000-0005-0000-0000-000094290000}"/>
    <cellStyle name="Dane wejściowe 2 25 46 2" xfId="10666" xr:uid="{00000000-0005-0000-0000-000095290000}"/>
    <cellStyle name="Dane wejściowe 2 25 46 3" xfId="10667" xr:uid="{00000000-0005-0000-0000-000096290000}"/>
    <cellStyle name="Dane wejściowe 2 25 47" xfId="10668" xr:uid="{00000000-0005-0000-0000-000097290000}"/>
    <cellStyle name="Dane wejściowe 2 25 47 2" xfId="10669" xr:uid="{00000000-0005-0000-0000-000098290000}"/>
    <cellStyle name="Dane wejściowe 2 25 47 3" xfId="10670" xr:uid="{00000000-0005-0000-0000-000099290000}"/>
    <cellStyle name="Dane wejściowe 2 25 48" xfId="10671" xr:uid="{00000000-0005-0000-0000-00009A290000}"/>
    <cellStyle name="Dane wejściowe 2 25 48 2" xfId="10672" xr:uid="{00000000-0005-0000-0000-00009B290000}"/>
    <cellStyle name="Dane wejściowe 2 25 48 3" xfId="10673" xr:uid="{00000000-0005-0000-0000-00009C290000}"/>
    <cellStyle name="Dane wejściowe 2 25 49" xfId="10674" xr:uid="{00000000-0005-0000-0000-00009D290000}"/>
    <cellStyle name="Dane wejściowe 2 25 49 2" xfId="10675" xr:uid="{00000000-0005-0000-0000-00009E290000}"/>
    <cellStyle name="Dane wejściowe 2 25 49 3" xfId="10676" xr:uid="{00000000-0005-0000-0000-00009F290000}"/>
    <cellStyle name="Dane wejściowe 2 25 5" xfId="10677" xr:uid="{00000000-0005-0000-0000-0000A0290000}"/>
    <cellStyle name="Dane wejściowe 2 25 5 2" xfId="10678" xr:uid="{00000000-0005-0000-0000-0000A1290000}"/>
    <cellStyle name="Dane wejściowe 2 25 5 3" xfId="10679" xr:uid="{00000000-0005-0000-0000-0000A2290000}"/>
    <cellStyle name="Dane wejściowe 2 25 5 4" xfId="10680" xr:uid="{00000000-0005-0000-0000-0000A3290000}"/>
    <cellStyle name="Dane wejściowe 2 25 50" xfId="10681" xr:uid="{00000000-0005-0000-0000-0000A4290000}"/>
    <cellStyle name="Dane wejściowe 2 25 50 2" xfId="10682" xr:uid="{00000000-0005-0000-0000-0000A5290000}"/>
    <cellStyle name="Dane wejściowe 2 25 50 3" xfId="10683" xr:uid="{00000000-0005-0000-0000-0000A6290000}"/>
    <cellStyle name="Dane wejściowe 2 25 51" xfId="10684" xr:uid="{00000000-0005-0000-0000-0000A7290000}"/>
    <cellStyle name="Dane wejściowe 2 25 51 2" xfId="10685" xr:uid="{00000000-0005-0000-0000-0000A8290000}"/>
    <cellStyle name="Dane wejściowe 2 25 51 3" xfId="10686" xr:uid="{00000000-0005-0000-0000-0000A9290000}"/>
    <cellStyle name="Dane wejściowe 2 25 52" xfId="10687" xr:uid="{00000000-0005-0000-0000-0000AA290000}"/>
    <cellStyle name="Dane wejściowe 2 25 52 2" xfId="10688" xr:uid="{00000000-0005-0000-0000-0000AB290000}"/>
    <cellStyle name="Dane wejściowe 2 25 52 3" xfId="10689" xr:uid="{00000000-0005-0000-0000-0000AC290000}"/>
    <cellStyle name="Dane wejściowe 2 25 53" xfId="10690" xr:uid="{00000000-0005-0000-0000-0000AD290000}"/>
    <cellStyle name="Dane wejściowe 2 25 53 2" xfId="10691" xr:uid="{00000000-0005-0000-0000-0000AE290000}"/>
    <cellStyle name="Dane wejściowe 2 25 53 3" xfId="10692" xr:uid="{00000000-0005-0000-0000-0000AF290000}"/>
    <cellStyle name="Dane wejściowe 2 25 54" xfId="10693" xr:uid="{00000000-0005-0000-0000-0000B0290000}"/>
    <cellStyle name="Dane wejściowe 2 25 54 2" xfId="10694" xr:uid="{00000000-0005-0000-0000-0000B1290000}"/>
    <cellStyle name="Dane wejściowe 2 25 54 3" xfId="10695" xr:uid="{00000000-0005-0000-0000-0000B2290000}"/>
    <cellStyle name="Dane wejściowe 2 25 55" xfId="10696" xr:uid="{00000000-0005-0000-0000-0000B3290000}"/>
    <cellStyle name="Dane wejściowe 2 25 55 2" xfId="10697" xr:uid="{00000000-0005-0000-0000-0000B4290000}"/>
    <cellStyle name="Dane wejściowe 2 25 55 3" xfId="10698" xr:uid="{00000000-0005-0000-0000-0000B5290000}"/>
    <cellStyle name="Dane wejściowe 2 25 56" xfId="10699" xr:uid="{00000000-0005-0000-0000-0000B6290000}"/>
    <cellStyle name="Dane wejściowe 2 25 56 2" xfId="10700" xr:uid="{00000000-0005-0000-0000-0000B7290000}"/>
    <cellStyle name="Dane wejściowe 2 25 56 3" xfId="10701" xr:uid="{00000000-0005-0000-0000-0000B8290000}"/>
    <cellStyle name="Dane wejściowe 2 25 57" xfId="10702" xr:uid="{00000000-0005-0000-0000-0000B9290000}"/>
    <cellStyle name="Dane wejściowe 2 25 58" xfId="10703" xr:uid="{00000000-0005-0000-0000-0000BA290000}"/>
    <cellStyle name="Dane wejściowe 2 25 6" xfId="10704" xr:uid="{00000000-0005-0000-0000-0000BB290000}"/>
    <cellStyle name="Dane wejściowe 2 25 6 2" xfId="10705" xr:uid="{00000000-0005-0000-0000-0000BC290000}"/>
    <cellStyle name="Dane wejściowe 2 25 6 3" xfId="10706" xr:uid="{00000000-0005-0000-0000-0000BD290000}"/>
    <cellStyle name="Dane wejściowe 2 25 6 4" xfId="10707" xr:uid="{00000000-0005-0000-0000-0000BE290000}"/>
    <cellStyle name="Dane wejściowe 2 25 7" xfId="10708" xr:uid="{00000000-0005-0000-0000-0000BF290000}"/>
    <cellStyle name="Dane wejściowe 2 25 7 2" xfId="10709" xr:uid="{00000000-0005-0000-0000-0000C0290000}"/>
    <cellStyle name="Dane wejściowe 2 25 7 3" xfId="10710" xr:uid="{00000000-0005-0000-0000-0000C1290000}"/>
    <cellStyle name="Dane wejściowe 2 25 7 4" xfId="10711" xr:uid="{00000000-0005-0000-0000-0000C2290000}"/>
    <cellStyle name="Dane wejściowe 2 25 8" xfId="10712" xr:uid="{00000000-0005-0000-0000-0000C3290000}"/>
    <cellStyle name="Dane wejściowe 2 25 8 2" xfId="10713" xr:uid="{00000000-0005-0000-0000-0000C4290000}"/>
    <cellStyle name="Dane wejściowe 2 25 8 3" xfId="10714" xr:uid="{00000000-0005-0000-0000-0000C5290000}"/>
    <cellStyle name="Dane wejściowe 2 25 8 4" xfId="10715" xr:uid="{00000000-0005-0000-0000-0000C6290000}"/>
    <cellStyle name="Dane wejściowe 2 25 9" xfId="10716" xr:uid="{00000000-0005-0000-0000-0000C7290000}"/>
    <cellStyle name="Dane wejściowe 2 25 9 2" xfId="10717" xr:uid="{00000000-0005-0000-0000-0000C8290000}"/>
    <cellStyle name="Dane wejściowe 2 25 9 3" xfId="10718" xr:uid="{00000000-0005-0000-0000-0000C9290000}"/>
    <cellStyle name="Dane wejściowe 2 25 9 4" xfId="10719" xr:uid="{00000000-0005-0000-0000-0000CA290000}"/>
    <cellStyle name="Dane wejściowe 2 26" xfId="10720" xr:uid="{00000000-0005-0000-0000-0000CB290000}"/>
    <cellStyle name="Dane wejściowe 2 26 10" xfId="10721" xr:uid="{00000000-0005-0000-0000-0000CC290000}"/>
    <cellStyle name="Dane wejściowe 2 26 10 2" xfId="10722" xr:uid="{00000000-0005-0000-0000-0000CD290000}"/>
    <cellStyle name="Dane wejściowe 2 26 10 3" xfId="10723" xr:uid="{00000000-0005-0000-0000-0000CE290000}"/>
    <cellStyle name="Dane wejściowe 2 26 10 4" xfId="10724" xr:uid="{00000000-0005-0000-0000-0000CF290000}"/>
    <cellStyle name="Dane wejściowe 2 26 11" xfId="10725" xr:uid="{00000000-0005-0000-0000-0000D0290000}"/>
    <cellStyle name="Dane wejściowe 2 26 11 2" xfId="10726" xr:uid="{00000000-0005-0000-0000-0000D1290000}"/>
    <cellStyle name="Dane wejściowe 2 26 11 3" xfId="10727" xr:uid="{00000000-0005-0000-0000-0000D2290000}"/>
    <cellStyle name="Dane wejściowe 2 26 11 4" xfId="10728" xr:uid="{00000000-0005-0000-0000-0000D3290000}"/>
    <cellStyle name="Dane wejściowe 2 26 12" xfId="10729" xr:uid="{00000000-0005-0000-0000-0000D4290000}"/>
    <cellStyle name="Dane wejściowe 2 26 12 2" xfId="10730" xr:uid="{00000000-0005-0000-0000-0000D5290000}"/>
    <cellStyle name="Dane wejściowe 2 26 12 3" xfId="10731" xr:uid="{00000000-0005-0000-0000-0000D6290000}"/>
    <cellStyle name="Dane wejściowe 2 26 12 4" xfId="10732" xr:uid="{00000000-0005-0000-0000-0000D7290000}"/>
    <cellStyle name="Dane wejściowe 2 26 13" xfId="10733" xr:uid="{00000000-0005-0000-0000-0000D8290000}"/>
    <cellStyle name="Dane wejściowe 2 26 13 2" xfId="10734" xr:uid="{00000000-0005-0000-0000-0000D9290000}"/>
    <cellStyle name="Dane wejściowe 2 26 13 3" xfId="10735" xr:uid="{00000000-0005-0000-0000-0000DA290000}"/>
    <cellStyle name="Dane wejściowe 2 26 13 4" xfId="10736" xr:uid="{00000000-0005-0000-0000-0000DB290000}"/>
    <cellStyle name="Dane wejściowe 2 26 14" xfId="10737" xr:uid="{00000000-0005-0000-0000-0000DC290000}"/>
    <cellStyle name="Dane wejściowe 2 26 14 2" xfId="10738" xr:uid="{00000000-0005-0000-0000-0000DD290000}"/>
    <cellStyle name="Dane wejściowe 2 26 14 3" xfId="10739" xr:uid="{00000000-0005-0000-0000-0000DE290000}"/>
    <cellStyle name="Dane wejściowe 2 26 14 4" xfId="10740" xr:uid="{00000000-0005-0000-0000-0000DF290000}"/>
    <cellStyle name="Dane wejściowe 2 26 15" xfId="10741" xr:uid="{00000000-0005-0000-0000-0000E0290000}"/>
    <cellStyle name="Dane wejściowe 2 26 15 2" xfId="10742" xr:uid="{00000000-0005-0000-0000-0000E1290000}"/>
    <cellStyle name="Dane wejściowe 2 26 15 3" xfId="10743" xr:uid="{00000000-0005-0000-0000-0000E2290000}"/>
    <cellStyle name="Dane wejściowe 2 26 15 4" xfId="10744" xr:uid="{00000000-0005-0000-0000-0000E3290000}"/>
    <cellStyle name="Dane wejściowe 2 26 16" xfId="10745" xr:uid="{00000000-0005-0000-0000-0000E4290000}"/>
    <cellStyle name="Dane wejściowe 2 26 16 2" xfId="10746" xr:uid="{00000000-0005-0000-0000-0000E5290000}"/>
    <cellStyle name="Dane wejściowe 2 26 16 3" xfId="10747" xr:uid="{00000000-0005-0000-0000-0000E6290000}"/>
    <cellStyle name="Dane wejściowe 2 26 16 4" xfId="10748" xr:uid="{00000000-0005-0000-0000-0000E7290000}"/>
    <cellStyle name="Dane wejściowe 2 26 17" xfId="10749" xr:uid="{00000000-0005-0000-0000-0000E8290000}"/>
    <cellStyle name="Dane wejściowe 2 26 17 2" xfId="10750" xr:uid="{00000000-0005-0000-0000-0000E9290000}"/>
    <cellStyle name="Dane wejściowe 2 26 17 3" xfId="10751" xr:uid="{00000000-0005-0000-0000-0000EA290000}"/>
    <cellStyle name="Dane wejściowe 2 26 17 4" xfId="10752" xr:uid="{00000000-0005-0000-0000-0000EB290000}"/>
    <cellStyle name="Dane wejściowe 2 26 18" xfId="10753" xr:uid="{00000000-0005-0000-0000-0000EC290000}"/>
    <cellStyle name="Dane wejściowe 2 26 18 2" xfId="10754" xr:uid="{00000000-0005-0000-0000-0000ED290000}"/>
    <cellStyle name="Dane wejściowe 2 26 18 3" xfId="10755" xr:uid="{00000000-0005-0000-0000-0000EE290000}"/>
    <cellStyle name="Dane wejściowe 2 26 18 4" xfId="10756" xr:uid="{00000000-0005-0000-0000-0000EF290000}"/>
    <cellStyle name="Dane wejściowe 2 26 19" xfId="10757" xr:uid="{00000000-0005-0000-0000-0000F0290000}"/>
    <cellStyle name="Dane wejściowe 2 26 19 2" xfId="10758" xr:uid="{00000000-0005-0000-0000-0000F1290000}"/>
    <cellStyle name="Dane wejściowe 2 26 19 3" xfId="10759" xr:uid="{00000000-0005-0000-0000-0000F2290000}"/>
    <cellStyle name="Dane wejściowe 2 26 19 4" xfId="10760" xr:uid="{00000000-0005-0000-0000-0000F3290000}"/>
    <cellStyle name="Dane wejściowe 2 26 2" xfId="10761" xr:uid="{00000000-0005-0000-0000-0000F4290000}"/>
    <cellStyle name="Dane wejściowe 2 26 2 2" xfId="10762" xr:uid="{00000000-0005-0000-0000-0000F5290000}"/>
    <cellStyle name="Dane wejściowe 2 26 2 3" xfId="10763" xr:uid="{00000000-0005-0000-0000-0000F6290000}"/>
    <cellStyle name="Dane wejściowe 2 26 2 4" xfId="10764" xr:uid="{00000000-0005-0000-0000-0000F7290000}"/>
    <cellStyle name="Dane wejściowe 2 26 20" xfId="10765" xr:uid="{00000000-0005-0000-0000-0000F8290000}"/>
    <cellStyle name="Dane wejściowe 2 26 20 2" xfId="10766" xr:uid="{00000000-0005-0000-0000-0000F9290000}"/>
    <cellStyle name="Dane wejściowe 2 26 20 3" xfId="10767" xr:uid="{00000000-0005-0000-0000-0000FA290000}"/>
    <cellStyle name="Dane wejściowe 2 26 20 4" xfId="10768" xr:uid="{00000000-0005-0000-0000-0000FB290000}"/>
    <cellStyle name="Dane wejściowe 2 26 21" xfId="10769" xr:uid="{00000000-0005-0000-0000-0000FC290000}"/>
    <cellStyle name="Dane wejściowe 2 26 21 2" xfId="10770" xr:uid="{00000000-0005-0000-0000-0000FD290000}"/>
    <cellStyle name="Dane wejściowe 2 26 21 3" xfId="10771" xr:uid="{00000000-0005-0000-0000-0000FE290000}"/>
    <cellStyle name="Dane wejściowe 2 26 22" xfId="10772" xr:uid="{00000000-0005-0000-0000-0000FF290000}"/>
    <cellStyle name="Dane wejściowe 2 26 22 2" xfId="10773" xr:uid="{00000000-0005-0000-0000-0000002A0000}"/>
    <cellStyle name="Dane wejściowe 2 26 22 3" xfId="10774" xr:uid="{00000000-0005-0000-0000-0000012A0000}"/>
    <cellStyle name="Dane wejściowe 2 26 23" xfId="10775" xr:uid="{00000000-0005-0000-0000-0000022A0000}"/>
    <cellStyle name="Dane wejściowe 2 26 23 2" xfId="10776" xr:uid="{00000000-0005-0000-0000-0000032A0000}"/>
    <cellStyle name="Dane wejściowe 2 26 23 3" xfId="10777" xr:uid="{00000000-0005-0000-0000-0000042A0000}"/>
    <cellStyle name="Dane wejściowe 2 26 24" xfId="10778" xr:uid="{00000000-0005-0000-0000-0000052A0000}"/>
    <cellStyle name="Dane wejściowe 2 26 24 2" xfId="10779" xr:uid="{00000000-0005-0000-0000-0000062A0000}"/>
    <cellStyle name="Dane wejściowe 2 26 24 3" xfId="10780" xr:uid="{00000000-0005-0000-0000-0000072A0000}"/>
    <cellStyle name="Dane wejściowe 2 26 25" xfId="10781" xr:uid="{00000000-0005-0000-0000-0000082A0000}"/>
    <cellStyle name="Dane wejściowe 2 26 25 2" xfId="10782" xr:uid="{00000000-0005-0000-0000-0000092A0000}"/>
    <cellStyle name="Dane wejściowe 2 26 25 3" xfId="10783" xr:uid="{00000000-0005-0000-0000-00000A2A0000}"/>
    <cellStyle name="Dane wejściowe 2 26 26" xfId="10784" xr:uid="{00000000-0005-0000-0000-00000B2A0000}"/>
    <cellStyle name="Dane wejściowe 2 26 26 2" xfId="10785" xr:uid="{00000000-0005-0000-0000-00000C2A0000}"/>
    <cellStyle name="Dane wejściowe 2 26 26 3" xfId="10786" xr:uid="{00000000-0005-0000-0000-00000D2A0000}"/>
    <cellStyle name="Dane wejściowe 2 26 27" xfId="10787" xr:uid="{00000000-0005-0000-0000-00000E2A0000}"/>
    <cellStyle name="Dane wejściowe 2 26 27 2" xfId="10788" xr:uid="{00000000-0005-0000-0000-00000F2A0000}"/>
    <cellStyle name="Dane wejściowe 2 26 27 3" xfId="10789" xr:uid="{00000000-0005-0000-0000-0000102A0000}"/>
    <cellStyle name="Dane wejściowe 2 26 28" xfId="10790" xr:uid="{00000000-0005-0000-0000-0000112A0000}"/>
    <cellStyle name="Dane wejściowe 2 26 28 2" xfId="10791" xr:uid="{00000000-0005-0000-0000-0000122A0000}"/>
    <cellStyle name="Dane wejściowe 2 26 28 3" xfId="10792" xr:uid="{00000000-0005-0000-0000-0000132A0000}"/>
    <cellStyle name="Dane wejściowe 2 26 29" xfId="10793" xr:uid="{00000000-0005-0000-0000-0000142A0000}"/>
    <cellStyle name="Dane wejściowe 2 26 29 2" xfId="10794" xr:uid="{00000000-0005-0000-0000-0000152A0000}"/>
    <cellStyle name="Dane wejściowe 2 26 29 3" xfId="10795" xr:uid="{00000000-0005-0000-0000-0000162A0000}"/>
    <cellStyle name="Dane wejściowe 2 26 3" xfId="10796" xr:uid="{00000000-0005-0000-0000-0000172A0000}"/>
    <cellStyle name="Dane wejściowe 2 26 3 2" xfId="10797" xr:uid="{00000000-0005-0000-0000-0000182A0000}"/>
    <cellStyle name="Dane wejściowe 2 26 3 3" xfId="10798" xr:uid="{00000000-0005-0000-0000-0000192A0000}"/>
    <cellStyle name="Dane wejściowe 2 26 3 4" xfId="10799" xr:uid="{00000000-0005-0000-0000-00001A2A0000}"/>
    <cellStyle name="Dane wejściowe 2 26 30" xfId="10800" xr:uid="{00000000-0005-0000-0000-00001B2A0000}"/>
    <cellStyle name="Dane wejściowe 2 26 30 2" xfId="10801" xr:uid="{00000000-0005-0000-0000-00001C2A0000}"/>
    <cellStyle name="Dane wejściowe 2 26 30 3" xfId="10802" xr:uid="{00000000-0005-0000-0000-00001D2A0000}"/>
    <cellStyle name="Dane wejściowe 2 26 31" xfId="10803" xr:uid="{00000000-0005-0000-0000-00001E2A0000}"/>
    <cellStyle name="Dane wejściowe 2 26 31 2" xfId="10804" xr:uid="{00000000-0005-0000-0000-00001F2A0000}"/>
    <cellStyle name="Dane wejściowe 2 26 31 3" xfId="10805" xr:uid="{00000000-0005-0000-0000-0000202A0000}"/>
    <cellStyle name="Dane wejściowe 2 26 32" xfId="10806" xr:uid="{00000000-0005-0000-0000-0000212A0000}"/>
    <cellStyle name="Dane wejściowe 2 26 32 2" xfId="10807" xr:uid="{00000000-0005-0000-0000-0000222A0000}"/>
    <cellStyle name="Dane wejściowe 2 26 32 3" xfId="10808" xr:uid="{00000000-0005-0000-0000-0000232A0000}"/>
    <cellStyle name="Dane wejściowe 2 26 33" xfId="10809" xr:uid="{00000000-0005-0000-0000-0000242A0000}"/>
    <cellStyle name="Dane wejściowe 2 26 33 2" xfId="10810" xr:uid="{00000000-0005-0000-0000-0000252A0000}"/>
    <cellStyle name="Dane wejściowe 2 26 33 3" xfId="10811" xr:uid="{00000000-0005-0000-0000-0000262A0000}"/>
    <cellStyle name="Dane wejściowe 2 26 34" xfId="10812" xr:uid="{00000000-0005-0000-0000-0000272A0000}"/>
    <cellStyle name="Dane wejściowe 2 26 34 2" xfId="10813" xr:uid="{00000000-0005-0000-0000-0000282A0000}"/>
    <cellStyle name="Dane wejściowe 2 26 34 3" xfId="10814" xr:uid="{00000000-0005-0000-0000-0000292A0000}"/>
    <cellStyle name="Dane wejściowe 2 26 35" xfId="10815" xr:uid="{00000000-0005-0000-0000-00002A2A0000}"/>
    <cellStyle name="Dane wejściowe 2 26 35 2" xfId="10816" xr:uid="{00000000-0005-0000-0000-00002B2A0000}"/>
    <cellStyle name="Dane wejściowe 2 26 35 3" xfId="10817" xr:uid="{00000000-0005-0000-0000-00002C2A0000}"/>
    <cellStyle name="Dane wejściowe 2 26 36" xfId="10818" xr:uid="{00000000-0005-0000-0000-00002D2A0000}"/>
    <cellStyle name="Dane wejściowe 2 26 36 2" xfId="10819" xr:uid="{00000000-0005-0000-0000-00002E2A0000}"/>
    <cellStyle name="Dane wejściowe 2 26 36 3" xfId="10820" xr:uid="{00000000-0005-0000-0000-00002F2A0000}"/>
    <cellStyle name="Dane wejściowe 2 26 37" xfId="10821" xr:uid="{00000000-0005-0000-0000-0000302A0000}"/>
    <cellStyle name="Dane wejściowe 2 26 37 2" xfId="10822" xr:uid="{00000000-0005-0000-0000-0000312A0000}"/>
    <cellStyle name="Dane wejściowe 2 26 37 3" xfId="10823" xr:uid="{00000000-0005-0000-0000-0000322A0000}"/>
    <cellStyle name="Dane wejściowe 2 26 38" xfId="10824" xr:uid="{00000000-0005-0000-0000-0000332A0000}"/>
    <cellStyle name="Dane wejściowe 2 26 38 2" xfId="10825" xr:uid="{00000000-0005-0000-0000-0000342A0000}"/>
    <cellStyle name="Dane wejściowe 2 26 38 3" xfId="10826" xr:uid="{00000000-0005-0000-0000-0000352A0000}"/>
    <cellStyle name="Dane wejściowe 2 26 39" xfId="10827" xr:uid="{00000000-0005-0000-0000-0000362A0000}"/>
    <cellStyle name="Dane wejściowe 2 26 39 2" xfId="10828" xr:uid="{00000000-0005-0000-0000-0000372A0000}"/>
    <cellStyle name="Dane wejściowe 2 26 39 3" xfId="10829" xr:uid="{00000000-0005-0000-0000-0000382A0000}"/>
    <cellStyle name="Dane wejściowe 2 26 4" xfId="10830" xr:uid="{00000000-0005-0000-0000-0000392A0000}"/>
    <cellStyle name="Dane wejściowe 2 26 4 2" xfId="10831" xr:uid="{00000000-0005-0000-0000-00003A2A0000}"/>
    <cellStyle name="Dane wejściowe 2 26 4 3" xfId="10832" xr:uid="{00000000-0005-0000-0000-00003B2A0000}"/>
    <cellStyle name="Dane wejściowe 2 26 4 4" xfId="10833" xr:uid="{00000000-0005-0000-0000-00003C2A0000}"/>
    <cellStyle name="Dane wejściowe 2 26 40" xfId="10834" xr:uid="{00000000-0005-0000-0000-00003D2A0000}"/>
    <cellStyle name="Dane wejściowe 2 26 40 2" xfId="10835" xr:uid="{00000000-0005-0000-0000-00003E2A0000}"/>
    <cellStyle name="Dane wejściowe 2 26 40 3" xfId="10836" xr:uid="{00000000-0005-0000-0000-00003F2A0000}"/>
    <cellStyle name="Dane wejściowe 2 26 41" xfId="10837" xr:uid="{00000000-0005-0000-0000-0000402A0000}"/>
    <cellStyle name="Dane wejściowe 2 26 41 2" xfId="10838" xr:uid="{00000000-0005-0000-0000-0000412A0000}"/>
    <cellStyle name="Dane wejściowe 2 26 41 3" xfId="10839" xr:uid="{00000000-0005-0000-0000-0000422A0000}"/>
    <cellStyle name="Dane wejściowe 2 26 42" xfId="10840" xr:uid="{00000000-0005-0000-0000-0000432A0000}"/>
    <cellStyle name="Dane wejściowe 2 26 42 2" xfId="10841" xr:uid="{00000000-0005-0000-0000-0000442A0000}"/>
    <cellStyle name="Dane wejściowe 2 26 42 3" xfId="10842" xr:uid="{00000000-0005-0000-0000-0000452A0000}"/>
    <cellStyle name="Dane wejściowe 2 26 43" xfId="10843" xr:uid="{00000000-0005-0000-0000-0000462A0000}"/>
    <cellStyle name="Dane wejściowe 2 26 43 2" xfId="10844" xr:uid="{00000000-0005-0000-0000-0000472A0000}"/>
    <cellStyle name="Dane wejściowe 2 26 43 3" xfId="10845" xr:uid="{00000000-0005-0000-0000-0000482A0000}"/>
    <cellStyle name="Dane wejściowe 2 26 44" xfId="10846" xr:uid="{00000000-0005-0000-0000-0000492A0000}"/>
    <cellStyle name="Dane wejściowe 2 26 44 2" xfId="10847" xr:uid="{00000000-0005-0000-0000-00004A2A0000}"/>
    <cellStyle name="Dane wejściowe 2 26 44 3" xfId="10848" xr:uid="{00000000-0005-0000-0000-00004B2A0000}"/>
    <cellStyle name="Dane wejściowe 2 26 45" xfId="10849" xr:uid="{00000000-0005-0000-0000-00004C2A0000}"/>
    <cellStyle name="Dane wejściowe 2 26 45 2" xfId="10850" xr:uid="{00000000-0005-0000-0000-00004D2A0000}"/>
    <cellStyle name="Dane wejściowe 2 26 45 3" xfId="10851" xr:uid="{00000000-0005-0000-0000-00004E2A0000}"/>
    <cellStyle name="Dane wejściowe 2 26 46" xfId="10852" xr:uid="{00000000-0005-0000-0000-00004F2A0000}"/>
    <cellStyle name="Dane wejściowe 2 26 46 2" xfId="10853" xr:uid="{00000000-0005-0000-0000-0000502A0000}"/>
    <cellStyle name="Dane wejściowe 2 26 46 3" xfId="10854" xr:uid="{00000000-0005-0000-0000-0000512A0000}"/>
    <cellStyle name="Dane wejściowe 2 26 47" xfId="10855" xr:uid="{00000000-0005-0000-0000-0000522A0000}"/>
    <cellStyle name="Dane wejściowe 2 26 47 2" xfId="10856" xr:uid="{00000000-0005-0000-0000-0000532A0000}"/>
    <cellStyle name="Dane wejściowe 2 26 47 3" xfId="10857" xr:uid="{00000000-0005-0000-0000-0000542A0000}"/>
    <cellStyle name="Dane wejściowe 2 26 48" xfId="10858" xr:uid="{00000000-0005-0000-0000-0000552A0000}"/>
    <cellStyle name="Dane wejściowe 2 26 48 2" xfId="10859" xr:uid="{00000000-0005-0000-0000-0000562A0000}"/>
    <cellStyle name="Dane wejściowe 2 26 48 3" xfId="10860" xr:uid="{00000000-0005-0000-0000-0000572A0000}"/>
    <cellStyle name="Dane wejściowe 2 26 49" xfId="10861" xr:uid="{00000000-0005-0000-0000-0000582A0000}"/>
    <cellStyle name="Dane wejściowe 2 26 49 2" xfId="10862" xr:uid="{00000000-0005-0000-0000-0000592A0000}"/>
    <cellStyle name="Dane wejściowe 2 26 49 3" xfId="10863" xr:uid="{00000000-0005-0000-0000-00005A2A0000}"/>
    <cellStyle name="Dane wejściowe 2 26 5" xfId="10864" xr:uid="{00000000-0005-0000-0000-00005B2A0000}"/>
    <cellStyle name="Dane wejściowe 2 26 5 2" xfId="10865" xr:uid="{00000000-0005-0000-0000-00005C2A0000}"/>
    <cellStyle name="Dane wejściowe 2 26 5 3" xfId="10866" xr:uid="{00000000-0005-0000-0000-00005D2A0000}"/>
    <cellStyle name="Dane wejściowe 2 26 5 4" xfId="10867" xr:uid="{00000000-0005-0000-0000-00005E2A0000}"/>
    <cellStyle name="Dane wejściowe 2 26 50" xfId="10868" xr:uid="{00000000-0005-0000-0000-00005F2A0000}"/>
    <cellStyle name="Dane wejściowe 2 26 50 2" xfId="10869" xr:uid="{00000000-0005-0000-0000-0000602A0000}"/>
    <cellStyle name="Dane wejściowe 2 26 50 3" xfId="10870" xr:uid="{00000000-0005-0000-0000-0000612A0000}"/>
    <cellStyle name="Dane wejściowe 2 26 51" xfId="10871" xr:uid="{00000000-0005-0000-0000-0000622A0000}"/>
    <cellStyle name="Dane wejściowe 2 26 51 2" xfId="10872" xr:uid="{00000000-0005-0000-0000-0000632A0000}"/>
    <cellStyle name="Dane wejściowe 2 26 51 3" xfId="10873" xr:uid="{00000000-0005-0000-0000-0000642A0000}"/>
    <cellStyle name="Dane wejściowe 2 26 52" xfId="10874" xr:uid="{00000000-0005-0000-0000-0000652A0000}"/>
    <cellStyle name="Dane wejściowe 2 26 52 2" xfId="10875" xr:uid="{00000000-0005-0000-0000-0000662A0000}"/>
    <cellStyle name="Dane wejściowe 2 26 52 3" xfId="10876" xr:uid="{00000000-0005-0000-0000-0000672A0000}"/>
    <cellStyle name="Dane wejściowe 2 26 53" xfId="10877" xr:uid="{00000000-0005-0000-0000-0000682A0000}"/>
    <cellStyle name="Dane wejściowe 2 26 53 2" xfId="10878" xr:uid="{00000000-0005-0000-0000-0000692A0000}"/>
    <cellStyle name="Dane wejściowe 2 26 53 3" xfId="10879" xr:uid="{00000000-0005-0000-0000-00006A2A0000}"/>
    <cellStyle name="Dane wejściowe 2 26 54" xfId="10880" xr:uid="{00000000-0005-0000-0000-00006B2A0000}"/>
    <cellStyle name="Dane wejściowe 2 26 54 2" xfId="10881" xr:uid="{00000000-0005-0000-0000-00006C2A0000}"/>
    <cellStyle name="Dane wejściowe 2 26 54 3" xfId="10882" xr:uid="{00000000-0005-0000-0000-00006D2A0000}"/>
    <cellStyle name="Dane wejściowe 2 26 55" xfId="10883" xr:uid="{00000000-0005-0000-0000-00006E2A0000}"/>
    <cellStyle name="Dane wejściowe 2 26 55 2" xfId="10884" xr:uid="{00000000-0005-0000-0000-00006F2A0000}"/>
    <cellStyle name="Dane wejściowe 2 26 55 3" xfId="10885" xr:uid="{00000000-0005-0000-0000-0000702A0000}"/>
    <cellStyle name="Dane wejściowe 2 26 56" xfId="10886" xr:uid="{00000000-0005-0000-0000-0000712A0000}"/>
    <cellStyle name="Dane wejściowe 2 26 56 2" xfId="10887" xr:uid="{00000000-0005-0000-0000-0000722A0000}"/>
    <cellStyle name="Dane wejściowe 2 26 56 3" xfId="10888" xr:uid="{00000000-0005-0000-0000-0000732A0000}"/>
    <cellStyle name="Dane wejściowe 2 26 57" xfId="10889" xr:uid="{00000000-0005-0000-0000-0000742A0000}"/>
    <cellStyle name="Dane wejściowe 2 26 58" xfId="10890" xr:uid="{00000000-0005-0000-0000-0000752A0000}"/>
    <cellStyle name="Dane wejściowe 2 26 6" xfId="10891" xr:uid="{00000000-0005-0000-0000-0000762A0000}"/>
    <cellStyle name="Dane wejściowe 2 26 6 2" xfId="10892" xr:uid="{00000000-0005-0000-0000-0000772A0000}"/>
    <cellStyle name="Dane wejściowe 2 26 6 3" xfId="10893" xr:uid="{00000000-0005-0000-0000-0000782A0000}"/>
    <cellStyle name="Dane wejściowe 2 26 6 4" xfId="10894" xr:uid="{00000000-0005-0000-0000-0000792A0000}"/>
    <cellStyle name="Dane wejściowe 2 26 7" xfId="10895" xr:uid="{00000000-0005-0000-0000-00007A2A0000}"/>
    <cellStyle name="Dane wejściowe 2 26 7 2" xfId="10896" xr:uid="{00000000-0005-0000-0000-00007B2A0000}"/>
    <cellStyle name="Dane wejściowe 2 26 7 3" xfId="10897" xr:uid="{00000000-0005-0000-0000-00007C2A0000}"/>
    <cellStyle name="Dane wejściowe 2 26 7 4" xfId="10898" xr:uid="{00000000-0005-0000-0000-00007D2A0000}"/>
    <cellStyle name="Dane wejściowe 2 26 8" xfId="10899" xr:uid="{00000000-0005-0000-0000-00007E2A0000}"/>
    <cellStyle name="Dane wejściowe 2 26 8 2" xfId="10900" xr:uid="{00000000-0005-0000-0000-00007F2A0000}"/>
    <cellStyle name="Dane wejściowe 2 26 8 3" xfId="10901" xr:uid="{00000000-0005-0000-0000-0000802A0000}"/>
    <cellStyle name="Dane wejściowe 2 26 8 4" xfId="10902" xr:uid="{00000000-0005-0000-0000-0000812A0000}"/>
    <cellStyle name="Dane wejściowe 2 26 9" xfId="10903" xr:uid="{00000000-0005-0000-0000-0000822A0000}"/>
    <cellStyle name="Dane wejściowe 2 26 9 2" xfId="10904" xr:uid="{00000000-0005-0000-0000-0000832A0000}"/>
    <cellStyle name="Dane wejściowe 2 26 9 3" xfId="10905" xr:uid="{00000000-0005-0000-0000-0000842A0000}"/>
    <cellStyle name="Dane wejściowe 2 26 9 4" xfId="10906" xr:uid="{00000000-0005-0000-0000-0000852A0000}"/>
    <cellStyle name="Dane wejściowe 2 27" xfId="10907" xr:uid="{00000000-0005-0000-0000-0000862A0000}"/>
    <cellStyle name="Dane wejściowe 2 27 10" xfId="10908" xr:uid="{00000000-0005-0000-0000-0000872A0000}"/>
    <cellStyle name="Dane wejściowe 2 27 10 2" xfId="10909" xr:uid="{00000000-0005-0000-0000-0000882A0000}"/>
    <cellStyle name="Dane wejściowe 2 27 10 3" xfId="10910" xr:uid="{00000000-0005-0000-0000-0000892A0000}"/>
    <cellStyle name="Dane wejściowe 2 27 10 4" xfId="10911" xr:uid="{00000000-0005-0000-0000-00008A2A0000}"/>
    <cellStyle name="Dane wejściowe 2 27 11" xfId="10912" xr:uid="{00000000-0005-0000-0000-00008B2A0000}"/>
    <cellStyle name="Dane wejściowe 2 27 11 2" xfId="10913" xr:uid="{00000000-0005-0000-0000-00008C2A0000}"/>
    <cellStyle name="Dane wejściowe 2 27 11 3" xfId="10914" xr:uid="{00000000-0005-0000-0000-00008D2A0000}"/>
    <cellStyle name="Dane wejściowe 2 27 11 4" xfId="10915" xr:uid="{00000000-0005-0000-0000-00008E2A0000}"/>
    <cellStyle name="Dane wejściowe 2 27 12" xfId="10916" xr:uid="{00000000-0005-0000-0000-00008F2A0000}"/>
    <cellStyle name="Dane wejściowe 2 27 12 2" xfId="10917" xr:uid="{00000000-0005-0000-0000-0000902A0000}"/>
    <cellStyle name="Dane wejściowe 2 27 12 3" xfId="10918" xr:uid="{00000000-0005-0000-0000-0000912A0000}"/>
    <cellStyle name="Dane wejściowe 2 27 12 4" xfId="10919" xr:uid="{00000000-0005-0000-0000-0000922A0000}"/>
    <cellStyle name="Dane wejściowe 2 27 13" xfId="10920" xr:uid="{00000000-0005-0000-0000-0000932A0000}"/>
    <cellStyle name="Dane wejściowe 2 27 13 2" xfId="10921" xr:uid="{00000000-0005-0000-0000-0000942A0000}"/>
    <cellStyle name="Dane wejściowe 2 27 13 3" xfId="10922" xr:uid="{00000000-0005-0000-0000-0000952A0000}"/>
    <cellStyle name="Dane wejściowe 2 27 13 4" xfId="10923" xr:uid="{00000000-0005-0000-0000-0000962A0000}"/>
    <cellStyle name="Dane wejściowe 2 27 14" xfId="10924" xr:uid="{00000000-0005-0000-0000-0000972A0000}"/>
    <cellStyle name="Dane wejściowe 2 27 14 2" xfId="10925" xr:uid="{00000000-0005-0000-0000-0000982A0000}"/>
    <cellStyle name="Dane wejściowe 2 27 14 3" xfId="10926" xr:uid="{00000000-0005-0000-0000-0000992A0000}"/>
    <cellStyle name="Dane wejściowe 2 27 14 4" xfId="10927" xr:uid="{00000000-0005-0000-0000-00009A2A0000}"/>
    <cellStyle name="Dane wejściowe 2 27 15" xfId="10928" xr:uid="{00000000-0005-0000-0000-00009B2A0000}"/>
    <cellStyle name="Dane wejściowe 2 27 15 2" xfId="10929" xr:uid="{00000000-0005-0000-0000-00009C2A0000}"/>
    <cellStyle name="Dane wejściowe 2 27 15 3" xfId="10930" xr:uid="{00000000-0005-0000-0000-00009D2A0000}"/>
    <cellStyle name="Dane wejściowe 2 27 15 4" xfId="10931" xr:uid="{00000000-0005-0000-0000-00009E2A0000}"/>
    <cellStyle name="Dane wejściowe 2 27 16" xfId="10932" xr:uid="{00000000-0005-0000-0000-00009F2A0000}"/>
    <cellStyle name="Dane wejściowe 2 27 16 2" xfId="10933" xr:uid="{00000000-0005-0000-0000-0000A02A0000}"/>
    <cellStyle name="Dane wejściowe 2 27 16 3" xfId="10934" xr:uid="{00000000-0005-0000-0000-0000A12A0000}"/>
    <cellStyle name="Dane wejściowe 2 27 16 4" xfId="10935" xr:uid="{00000000-0005-0000-0000-0000A22A0000}"/>
    <cellStyle name="Dane wejściowe 2 27 17" xfId="10936" xr:uid="{00000000-0005-0000-0000-0000A32A0000}"/>
    <cellStyle name="Dane wejściowe 2 27 17 2" xfId="10937" xr:uid="{00000000-0005-0000-0000-0000A42A0000}"/>
    <cellStyle name="Dane wejściowe 2 27 17 3" xfId="10938" xr:uid="{00000000-0005-0000-0000-0000A52A0000}"/>
    <cellStyle name="Dane wejściowe 2 27 17 4" xfId="10939" xr:uid="{00000000-0005-0000-0000-0000A62A0000}"/>
    <cellStyle name="Dane wejściowe 2 27 18" xfId="10940" xr:uid="{00000000-0005-0000-0000-0000A72A0000}"/>
    <cellStyle name="Dane wejściowe 2 27 18 2" xfId="10941" xr:uid="{00000000-0005-0000-0000-0000A82A0000}"/>
    <cellStyle name="Dane wejściowe 2 27 18 3" xfId="10942" xr:uid="{00000000-0005-0000-0000-0000A92A0000}"/>
    <cellStyle name="Dane wejściowe 2 27 18 4" xfId="10943" xr:uid="{00000000-0005-0000-0000-0000AA2A0000}"/>
    <cellStyle name="Dane wejściowe 2 27 19" xfId="10944" xr:uid="{00000000-0005-0000-0000-0000AB2A0000}"/>
    <cellStyle name="Dane wejściowe 2 27 19 2" xfId="10945" xr:uid="{00000000-0005-0000-0000-0000AC2A0000}"/>
    <cellStyle name="Dane wejściowe 2 27 19 3" xfId="10946" xr:uid="{00000000-0005-0000-0000-0000AD2A0000}"/>
    <cellStyle name="Dane wejściowe 2 27 19 4" xfId="10947" xr:uid="{00000000-0005-0000-0000-0000AE2A0000}"/>
    <cellStyle name="Dane wejściowe 2 27 2" xfId="10948" xr:uid="{00000000-0005-0000-0000-0000AF2A0000}"/>
    <cellStyle name="Dane wejściowe 2 27 2 2" xfId="10949" xr:uid="{00000000-0005-0000-0000-0000B02A0000}"/>
    <cellStyle name="Dane wejściowe 2 27 2 3" xfId="10950" xr:uid="{00000000-0005-0000-0000-0000B12A0000}"/>
    <cellStyle name="Dane wejściowe 2 27 2 4" xfId="10951" xr:uid="{00000000-0005-0000-0000-0000B22A0000}"/>
    <cellStyle name="Dane wejściowe 2 27 20" xfId="10952" xr:uid="{00000000-0005-0000-0000-0000B32A0000}"/>
    <cellStyle name="Dane wejściowe 2 27 20 2" xfId="10953" xr:uid="{00000000-0005-0000-0000-0000B42A0000}"/>
    <cellStyle name="Dane wejściowe 2 27 20 3" xfId="10954" xr:uid="{00000000-0005-0000-0000-0000B52A0000}"/>
    <cellStyle name="Dane wejściowe 2 27 20 4" xfId="10955" xr:uid="{00000000-0005-0000-0000-0000B62A0000}"/>
    <cellStyle name="Dane wejściowe 2 27 21" xfId="10956" xr:uid="{00000000-0005-0000-0000-0000B72A0000}"/>
    <cellStyle name="Dane wejściowe 2 27 21 2" xfId="10957" xr:uid="{00000000-0005-0000-0000-0000B82A0000}"/>
    <cellStyle name="Dane wejściowe 2 27 21 3" xfId="10958" xr:uid="{00000000-0005-0000-0000-0000B92A0000}"/>
    <cellStyle name="Dane wejściowe 2 27 22" xfId="10959" xr:uid="{00000000-0005-0000-0000-0000BA2A0000}"/>
    <cellStyle name="Dane wejściowe 2 27 22 2" xfId="10960" xr:uid="{00000000-0005-0000-0000-0000BB2A0000}"/>
    <cellStyle name="Dane wejściowe 2 27 22 3" xfId="10961" xr:uid="{00000000-0005-0000-0000-0000BC2A0000}"/>
    <cellStyle name="Dane wejściowe 2 27 23" xfId="10962" xr:uid="{00000000-0005-0000-0000-0000BD2A0000}"/>
    <cellStyle name="Dane wejściowe 2 27 23 2" xfId="10963" xr:uid="{00000000-0005-0000-0000-0000BE2A0000}"/>
    <cellStyle name="Dane wejściowe 2 27 23 3" xfId="10964" xr:uid="{00000000-0005-0000-0000-0000BF2A0000}"/>
    <cellStyle name="Dane wejściowe 2 27 24" xfId="10965" xr:uid="{00000000-0005-0000-0000-0000C02A0000}"/>
    <cellStyle name="Dane wejściowe 2 27 24 2" xfId="10966" xr:uid="{00000000-0005-0000-0000-0000C12A0000}"/>
    <cellStyle name="Dane wejściowe 2 27 24 3" xfId="10967" xr:uid="{00000000-0005-0000-0000-0000C22A0000}"/>
    <cellStyle name="Dane wejściowe 2 27 25" xfId="10968" xr:uid="{00000000-0005-0000-0000-0000C32A0000}"/>
    <cellStyle name="Dane wejściowe 2 27 25 2" xfId="10969" xr:uid="{00000000-0005-0000-0000-0000C42A0000}"/>
    <cellStyle name="Dane wejściowe 2 27 25 3" xfId="10970" xr:uid="{00000000-0005-0000-0000-0000C52A0000}"/>
    <cellStyle name="Dane wejściowe 2 27 26" xfId="10971" xr:uid="{00000000-0005-0000-0000-0000C62A0000}"/>
    <cellStyle name="Dane wejściowe 2 27 26 2" xfId="10972" xr:uid="{00000000-0005-0000-0000-0000C72A0000}"/>
    <cellStyle name="Dane wejściowe 2 27 26 3" xfId="10973" xr:uid="{00000000-0005-0000-0000-0000C82A0000}"/>
    <cellStyle name="Dane wejściowe 2 27 27" xfId="10974" xr:uid="{00000000-0005-0000-0000-0000C92A0000}"/>
    <cellStyle name="Dane wejściowe 2 27 27 2" xfId="10975" xr:uid="{00000000-0005-0000-0000-0000CA2A0000}"/>
    <cellStyle name="Dane wejściowe 2 27 27 3" xfId="10976" xr:uid="{00000000-0005-0000-0000-0000CB2A0000}"/>
    <cellStyle name="Dane wejściowe 2 27 28" xfId="10977" xr:uid="{00000000-0005-0000-0000-0000CC2A0000}"/>
    <cellStyle name="Dane wejściowe 2 27 28 2" xfId="10978" xr:uid="{00000000-0005-0000-0000-0000CD2A0000}"/>
    <cellStyle name="Dane wejściowe 2 27 28 3" xfId="10979" xr:uid="{00000000-0005-0000-0000-0000CE2A0000}"/>
    <cellStyle name="Dane wejściowe 2 27 29" xfId="10980" xr:uid="{00000000-0005-0000-0000-0000CF2A0000}"/>
    <cellStyle name="Dane wejściowe 2 27 29 2" xfId="10981" xr:uid="{00000000-0005-0000-0000-0000D02A0000}"/>
    <cellStyle name="Dane wejściowe 2 27 29 3" xfId="10982" xr:uid="{00000000-0005-0000-0000-0000D12A0000}"/>
    <cellStyle name="Dane wejściowe 2 27 3" xfId="10983" xr:uid="{00000000-0005-0000-0000-0000D22A0000}"/>
    <cellStyle name="Dane wejściowe 2 27 3 2" xfId="10984" xr:uid="{00000000-0005-0000-0000-0000D32A0000}"/>
    <cellStyle name="Dane wejściowe 2 27 3 3" xfId="10985" xr:uid="{00000000-0005-0000-0000-0000D42A0000}"/>
    <cellStyle name="Dane wejściowe 2 27 3 4" xfId="10986" xr:uid="{00000000-0005-0000-0000-0000D52A0000}"/>
    <cellStyle name="Dane wejściowe 2 27 30" xfId="10987" xr:uid="{00000000-0005-0000-0000-0000D62A0000}"/>
    <cellStyle name="Dane wejściowe 2 27 30 2" xfId="10988" xr:uid="{00000000-0005-0000-0000-0000D72A0000}"/>
    <cellStyle name="Dane wejściowe 2 27 30 3" xfId="10989" xr:uid="{00000000-0005-0000-0000-0000D82A0000}"/>
    <cellStyle name="Dane wejściowe 2 27 31" xfId="10990" xr:uid="{00000000-0005-0000-0000-0000D92A0000}"/>
    <cellStyle name="Dane wejściowe 2 27 31 2" xfId="10991" xr:uid="{00000000-0005-0000-0000-0000DA2A0000}"/>
    <cellStyle name="Dane wejściowe 2 27 31 3" xfId="10992" xr:uid="{00000000-0005-0000-0000-0000DB2A0000}"/>
    <cellStyle name="Dane wejściowe 2 27 32" xfId="10993" xr:uid="{00000000-0005-0000-0000-0000DC2A0000}"/>
    <cellStyle name="Dane wejściowe 2 27 32 2" xfId="10994" xr:uid="{00000000-0005-0000-0000-0000DD2A0000}"/>
    <cellStyle name="Dane wejściowe 2 27 32 3" xfId="10995" xr:uid="{00000000-0005-0000-0000-0000DE2A0000}"/>
    <cellStyle name="Dane wejściowe 2 27 33" xfId="10996" xr:uid="{00000000-0005-0000-0000-0000DF2A0000}"/>
    <cellStyle name="Dane wejściowe 2 27 33 2" xfId="10997" xr:uid="{00000000-0005-0000-0000-0000E02A0000}"/>
    <cellStyle name="Dane wejściowe 2 27 33 3" xfId="10998" xr:uid="{00000000-0005-0000-0000-0000E12A0000}"/>
    <cellStyle name="Dane wejściowe 2 27 34" xfId="10999" xr:uid="{00000000-0005-0000-0000-0000E22A0000}"/>
    <cellStyle name="Dane wejściowe 2 27 34 2" xfId="11000" xr:uid="{00000000-0005-0000-0000-0000E32A0000}"/>
    <cellStyle name="Dane wejściowe 2 27 34 3" xfId="11001" xr:uid="{00000000-0005-0000-0000-0000E42A0000}"/>
    <cellStyle name="Dane wejściowe 2 27 35" xfId="11002" xr:uid="{00000000-0005-0000-0000-0000E52A0000}"/>
    <cellStyle name="Dane wejściowe 2 27 35 2" xfId="11003" xr:uid="{00000000-0005-0000-0000-0000E62A0000}"/>
    <cellStyle name="Dane wejściowe 2 27 35 3" xfId="11004" xr:uid="{00000000-0005-0000-0000-0000E72A0000}"/>
    <cellStyle name="Dane wejściowe 2 27 36" xfId="11005" xr:uid="{00000000-0005-0000-0000-0000E82A0000}"/>
    <cellStyle name="Dane wejściowe 2 27 36 2" xfId="11006" xr:uid="{00000000-0005-0000-0000-0000E92A0000}"/>
    <cellStyle name="Dane wejściowe 2 27 36 3" xfId="11007" xr:uid="{00000000-0005-0000-0000-0000EA2A0000}"/>
    <cellStyle name="Dane wejściowe 2 27 37" xfId="11008" xr:uid="{00000000-0005-0000-0000-0000EB2A0000}"/>
    <cellStyle name="Dane wejściowe 2 27 37 2" xfId="11009" xr:uid="{00000000-0005-0000-0000-0000EC2A0000}"/>
    <cellStyle name="Dane wejściowe 2 27 37 3" xfId="11010" xr:uid="{00000000-0005-0000-0000-0000ED2A0000}"/>
    <cellStyle name="Dane wejściowe 2 27 38" xfId="11011" xr:uid="{00000000-0005-0000-0000-0000EE2A0000}"/>
    <cellStyle name="Dane wejściowe 2 27 38 2" xfId="11012" xr:uid="{00000000-0005-0000-0000-0000EF2A0000}"/>
    <cellStyle name="Dane wejściowe 2 27 38 3" xfId="11013" xr:uid="{00000000-0005-0000-0000-0000F02A0000}"/>
    <cellStyle name="Dane wejściowe 2 27 39" xfId="11014" xr:uid="{00000000-0005-0000-0000-0000F12A0000}"/>
    <cellStyle name="Dane wejściowe 2 27 39 2" xfId="11015" xr:uid="{00000000-0005-0000-0000-0000F22A0000}"/>
    <cellStyle name="Dane wejściowe 2 27 39 3" xfId="11016" xr:uid="{00000000-0005-0000-0000-0000F32A0000}"/>
    <cellStyle name="Dane wejściowe 2 27 4" xfId="11017" xr:uid="{00000000-0005-0000-0000-0000F42A0000}"/>
    <cellStyle name="Dane wejściowe 2 27 4 2" xfId="11018" xr:uid="{00000000-0005-0000-0000-0000F52A0000}"/>
    <cellStyle name="Dane wejściowe 2 27 4 3" xfId="11019" xr:uid="{00000000-0005-0000-0000-0000F62A0000}"/>
    <cellStyle name="Dane wejściowe 2 27 4 4" xfId="11020" xr:uid="{00000000-0005-0000-0000-0000F72A0000}"/>
    <cellStyle name="Dane wejściowe 2 27 40" xfId="11021" xr:uid="{00000000-0005-0000-0000-0000F82A0000}"/>
    <cellStyle name="Dane wejściowe 2 27 40 2" xfId="11022" xr:uid="{00000000-0005-0000-0000-0000F92A0000}"/>
    <cellStyle name="Dane wejściowe 2 27 40 3" xfId="11023" xr:uid="{00000000-0005-0000-0000-0000FA2A0000}"/>
    <cellStyle name="Dane wejściowe 2 27 41" xfId="11024" xr:uid="{00000000-0005-0000-0000-0000FB2A0000}"/>
    <cellStyle name="Dane wejściowe 2 27 41 2" xfId="11025" xr:uid="{00000000-0005-0000-0000-0000FC2A0000}"/>
    <cellStyle name="Dane wejściowe 2 27 41 3" xfId="11026" xr:uid="{00000000-0005-0000-0000-0000FD2A0000}"/>
    <cellStyle name="Dane wejściowe 2 27 42" xfId="11027" xr:uid="{00000000-0005-0000-0000-0000FE2A0000}"/>
    <cellStyle name="Dane wejściowe 2 27 42 2" xfId="11028" xr:uid="{00000000-0005-0000-0000-0000FF2A0000}"/>
    <cellStyle name="Dane wejściowe 2 27 42 3" xfId="11029" xr:uid="{00000000-0005-0000-0000-0000002B0000}"/>
    <cellStyle name="Dane wejściowe 2 27 43" xfId="11030" xr:uid="{00000000-0005-0000-0000-0000012B0000}"/>
    <cellStyle name="Dane wejściowe 2 27 43 2" xfId="11031" xr:uid="{00000000-0005-0000-0000-0000022B0000}"/>
    <cellStyle name="Dane wejściowe 2 27 43 3" xfId="11032" xr:uid="{00000000-0005-0000-0000-0000032B0000}"/>
    <cellStyle name="Dane wejściowe 2 27 44" xfId="11033" xr:uid="{00000000-0005-0000-0000-0000042B0000}"/>
    <cellStyle name="Dane wejściowe 2 27 44 2" xfId="11034" xr:uid="{00000000-0005-0000-0000-0000052B0000}"/>
    <cellStyle name="Dane wejściowe 2 27 44 3" xfId="11035" xr:uid="{00000000-0005-0000-0000-0000062B0000}"/>
    <cellStyle name="Dane wejściowe 2 27 45" xfId="11036" xr:uid="{00000000-0005-0000-0000-0000072B0000}"/>
    <cellStyle name="Dane wejściowe 2 27 45 2" xfId="11037" xr:uid="{00000000-0005-0000-0000-0000082B0000}"/>
    <cellStyle name="Dane wejściowe 2 27 45 3" xfId="11038" xr:uid="{00000000-0005-0000-0000-0000092B0000}"/>
    <cellStyle name="Dane wejściowe 2 27 46" xfId="11039" xr:uid="{00000000-0005-0000-0000-00000A2B0000}"/>
    <cellStyle name="Dane wejściowe 2 27 46 2" xfId="11040" xr:uid="{00000000-0005-0000-0000-00000B2B0000}"/>
    <cellStyle name="Dane wejściowe 2 27 46 3" xfId="11041" xr:uid="{00000000-0005-0000-0000-00000C2B0000}"/>
    <cellStyle name="Dane wejściowe 2 27 47" xfId="11042" xr:uid="{00000000-0005-0000-0000-00000D2B0000}"/>
    <cellStyle name="Dane wejściowe 2 27 47 2" xfId="11043" xr:uid="{00000000-0005-0000-0000-00000E2B0000}"/>
    <cellStyle name="Dane wejściowe 2 27 47 3" xfId="11044" xr:uid="{00000000-0005-0000-0000-00000F2B0000}"/>
    <cellStyle name="Dane wejściowe 2 27 48" xfId="11045" xr:uid="{00000000-0005-0000-0000-0000102B0000}"/>
    <cellStyle name="Dane wejściowe 2 27 48 2" xfId="11046" xr:uid="{00000000-0005-0000-0000-0000112B0000}"/>
    <cellStyle name="Dane wejściowe 2 27 48 3" xfId="11047" xr:uid="{00000000-0005-0000-0000-0000122B0000}"/>
    <cellStyle name="Dane wejściowe 2 27 49" xfId="11048" xr:uid="{00000000-0005-0000-0000-0000132B0000}"/>
    <cellStyle name="Dane wejściowe 2 27 49 2" xfId="11049" xr:uid="{00000000-0005-0000-0000-0000142B0000}"/>
    <cellStyle name="Dane wejściowe 2 27 49 3" xfId="11050" xr:uid="{00000000-0005-0000-0000-0000152B0000}"/>
    <cellStyle name="Dane wejściowe 2 27 5" xfId="11051" xr:uid="{00000000-0005-0000-0000-0000162B0000}"/>
    <cellStyle name="Dane wejściowe 2 27 5 2" xfId="11052" xr:uid="{00000000-0005-0000-0000-0000172B0000}"/>
    <cellStyle name="Dane wejściowe 2 27 5 3" xfId="11053" xr:uid="{00000000-0005-0000-0000-0000182B0000}"/>
    <cellStyle name="Dane wejściowe 2 27 5 4" xfId="11054" xr:uid="{00000000-0005-0000-0000-0000192B0000}"/>
    <cellStyle name="Dane wejściowe 2 27 50" xfId="11055" xr:uid="{00000000-0005-0000-0000-00001A2B0000}"/>
    <cellStyle name="Dane wejściowe 2 27 50 2" xfId="11056" xr:uid="{00000000-0005-0000-0000-00001B2B0000}"/>
    <cellStyle name="Dane wejściowe 2 27 50 3" xfId="11057" xr:uid="{00000000-0005-0000-0000-00001C2B0000}"/>
    <cellStyle name="Dane wejściowe 2 27 51" xfId="11058" xr:uid="{00000000-0005-0000-0000-00001D2B0000}"/>
    <cellStyle name="Dane wejściowe 2 27 51 2" xfId="11059" xr:uid="{00000000-0005-0000-0000-00001E2B0000}"/>
    <cellStyle name="Dane wejściowe 2 27 51 3" xfId="11060" xr:uid="{00000000-0005-0000-0000-00001F2B0000}"/>
    <cellStyle name="Dane wejściowe 2 27 52" xfId="11061" xr:uid="{00000000-0005-0000-0000-0000202B0000}"/>
    <cellStyle name="Dane wejściowe 2 27 52 2" xfId="11062" xr:uid="{00000000-0005-0000-0000-0000212B0000}"/>
    <cellStyle name="Dane wejściowe 2 27 52 3" xfId="11063" xr:uid="{00000000-0005-0000-0000-0000222B0000}"/>
    <cellStyle name="Dane wejściowe 2 27 53" xfId="11064" xr:uid="{00000000-0005-0000-0000-0000232B0000}"/>
    <cellStyle name="Dane wejściowe 2 27 53 2" xfId="11065" xr:uid="{00000000-0005-0000-0000-0000242B0000}"/>
    <cellStyle name="Dane wejściowe 2 27 53 3" xfId="11066" xr:uid="{00000000-0005-0000-0000-0000252B0000}"/>
    <cellStyle name="Dane wejściowe 2 27 54" xfId="11067" xr:uid="{00000000-0005-0000-0000-0000262B0000}"/>
    <cellStyle name="Dane wejściowe 2 27 54 2" xfId="11068" xr:uid="{00000000-0005-0000-0000-0000272B0000}"/>
    <cellStyle name="Dane wejściowe 2 27 54 3" xfId="11069" xr:uid="{00000000-0005-0000-0000-0000282B0000}"/>
    <cellStyle name="Dane wejściowe 2 27 55" xfId="11070" xr:uid="{00000000-0005-0000-0000-0000292B0000}"/>
    <cellStyle name="Dane wejściowe 2 27 55 2" xfId="11071" xr:uid="{00000000-0005-0000-0000-00002A2B0000}"/>
    <cellStyle name="Dane wejściowe 2 27 55 3" xfId="11072" xr:uid="{00000000-0005-0000-0000-00002B2B0000}"/>
    <cellStyle name="Dane wejściowe 2 27 56" xfId="11073" xr:uid="{00000000-0005-0000-0000-00002C2B0000}"/>
    <cellStyle name="Dane wejściowe 2 27 56 2" xfId="11074" xr:uid="{00000000-0005-0000-0000-00002D2B0000}"/>
    <cellStyle name="Dane wejściowe 2 27 56 3" xfId="11075" xr:uid="{00000000-0005-0000-0000-00002E2B0000}"/>
    <cellStyle name="Dane wejściowe 2 27 57" xfId="11076" xr:uid="{00000000-0005-0000-0000-00002F2B0000}"/>
    <cellStyle name="Dane wejściowe 2 27 58" xfId="11077" xr:uid="{00000000-0005-0000-0000-0000302B0000}"/>
    <cellStyle name="Dane wejściowe 2 27 6" xfId="11078" xr:uid="{00000000-0005-0000-0000-0000312B0000}"/>
    <cellStyle name="Dane wejściowe 2 27 6 2" xfId="11079" xr:uid="{00000000-0005-0000-0000-0000322B0000}"/>
    <cellStyle name="Dane wejściowe 2 27 6 3" xfId="11080" xr:uid="{00000000-0005-0000-0000-0000332B0000}"/>
    <cellStyle name="Dane wejściowe 2 27 6 4" xfId="11081" xr:uid="{00000000-0005-0000-0000-0000342B0000}"/>
    <cellStyle name="Dane wejściowe 2 27 7" xfId="11082" xr:uid="{00000000-0005-0000-0000-0000352B0000}"/>
    <cellStyle name="Dane wejściowe 2 27 7 2" xfId="11083" xr:uid="{00000000-0005-0000-0000-0000362B0000}"/>
    <cellStyle name="Dane wejściowe 2 27 7 3" xfId="11084" xr:uid="{00000000-0005-0000-0000-0000372B0000}"/>
    <cellStyle name="Dane wejściowe 2 27 7 4" xfId="11085" xr:uid="{00000000-0005-0000-0000-0000382B0000}"/>
    <cellStyle name="Dane wejściowe 2 27 8" xfId="11086" xr:uid="{00000000-0005-0000-0000-0000392B0000}"/>
    <cellStyle name="Dane wejściowe 2 27 8 2" xfId="11087" xr:uid="{00000000-0005-0000-0000-00003A2B0000}"/>
    <cellStyle name="Dane wejściowe 2 27 8 3" xfId="11088" xr:uid="{00000000-0005-0000-0000-00003B2B0000}"/>
    <cellStyle name="Dane wejściowe 2 27 8 4" xfId="11089" xr:uid="{00000000-0005-0000-0000-00003C2B0000}"/>
    <cellStyle name="Dane wejściowe 2 27 9" xfId="11090" xr:uid="{00000000-0005-0000-0000-00003D2B0000}"/>
    <cellStyle name="Dane wejściowe 2 27 9 2" xfId="11091" xr:uid="{00000000-0005-0000-0000-00003E2B0000}"/>
    <cellStyle name="Dane wejściowe 2 27 9 3" xfId="11092" xr:uid="{00000000-0005-0000-0000-00003F2B0000}"/>
    <cellStyle name="Dane wejściowe 2 27 9 4" xfId="11093" xr:uid="{00000000-0005-0000-0000-0000402B0000}"/>
    <cellStyle name="Dane wejściowe 2 28" xfId="11094" xr:uid="{00000000-0005-0000-0000-0000412B0000}"/>
    <cellStyle name="Dane wejściowe 2 28 10" xfId="11095" xr:uid="{00000000-0005-0000-0000-0000422B0000}"/>
    <cellStyle name="Dane wejściowe 2 28 10 2" xfId="11096" xr:uid="{00000000-0005-0000-0000-0000432B0000}"/>
    <cellStyle name="Dane wejściowe 2 28 10 3" xfId="11097" xr:uid="{00000000-0005-0000-0000-0000442B0000}"/>
    <cellStyle name="Dane wejściowe 2 28 10 4" xfId="11098" xr:uid="{00000000-0005-0000-0000-0000452B0000}"/>
    <cellStyle name="Dane wejściowe 2 28 11" xfId="11099" xr:uid="{00000000-0005-0000-0000-0000462B0000}"/>
    <cellStyle name="Dane wejściowe 2 28 11 2" xfId="11100" xr:uid="{00000000-0005-0000-0000-0000472B0000}"/>
    <cellStyle name="Dane wejściowe 2 28 11 3" xfId="11101" xr:uid="{00000000-0005-0000-0000-0000482B0000}"/>
    <cellStyle name="Dane wejściowe 2 28 11 4" xfId="11102" xr:uid="{00000000-0005-0000-0000-0000492B0000}"/>
    <cellStyle name="Dane wejściowe 2 28 12" xfId="11103" xr:uid="{00000000-0005-0000-0000-00004A2B0000}"/>
    <cellStyle name="Dane wejściowe 2 28 12 2" xfId="11104" xr:uid="{00000000-0005-0000-0000-00004B2B0000}"/>
    <cellStyle name="Dane wejściowe 2 28 12 3" xfId="11105" xr:uid="{00000000-0005-0000-0000-00004C2B0000}"/>
    <cellStyle name="Dane wejściowe 2 28 12 4" xfId="11106" xr:uid="{00000000-0005-0000-0000-00004D2B0000}"/>
    <cellStyle name="Dane wejściowe 2 28 13" xfId="11107" xr:uid="{00000000-0005-0000-0000-00004E2B0000}"/>
    <cellStyle name="Dane wejściowe 2 28 13 2" xfId="11108" xr:uid="{00000000-0005-0000-0000-00004F2B0000}"/>
    <cellStyle name="Dane wejściowe 2 28 13 3" xfId="11109" xr:uid="{00000000-0005-0000-0000-0000502B0000}"/>
    <cellStyle name="Dane wejściowe 2 28 13 4" xfId="11110" xr:uid="{00000000-0005-0000-0000-0000512B0000}"/>
    <cellStyle name="Dane wejściowe 2 28 14" xfId="11111" xr:uid="{00000000-0005-0000-0000-0000522B0000}"/>
    <cellStyle name="Dane wejściowe 2 28 14 2" xfId="11112" xr:uid="{00000000-0005-0000-0000-0000532B0000}"/>
    <cellStyle name="Dane wejściowe 2 28 14 3" xfId="11113" xr:uid="{00000000-0005-0000-0000-0000542B0000}"/>
    <cellStyle name="Dane wejściowe 2 28 14 4" xfId="11114" xr:uid="{00000000-0005-0000-0000-0000552B0000}"/>
    <cellStyle name="Dane wejściowe 2 28 15" xfId="11115" xr:uid="{00000000-0005-0000-0000-0000562B0000}"/>
    <cellStyle name="Dane wejściowe 2 28 15 2" xfId="11116" xr:uid="{00000000-0005-0000-0000-0000572B0000}"/>
    <cellStyle name="Dane wejściowe 2 28 15 3" xfId="11117" xr:uid="{00000000-0005-0000-0000-0000582B0000}"/>
    <cellStyle name="Dane wejściowe 2 28 15 4" xfId="11118" xr:uid="{00000000-0005-0000-0000-0000592B0000}"/>
    <cellStyle name="Dane wejściowe 2 28 16" xfId="11119" xr:uid="{00000000-0005-0000-0000-00005A2B0000}"/>
    <cellStyle name="Dane wejściowe 2 28 16 2" xfId="11120" xr:uid="{00000000-0005-0000-0000-00005B2B0000}"/>
    <cellStyle name="Dane wejściowe 2 28 16 3" xfId="11121" xr:uid="{00000000-0005-0000-0000-00005C2B0000}"/>
    <cellStyle name="Dane wejściowe 2 28 16 4" xfId="11122" xr:uid="{00000000-0005-0000-0000-00005D2B0000}"/>
    <cellStyle name="Dane wejściowe 2 28 17" xfId="11123" xr:uid="{00000000-0005-0000-0000-00005E2B0000}"/>
    <cellStyle name="Dane wejściowe 2 28 17 2" xfId="11124" xr:uid="{00000000-0005-0000-0000-00005F2B0000}"/>
    <cellStyle name="Dane wejściowe 2 28 17 3" xfId="11125" xr:uid="{00000000-0005-0000-0000-0000602B0000}"/>
    <cellStyle name="Dane wejściowe 2 28 17 4" xfId="11126" xr:uid="{00000000-0005-0000-0000-0000612B0000}"/>
    <cellStyle name="Dane wejściowe 2 28 18" xfId="11127" xr:uid="{00000000-0005-0000-0000-0000622B0000}"/>
    <cellStyle name="Dane wejściowe 2 28 18 2" xfId="11128" xr:uid="{00000000-0005-0000-0000-0000632B0000}"/>
    <cellStyle name="Dane wejściowe 2 28 18 3" xfId="11129" xr:uid="{00000000-0005-0000-0000-0000642B0000}"/>
    <cellStyle name="Dane wejściowe 2 28 18 4" xfId="11130" xr:uid="{00000000-0005-0000-0000-0000652B0000}"/>
    <cellStyle name="Dane wejściowe 2 28 19" xfId="11131" xr:uid="{00000000-0005-0000-0000-0000662B0000}"/>
    <cellStyle name="Dane wejściowe 2 28 19 2" xfId="11132" xr:uid="{00000000-0005-0000-0000-0000672B0000}"/>
    <cellStyle name="Dane wejściowe 2 28 19 3" xfId="11133" xr:uid="{00000000-0005-0000-0000-0000682B0000}"/>
    <cellStyle name="Dane wejściowe 2 28 19 4" xfId="11134" xr:uid="{00000000-0005-0000-0000-0000692B0000}"/>
    <cellStyle name="Dane wejściowe 2 28 2" xfId="11135" xr:uid="{00000000-0005-0000-0000-00006A2B0000}"/>
    <cellStyle name="Dane wejściowe 2 28 2 2" xfId="11136" xr:uid="{00000000-0005-0000-0000-00006B2B0000}"/>
    <cellStyle name="Dane wejściowe 2 28 2 3" xfId="11137" xr:uid="{00000000-0005-0000-0000-00006C2B0000}"/>
    <cellStyle name="Dane wejściowe 2 28 2 4" xfId="11138" xr:uid="{00000000-0005-0000-0000-00006D2B0000}"/>
    <cellStyle name="Dane wejściowe 2 28 20" xfId="11139" xr:uid="{00000000-0005-0000-0000-00006E2B0000}"/>
    <cellStyle name="Dane wejściowe 2 28 20 2" xfId="11140" xr:uid="{00000000-0005-0000-0000-00006F2B0000}"/>
    <cellStyle name="Dane wejściowe 2 28 20 3" xfId="11141" xr:uid="{00000000-0005-0000-0000-0000702B0000}"/>
    <cellStyle name="Dane wejściowe 2 28 20 4" xfId="11142" xr:uid="{00000000-0005-0000-0000-0000712B0000}"/>
    <cellStyle name="Dane wejściowe 2 28 21" xfId="11143" xr:uid="{00000000-0005-0000-0000-0000722B0000}"/>
    <cellStyle name="Dane wejściowe 2 28 21 2" xfId="11144" xr:uid="{00000000-0005-0000-0000-0000732B0000}"/>
    <cellStyle name="Dane wejściowe 2 28 21 3" xfId="11145" xr:uid="{00000000-0005-0000-0000-0000742B0000}"/>
    <cellStyle name="Dane wejściowe 2 28 22" xfId="11146" xr:uid="{00000000-0005-0000-0000-0000752B0000}"/>
    <cellStyle name="Dane wejściowe 2 28 22 2" xfId="11147" xr:uid="{00000000-0005-0000-0000-0000762B0000}"/>
    <cellStyle name="Dane wejściowe 2 28 22 3" xfId="11148" xr:uid="{00000000-0005-0000-0000-0000772B0000}"/>
    <cellStyle name="Dane wejściowe 2 28 23" xfId="11149" xr:uid="{00000000-0005-0000-0000-0000782B0000}"/>
    <cellStyle name="Dane wejściowe 2 28 23 2" xfId="11150" xr:uid="{00000000-0005-0000-0000-0000792B0000}"/>
    <cellStyle name="Dane wejściowe 2 28 23 3" xfId="11151" xr:uid="{00000000-0005-0000-0000-00007A2B0000}"/>
    <cellStyle name="Dane wejściowe 2 28 24" xfId="11152" xr:uid="{00000000-0005-0000-0000-00007B2B0000}"/>
    <cellStyle name="Dane wejściowe 2 28 24 2" xfId="11153" xr:uid="{00000000-0005-0000-0000-00007C2B0000}"/>
    <cellStyle name="Dane wejściowe 2 28 24 3" xfId="11154" xr:uid="{00000000-0005-0000-0000-00007D2B0000}"/>
    <cellStyle name="Dane wejściowe 2 28 25" xfId="11155" xr:uid="{00000000-0005-0000-0000-00007E2B0000}"/>
    <cellStyle name="Dane wejściowe 2 28 25 2" xfId="11156" xr:uid="{00000000-0005-0000-0000-00007F2B0000}"/>
    <cellStyle name="Dane wejściowe 2 28 25 3" xfId="11157" xr:uid="{00000000-0005-0000-0000-0000802B0000}"/>
    <cellStyle name="Dane wejściowe 2 28 26" xfId="11158" xr:uid="{00000000-0005-0000-0000-0000812B0000}"/>
    <cellStyle name="Dane wejściowe 2 28 26 2" xfId="11159" xr:uid="{00000000-0005-0000-0000-0000822B0000}"/>
    <cellStyle name="Dane wejściowe 2 28 26 3" xfId="11160" xr:uid="{00000000-0005-0000-0000-0000832B0000}"/>
    <cellStyle name="Dane wejściowe 2 28 27" xfId="11161" xr:uid="{00000000-0005-0000-0000-0000842B0000}"/>
    <cellStyle name="Dane wejściowe 2 28 27 2" xfId="11162" xr:uid="{00000000-0005-0000-0000-0000852B0000}"/>
    <cellStyle name="Dane wejściowe 2 28 27 3" xfId="11163" xr:uid="{00000000-0005-0000-0000-0000862B0000}"/>
    <cellStyle name="Dane wejściowe 2 28 28" xfId="11164" xr:uid="{00000000-0005-0000-0000-0000872B0000}"/>
    <cellStyle name="Dane wejściowe 2 28 28 2" xfId="11165" xr:uid="{00000000-0005-0000-0000-0000882B0000}"/>
    <cellStyle name="Dane wejściowe 2 28 28 3" xfId="11166" xr:uid="{00000000-0005-0000-0000-0000892B0000}"/>
    <cellStyle name="Dane wejściowe 2 28 29" xfId="11167" xr:uid="{00000000-0005-0000-0000-00008A2B0000}"/>
    <cellStyle name="Dane wejściowe 2 28 29 2" xfId="11168" xr:uid="{00000000-0005-0000-0000-00008B2B0000}"/>
    <cellStyle name="Dane wejściowe 2 28 29 3" xfId="11169" xr:uid="{00000000-0005-0000-0000-00008C2B0000}"/>
    <cellStyle name="Dane wejściowe 2 28 3" xfId="11170" xr:uid="{00000000-0005-0000-0000-00008D2B0000}"/>
    <cellStyle name="Dane wejściowe 2 28 3 2" xfId="11171" xr:uid="{00000000-0005-0000-0000-00008E2B0000}"/>
    <cellStyle name="Dane wejściowe 2 28 3 3" xfId="11172" xr:uid="{00000000-0005-0000-0000-00008F2B0000}"/>
    <cellStyle name="Dane wejściowe 2 28 3 4" xfId="11173" xr:uid="{00000000-0005-0000-0000-0000902B0000}"/>
    <cellStyle name="Dane wejściowe 2 28 30" xfId="11174" xr:uid="{00000000-0005-0000-0000-0000912B0000}"/>
    <cellStyle name="Dane wejściowe 2 28 30 2" xfId="11175" xr:uid="{00000000-0005-0000-0000-0000922B0000}"/>
    <cellStyle name="Dane wejściowe 2 28 30 3" xfId="11176" xr:uid="{00000000-0005-0000-0000-0000932B0000}"/>
    <cellStyle name="Dane wejściowe 2 28 31" xfId="11177" xr:uid="{00000000-0005-0000-0000-0000942B0000}"/>
    <cellStyle name="Dane wejściowe 2 28 31 2" xfId="11178" xr:uid="{00000000-0005-0000-0000-0000952B0000}"/>
    <cellStyle name="Dane wejściowe 2 28 31 3" xfId="11179" xr:uid="{00000000-0005-0000-0000-0000962B0000}"/>
    <cellStyle name="Dane wejściowe 2 28 32" xfId="11180" xr:uid="{00000000-0005-0000-0000-0000972B0000}"/>
    <cellStyle name="Dane wejściowe 2 28 32 2" xfId="11181" xr:uid="{00000000-0005-0000-0000-0000982B0000}"/>
    <cellStyle name="Dane wejściowe 2 28 32 3" xfId="11182" xr:uid="{00000000-0005-0000-0000-0000992B0000}"/>
    <cellStyle name="Dane wejściowe 2 28 33" xfId="11183" xr:uid="{00000000-0005-0000-0000-00009A2B0000}"/>
    <cellStyle name="Dane wejściowe 2 28 33 2" xfId="11184" xr:uid="{00000000-0005-0000-0000-00009B2B0000}"/>
    <cellStyle name="Dane wejściowe 2 28 33 3" xfId="11185" xr:uid="{00000000-0005-0000-0000-00009C2B0000}"/>
    <cellStyle name="Dane wejściowe 2 28 34" xfId="11186" xr:uid="{00000000-0005-0000-0000-00009D2B0000}"/>
    <cellStyle name="Dane wejściowe 2 28 34 2" xfId="11187" xr:uid="{00000000-0005-0000-0000-00009E2B0000}"/>
    <cellStyle name="Dane wejściowe 2 28 34 3" xfId="11188" xr:uid="{00000000-0005-0000-0000-00009F2B0000}"/>
    <cellStyle name="Dane wejściowe 2 28 35" xfId="11189" xr:uid="{00000000-0005-0000-0000-0000A02B0000}"/>
    <cellStyle name="Dane wejściowe 2 28 35 2" xfId="11190" xr:uid="{00000000-0005-0000-0000-0000A12B0000}"/>
    <cellStyle name="Dane wejściowe 2 28 35 3" xfId="11191" xr:uid="{00000000-0005-0000-0000-0000A22B0000}"/>
    <cellStyle name="Dane wejściowe 2 28 36" xfId="11192" xr:uid="{00000000-0005-0000-0000-0000A32B0000}"/>
    <cellStyle name="Dane wejściowe 2 28 36 2" xfId="11193" xr:uid="{00000000-0005-0000-0000-0000A42B0000}"/>
    <cellStyle name="Dane wejściowe 2 28 36 3" xfId="11194" xr:uid="{00000000-0005-0000-0000-0000A52B0000}"/>
    <cellStyle name="Dane wejściowe 2 28 37" xfId="11195" xr:uid="{00000000-0005-0000-0000-0000A62B0000}"/>
    <cellStyle name="Dane wejściowe 2 28 37 2" xfId="11196" xr:uid="{00000000-0005-0000-0000-0000A72B0000}"/>
    <cellStyle name="Dane wejściowe 2 28 37 3" xfId="11197" xr:uid="{00000000-0005-0000-0000-0000A82B0000}"/>
    <cellStyle name="Dane wejściowe 2 28 38" xfId="11198" xr:uid="{00000000-0005-0000-0000-0000A92B0000}"/>
    <cellStyle name="Dane wejściowe 2 28 38 2" xfId="11199" xr:uid="{00000000-0005-0000-0000-0000AA2B0000}"/>
    <cellStyle name="Dane wejściowe 2 28 38 3" xfId="11200" xr:uid="{00000000-0005-0000-0000-0000AB2B0000}"/>
    <cellStyle name="Dane wejściowe 2 28 39" xfId="11201" xr:uid="{00000000-0005-0000-0000-0000AC2B0000}"/>
    <cellStyle name="Dane wejściowe 2 28 39 2" xfId="11202" xr:uid="{00000000-0005-0000-0000-0000AD2B0000}"/>
    <cellStyle name="Dane wejściowe 2 28 39 3" xfId="11203" xr:uid="{00000000-0005-0000-0000-0000AE2B0000}"/>
    <cellStyle name="Dane wejściowe 2 28 4" xfId="11204" xr:uid="{00000000-0005-0000-0000-0000AF2B0000}"/>
    <cellStyle name="Dane wejściowe 2 28 4 2" xfId="11205" xr:uid="{00000000-0005-0000-0000-0000B02B0000}"/>
    <cellStyle name="Dane wejściowe 2 28 4 3" xfId="11206" xr:uid="{00000000-0005-0000-0000-0000B12B0000}"/>
    <cellStyle name="Dane wejściowe 2 28 4 4" xfId="11207" xr:uid="{00000000-0005-0000-0000-0000B22B0000}"/>
    <cellStyle name="Dane wejściowe 2 28 40" xfId="11208" xr:uid="{00000000-0005-0000-0000-0000B32B0000}"/>
    <cellStyle name="Dane wejściowe 2 28 40 2" xfId="11209" xr:uid="{00000000-0005-0000-0000-0000B42B0000}"/>
    <cellStyle name="Dane wejściowe 2 28 40 3" xfId="11210" xr:uid="{00000000-0005-0000-0000-0000B52B0000}"/>
    <cellStyle name="Dane wejściowe 2 28 41" xfId="11211" xr:uid="{00000000-0005-0000-0000-0000B62B0000}"/>
    <cellStyle name="Dane wejściowe 2 28 41 2" xfId="11212" xr:uid="{00000000-0005-0000-0000-0000B72B0000}"/>
    <cellStyle name="Dane wejściowe 2 28 41 3" xfId="11213" xr:uid="{00000000-0005-0000-0000-0000B82B0000}"/>
    <cellStyle name="Dane wejściowe 2 28 42" xfId="11214" xr:uid="{00000000-0005-0000-0000-0000B92B0000}"/>
    <cellStyle name="Dane wejściowe 2 28 42 2" xfId="11215" xr:uid="{00000000-0005-0000-0000-0000BA2B0000}"/>
    <cellStyle name="Dane wejściowe 2 28 42 3" xfId="11216" xr:uid="{00000000-0005-0000-0000-0000BB2B0000}"/>
    <cellStyle name="Dane wejściowe 2 28 43" xfId="11217" xr:uid="{00000000-0005-0000-0000-0000BC2B0000}"/>
    <cellStyle name="Dane wejściowe 2 28 43 2" xfId="11218" xr:uid="{00000000-0005-0000-0000-0000BD2B0000}"/>
    <cellStyle name="Dane wejściowe 2 28 43 3" xfId="11219" xr:uid="{00000000-0005-0000-0000-0000BE2B0000}"/>
    <cellStyle name="Dane wejściowe 2 28 44" xfId="11220" xr:uid="{00000000-0005-0000-0000-0000BF2B0000}"/>
    <cellStyle name="Dane wejściowe 2 28 44 2" xfId="11221" xr:uid="{00000000-0005-0000-0000-0000C02B0000}"/>
    <cellStyle name="Dane wejściowe 2 28 44 3" xfId="11222" xr:uid="{00000000-0005-0000-0000-0000C12B0000}"/>
    <cellStyle name="Dane wejściowe 2 28 45" xfId="11223" xr:uid="{00000000-0005-0000-0000-0000C22B0000}"/>
    <cellStyle name="Dane wejściowe 2 28 45 2" xfId="11224" xr:uid="{00000000-0005-0000-0000-0000C32B0000}"/>
    <cellStyle name="Dane wejściowe 2 28 45 3" xfId="11225" xr:uid="{00000000-0005-0000-0000-0000C42B0000}"/>
    <cellStyle name="Dane wejściowe 2 28 46" xfId="11226" xr:uid="{00000000-0005-0000-0000-0000C52B0000}"/>
    <cellStyle name="Dane wejściowe 2 28 46 2" xfId="11227" xr:uid="{00000000-0005-0000-0000-0000C62B0000}"/>
    <cellStyle name="Dane wejściowe 2 28 46 3" xfId="11228" xr:uid="{00000000-0005-0000-0000-0000C72B0000}"/>
    <cellStyle name="Dane wejściowe 2 28 47" xfId="11229" xr:uid="{00000000-0005-0000-0000-0000C82B0000}"/>
    <cellStyle name="Dane wejściowe 2 28 47 2" xfId="11230" xr:uid="{00000000-0005-0000-0000-0000C92B0000}"/>
    <cellStyle name="Dane wejściowe 2 28 47 3" xfId="11231" xr:uid="{00000000-0005-0000-0000-0000CA2B0000}"/>
    <cellStyle name="Dane wejściowe 2 28 48" xfId="11232" xr:uid="{00000000-0005-0000-0000-0000CB2B0000}"/>
    <cellStyle name="Dane wejściowe 2 28 48 2" xfId="11233" xr:uid="{00000000-0005-0000-0000-0000CC2B0000}"/>
    <cellStyle name="Dane wejściowe 2 28 48 3" xfId="11234" xr:uid="{00000000-0005-0000-0000-0000CD2B0000}"/>
    <cellStyle name="Dane wejściowe 2 28 49" xfId="11235" xr:uid="{00000000-0005-0000-0000-0000CE2B0000}"/>
    <cellStyle name="Dane wejściowe 2 28 49 2" xfId="11236" xr:uid="{00000000-0005-0000-0000-0000CF2B0000}"/>
    <cellStyle name="Dane wejściowe 2 28 49 3" xfId="11237" xr:uid="{00000000-0005-0000-0000-0000D02B0000}"/>
    <cellStyle name="Dane wejściowe 2 28 5" xfId="11238" xr:uid="{00000000-0005-0000-0000-0000D12B0000}"/>
    <cellStyle name="Dane wejściowe 2 28 5 2" xfId="11239" xr:uid="{00000000-0005-0000-0000-0000D22B0000}"/>
    <cellStyle name="Dane wejściowe 2 28 5 3" xfId="11240" xr:uid="{00000000-0005-0000-0000-0000D32B0000}"/>
    <cellStyle name="Dane wejściowe 2 28 5 4" xfId="11241" xr:uid="{00000000-0005-0000-0000-0000D42B0000}"/>
    <cellStyle name="Dane wejściowe 2 28 50" xfId="11242" xr:uid="{00000000-0005-0000-0000-0000D52B0000}"/>
    <cellStyle name="Dane wejściowe 2 28 50 2" xfId="11243" xr:uid="{00000000-0005-0000-0000-0000D62B0000}"/>
    <cellStyle name="Dane wejściowe 2 28 50 3" xfId="11244" xr:uid="{00000000-0005-0000-0000-0000D72B0000}"/>
    <cellStyle name="Dane wejściowe 2 28 51" xfId="11245" xr:uid="{00000000-0005-0000-0000-0000D82B0000}"/>
    <cellStyle name="Dane wejściowe 2 28 51 2" xfId="11246" xr:uid="{00000000-0005-0000-0000-0000D92B0000}"/>
    <cellStyle name="Dane wejściowe 2 28 51 3" xfId="11247" xr:uid="{00000000-0005-0000-0000-0000DA2B0000}"/>
    <cellStyle name="Dane wejściowe 2 28 52" xfId="11248" xr:uid="{00000000-0005-0000-0000-0000DB2B0000}"/>
    <cellStyle name="Dane wejściowe 2 28 52 2" xfId="11249" xr:uid="{00000000-0005-0000-0000-0000DC2B0000}"/>
    <cellStyle name="Dane wejściowe 2 28 52 3" xfId="11250" xr:uid="{00000000-0005-0000-0000-0000DD2B0000}"/>
    <cellStyle name="Dane wejściowe 2 28 53" xfId="11251" xr:uid="{00000000-0005-0000-0000-0000DE2B0000}"/>
    <cellStyle name="Dane wejściowe 2 28 53 2" xfId="11252" xr:uid="{00000000-0005-0000-0000-0000DF2B0000}"/>
    <cellStyle name="Dane wejściowe 2 28 53 3" xfId="11253" xr:uid="{00000000-0005-0000-0000-0000E02B0000}"/>
    <cellStyle name="Dane wejściowe 2 28 54" xfId="11254" xr:uid="{00000000-0005-0000-0000-0000E12B0000}"/>
    <cellStyle name="Dane wejściowe 2 28 54 2" xfId="11255" xr:uid="{00000000-0005-0000-0000-0000E22B0000}"/>
    <cellStyle name="Dane wejściowe 2 28 54 3" xfId="11256" xr:uid="{00000000-0005-0000-0000-0000E32B0000}"/>
    <cellStyle name="Dane wejściowe 2 28 55" xfId="11257" xr:uid="{00000000-0005-0000-0000-0000E42B0000}"/>
    <cellStyle name="Dane wejściowe 2 28 55 2" xfId="11258" xr:uid="{00000000-0005-0000-0000-0000E52B0000}"/>
    <cellStyle name="Dane wejściowe 2 28 55 3" xfId="11259" xr:uid="{00000000-0005-0000-0000-0000E62B0000}"/>
    <cellStyle name="Dane wejściowe 2 28 56" xfId="11260" xr:uid="{00000000-0005-0000-0000-0000E72B0000}"/>
    <cellStyle name="Dane wejściowe 2 28 56 2" xfId="11261" xr:uid="{00000000-0005-0000-0000-0000E82B0000}"/>
    <cellStyle name="Dane wejściowe 2 28 56 3" xfId="11262" xr:uid="{00000000-0005-0000-0000-0000E92B0000}"/>
    <cellStyle name="Dane wejściowe 2 28 57" xfId="11263" xr:uid="{00000000-0005-0000-0000-0000EA2B0000}"/>
    <cellStyle name="Dane wejściowe 2 28 58" xfId="11264" xr:uid="{00000000-0005-0000-0000-0000EB2B0000}"/>
    <cellStyle name="Dane wejściowe 2 28 6" xfId="11265" xr:uid="{00000000-0005-0000-0000-0000EC2B0000}"/>
    <cellStyle name="Dane wejściowe 2 28 6 2" xfId="11266" xr:uid="{00000000-0005-0000-0000-0000ED2B0000}"/>
    <cellStyle name="Dane wejściowe 2 28 6 3" xfId="11267" xr:uid="{00000000-0005-0000-0000-0000EE2B0000}"/>
    <cellStyle name="Dane wejściowe 2 28 6 4" xfId="11268" xr:uid="{00000000-0005-0000-0000-0000EF2B0000}"/>
    <cellStyle name="Dane wejściowe 2 28 7" xfId="11269" xr:uid="{00000000-0005-0000-0000-0000F02B0000}"/>
    <cellStyle name="Dane wejściowe 2 28 7 2" xfId="11270" xr:uid="{00000000-0005-0000-0000-0000F12B0000}"/>
    <cellStyle name="Dane wejściowe 2 28 7 3" xfId="11271" xr:uid="{00000000-0005-0000-0000-0000F22B0000}"/>
    <cellStyle name="Dane wejściowe 2 28 7 4" xfId="11272" xr:uid="{00000000-0005-0000-0000-0000F32B0000}"/>
    <cellStyle name="Dane wejściowe 2 28 8" xfId="11273" xr:uid="{00000000-0005-0000-0000-0000F42B0000}"/>
    <cellStyle name="Dane wejściowe 2 28 8 2" xfId="11274" xr:uid="{00000000-0005-0000-0000-0000F52B0000}"/>
    <cellStyle name="Dane wejściowe 2 28 8 3" xfId="11275" xr:uid="{00000000-0005-0000-0000-0000F62B0000}"/>
    <cellStyle name="Dane wejściowe 2 28 8 4" xfId="11276" xr:uid="{00000000-0005-0000-0000-0000F72B0000}"/>
    <cellStyle name="Dane wejściowe 2 28 9" xfId="11277" xr:uid="{00000000-0005-0000-0000-0000F82B0000}"/>
    <cellStyle name="Dane wejściowe 2 28 9 2" xfId="11278" xr:uid="{00000000-0005-0000-0000-0000F92B0000}"/>
    <cellStyle name="Dane wejściowe 2 28 9 3" xfId="11279" xr:uid="{00000000-0005-0000-0000-0000FA2B0000}"/>
    <cellStyle name="Dane wejściowe 2 28 9 4" xfId="11280" xr:uid="{00000000-0005-0000-0000-0000FB2B0000}"/>
    <cellStyle name="Dane wejściowe 2 29" xfId="11281" xr:uid="{00000000-0005-0000-0000-0000FC2B0000}"/>
    <cellStyle name="Dane wejściowe 2 29 2" xfId="11282" xr:uid="{00000000-0005-0000-0000-0000FD2B0000}"/>
    <cellStyle name="Dane wejściowe 2 29 3" xfId="11283" xr:uid="{00000000-0005-0000-0000-0000FE2B0000}"/>
    <cellStyle name="Dane wejściowe 2 29 4" xfId="11284" xr:uid="{00000000-0005-0000-0000-0000FF2B0000}"/>
    <cellStyle name="Dane wejściowe 2 3" xfId="11285" xr:uid="{00000000-0005-0000-0000-0000002C0000}"/>
    <cellStyle name="Dane wejściowe 2 3 10" xfId="11286" xr:uid="{00000000-0005-0000-0000-0000012C0000}"/>
    <cellStyle name="Dane wejściowe 2 3 10 2" xfId="11287" xr:uid="{00000000-0005-0000-0000-0000022C0000}"/>
    <cellStyle name="Dane wejściowe 2 3 10 3" xfId="11288" xr:uid="{00000000-0005-0000-0000-0000032C0000}"/>
    <cellStyle name="Dane wejściowe 2 3 10 4" xfId="11289" xr:uid="{00000000-0005-0000-0000-0000042C0000}"/>
    <cellStyle name="Dane wejściowe 2 3 11" xfId="11290" xr:uid="{00000000-0005-0000-0000-0000052C0000}"/>
    <cellStyle name="Dane wejściowe 2 3 11 2" xfId="11291" xr:uid="{00000000-0005-0000-0000-0000062C0000}"/>
    <cellStyle name="Dane wejściowe 2 3 11 3" xfId="11292" xr:uid="{00000000-0005-0000-0000-0000072C0000}"/>
    <cellStyle name="Dane wejściowe 2 3 11 4" xfId="11293" xr:uid="{00000000-0005-0000-0000-0000082C0000}"/>
    <cellStyle name="Dane wejściowe 2 3 12" xfId="11294" xr:uid="{00000000-0005-0000-0000-0000092C0000}"/>
    <cellStyle name="Dane wejściowe 2 3 12 2" xfId="11295" xr:uid="{00000000-0005-0000-0000-00000A2C0000}"/>
    <cellStyle name="Dane wejściowe 2 3 12 3" xfId="11296" xr:uid="{00000000-0005-0000-0000-00000B2C0000}"/>
    <cellStyle name="Dane wejściowe 2 3 12 4" xfId="11297" xr:uid="{00000000-0005-0000-0000-00000C2C0000}"/>
    <cellStyle name="Dane wejściowe 2 3 13" xfId="11298" xr:uid="{00000000-0005-0000-0000-00000D2C0000}"/>
    <cellStyle name="Dane wejściowe 2 3 13 2" xfId="11299" xr:uid="{00000000-0005-0000-0000-00000E2C0000}"/>
    <cellStyle name="Dane wejściowe 2 3 13 3" xfId="11300" xr:uid="{00000000-0005-0000-0000-00000F2C0000}"/>
    <cellStyle name="Dane wejściowe 2 3 13 4" xfId="11301" xr:uid="{00000000-0005-0000-0000-0000102C0000}"/>
    <cellStyle name="Dane wejściowe 2 3 14" xfId="11302" xr:uid="{00000000-0005-0000-0000-0000112C0000}"/>
    <cellStyle name="Dane wejściowe 2 3 14 2" xfId="11303" xr:uid="{00000000-0005-0000-0000-0000122C0000}"/>
    <cellStyle name="Dane wejściowe 2 3 14 3" xfId="11304" xr:uid="{00000000-0005-0000-0000-0000132C0000}"/>
    <cellStyle name="Dane wejściowe 2 3 14 4" xfId="11305" xr:uid="{00000000-0005-0000-0000-0000142C0000}"/>
    <cellStyle name="Dane wejściowe 2 3 15" xfId="11306" xr:uid="{00000000-0005-0000-0000-0000152C0000}"/>
    <cellStyle name="Dane wejściowe 2 3 15 2" xfId="11307" xr:uid="{00000000-0005-0000-0000-0000162C0000}"/>
    <cellStyle name="Dane wejściowe 2 3 15 3" xfId="11308" xr:uid="{00000000-0005-0000-0000-0000172C0000}"/>
    <cellStyle name="Dane wejściowe 2 3 15 4" xfId="11309" xr:uid="{00000000-0005-0000-0000-0000182C0000}"/>
    <cellStyle name="Dane wejściowe 2 3 16" xfId="11310" xr:uid="{00000000-0005-0000-0000-0000192C0000}"/>
    <cellStyle name="Dane wejściowe 2 3 16 2" xfId="11311" xr:uid="{00000000-0005-0000-0000-00001A2C0000}"/>
    <cellStyle name="Dane wejściowe 2 3 16 3" xfId="11312" xr:uid="{00000000-0005-0000-0000-00001B2C0000}"/>
    <cellStyle name="Dane wejściowe 2 3 16 4" xfId="11313" xr:uid="{00000000-0005-0000-0000-00001C2C0000}"/>
    <cellStyle name="Dane wejściowe 2 3 17" xfId="11314" xr:uid="{00000000-0005-0000-0000-00001D2C0000}"/>
    <cellStyle name="Dane wejściowe 2 3 17 2" xfId="11315" xr:uid="{00000000-0005-0000-0000-00001E2C0000}"/>
    <cellStyle name="Dane wejściowe 2 3 17 3" xfId="11316" xr:uid="{00000000-0005-0000-0000-00001F2C0000}"/>
    <cellStyle name="Dane wejściowe 2 3 17 4" xfId="11317" xr:uid="{00000000-0005-0000-0000-0000202C0000}"/>
    <cellStyle name="Dane wejściowe 2 3 18" xfId="11318" xr:uid="{00000000-0005-0000-0000-0000212C0000}"/>
    <cellStyle name="Dane wejściowe 2 3 18 2" xfId="11319" xr:uid="{00000000-0005-0000-0000-0000222C0000}"/>
    <cellStyle name="Dane wejściowe 2 3 18 3" xfId="11320" xr:uid="{00000000-0005-0000-0000-0000232C0000}"/>
    <cellStyle name="Dane wejściowe 2 3 18 4" xfId="11321" xr:uid="{00000000-0005-0000-0000-0000242C0000}"/>
    <cellStyle name="Dane wejściowe 2 3 19" xfId="11322" xr:uid="{00000000-0005-0000-0000-0000252C0000}"/>
    <cellStyle name="Dane wejściowe 2 3 19 2" xfId="11323" xr:uid="{00000000-0005-0000-0000-0000262C0000}"/>
    <cellStyle name="Dane wejściowe 2 3 19 3" xfId="11324" xr:uid="{00000000-0005-0000-0000-0000272C0000}"/>
    <cellStyle name="Dane wejściowe 2 3 19 4" xfId="11325" xr:uid="{00000000-0005-0000-0000-0000282C0000}"/>
    <cellStyle name="Dane wejściowe 2 3 2" xfId="11326" xr:uid="{00000000-0005-0000-0000-0000292C0000}"/>
    <cellStyle name="Dane wejściowe 2 3 2 2" xfId="11327" xr:uid="{00000000-0005-0000-0000-00002A2C0000}"/>
    <cellStyle name="Dane wejściowe 2 3 2 3" xfId="11328" xr:uid="{00000000-0005-0000-0000-00002B2C0000}"/>
    <cellStyle name="Dane wejściowe 2 3 2 4" xfId="11329" xr:uid="{00000000-0005-0000-0000-00002C2C0000}"/>
    <cellStyle name="Dane wejściowe 2 3 20" xfId="11330" xr:uid="{00000000-0005-0000-0000-00002D2C0000}"/>
    <cellStyle name="Dane wejściowe 2 3 20 2" xfId="11331" xr:uid="{00000000-0005-0000-0000-00002E2C0000}"/>
    <cellStyle name="Dane wejściowe 2 3 20 3" xfId="11332" xr:uid="{00000000-0005-0000-0000-00002F2C0000}"/>
    <cellStyle name="Dane wejściowe 2 3 20 4" xfId="11333" xr:uid="{00000000-0005-0000-0000-0000302C0000}"/>
    <cellStyle name="Dane wejściowe 2 3 21" xfId="11334" xr:uid="{00000000-0005-0000-0000-0000312C0000}"/>
    <cellStyle name="Dane wejściowe 2 3 21 2" xfId="11335" xr:uid="{00000000-0005-0000-0000-0000322C0000}"/>
    <cellStyle name="Dane wejściowe 2 3 21 3" xfId="11336" xr:uid="{00000000-0005-0000-0000-0000332C0000}"/>
    <cellStyle name="Dane wejściowe 2 3 22" xfId="11337" xr:uid="{00000000-0005-0000-0000-0000342C0000}"/>
    <cellStyle name="Dane wejściowe 2 3 22 2" xfId="11338" xr:uid="{00000000-0005-0000-0000-0000352C0000}"/>
    <cellStyle name="Dane wejściowe 2 3 22 3" xfId="11339" xr:uid="{00000000-0005-0000-0000-0000362C0000}"/>
    <cellStyle name="Dane wejściowe 2 3 23" xfId="11340" xr:uid="{00000000-0005-0000-0000-0000372C0000}"/>
    <cellStyle name="Dane wejściowe 2 3 23 2" xfId="11341" xr:uid="{00000000-0005-0000-0000-0000382C0000}"/>
    <cellStyle name="Dane wejściowe 2 3 23 3" xfId="11342" xr:uid="{00000000-0005-0000-0000-0000392C0000}"/>
    <cellStyle name="Dane wejściowe 2 3 24" xfId="11343" xr:uid="{00000000-0005-0000-0000-00003A2C0000}"/>
    <cellStyle name="Dane wejściowe 2 3 24 2" xfId="11344" xr:uid="{00000000-0005-0000-0000-00003B2C0000}"/>
    <cellStyle name="Dane wejściowe 2 3 24 3" xfId="11345" xr:uid="{00000000-0005-0000-0000-00003C2C0000}"/>
    <cellStyle name="Dane wejściowe 2 3 25" xfId="11346" xr:uid="{00000000-0005-0000-0000-00003D2C0000}"/>
    <cellStyle name="Dane wejściowe 2 3 25 2" xfId="11347" xr:uid="{00000000-0005-0000-0000-00003E2C0000}"/>
    <cellStyle name="Dane wejściowe 2 3 25 3" xfId="11348" xr:uid="{00000000-0005-0000-0000-00003F2C0000}"/>
    <cellStyle name="Dane wejściowe 2 3 26" xfId="11349" xr:uid="{00000000-0005-0000-0000-0000402C0000}"/>
    <cellStyle name="Dane wejściowe 2 3 26 2" xfId="11350" xr:uid="{00000000-0005-0000-0000-0000412C0000}"/>
    <cellStyle name="Dane wejściowe 2 3 26 3" xfId="11351" xr:uid="{00000000-0005-0000-0000-0000422C0000}"/>
    <cellStyle name="Dane wejściowe 2 3 27" xfId="11352" xr:uid="{00000000-0005-0000-0000-0000432C0000}"/>
    <cellStyle name="Dane wejściowe 2 3 27 2" xfId="11353" xr:uid="{00000000-0005-0000-0000-0000442C0000}"/>
    <cellStyle name="Dane wejściowe 2 3 27 3" xfId="11354" xr:uid="{00000000-0005-0000-0000-0000452C0000}"/>
    <cellStyle name="Dane wejściowe 2 3 28" xfId="11355" xr:uid="{00000000-0005-0000-0000-0000462C0000}"/>
    <cellStyle name="Dane wejściowe 2 3 28 2" xfId="11356" xr:uid="{00000000-0005-0000-0000-0000472C0000}"/>
    <cellStyle name="Dane wejściowe 2 3 28 3" xfId="11357" xr:uid="{00000000-0005-0000-0000-0000482C0000}"/>
    <cellStyle name="Dane wejściowe 2 3 29" xfId="11358" xr:uid="{00000000-0005-0000-0000-0000492C0000}"/>
    <cellStyle name="Dane wejściowe 2 3 29 2" xfId="11359" xr:uid="{00000000-0005-0000-0000-00004A2C0000}"/>
    <cellStyle name="Dane wejściowe 2 3 29 3" xfId="11360" xr:uid="{00000000-0005-0000-0000-00004B2C0000}"/>
    <cellStyle name="Dane wejściowe 2 3 3" xfId="11361" xr:uid="{00000000-0005-0000-0000-00004C2C0000}"/>
    <cellStyle name="Dane wejściowe 2 3 3 2" xfId="11362" xr:uid="{00000000-0005-0000-0000-00004D2C0000}"/>
    <cellStyle name="Dane wejściowe 2 3 3 3" xfId="11363" xr:uid="{00000000-0005-0000-0000-00004E2C0000}"/>
    <cellStyle name="Dane wejściowe 2 3 3 4" xfId="11364" xr:uid="{00000000-0005-0000-0000-00004F2C0000}"/>
    <cellStyle name="Dane wejściowe 2 3 30" xfId="11365" xr:uid="{00000000-0005-0000-0000-0000502C0000}"/>
    <cellStyle name="Dane wejściowe 2 3 30 2" xfId="11366" xr:uid="{00000000-0005-0000-0000-0000512C0000}"/>
    <cellStyle name="Dane wejściowe 2 3 30 3" xfId="11367" xr:uid="{00000000-0005-0000-0000-0000522C0000}"/>
    <cellStyle name="Dane wejściowe 2 3 31" xfId="11368" xr:uid="{00000000-0005-0000-0000-0000532C0000}"/>
    <cellStyle name="Dane wejściowe 2 3 31 2" xfId="11369" xr:uid="{00000000-0005-0000-0000-0000542C0000}"/>
    <cellStyle name="Dane wejściowe 2 3 31 3" xfId="11370" xr:uid="{00000000-0005-0000-0000-0000552C0000}"/>
    <cellStyle name="Dane wejściowe 2 3 32" xfId="11371" xr:uid="{00000000-0005-0000-0000-0000562C0000}"/>
    <cellStyle name="Dane wejściowe 2 3 32 2" xfId="11372" xr:uid="{00000000-0005-0000-0000-0000572C0000}"/>
    <cellStyle name="Dane wejściowe 2 3 32 3" xfId="11373" xr:uid="{00000000-0005-0000-0000-0000582C0000}"/>
    <cellStyle name="Dane wejściowe 2 3 33" xfId="11374" xr:uid="{00000000-0005-0000-0000-0000592C0000}"/>
    <cellStyle name="Dane wejściowe 2 3 33 2" xfId="11375" xr:uid="{00000000-0005-0000-0000-00005A2C0000}"/>
    <cellStyle name="Dane wejściowe 2 3 33 3" xfId="11376" xr:uid="{00000000-0005-0000-0000-00005B2C0000}"/>
    <cellStyle name="Dane wejściowe 2 3 34" xfId="11377" xr:uid="{00000000-0005-0000-0000-00005C2C0000}"/>
    <cellStyle name="Dane wejściowe 2 3 34 2" xfId="11378" xr:uid="{00000000-0005-0000-0000-00005D2C0000}"/>
    <cellStyle name="Dane wejściowe 2 3 34 3" xfId="11379" xr:uid="{00000000-0005-0000-0000-00005E2C0000}"/>
    <cellStyle name="Dane wejściowe 2 3 35" xfId="11380" xr:uid="{00000000-0005-0000-0000-00005F2C0000}"/>
    <cellStyle name="Dane wejściowe 2 3 35 2" xfId="11381" xr:uid="{00000000-0005-0000-0000-0000602C0000}"/>
    <cellStyle name="Dane wejściowe 2 3 35 3" xfId="11382" xr:uid="{00000000-0005-0000-0000-0000612C0000}"/>
    <cellStyle name="Dane wejściowe 2 3 36" xfId="11383" xr:uid="{00000000-0005-0000-0000-0000622C0000}"/>
    <cellStyle name="Dane wejściowe 2 3 36 2" xfId="11384" xr:uid="{00000000-0005-0000-0000-0000632C0000}"/>
    <cellStyle name="Dane wejściowe 2 3 36 3" xfId="11385" xr:uid="{00000000-0005-0000-0000-0000642C0000}"/>
    <cellStyle name="Dane wejściowe 2 3 37" xfId="11386" xr:uid="{00000000-0005-0000-0000-0000652C0000}"/>
    <cellStyle name="Dane wejściowe 2 3 37 2" xfId="11387" xr:uid="{00000000-0005-0000-0000-0000662C0000}"/>
    <cellStyle name="Dane wejściowe 2 3 37 3" xfId="11388" xr:uid="{00000000-0005-0000-0000-0000672C0000}"/>
    <cellStyle name="Dane wejściowe 2 3 38" xfId="11389" xr:uid="{00000000-0005-0000-0000-0000682C0000}"/>
    <cellStyle name="Dane wejściowe 2 3 38 2" xfId="11390" xr:uid="{00000000-0005-0000-0000-0000692C0000}"/>
    <cellStyle name="Dane wejściowe 2 3 38 3" xfId="11391" xr:uid="{00000000-0005-0000-0000-00006A2C0000}"/>
    <cellStyle name="Dane wejściowe 2 3 39" xfId="11392" xr:uid="{00000000-0005-0000-0000-00006B2C0000}"/>
    <cellStyle name="Dane wejściowe 2 3 39 2" xfId="11393" xr:uid="{00000000-0005-0000-0000-00006C2C0000}"/>
    <cellStyle name="Dane wejściowe 2 3 39 3" xfId="11394" xr:uid="{00000000-0005-0000-0000-00006D2C0000}"/>
    <cellStyle name="Dane wejściowe 2 3 4" xfId="11395" xr:uid="{00000000-0005-0000-0000-00006E2C0000}"/>
    <cellStyle name="Dane wejściowe 2 3 4 2" xfId="11396" xr:uid="{00000000-0005-0000-0000-00006F2C0000}"/>
    <cellStyle name="Dane wejściowe 2 3 4 3" xfId="11397" xr:uid="{00000000-0005-0000-0000-0000702C0000}"/>
    <cellStyle name="Dane wejściowe 2 3 4 4" xfId="11398" xr:uid="{00000000-0005-0000-0000-0000712C0000}"/>
    <cellStyle name="Dane wejściowe 2 3 40" xfId="11399" xr:uid="{00000000-0005-0000-0000-0000722C0000}"/>
    <cellStyle name="Dane wejściowe 2 3 40 2" xfId="11400" xr:uid="{00000000-0005-0000-0000-0000732C0000}"/>
    <cellStyle name="Dane wejściowe 2 3 40 3" xfId="11401" xr:uid="{00000000-0005-0000-0000-0000742C0000}"/>
    <cellStyle name="Dane wejściowe 2 3 41" xfId="11402" xr:uid="{00000000-0005-0000-0000-0000752C0000}"/>
    <cellStyle name="Dane wejściowe 2 3 41 2" xfId="11403" xr:uid="{00000000-0005-0000-0000-0000762C0000}"/>
    <cellStyle name="Dane wejściowe 2 3 41 3" xfId="11404" xr:uid="{00000000-0005-0000-0000-0000772C0000}"/>
    <cellStyle name="Dane wejściowe 2 3 42" xfId="11405" xr:uid="{00000000-0005-0000-0000-0000782C0000}"/>
    <cellStyle name="Dane wejściowe 2 3 42 2" xfId="11406" xr:uid="{00000000-0005-0000-0000-0000792C0000}"/>
    <cellStyle name="Dane wejściowe 2 3 42 3" xfId="11407" xr:uid="{00000000-0005-0000-0000-00007A2C0000}"/>
    <cellStyle name="Dane wejściowe 2 3 43" xfId="11408" xr:uid="{00000000-0005-0000-0000-00007B2C0000}"/>
    <cellStyle name="Dane wejściowe 2 3 43 2" xfId="11409" xr:uid="{00000000-0005-0000-0000-00007C2C0000}"/>
    <cellStyle name="Dane wejściowe 2 3 43 3" xfId="11410" xr:uid="{00000000-0005-0000-0000-00007D2C0000}"/>
    <cellStyle name="Dane wejściowe 2 3 44" xfId="11411" xr:uid="{00000000-0005-0000-0000-00007E2C0000}"/>
    <cellStyle name="Dane wejściowe 2 3 44 2" xfId="11412" xr:uid="{00000000-0005-0000-0000-00007F2C0000}"/>
    <cellStyle name="Dane wejściowe 2 3 44 3" xfId="11413" xr:uid="{00000000-0005-0000-0000-0000802C0000}"/>
    <cellStyle name="Dane wejściowe 2 3 45" xfId="11414" xr:uid="{00000000-0005-0000-0000-0000812C0000}"/>
    <cellStyle name="Dane wejściowe 2 3 45 2" xfId="11415" xr:uid="{00000000-0005-0000-0000-0000822C0000}"/>
    <cellStyle name="Dane wejściowe 2 3 45 3" xfId="11416" xr:uid="{00000000-0005-0000-0000-0000832C0000}"/>
    <cellStyle name="Dane wejściowe 2 3 46" xfId="11417" xr:uid="{00000000-0005-0000-0000-0000842C0000}"/>
    <cellStyle name="Dane wejściowe 2 3 46 2" xfId="11418" xr:uid="{00000000-0005-0000-0000-0000852C0000}"/>
    <cellStyle name="Dane wejściowe 2 3 46 3" xfId="11419" xr:uid="{00000000-0005-0000-0000-0000862C0000}"/>
    <cellStyle name="Dane wejściowe 2 3 47" xfId="11420" xr:uid="{00000000-0005-0000-0000-0000872C0000}"/>
    <cellStyle name="Dane wejściowe 2 3 47 2" xfId="11421" xr:uid="{00000000-0005-0000-0000-0000882C0000}"/>
    <cellStyle name="Dane wejściowe 2 3 47 3" xfId="11422" xr:uid="{00000000-0005-0000-0000-0000892C0000}"/>
    <cellStyle name="Dane wejściowe 2 3 48" xfId="11423" xr:uid="{00000000-0005-0000-0000-00008A2C0000}"/>
    <cellStyle name="Dane wejściowe 2 3 48 2" xfId="11424" xr:uid="{00000000-0005-0000-0000-00008B2C0000}"/>
    <cellStyle name="Dane wejściowe 2 3 48 3" xfId="11425" xr:uid="{00000000-0005-0000-0000-00008C2C0000}"/>
    <cellStyle name="Dane wejściowe 2 3 49" xfId="11426" xr:uid="{00000000-0005-0000-0000-00008D2C0000}"/>
    <cellStyle name="Dane wejściowe 2 3 49 2" xfId="11427" xr:uid="{00000000-0005-0000-0000-00008E2C0000}"/>
    <cellStyle name="Dane wejściowe 2 3 49 3" xfId="11428" xr:uid="{00000000-0005-0000-0000-00008F2C0000}"/>
    <cellStyle name="Dane wejściowe 2 3 5" xfId="11429" xr:uid="{00000000-0005-0000-0000-0000902C0000}"/>
    <cellStyle name="Dane wejściowe 2 3 5 2" xfId="11430" xr:uid="{00000000-0005-0000-0000-0000912C0000}"/>
    <cellStyle name="Dane wejściowe 2 3 5 3" xfId="11431" xr:uid="{00000000-0005-0000-0000-0000922C0000}"/>
    <cellStyle name="Dane wejściowe 2 3 5 4" xfId="11432" xr:uid="{00000000-0005-0000-0000-0000932C0000}"/>
    <cellStyle name="Dane wejściowe 2 3 50" xfId="11433" xr:uid="{00000000-0005-0000-0000-0000942C0000}"/>
    <cellStyle name="Dane wejściowe 2 3 50 2" xfId="11434" xr:uid="{00000000-0005-0000-0000-0000952C0000}"/>
    <cellStyle name="Dane wejściowe 2 3 50 3" xfId="11435" xr:uid="{00000000-0005-0000-0000-0000962C0000}"/>
    <cellStyle name="Dane wejściowe 2 3 51" xfId="11436" xr:uid="{00000000-0005-0000-0000-0000972C0000}"/>
    <cellStyle name="Dane wejściowe 2 3 51 2" xfId="11437" xr:uid="{00000000-0005-0000-0000-0000982C0000}"/>
    <cellStyle name="Dane wejściowe 2 3 51 3" xfId="11438" xr:uid="{00000000-0005-0000-0000-0000992C0000}"/>
    <cellStyle name="Dane wejściowe 2 3 52" xfId="11439" xr:uid="{00000000-0005-0000-0000-00009A2C0000}"/>
    <cellStyle name="Dane wejściowe 2 3 52 2" xfId="11440" xr:uid="{00000000-0005-0000-0000-00009B2C0000}"/>
    <cellStyle name="Dane wejściowe 2 3 52 3" xfId="11441" xr:uid="{00000000-0005-0000-0000-00009C2C0000}"/>
    <cellStyle name="Dane wejściowe 2 3 53" xfId="11442" xr:uid="{00000000-0005-0000-0000-00009D2C0000}"/>
    <cellStyle name="Dane wejściowe 2 3 53 2" xfId="11443" xr:uid="{00000000-0005-0000-0000-00009E2C0000}"/>
    <cellStyle name="Dane wejściowe 2 3 53 3" xfId="11444" xr:uid="{00000000-0005-0000-0000-00009F2C0000}"/>
    <cellStyle name="Dane wejściowe 2 3 54" xfId="11445" xr:uid="{00000000-0005-0000-0000-0000A02C0000}"/>
    <cellStyle name="Dane wejściowe 2 3 54 2" xfId="11446" xr:uid="{00000000-0005-0000-0000-0000A12C0000}"/>
    <cellStyle name="Dane wejściowe 2 3 54 3" xfId="11447" xr:uid="{00000000-0005-0000-0000-0000A22C0000}"/>
    <cellStyle name="Dane wejściowe 2 3 55" xfId="11448" xr:uid="{00000000-0005-0000-0000-0000A32C0000}"/>
    <cellStyle name="Dane wejściowe 2 3 55 2" xfId="11449" xr:uid="{00000000-0005-0000-0000-0000A42C0000}"/>
    <cellStyle name="Dane wejściowe 2 3 55 3" xfId="11450" xr:uid="{00000000-0005-0000-0000-0000A52C0000}"/>
    <cellStyle name="Dane wejściowe 2 3 56" xfId="11451" xr:uid="{00000000-0005-0000-0000-0000A62C0000}"/>
    <cellStyle name="Dane wejściowe 2 3 56 2" xfId="11452" xr:uid="{00000000-0005-0000-0000-0000A72C0000}"/>
    <cellStyle name="Dane wejściowe 2 3 56 3" xfId="11453" xr:uid="{00000000-0005-0000-0000-0000A82C0000}"/>
    <cellStyle name="Dane wejściowe 2 3 57" xfId="11454" xr:uid="{00000000-0005-0000-0000-0000A92C0000}"/>
    <cellStyle name="Dane wejściowe 2 3 58" xfId="11455" xr:uid="{00000000-0005-0000-0000-0000AA2C0000}"/>
    <cellStyle name="Dane wejściowe 2 3 6" xfId="11456" xr:uid="{00000000-0005-0000-0000-0000AB2C0000}"/>
    <cellStyle name="Dane wejściowe 2 3 6 2" xfId="11457" xr:uid="{00000000-0005-0000-0000-0000AC2C0000}"/>
    <cellStyle name="Dane wejściowe 2 3 6 3" xfId="11458" xr:uid="{00000000-0005-0000-0000-0000AD2C0000}"/>
    <cellStyle name="Dane wejściowe 2 3 6 4" xfId="11459" xr:uid="{00000000-0005-0000-0000-0000AE2C0000}"/>
    <cellStyle name="Dane wejściowe 2 3 7" xfId="11460" xr:uid="{00000000-0005-0000-0000-0000AF2C0000}"/>
    <cellStyle name="Dane wejściowe 2 3 7 2" xfId="11461" xr:uid="{00000000-0005-0000-0000-0000B02C0000}"/>
    <cellStyle name="Dane wejściowe 2 3 7 3" xfId="11462" xr:uid="{00000000-0005-0000-0000-0000B12C0000}"/>
    <cellStyle name="Dane wejściowe 2 3 7 4" xfId="11463" xr:uid="{00000000-0005-0000-0000-0000B22C0000}"/>
    <cellStyle name="Dane wejściowe 2 3 8" xfId="11464" xr:uid="{00000000-0005-0000-0000-0000B32C0000}"/>
    <cellStyle name="Dane wejściowe 2 3 8 2" xfId="11465" xr:uid="{00000000-0005-0000-0000-0000B42C0000}"/>
    <cellStyle name="Dane wejściowe 2 3 8 3" xfId="11466" xr:uid="{00000000-0005-0000-0000-0000B52C0000}"/>
    <cellStyle name="Dane wejściowe 2 3 8 4" xfId="11467" xr:uid="{00000000-0005-0000-0000-0000B62C0000}"/>
    <cellStyle name="Dane wejściowe 2 3 9" xfId="11468" xr:uid="{00000000-0005-0000-0000-0000B72C0000}"/>
    <cellStyle name="Dane wejściowe 2 3 9 2" xfId="11469" xr:uid="{00000000-0005-0000-0000-0000B82C0000}"/>
    <cellStyle name="Dane wejściowe 2 3 9 3" xfId="11470" xr:uid="{00000000-0005-0000-0000-0000B92C0000}"/>
    <cellStyle name="Dane wejściowe 2 3 9 4" xfId="11471" xr:uid="{00000000-0005-0000-0000-0000BA2C0000}"/>
    <cellStyle name="Dane wejściowe 2 30" xfId="11472" xr:uid="{00000000-0005-0000-0000-0000BB2C0000}"/>
    <cellStyle name="Dane wejściowe 2 30 2" xfId="11473" xr:uid="{00000000-0005-0000-0000-0000BC2C0000}"/>
    <cellStyle name="Dane wejściowe 2 30 3" xfId="11474" xr:uid="{00000000-0005-0000-0000-0000BD2C0000}"/>
    <cellStyle name="Dane wejściowe 2 30 4" xfId="11475" xr:uid="{00000000-0005-0000-0000-0000BE2C0000}"/>
    <cellStyle name="Dane wejściowe 2 31" xfId="11476" xr:uid="{00000000-0005-0000-0000-0000BF2C0000}"/>
    <cellStyle name="Dane wejściowe 2 31 2" xfId="11477" xr:uid="{00000000-0005-0000-0000-0000C02C0000}"/>
    <cellStyle name="Dane wejściowe 2 31 3" xfId="11478" xr:uid="{00000000-0005-0000-0000-0000C12C0000}"/>
    <cellStyle name="Dane wejściowe 2 31 4" xfId="11479" xr:uid="{00000000-0005-0000-0000-0000C22C0000}"/>
    <cellStyle name="Dane wejściowe 2 32" xfId="11480" xr:uid="{00000000-0005-0000-0000-0000C32C0000}"/>
    <cellStyle name="Dane wejściowe 2 32 2" xfId="11481" xr:uid="{00000000-0005-0000-0000-0000C42C0000}"/>
    <cellStyle name="Dane wejściowe 2 32 3" xfId="11482" xr:uid="{00000000-0005-0000-0000-0000C52C0000}"/>
    <cellStyle name="Dane wejściowe 2 32 4" xfId="11483" xr:uid="{00000000-0005-0000-0000-0000C62C0000}"/>
    <cellStyle name="Dane wejściowe 2 33" xfId="11484" xr:uid="{00000000-0005-0000-0000-0000C72C0000}"/>
    <cellStyle name="Dane wejściowe 2 33 2" xfId="11485" xr:uid="{00000000-0005-0000-0000-0000C82C0000}"/>
    <cellStyle name="Dane wejściowe 2 33 3" xfId="11486" xr:uid="{00000000-0005-0000-0000-0000C92C0000}"/>
    <cellStyle name="Dane wejściowe 2 33 4" xfId="11487" xr:uid="{00000000-0005-0000-0000-0000CA2C0000}"/>
    <cellStyle name="Dane wejściowe 2 34" xfId="11488" xr:uid="{00000000-0005-0000-0000-0000CB2C0000}"/>
    <cellStyle name="Dane wejściowe 2 34 2" xfId="11489" xr:uid="{00000000-0005-0000-0000-0000CC2C0000}"/>
    <cellStyle name="Dane wejściowe 2 34 3" xfId="11490" xr:uid="{00000000-0005-0000-0000-0000CD2C0000}"/>
    <cellStyle name="Dane wejściowe 2 34 4" xfId="11491" xr:uid="{00000000-0005-0000-0000-0000CE2C0000}"/>
    <cellStyle name="Dane wejściowe 2 35" xfId="11492" xr:uid="{00000000-0005-0000-0000-0000CF2C0000}"/>
    <cellStyle name="Dane wejściowe 2 35 2" xfId="11493" xr:uid="{00000000-0005-0000-0000-0000D02C0000}"/>
    <cellStyle name="Dane wejściowe 2 35 3" xfId="11494" xr:uid="{00000000-0005-0000-0000-0000D12C0000}"/>
    <cellStyle name="Dane wejściowe 2 35 4" xfId="11495" xr:uid="{00000000-0005-0000-0000-0000D22C0000}"/>
    <cellStyle name="Dane wejściowe 2 36" xfId="11496" xr:uid="{00000000-0005-0000-0000-0000D32C0000}"/>
    <cellStyle name="Dane wejściowe 2 36 2" xfId="11497" xr:uid="{00000000-0005-0000-0000-0000D42C0000}"/>
    <cellStyle name="Dane wejściowe 2 36 3" xfId="11498" xr:uid="{00000000-0005-0000-0000-0000D52C0000}"/>
    <cellStyle name="Dane wejściowe 2 36 4" xfId="11499" xr:uid="{00000000-0005-0000-0000-0000D62C0000}"/>
    <cellStyle name="Dane wejściowe 2 37" xfId="11500" xr:uid="{00000000-0005-0000-0000-0000D72C0000}"/>
    <cellStyle name="Dane wejściowe 2 37 2" xfId="11501" xr:uid="{00000000-0005-0000-0000-0000D82C0000}"/>
    <cellStyle name="Dane wejściowe 2 37 3" xfId="11502" xr:uid="{00000000-0005-0000-0000-0000D92C0000}"/>
    <cellStyle name="Dane wejściowe 2 37 4" xfId="11503" xr:uid="{00000000-0005-0000-0000-0000DA2C0000}"/>
    <cellStyle name="Dane wejściowe 2 38" xfId="11504" xr:uid="{00000000-0005-0000-0000-0000DB2C0000}"/>
    <cellStyle name="Dane wejściowe 2 38 2" xfId="11505" xr:uid="{00000000-0005-0000-0000-0000DC2C0000}"/>
    <cellStyle name="Dane wejściowe 2 38 3" xfId="11506" xr:uid="{00000000-0005-0000-0000-0000DD2C0000}"/>
    <cellStyle name="Dane wejściowe 2 38 4" xfId="11507" xr:uid="{00000000-0005-0000-0000-0000DE2C0000}"/>
    <cellStyle name="Dane wejściowe 2 39" xfId="11508" xr:uid="{00000000-0005-0000-0000-0000DF2C0000}"/>
    <cellStyle name="Dane wejściowe 2 39 2" xfId="11509" xr:uid="{00000000-0005-0000-0000-0000E02C0000}"/>
    <cellStyle name="Dane wejściowe 2 39 3" xfId="11510" xr:uid="{00000000-0005-0000-0000-0000E12C0000}"/>
    <cellStyle name="Dane wejściowe 2 39 4" xfId="11511" xr:uid="{00000000-0005-0000-0000-0000E22C0000}"/>
    <cellStyle name="Dane wejściowe 2 4" xfId="11512" xr:uid="{00000000-0005-0000-0000-0000E32C0000}"/>
    <cellStyle name="Dane wejściowe 2 4 10" xfId="11513" xr:uid="{00000000-0005-0000-0000-0000E42C0000}"/>
    <cellStyle name="Dane wejściowe 2 4 10 2" xfId="11514" xr:uid="{00000000-0005-0000-0000-0000E52C0000}"/>
    <cellStyle name="Dane wejściowe 2 4 10 3" xfId="11515" xr:uid="{00000000-0005-0000-0000-0000E62C0000}"/>
    <cellStyle name="Dane wejściowe 2 4 10 4" xfId="11516" xr:uid="{00000000-0005-0000-0000-0000E72C0000}"/>
    <cellStyle name="Dane wejściowe 2 4 11" xfId="11517" xr:uid="{00000000-0005-0000-0000-0000E82C0000}"/>
    <cellStyle name="Dane wejściowe 2 4 11 2" xfId="11518" xr:uid="{00000000-0005-0000-0000-0000E92C0000}"/>
    <cellStyle name="Dane wejściowe 2 4 11 3" xfId="11519" xr:uid="{00000000-0005-0000-0000-0000EA2C0000}"/>
    <cellStyle name="Dane wejściowe 2 4 11 4" xfId="11520" xr:uid="{00000000-0005-0000-0000-0000EB2C0000}"/>
    <cellStyle name="Dane wejściowe 2 4 12" xfId="11521" xr:uid="{00000000-0005-0000-0000-0000EC2C0000}"/>
    <cellStyle name="Dane wejściowe 2 4 12 2" xfId="11522" xr:uid="{00000000-0005-0000-0000-0000ED2C0000}"/>
    <cellStyle name="Dane wejściowe 2 4 12 3" xfId="11523" xr:uid="{00000000-0005-0000-0000-0000EE2C0000}"/>
    <cellStyle name="Dane wejściowe 2 4 12 4" xfId="11524" xr:uid="{00000000-0005-0000-0000-0000EF2C0000}"/>
    <cellStyle name="Dane wejściowe 2 4 13" xfId="11525" xr:uid="{00000000-0005-0000-0000-0000F02C0000}"/>
    <cellStyle name="Dane wejściowe 2 4 13 2" xfId="11526" xr:uid="{00000000-0005-0000-0000-0000F12C0000}"/>
    <cellStyle name="Dane wejściowe 2 4 13 3" xfId="11527" xr:uid="{00000000-0005-0000-0000-0000F22C0000}"/>
    <cellStyle name="Dane wejściowe 2 4 13 4" xfId="11528" xr:uid="{00000000-0005-0000-0000-0000F32C0000}"/>
    <cellStyle name="Dane wejściowe 2 4 14" xfId="11529" xr:uid="{00000000-0005-0000-0000-0000F42C0000}"/>
    <cellStyle name="Dane wejściowe 2 4 14 2" xfId="11530" xr:uid="{00000000-0005-0000-0000-0000F52C0000}"/>
    <cellStyle name="Dane wejściowe 2 4 14 3" xfId="11531" xr:uid="{00000000-0005-0000-0000-0000F62C0000}"/>
    <cellStyle name="Dane wejściowe 2 4 14 4" xfId="11532" xr:uid="{00000000-0005-0000-0000-0000F72C0000}"/>
    <cellStyle name="Dane wejściowe 2 4 15" xfId="11533" xr:uid="{00000000-0005-0000-0000-0000F82C0000}"/>
    <cellStyle name="Dane wejściowe 2 4 15 2" xfId="11534" xr:uid="{00000000-0005-0000-0000-0000F92C0000}"/>
    <cellStyle name="Dane wejściowe 2 4 15 3" xfId="11535" xr:uid="{00000000-0005-0000-0000-0000FA2C0000}"/>
    <cellStyle name="Dane wejściowe 2 4 15 4" xfId="11536" xr:uid="{00000000-0005-0000-0000-0000FB2C0000}"/>
    <cellStyle name="Dane wejściowe 2 4 16" xfId="11537" xr:uid="{00000000-0005-0000-0000-0000FC2C0000}"/>
    <cellStyle name="Dane wejściowe 2 4 16 2" xfId="11538" xr:uid="{00000000-0005-0000-0000-0000FD2C0000}"/>
    <cellStyle name="Dane wejściowe 2 4 16 3" xfId="11539" xr:uid="{00000000-0005-0000-0000-0000FE2C0000}"/>
    <cellStyle name="Dane wejściowe 2 4 16 4" xfId="11540" xr:uid="{00000000-0005-0000-0000-0000FF2C0000}"/>
    <cellStyle name="Dane wejściowe 2 4 17" xfId="11541" xr:uid="{00000000-0005-0000-0000-0000002D0000}"/>
    <cellStyle name="Dane wejściowe 2 4 17 2" xfId="11542" xr:uid="{00000000-0005-0000-0000-0000012D0000}"/>
    <cellStyle name="Dane wejściowe 2 4 17 3" xfId="11543" xr:uid="{00000000-0005-0000-0000-0000022D0000}"/>
    <cellStyle name="Dane wejściowe 2 4 17 4" xfId="11544" xr:uid="{00000000-0005-0000-0000-0000032D0000}"/>
    <cellStyle name="Dane wejściowe 2 4 18" xfId="11545" xr:uid="{00000000-0005-0000-0000-0000042D0000}"/>
    <cellStyle name="Dane wejściowe 2 4 18 2" xfId="11546" xr:uid="{00000000-0005-0000-0000-0000052D0000}"/>
    <cellStyle name="Dane wejściowe 2 4 18 3" xfId="11547" xr:uid="{00000000-0005-0000-0000-0000062D0000}"/>
    <cellStyle name="Dane wejściowe 2 4 18 4" xfId="11548" xr:uid="{00000000-0005-0000-0000-0000072D0000}"/>
    <cellStyle name="Dane wejściowe 2 4 19" xfId="11549" xr:uid="{00000000-0005-0000-0000-0000082D0000}"/>
    <cellStyle name="Dane wejściowe 2 4 19 2" xfId="11550" xr:uid="{00000000-0005-0000-0000-0000092D0000}"/>
    <cellStyle name="Dane wejściowe 2 4 19 3" xfId="11551" xr:uid="{00000000-0005-0000-0000-00000A2D0000}"/>
    <cellStyle name="Dane wejściowe 2 4 19 4" xfId="11552" xr:uid="{00000000-0005-0000-0000-00000B2D0000}"/>
    <cellStyle name="Dane wejściowe 2 4 2" xfId="11553" xr:uid="{00000000-0005-0000-0000-00000C2D0000}"/>
    <cellStyle name="Dane wejściowe 2 4 2 2" xfId="11554" xr:uid="{00000000-0005-0000-0000-00000D2D0000}"/>
    <cellStyle name="Dane wejściowe 2 4 2 3" xfId="11555" xr:uid="{00000000-0005-0000-0000-00000E2D0000}"/>
    <cellStyle name="Dane wejściowe 2 4 2 4" xfId="11556" xr:uid="{00000000-0005-0000-0000-00000F2D0000}"/>
    <cellStyle name="Dane wejściowe 2 4 20" xfId="11557" xr:uid="{00000000-0005-0000-0000-0000102D0000}"/>
    <cellStyle name="Dane wejściowe 2 4 20 2" xfId="11558" xr:uid="{00000000-0005-0000-0000-0000112D0000}"/>
    <cellStyle name="Dane wejściowe 2 4 20 3" xfId="11559" xr:uid="{00000000-0005-0000-0000-0000122D0000}"/>
    <cellStyle name="Dane wejściowe 2 4 20 4" xfId="11560" xr:uid="{00000000-0005-0000-0000-0000132D0000}"/>
    <cellStyle name="Dane wejściowe 2 4 21" xfId="11561" xr:uid="{00000000-0005-0000-0000-0000142D0000}"/>
    <cellStyle name="Dane wejściowe 2 4 21 2" xfId="11562" xr:uid="{00000000-0005-0000-0000-0000152D0000}"/>
    <cellStyle name="Dane wejściowe 2 4 21 3" xfId="11563" xr:uid="{00000000-0005-0000-0000-0000162D0000}"/>
    <cellStyle name="Dane wejściowe 2 4 22" xfId="11564" xr:uid="{00000000-0005-0000-0000-0000172D0000}"/>
    <cellStyle name="Dane wejściowe 2 4 22 2" xfId="11565" xr:uid="{00000000-0005-0000-0000-0000182D0000}"/>
    <cellStyle name="Dane wejściowe 2 4 22 3" xfId="11566" xr:uid="{00000000-0005-0000-0000-0000192D0000}"/>
    <cellStyle name="Dane wejściowe 2 4 23" xfId="11567" xr:uid="{00000000-0005-0000-0000-00001A2D0000}"/>
    <cellStyle name="Dane wejściowe 2 4 23 2" xfId="11568" xr:uid="{00000000-0005-0000-0000-00001B2D0000}"/>
    <cellStyle name="Dane wejściowe 2 4 23 3" xfId="11569" xr:uid="{00000000-0005-0000-0000-00001C2D0000}"/>
    <cellStyle name="Dane wejściowe 2 4 24" xfId="11570" xr:uid="{00000000-0005-0000-0000-00001D2D0000}"/>
    <cellStyle name="Dane wejściowe 2 4 24 2" xfId="11571" xr:uid="{00000000-0005-0000-0000-00001E2D0000}"/>
    <cellStyle name="Dane wejściowe 2 4 24 3" xfId="11572" xr:uid="{00000000-0005-0000-0000-00001F2D0000}"/>
    <cellStyle name="Dane wejściowe 2 4 25" xfId="11573" xr:uid="{00000000-0005-0000-0000-0000202D0000}"/>
    <cellStyle name="Dane wejściowe 2 4 25 2" xfId="11574" xr:uid="{00000000-0005-0000-0000-0000212D0000}"/>
    <cellStyle name="Dane wejściowe 2 4 25 3" xfId="11575" xr:uid="{00000000-0005-0000-0000-0000222D0000}"/>
    <cellStyle name="Dane wejściowe 2 4 26" xfId="11576" xr:uid="{00000000-0005-0000-0000-0000232D0000}"/>
    <cellStyle name="Dane wejściowe 2 4 26 2" xfId="11577" xr:uid="{00000000-0005-0000-0000-0000242D0000}"/>
    <cellStyle name="Dane wejściowe 2 4 26 3" xfId="11578" xr:uid="{00000000-0005-0000-0000-0000252D0000}"/>
    <cellStyle name="Dane wejściowe 2 4 27" xfId="11579" xr:uid="{00000000-0005-0000-0000-0000262D0000}"/>
    <cellStyle name="Dane wejściowe 2 4 27 2" xfId="11580" xr:uid="{00000000-0005-0000-0000-0000272D0000}"/>
    <cellStyle name="Dane wejściowe 2 4 27 3" xfId="11581" xr:uid="{00000000-0005-0000-0000-0000282D0000}"/>
    <cellStyle name="Dane wejściowe 2 4 28" xfId="11582" xr:uid="{00000000-0005-0000-0000-0000292D0000}"/>
    <cellStyle name="Dane wejściowe 2 4 28 2" xfId="11583" xr:uid="{00000000-0005-0000-0000-00002A2D0000}"/>
    <cellStyle name="Dane wejściowe 2 4 28 3" xfId="11584" xr:uid="{00000000-0005-0000-0000-00002B2D0000}"/>
    <cellStyle name="Dane wejściowe 2 4 29" xfId="11585" xr:uid="{00000000-0005-0000-0000-00002C2D0000}"/>
    <cellStyle name="Dane wejściowe 2 4 29 2" xfId="11586" xr:uid="{00000000-0005-0000-0000-00002D2D0000}"/>
    <cellStyle name="Dane wejściowe 2 4 29 3" xfId="11587" xr:uid="{00000000-0005-0000-0000-00002E2D0000}"/>
    <cellStyle name="Dane wejściowe 2 4 3" xfId="11588" xr:uid="{00000000-0005-0000-0000-00002F2D0000}"/>
    <cellStyle name="Dane wejściowe 2 4 3 2" xfId="11589" xr:uid="{00000000-0005-0000-0000-0000302D0000}"/>
    <cellStyle name="Dane wejściowe 2 4 3 3" xfId="11590" xr:uid="{00000000-0005-0000-0000-0000312D0000}"/>
    <cellStyle name="Dane wejściowe 2 4 3 4" xfId="11591" xr:uid="{00000000-0005-0000-0000-0000322D0000}"/>
    <cellStyle name="Dane wejściowe 2 4 30" xfId="11592" xr:uid="{00000000-0005-0000-0000-0000332D0000}"/>
    <cellStyle name="Dane wejściowe 2 4 30 2" xfId="11593" xr:uid="{00000000-0005-0000-0000-0000342D0000}"/>
    <cellStyle name="Dane wejściowe 2 4 30 3" xfId="11594" xr:uid="{00000000-0005-0000-0000-0000352D0000}"/>
    <cellStyle name="Dane wejściowe 2 4 31" xfId="11595" xr:uid="{00000000-0005-0000-0000-0000362D0000}"/>
    <cellStyle name="Dane wejściowe 2 4 31 2" xfId="11596" xr:uid="{00000000-0005-0000-0000-0000372D0000}"/>
    <cellStyle name="Dane wejściowe 2 4 31 3" xfId="11597" xr:uid="{00000000-0005-0000-0000-0000382D0000}"/>
    <cellStyle name="Dane wejściowe 2 4 32" xfId="11598" xr:uid="{00000000-0005-0000-0000-0000392D0000}"/>
    <cellStyle name="Dane wejściowe 2 4 32 2" xfId="11599" xr:uid="{00000000-0005-0000-0000-00003A2D0000}"/>
    <cellStyle name="Dane wejściowe 2 4 32 3" xfId="11600" xr:uid="{00000000-0005-0000-0000-00003B2D0000}"/>
    <cellStyle name="Dane wejściowe 2 4 33" xfId="11601" xr:uid="{00000000-0005-0000-0000-00003C2D0000}"/>
    <cellStyle name="Dane wejściowe 2 4 33 2" xfId="11602" xr:uid="{00000000-0005-0000-0000-00003D2D0000}"/>
    <cellStyle name="Dane wejściowe 2 4 33 3" xfId="11603" xr:uid="{00000000-0005-0000-0000-00003E2D0000}"/>
    <cellStyle name="Dane wejściowe 2 4 34" xfId="11604" xr:uid="{00000000-0005-0000-0000-00003F2D0000}"/>
    <cellStyle name="Dane wejściowe 2 4 34 2" xfId="11605" xr:uid="{00000000-0005-0000-0000-0000402D0000}"/>
    <cellStyle name="Dane wejściowe 2 4 34 3" xfId="11606" xr:uid="{00000000-0005-0000-0000-0000412D0000}"/>
    <cellStyle name="Dane wejściowe 2 4 35" xfId="11607" xr:uid="{00000000-0005-0000-0000-0000422D0000}"/>
    <cellStyle name="Dane wejściowe 2 4 35 2" xfId="11608" xr:uid="{00000000-0005-0000-0000-0000432D0000}"/>
    <cellStyle name="Dane wejściowe 2 4 35 3" xfId="11609" xr:uid="{00000000-0005-0000-0000-0000442D0000}"/>
    <cellStyle name="Dane wejściowe 2 4 36" xfId="11610" xr:uid="{00000000-0005-0000-0000-0000452D0000}"/>
    <cellStyle name="Dane wejściowe 2 4 36 2" xfId="11611" xr:uid="{00000000-0005-0000-0000-0000462D0000}"/>
    <cellStyle name="Dane wejściowe 2 4 36 3" xfId="11612" xr:uid="{00000000-0005-0000-0000-0000472D0000}"/>
    <cellStyle name="Dane wejściowe 2 4 37" xfId="11613" xr:uid="{00000000-0005-0000-0000-0000482D0000}"/>
    <cellStyle name="Dane wejściowe 2 4 37 2" xfId="11614" xr:uid="{00000000-0005-0000-0000-0000492D0000}"/>
    <cellStyle name="Dane wejściowe 2 4 37 3" xfId="11615" xr:uid="{00000000-0005-0000-0000-00004A2D0000}"/>
    <cellStyle name="Dane wejściowe 2 4 38" xfId="11616" xr:uid="{00000000-0005-0000-0000-00004B2D0000}"/>
    <cellStyle name="Dane wejściowe 2 4 38 2" xfId="11617" xr:uid="{00000000-0005-0000-0000-00004C2D0000}"/>
    <cellStyle name="Dane wejściowe 2 4 38 3" xfId="11618" xr:uid="{00000000-0005-0000-0000-00004D2D0000}"/>
    <cellStyle name="Dane wejściowe 2 4 39" xfId="11619" xr:uid="{00000000-0005-0000-0000-00004E2D0000}"/>
    <cellStyle name="Dane wejściowe 2 4 39 2" xfId="11620" xr:uid="{00000000-0005-0000-0000-00004F2D0000}"/>
    <cellStyle name="Dane wejściowe 2 4 39 3" xfId="11621" xr:uid="{00000000-0005-0000-0000-0000502D0000}"/>
    <cellStyle name="Dane wejściowe 2 4 4" xfId="11622" xr:uid="{00000000-0005-0000-0000-0000512D0000}"/>
    <cellStyle name="Dane wejściowe 2 4 4 2" xfId="11623" xr:uid="{00000000-0005-0000-0000-0000522D0000}"/>
    <cellStyle name="Dane wejściowe 2 4 4 3" xfId="11624" xr:uid="{00000000-0005-0000-0000-0000532D0000}"/>
    <cellStyle name="Dane wejściowe 2 4 4 4" xfId="11625" xr:uid="{00000000-0005-0000-0000-0000542D0000}"/>
    <cellStyle name="Dane wejściowe 2 4 40" xfId="11626" xr:uid="{00000000-0005-0000-0000-0000552D0000}"/>
    <cellStyle name="Dane wejściowe 2 4 40 2" xfId="11627" xr:uid="{00000000-0005-0000-0000-0000562D0000}"/>
    <cellStyle name="Dane wejściowe 2 4 40 3" xfId="11628" xr:uid="{00000000-0005-0000-0000-0000572D0000}"/>
    <cellStyle name="Dane wejściowe 2 4 41" xfId="11629" xr:uid="{00000000-0005-0000-0000-0000582D0000}"/>
    <cellStyle name="Dane wejściowe 2 4 41 2" xfId="11630" xr:uid="{00000000-0005-0000-0000-0000592D0000}"/>
    <cellStyle name="Dane wejściowe 2 4 41 3" xfId="11631" xr:uid="{00000000-0005-0000-0000-00005A2D0000}"/>
    <cellStyle name="Dane wejściowe 2 4 42" xfId="11632" xr:uid="{00000000-0005-0000-0000-00005B2D0000}"/>
    <cellStyle name="Dane wejściowe 2 4 42 2" xfId="11633" xr:uid="{00000000-0005-0000-0000-00005C2D0000}"/>
    <cellStyle name="Dane wejściowe 2 4 42 3" xfId="11634" xr:uid="{00000000-0005-0000-0000-00005D2D0000}"/>
    <cellStyle name="Dane wejściowe 2 4 43" xfId="11635" xr:uid="{00000000-0005-0000-0000-00005E2D0000}"/>
    <cellStyle name="Dane wejściowe 2 4 43 2" xfId="11636" xr:uid="{00000000-0005-0000-0000-00005F2D0000}"/>
    <cellStyle name="Dane wejściowe 2 4 43 3" xfId="11637" xr:uid="{00000000-0005-0000-0000-0000602D0000}"/>
    <cellStyle name="Dane wejściowe 2 4 44" xfId="11638" xr:uid="{00000000-0005-0000-0000-0000612D0000}"/>
    <cellStyle name="Dane wejściowe 2 4 44 2" xfId="11639" xr:uid="{00000000-0005-0000-0000-0000622D0000}"/>
    <cellStyle name="Dane wejściowe 2 4 44 3" xfId="11640" xr:uid="{00000000-0005-0000-0000-0000632D0000}"/>
    <cellStyle name="Dane wejściowe 2 4 45" xfId="11641" xr:uid="{00000000-0005-0000-0000-0000642D0000}"/>
    <cellStyle name="Dane wejściowe 2 4 45 2" xfId="11642" xr:uid="{00000000-0005-0000-0000-0000652D0000}"/>
    <cellStyle name="Dane wejściowe 2 4 45 3" xfId="11643" xr:uid="{00000000-0005-0000-0000-0000662D0000}"/>
    <cellStyle name="Dane wejściowe 2 4 46" xfId="11644" xr:uid="{00000000-0005-0000-0000-0000672D0000}"/>
    <cellStyle name="Dane wejściowe 2 4 46 2" xfId="11645" xr:uid="{00000000-0005-0000-0000-0000682D0000}"/>
    <cellStyle name="Dane wejściowe 2 4 46 3" xfId="11646" xr:uid="{00000000-0005-0000-0000-0000692D0000}"/>
    <cellStyle name="Dane wejściowe 2 4 47" xfId="11647" xr:uid="{00000000-0005-0000-0000-00006A2D0000}"/>
    <cellStyle name="Dane wejściowe 2 4 47 2" xfId="11648" xr:uid="{00000000-0005-0000-0000-00006B2D0000}"/>
    <cellStyle name="Dane wejściowe 2 4 47 3" xfId="11649" xr:uid="{00000000-0005-0000-0000-00006C2D0000}"/>
    <cellStyle name="Dane wejściowe 2 4 48" xfId="11650" xr:uid="{00000000-0005-0000-0000-00006D2D0000}"/>
    <cellStyle name="Dane wejściowe 2 4 48 2" xfId="11651" xr:uid="{00000000-0005-0000-0000-00006E2D0000}"/>
    <cellStyle name="Dane wejściowe 2 4 48 3" xfId="11652" xr:uid="{00000000-0005-0000-0000-00006F2D0000}"/>
    <cellStyle name="Dane wejściowe 2 4 49" xfId="11653" xr:uid="{00000000-0005-0000-0000-0000702D0000}"/>
    <cellStyle name="Dane wejściowe 2 4 49 2" xfId="11654" xr:uid="{00000000-0005-0000-0000-0000712D0000}"/>
    <cellStyle name="Dane wejściowe 2 4 49 3" xfId="11655" xr:uid="{00000000-0005-0000-0000-0000722D0000}"/>
    <cellStyle name="Dane wejściowe 2 4 5" xfId="11656" xr:uid="{00000000-0005-0000-0000-0000732D0000}"/>
    <cellStyle name="Dane wejściowe 2 4 5 2" xfId="11657" xr:uid="{00000000-0005-0000-0000-0000742D0000}"/>
    <cellStyle name="Dane wejściowe 2 4 5 3" xfId="11658" xr:uid="{00000000-0005-0000-0000-0000752D0000}"/>
    <cellStyle name="Dane wejściowe 2 4 5 4" xfId="11659" xr:uid="{00000000-0005-0000-0000-0000762D0000}"/>
    <cellStyle name="Dane wejściowe 2 4 50" xfId="11660" xr:uid="{00000000-0005-0000-0000-0000772D0000}"/>
    <cellStyle name="Dane wejściowe 2 4 50 2" xfId="11661" xr:uid="{00000000-0005-0000-0000-0000782D0000}"/>
    <cellStyle name="Dane wejściowe 2 4 50 3" xfId="11662" xr:uid="{00000000-0005-0000-0000-0000792D0000}"/>
    <cellStyle name="Dane wejściowe 2 4 51" xfId="11663" xr:uid="{00000000-0005-0000-0000-00007A2D0000}"/>
    <cellStyle name="Dane wejściowe 2 4 51 2" xfId="11664" xr:uid="{00000000-0005-0000-0000-00007B2D0000}"/>
    <cellStyle name="Dane wejściowe 2 4 51 3" xfId="11665" xr:uid="{00000000-0005-0000-0000-00007C2D0000}"/>
    <cellStyle name="Dane wejściowe 2 4 52" xfId="11666" xr:uid="{00000000-0005-0000-0000-00007D2D0000}"/>
    <cellStyle name="Dane wejściowe 2 4 52 2" xfId="11667" xr:uid="{00000000-0005-0000-0000-00007E2D0000}"/>
    <cellStyle name="Dane wejściowe 2 4 52 3" xfId="11668" xr:uid="{00000000-0005-0000-0000-00007F2D0000}"/>
    <cellStyle name="Dane wejściowe 2 4 53" xfId="11669" xr:uid="{00000000-0005-0000-0000-0000802D0000}"/>
    <cellStyle name="Dane wejściowe 2 4 53 2" xfId="11670" xr:uid="{00000000-0005-0000-0000-0000812D0000}"/>
    <cellStyle name="Dane wejściowe 2 4 53 3" xfId="11671" xr:uid="{00000000-0005-0000-0000-0000822D0000}"/>
    <cellStyle name="Dane wejściowe 2 4 54" xfId="11672" xr:uid="{00000000-0005-0000-0000-0000832D0000}"/>
    <cellStyle name="Dane wejściowe 2 4 54 2" xfId="11673" xr:uid="{00000000-0005-0000-0000-0000842D0000}"/>
    <cellStyle name="Dane wejściowe 2 4 54 3" xfId="11674" xr:uid="{00000000-0005-0000-0000-0000852D0000}"/>
    <cellStyle name="Dane wejściowe 2 4 55" xfId="11675" xr:uid="{00000000-0005-0000-0000-0000862D0000}"/>
    <cellStyle name="Dane wejściowe 2 4 55 2" xfId="11676" xr:uid="{00000000-0005-0000-0000-0000872D0000}"/>
    <cellStyle name="Dane wejściowe 2 4 55 3" xfId="11677" xr:uid="{00000000-0005-0000-0000-0000882D0000}"/>
    <cellStyle name="Dane wejściowe 2 4 56" xfId="11678" xr:uid="{00000000-0005-0000-0000-0000892D0000}"/>
    <cellStyle name="Dane wejściowe 2 4 56 2" xfId="11679" xr:uid="{00000000-0005-0000-0000-00008A2D0000}"/>
    <cellStyle name="Dane wejściowe 2 4 56 3" xfId="11680" xr:uid="{00000000-0005-0000-0000-00008B2D0000}"/>
    <cellStyle name="Dane wejściowe 2 4 57" xfId="11681" xr:uid="{00000000-0005-0000-0000-00008C2D0000}"/>
    <cellStyle name="Dane wejściowe 2 4 58" xfId="11682" xr:uid="{00000000-0005-0000-0000-00008D2D0000}"/>
    <cellStyle name="Dane wejściowe 2 4 6" xfId="11683" xr:uid="{00000000-0005-0000-0000-00008E2D0000}"/>
    <cellStyle name="Dane wejściowe 2 4 6 2" xfId="11684" xr:uid="{00000000-0005-0000-0000-00008F2D0000}"/>
    <cellStyle name="Dane wejściowe 2 4 6 3" xfId="11685" xr:uid="{00000000-0005-0000-0000-0000902D0000}"/>
    <cellStyle name="Dane wejściowe 2 4 6 4" xfId="11686" xr:uid="{00000000-0005-0000-0000-0000912D0000}"/>
    <cellStyle name="Dane wejściowe 2 4 7" xfId="11687" xr:uid="{00000000-0005-0000-0000-0000922D0000}"/>
    <cellStyle name="Dane wejściowe 2 4 7 2" xfId="11688" xr:uid="{00000000-0005-0000-0000-0000932D0000}"/>
    <cellStyle name="Dane wejściowe 2 4 7 3" xfId="11689" xr:uid="{00000000-0005-0000-0000-0000942D0000}"/>
    <cellStyle name="Dane wejściowe 2 4 7 4" xfId="11690" xr:uid="{00000000-0005-0000-0000-0000952D0000}"/>
    <cellStyle name="Dane wejściowe 2 4 8" xfId="11691" xr:uid="{00000000-0005-0000-0000-0000962D0000}"/>
    <cellStyle name="Dane wejściowe 2 4 8 2" xfId="11692" xr:uid="{00000000-0005-0000-0000-0000972D0000}"/>
    <cellStyle name="Dane wejściowe 2 4 8 3" xfId="11693" xr:uid="{00000000-0005-0000-0000-0000982D0000}"/>
    <cellStyle name="Dane wejściowe 2 4 8 4" xfId="11694" xr:uid="{00000000-0005-0000-0000-0000992D0000}"/>
    <cellStyle name="Dane wejściowe 2 4 9" xfId="11695" xr:uid="{00000000-0005-0000-0000-00009A2D0000}"/>
    <cellStyle name="Dane wejściowe 2 4 9 2" xfId="11696" xr:uid="{00000000-0005-0000-0000-00009B2D0000}"/>
    <cellStyle name="Dane wejściowe 2 4 9 3" xfId="11697" xr:uid="{00000000-0005-0000-0000-00009C2D0000}"/>
    <cellStyle name="Dane wejściowe 2 4 9 4" xfId="11698" xr:uid="{00000000-0005-0000-0000-00009D2D0000}"/>
    <cellStyle name="Dane wejściowe 2 40" xfId="11699" xr:uid="{00000000-0005-0000-0000-00009E2D0000}"/>
    <cellStyle name="Dane wejściowe 2 40 2" xfId="11700" xr:uid="{00000000-0005-0000-0000-00009F2D0000}"/>
    <cellStyle name="Dane wejściowe 2 40 3" xfId="11701" xr:uid="{00000000-0005-0000-0000-0000A02D0000}"/>
    <cellStyle name="Dane wejściowe 2 40 4" xfId="11702" xr:uid="{00000000-0005-0000-0000-0000A12D0000}"/>
    <cellStyle name="Dane wejściowe 2 41" xfId="11703" xr:uid="{00000000-0005-0000-0000-0000A22D0000}"/>
    <cellStyle name="Dane wejściowe 2 41 2" xfId="11704" xr:uid="{00000000-0005-0000-0000-0000A32D0000}"/>
    <cellStyle name="Dane wejściowe 2 41 3" xfId="11705" xr:uid="{00000000-0005-0000-0000-0000A42D0000}"/>
    <cellStyle name="Dane wejściowe 2 41 4" xfId="11706" xr:uid="{00000000-0005-0000-0000-0000A52D0000}"/>
    <cellStyle name="Dane wejściowe 2 42" xfId="11707" xr:uid="{00000000-0005-0000-0000-0000A62D0000}"/>
    <cellStyle name="Dane wejściowe 2 42 2" xfId="11708" xr:uid="{00000000-0005-0000-0000-0000A72D0000}"/>
    <cellStyle name="Dane wejściowe 2 42 3" xfId="11709" xr:uid="{00000000-0005-0000-0000-0000A82D0000}"/>
    <cellStyle name="Dane wejściowe 2 42 4" xfId="11710" xr:uid="{00000000-0005-0000-0000-0000A92D0000}"/>
    <cellStyle name="Dane wejściowe 2 43" xfId="11711" xr:uid="{00000000-0005-0000-0000-0000AA2D0000}"/>
    <cellStyle name="Dane wejściowe 2 43 2" xfId="11712" xr:uid="{00000000-0005-0000-0000-0000AB2D0000}"/>
    <cellStyle name="Dane wejściowe 2 43 3" xfId="11713" xr:uid="{00000000-0005-0000-0000-0000AC2D0000}"/>
    <cellStyle name="Dane wejściowe 2 43 4" xfId="11714" xr:uid="{00000000-0005-0000-0000-0000AD2D0000}"/>
    <cellStyle name="Dane wejściowe 2 44" xfId="11715" xr:uid="{00000000-0005-0000-0000-0000AE2D0000}"/>
    <cellStyle name="Dane wejściowe 2 44 2" xfId="11716" xr:uid="{00000000-0005-0000-0000-0000AF2D0000}"/>
    <cellStyle name="Dane wejściowe 2 44 3" xfId="11717" xr:uid="{00000000-0005-0000-0000-0000B02D0000}"/>
    <cellStyle name="Dane wejściowe 2 44 4" xfId="11718" xr:uid="{00000000-0005-0000-0000-0000B12D0000}"/>
    <cellStyle name="Dane wejściowe 2 45" xfId="11719" xr:uid="{00000000-0005-0000-0000-0000B22D0000}"/>
    <cellStyle name="Dane wejściowe 2 45 2" xfId="11720" xr:uid="{00000000-0005-0000-0000-0000B32D0000}"/>
    <cellStyle name="Dane wejściowe 2 45 3" xfId="11721" xr:uid="{00000000-0005-0000-0000-0000B42D0000}"/>
    <cellStyle name="Dane wejściowe 2 45 4" xfId="11722" xr:uid="{00000000-0005-0000-0000-0000B52D0000}"/>
    <cellStyle name="Dane wejściowe 2 46" xfId="11723" xr:uid="{00000000-0005-0000-0000-0000B62D0000}"/>
    <cellStyle name="Dane wejściowe 2 46 2" xfId="11724" xr:uid="{00000000-0005-0000-0000-0000B72D0000}"/>
    <cellStyle name="Dane wejściowe 2 46 3" xfId="11725" xr:uid="{00000000-0005-0000-0000-0000B82D0000}"/>
    <cellStyle name="Dane wejściowe 2 46 4" xfId="11726" xr:uid="{00000000-0005-0000-0000-0000B92D0000}"/>
    <cellStyle name="Dane wejściowe 2 47" xfId="11727" xr:uid="{00000000-0005-0000-0000-0000BA2D0000}"/>
    <cellStyle name="Dane wejściowe 2 47 2" xfId="11728" xr:uid="{00000000-0005-0000-0000-0000BB2D0000}"/>
    <cellStyle name="Dane wejściowe 2 47 3" xfId="11729" xr:uid="{00000000-0005-0000-0000-0000BC2D0000}"/>
    <cellStyle name="Dane wejściowe 2 47 4" xfId="11730" xr:uid="{00000000-0005-0000-0000-0000BD2D0000}"/>
    <cellStyle name="Dane wejściowe 2 48" xfId="11731" xr:uid="{00000000-0005-0000-0000-0000BE2D0000}"/>
    <cellStyle name="Dane wejściowe 2 48 2" xfId="11732" xr:uid="{00000000-0005-0000-0000-0000BF2D0000}"/>
    <cellStyle name="Dane wejściowe 2 48 3" xfId="11733" xr:uid="{00000000-0005-0000-0000-0000C02D0000}"/>
    <cellStyle name="Dane wejściowe 2 49" xfId="11734" xr:uid="{00000000-0005-0000-0000-0000C12D0000}"/>
    <cellStyle name="Dane wejściowe 2 49 2" xfId="11735" xr:uid="{00000000-0005-0000-0000-0000C22D0000}"/>
    <cellStyle name="Dane wejściowe 2 49 3" xfId="11736" xr:uid="{00000000-0005-0000-0000-0000C32D0000}"/>
    <cellStyle name="Dane wejściowe 2 5" xfId="11737" xr:uid="{00000000-0005-0000-0000-0000C42D0000}"/>
    <cellStyle name="Dane wejściowe 2 5 10" xfId="11738" xr:uid="{00000000-0005-0000-0000-0000C52D0000}"/>
    <cellStyle name="Dane wejściowe 2 5 10 2" xfId="11739" xr:uid="{00000000-0005-0000-0000-0000C62D0000}"/>
    <cellStyle name="Dane wejściowe 2 5 10 3" xfId="11740" xr:uid="{00000000-0005-0000-0000-0000C72D0000}"/>
    <cellStyle name="Dane wejściowe 2 5 10 4" xfId="11741" xr:uid="{00000000-0005-0000-0000-0000C82D0000}"/>
    <cellStyle name="Dane wejściowe 2 5 11" xfId="11742" xr:uid="{00000000-0005-0000-0000-0000C92D0000}"/>
    <cellStyle name="Dane wejściowe 2 5 11 2" xfId="11743" xr:uid="{00000000-0005-0000-0000-0000CA2D0000}"/>
    <cellStyle name="Dane wejściowe 2 5 11 3" xfId="11744" xr:uid="{00000000-0005-0000-0000-0000CB2D0000}"/>
    <cellStyle name="Dane wejściowe 2 5 11 4" xfId="11745" xr:uid="{00000000-0005-0000-0000-0000CC2D0000}"/>
    <cellStyle name="Dane wejściowe 2 5 12" xfId="11746" xr:uid="{00000000-0005-0000-0000-0000CD2D0000}"/>
    <cellStyle name="Dane wejściowe 2 5 12 2" xfId="11747" xr:uid="{00000000-0005-0000-0000-0000CE2D0000}"/>
    <cellStyle name="Dane wejściowe 2 5 12 3" xfId="11748" xr:uid="{00000000-0005-0000-0000-0000CF2D0000}"/>
    <cellStyle name="Dane wejściowe 2 5 12 4" xfId="11749" xr:uid="{00000000-0005-0000-0000-0000D02D0000}"/>
    <cellStyle name="Dane wejściowe 2 5 13" xfId="11750" xr:uid="{00000000-0005-0000-0000-0000D12D0000}"/>
    <cellStyle name="Dane wejściowe 2 5 13 2" xfId="11751" xr:uid="{00000000-0005-0000-0000-0000D22D0000}"/>
    <cellStyle name="Dane wejściowe 2 5 13 3" xfId="11752" xr:uid="{00000000-0005-0000-0000-0000D32D0000}"/>
    <cellStyle name="Dane wejściowe 2 5 13 4" xfId="11753" xr:uid="{00000000-0005-0000-0000-0000D42D0000}"/>
    <cellStyle name="Dane wejściowe 2 5 14" xfId="11754" xr:uid="{00000000-0005-0000-0000-0000D52D0000}"/>
    <cellStyle name="Dane wejściowe 2 5 14 2" xfId="11755" xr:uid="{00000000-0005-0000-0000-0000D62D0000}"/>
    <cellStyle name="Dane wejściowe 2 5 14 3" xfId="11756" xr:uid="{00000000-0005-0000-0000-0000D72D0000}"/>
    <cellStyle name="Dane wejściowe 2 5 14 4" xfId="11757" xr:uid="{00000000-0005-0000-0000-0000D82D0000}"/>
    <cellStyle name="Dane wejściowe 2 5 15" xfId="11758" xr:uid="{00000000-0005-0000-0000-0000D92D0000}"/>
    <cellStyle name="Dane wejściowe 2 5 15 2" xfId="11759" xr:uid="{00000000-0005-0000-0000-0000DA2D0000}"/>
    <cellStyle name="Dane wejściowe 2 5 15 3" xfId="11760" xr:uid="{00000000-0005-0000-0000-0000DB2D0000}"/>
    <cellStyle name="Dane wejściowe 2 5 15 4" xfId="11761" xr:uid="{00000000-0005-0000-0000-0000DC2D0000}"/>
    <cellStyle name="Dane wejściowe 2 5 16" xfId="11762" xr:uid="{00000000-0005-0000-0000-0000DD2D0000}"/>
    <cellStyle name="Dane wejściowe 2 5 16 2" xfId="11763" xr:uid="{00000000-0005-0000-0000-0000DE2D0000}"/>
    <cellStyle name="Dane wejściowe 2 5 16 3" xfId="11764" xr:uid="{00000000-0005-0000-0000-0000DF2D0000}"/>
    <cellStyle name="Dane wejściowe 2 5 16 4" xfId="11765" xr:uid="{00000000-0005-0000-0000-0000E02D0000}"/>
    <cellStyle name="Dane wejściowe 2 5 17" xfId="11766" xr:uid="{00000000-0005-0000-0000-0000E12D0000}"/>
    <cellStyle name="Dane wejściowe 2 5 17 2" xfId="11767" xr:uid="{00000000-0005-0000-0000-0000E22D0000}"/>
    <cellStyle name="Dane wejściowe 2 5 17 3" xfId="11768" xr:uid="{00000000-0005-0000-0000-0000E32D0000}"/>
    <cellStyle name="Dane wejściowe 2 5 17 4" xfId="11769" xr:uid="{00000000-0005-0000-0000-0000E42D0000}"/>
    <cellStyle name="Dane wejściowe 2 5 18" xfId="11770" xr:uid="{00000000-0005-0000-0000-0000E52D0000}"/>
    <cellStyle name="Dane wejściowe 2 5 18 2" xfId="11771" xr:uid="{00000000-0005-0000-0000-0000E62D0000}"/>
    <cellStyle name="Dane wejściowe 2 5 18 3" xfId="11772" xr:uid="{00000000-0005-0000-0000-0000E72D0000}"/>
    <cellStyle name="Dane wejściowe 2 5 18 4" xfId="11773" xr:uid="{00000000-0005-0000-0000-0000E82D0000}"/>
    <cellStyle name="Dane wejściowe 2 5 19" xfId="11774" xr:uid="{00000000-0005-0000-0000-0000E92D0000}"/>
    <cellStyle name="Dane wejściowe 2 5 19 2" xfId="11775" xr:uid="{00000000-0005-0000-0000-0000EA2D0000}"/>
    <cellStyle name="Dane wejściowe 2 5 19 3" xfId="11776" xr:uid="{00000000-0005-0000-0000-0000EB2D0000}"/>
    <cellStyle name="Dane wejściowe 2 5 19 4" xfId="11777" xr:uid="{00000000-0005-0000-0000-0000EC2D0000}"/>
    <cellStyle name="Dane wejściowe 2 5 2" xfId="11778" xr:uid="{00000000-0005-0000-0000-0000ED2D0000}"/>
    <cellStyle name="Dane wejściowe 2 5 2 2" xfId="11779" xr:uid="{00000000-0005-0000-0000-0000EE2D0000}"/>
    <cellStyle name="Dane wejściowe 2 5 2 3" xfId="11780" xr:uid="{00000000-0005-0000-0000-0000EF2D0000}"/>
    <cellStyle name="Dane wejściowe 2 5 2 4" xfId="11781" xr:uid="{00000000-0005-0000-0000-0000F02D0000}"/>
    <cellStyle name="Dane wejściowe 2 5 20" xfId="11782" xr:uid="{00000000-0005-0000-0000-0000F12D0000}"/>
    <cellStyle name="Dane wejściowe 2 5 20 2" xfId="11783" xr:uid="{00000000-0005-0000-0000-0000F22D0000}"/>
    <cellStyle name="Dane wejściowe 2 5 20 3" xfId="11784" xr:uid="{00000000-0005-0000-0000-0000F32D0000}"/>
    <cellStyle name="Dane wejściowe 2 5 20 4" xfId="11785" xr:uid="{00000000-0005-0000-0000-0000F42D0000}"/>
    <cellStyle name="Dane wejściowe 2 5 21" xfId="11786" xr:uid="{00000000-0005-0000-0000-0000F52D0000}"/>
    <cellStyle name="Dane wejściowe 2 5 21 2" xfId="11787" xr:uid="{00000000-0005-0000-0000-0000F62D0000}"/>
    <cellStyle name="Dane wejściowe 2 5 21 3" xfId="11788" xr:uid="{00000000-0005-0000-0000-0000F72D0000}"/>
    <cellStyle name="Dane wejściowe 2 5 22" xfId="11789" xr:uid="{00000000-0005-0000-0000-0000F82D0000}"/>
    <cellStyle name="Dane wejściowe 2 5 22 2" xfId="11790" xr:uid="{00000000-0005-0000-0000-0000F92D0000}"/>
    <cellStyle name="Dane wejściowe 2 5 22 3" xfId="11791" xr:uid="{00000000-0005-0000-0000-0000FA2D0000}"/>
    <cellStyle name="Dane wejściowe 2 5 23" xfId="11792" xr:uid="{00000000-0005-0000-0000-0000FB2D0000}"/>
    <cellStyle name="Dane wejściowe 2 5 23 2" xfId="11793" xr:uid="{00000000-0005-0000-0000-0000FC2D0000}"/>
    <cellStyle name="Dane wejściowe 2 5 23 3" xfId="11794" xr:uid="{00000000-0005-0000-0000-0000FD2D0000}"/>
    <cellStyle name="Dane wejściowe 2 5 24" xfId="11795" xr:uid="{00000000-0005-0000-0000-0000FE2D0000}"/>
    <cellStyle name="Dane wejściowe 2 5 24 2" xfId="11796" xr:uid="{00000000-0005-0000-0000-0000FF2D0000}"/>
    <cellStyle name="Dane wejściowe 2 5 24 3" xfId="11797" xr:uid="{00000000-0005-0000-0000-0000002E0000}"/>
    <cellStyle name="Dane wejściowe 2 5 25" xfId="11798" xr:uid="{00000000-0005-0000-0000-0000012E0000}"/>
    <cellStyle name="Dane wejściowe 2 5 25 2" xfId="11799" xr:uid="{00000000-0005-0000-0000-0000022E0000}"/>
    <cellStyle name="Dane wejściowe 2 5 25 3" xfId="11800" xr:uid="{00000000-0005-0000-0000-0000032E0000}"/>
    <cellStyle name="Dane wejściowe 2 5 26" xfId="11801" xr:uid="{00000000-0005-0000-0000-0000042E0000}"/>
    <cellStyle name="Dane wejściowe 2 5 26 2" xfId="11802" xr:uid="{00000000-0005-0000-0000-0000052E0000}"/>
    <cellStyle name="Dane wejściowe 2 5 26 3" xfId="11803" xr:uid="{00000000-0005-0000-0000-0000062E0000}"/>
    <cellStyle name="Dane wejściowe 2 5 27" xfId="11804" xr:uid="{00000000-0005-0000-0000-0000072E0000}"/>
    <cellStyle name="Dane wejściowe 2 5 27 2" xfId="11805" xr:uid="{00000000-0005-0000-0000-0000082E0000}"/>
    <cellStyle name="Dane wejściowe 2 5 27 3" xfId="11806" xr:uid="{00000000-0005-0000-0000-0000092E0000}"/>
    <cellStyle name="Dane wejściowe 2 5 28" xfId="11807" xr:uid="{00000000-0005-0000-0000-00000A2E0000}"/>
    <cellStyle name="Dane wejściowe 2 5 28 2" xfId="11808" xr:uid="{00000000-0005-0000-0000-00000B2E0000}"/>
    <cellStyle name="Dane wejściowe 2 5 28 3" xfId="11809" xr:uid="{00000000-0005-0000-0000-00000C2E0000}"/>
    <cellStyle name="Dane wejściowe 2 5 29" xfId="11810" xr:uid="{00000000-0005-0000-0000-00000D2E0000}"/>
    <cellStyle name="Dane wejściowe 2 5 29 2" xfId="11811" xr:uid="{00000000-0005-0000-0000-00000E2E0000}"/>
    <cellStyle name="Dane wejściowe 2 5 29 3" xfId="11812" xr:uid="{00000000-0005-0000-0000-00000F2E0000}"/>
    <cellStyle name="Dane wejściowe 2 5 3" xfId="11813" xr:uid="{00000000-0005-0000-0000-0000102E0000}"/>
    <cellStyle name="Dane wejściowe 2 5 3 2" xfId="11814" xr:uid="{00000000-0005-0000-0000-0000112E0000}"/>
    <cellStyle name="Dane wejściowe 2 5 3 3" xfId="11815" xr:uid="{00000000-0005-0000-0000-0000122E0000}"/>
    <cellStyle name="Dane wejściowe 2 5 3 4" xfId="11816" xr:uid="{00000000-0005-0000-0000-0000132E0000}"/>
    <cellStyle name="Dane wejściowe 2 5 30" xfId="11817" xr:uid="{00000000-0005-0000-0000-0000142E0000}"/>
    <cellStyle name="Dane wejściowe 2 5 30 2" xfId="11818" xr:uid="{00000000-0005-0000-0000-0000152E0000}"/>
    <cellStyle name="Dane wejściowe 2 5 30 3" xfId="11819" xr:uid="{00000000-0005-0000-0000-0000162E0000}"/>
    <cellStyle name="Dane wejściowe 2 5 31" xfId="11820" xr:uid="{00000000-0005-0000-0000-0000172E0000}"/>
    <cellStyle name="Dane wejściowe 2 5 31 2" xfId="11821" xr:uid="{00000000-0005-0000-0000-0000182E0000}"/>
    <cellStyle name="Dane wejściowe 2 5 31 3" xfId="11822" xr:uid="{00000000-0005-0000-0000-0000192E0000}"/>
    <cellStyle name="Dane wejściowe 2 5 32" xfId="11823" xr:uid="{00000000-0005-0000-0000-00001A2E0000}"/>
    <cellStyle name="Dane wejściowe 2 5 32 2" xfId="11824" xr:uid="{00000000-0005-0000-0000-00001B2E0000}"/>
    <cellStyle name="Dane wejściowe 2 5 32 3" xfId="11825" xr:uid="{00000000-0005-0000-0000-00001C2E0000}"/>
    <cellStyle name="Dane wejściowe 2 5 33" xfId="11826" xr:uid="{00000000-0005-0000-0000-00001D2E0000}"/>
    <cellStyle name="Dane wejściowe 2 5 33 2" xfId="11827" xr:uid="{00000000-0005-0000-0000-00001E2E0000}"/>
    <cellStyle name="Dane wejściowe 2 5 33 3" xfId="11828" xr:uid="{00000000-0005-0000-0000-00001F2E0000}"/>
    <cellStyle name="Dane wejściowe 2 5 34" xfId="11829" xr:uid="{00000000-0005-0000-0000-0000202E0000}"/>
    <cellStyle name="Dane wejściowe 2 5 34 2" xfId="11830" xr:uid="{00000000-0005-0000-0000-0000212E0000}"/>
    <cellStyle name="Dane wejściowe 2 5 34 3" xfId="11831" xr:uid="{00000000-0005-0000-0000-0000222E0000}"/>
    <cellStyle name="Dane wejściowe 2 5 35" xfId="11832" xr:uid="{00000000-0005-0000-0000-0000232E0000}"/>
    <cellStyle name="Dane wejściowe 2 5 35 2" xfId="11833" xr:uid="{00000000-0005-0000-0000-0000242E0000}"/>
    <cellStyle name="Dane wejściowe 2 5 35 3" xfId="11834" xr:uid="{00000000-0005-0000-0000-0000252E0000}"/>
    <cellStyle name="Dane wejściowe 2 5 36" xfId="11835" xr:uid="{00000000-0005-0000-0000-0000262E0000}"/>
    <cellStyle name="Dane wejściowe 2 5 36 2" xfId="11836" xr:uid="{00000000-0005-0000-0000-0000272E0000}"/>
    <cellStyle name="Dane wejściowe 2 5 36 3" xfId="11837" xr:uid="{00000000-0005-0000-0000-0000282E0000}"/>
    <cellStyle name="Dane wejściowe 2 5 37" xfId="11838" xr:uid="{00000000-0005-0000-0000-0000292E0000}"/>
    <cellStyle name="Dane wejściowe 2 5 37 2" xfId="11839" xr:uid="{00000000-0005-0000-0000-00002A2E0000}"/>
    <cellStyle name="Dane wejściowe 2 5 37 3" xfId="11840" xr:uid="{00000000-0005-0000-0000-00002B2E0000}"/>
    <cellStyle name="Dane wejściowe 2 5 38" xfId="11841" xr:uid="{00000000-0005-0000-0000-00002C2E0000}"/>
    <cellStyle name="Dane wejściowe 2 5 38 2" xfId="11842" xr:uid="{00000000-0005-0000-0000-00002D2E0000}"/>
    <cellStyle name="Dane wejściowe 2 5 38 3" xfId="11843" xr:uid="{00000000-0005-0000-0000-00002E2E0000}"/>
    <cellStyle name="Dane wejściowe 2 5 39" xfId="11844" xr:uid="{00000000-0005-0000-0000-00002F2E0000}"/>
    <cellStyle name="Dane wejściowe 2 5 39 2" xfId="11845" xr:uid="{00000000-0005-0000-0000-0000302E0000}"/>
    <cellStyle name="Dane wejściowe 2 5 39 3" xfId="11846" xr:uid="{00000000-0005-0000-0000-0000312E0000}"/>
    <cellStyle name="Dane wejściowe 2 5 4" xfId="11847" xr:uid="{00000000-0005-0000-0000-0000322E0000}"/>
    <cellStyle name="Dane wejściowe 2 5 4 2" xfId="11848" xr:uid="{00000000-0005-0000-0000-0000332E0000}"/>
    <cellStyle name="Dane wejściowe 2 5 4 3" xfId="11849" xr:uid="{00000000-0005-0000-0000-0000342E0000}"/>
    <cellStyle name="Dane wejściowe 2 5 4 4" xfId="11850" xr:uid="{00000000-0005-0000-0000-0000352E0000}"/>
    <cellStyle name="Dane wejściowe 2 5 40" xfId="11851" xr:uid="{00000000-0005-0000-0000-0000362E0000}"/>
    <cellStyle name="Dane wejściowe 2 5 40 2" xfId="11852" xr:uid="{00000000-0005-0000-0000-0000372E0000}"/>
    <cellStyle name="Dane wejściowe 2 5 40 3" xfId="11853" xr:uid="{00000000-0005-0000-0000-0000382E0000}"/>
    <cellStyle name="Dane wejściowe 2 5 41" xfId="11854" xr:uid="{00000000-0005-0000-0000-0000392E0000}"/>
    <cellStyle name="Dane wejściowe 2 5 41 2" xfId="11855" xr:uid="{00000000-0005-0000-0000-00003A2E0000}"/>
    <cellStyle name="Dane wejściowe 2 5 41 3" xfId="11856" xr:uid="{00000000-0005-0000-0000-00003B2E0000}"/>
    <cellStyle name="Dane wejściowe 2 5 42" xfId="11857" xr:uid="{00000000-0005-0000-0000-00003C2E0000}"/>
    <cellStyle name="Dane wejściowe 2 5 42 2" xfId="11858" xr:uid="{00000000-0005-0000-0000-00003D2E0000}"/>
    <cellStyle name="Dane wejściowe 2 5 42 3" xfId="11859" xr:uid="{00000000-0005-0000-0000-00003E2E0000}"/>
    <cellStyle name="Dane wejściowe 2 5 43" xfId="11860" xr:uid="{00000000-0005-0000-0000-00003F2E0000}"/>
    <cellStyle name="Dane wejściowe 2 5 43 2" xfId="11861" xr:uid="{00000000-0005-0000-0000-0000402E0000}"/>
    <cellStyle name="Dane wejściowe 2 5 43 3" xfId="11862" xr:uid="{00000000-0005-0000-0000-0000412E0000}"/>
    <cellStyle name="Dane wejściowe 2 5 44" xfId="11863" xr:uid="{00000000-0005-0000-0000-0000422E0000}"/>
    <cellStyle name="Dane wejściowe 2 5 44 2" xfId="11864" xr:uid="{00000000-0005-0000-0000-0000432E0000}"/>
    <cellStyle name="Dane wejściowe 2 5 44 3" xfId="11865" xr:uid="{00000000-0005-0000-0000-0000442E0000}"/>
    <cellStyle name="Dane wejściowe 2 5 45" xfId="11866" xr:uid="{00000000-0005-0000-0000-0000452E0000}"/>
    <cellStyle name="Dane wejściowe 2 5 45 2" xfId="11867" xr:uid="{00000000-0005-0000-0000-0000462E0000}"/>
    <cellStyle name="Dane wejściowe 2 5 45 3" xfId="11868" xr:uid="{00000000-0005-0000-0000-0000472E0000}"/>
    <cellStyle name="Dane wejściowe 2 5 46" xfId="11869" xr:uid="{00000000-0005-0000-0000-0000482E0000}"/>
    <cellStyle name="Dane wejściowe 2 5 46 2" xfId="11870" xr:uid="{00000000-0005-0000-0000-0000492E0000}"/>
    <cellStyle name="Dane wejściowe 2 5 46 3" xfId="11871" xr:uid="{00000000-0005-0000-0000-00004A2E0000}"/>
    <cellStyle name="Dane wejściowe 2 5 47" xfId="11872" xr:uid="{00000000-0005-0000-0000-00004B2E0000}"/>
    <cellStyle name="Dane wejściowe 2 5 47 2" xfId="11873" xr:uid="{00000000-0005-0000-0000-00004C2E0000}"/>
    <cellStyle name="Dane wejściowe 2 5 47 3" xfId="11874" xr:uid="{00000000-0005-0000-0000-00004D2E0000}"/>
    <cellStyle name="Dane wejściowe 2 5 48" xfId="11875" xr:uid="{00000000-0005-0000-0000-00004E2E0000}"/>
    <cellStyle name="Dane wejściowe 2 5 48 2" xfId="11876" xr:uid="{00000000-0005-0000-0000-00004F2E0000}"/>
    <cellStyle name="Dane wejściowe 2 5 48 3" xfId="11877" xr:uid="{00000000-0005-0000-0000-0000502E0000}"/>
    <cellStyle name="Dane wejściowe 2 5 49" xfId="11878" xr:uid="{00000000-0005-0000-0000-0000512E0000}"/>
    <cellStyle name="Dane wejściowe 2 5 49 2" xfId="11879" xr:uid="{00000000-0005-0000-0000-0000522E0000}"/>
    <cellStyle name="Dane wejściowe 2 5 49 3" xfId="11880" xr:uid="{00000000-0005-0000-0000-0000532E0000}"/>
    <cellStyle name="Dane wejściowe 2 5 5" xfId="11881" xr:uid="{00000000-0005-0000-0000-0000542E0000}"/>
    <cellStyle name="Dane wejściowe 2 5 5 2" xfId="11882" xr:uid="{00000000-0005-0000-0000-0000552E0000}"/>
    <cellStyle name="Dane wejściowe 2 5 5 3" xfId="11883" xr:uid="{00000000-0005-0000-0000-0000562E0000}"/>
    <cellStyle name="Dane wejściowe 2 5 5 4" xfId="11884" xr:uid="{00000000-0005-0000-0000-0000572E0000}"/>
    <cellStyle name="Dane wejściowe 2 5 50" xfId="11885" xr:uid="{00000000-0005-0000-0000-0000582E0000}"/>
    <cellStyle name="Dane wejściowe 2 5 50 2" xfId="11886" xr:uid="{00000000-0005-0000-0000-0000592E0000}"/>
    <cellStyle name="Dane wejściowe 2 5 50 3" xfId="11887" xr:uid="{00000000-0005-0000-0000-00005A2E0000}"/>
    <cellStyle name="Dane wejściowe 2 5 51" xfId="11888" xr:uid="{00000000-0005-0000-0000-00005B2E0000}"/>
    <cellStyle name="Dane wejściowe 2 5 51 2" xfId="11889" xr:uid="{00000000-0005-0000-0000-00005C2E0000}"/>
    <cellStyle name="Dane wejściowe 2 5 51 3" xfId="11890" xr:uid="{00000000-0005-0000-0000-00005D2E0000}"/>
    <cellStyle name="Dane wejściowe 2 5 52" xfId="11891" xr:uid="{00000000-0005-0000-0000-00005E2E0000}"/>
    <cellStyle name="Dane wejściowe 2 5 52 2" xfId="11892" xr:uid="{00000000-0005-0000-0000-00005F2E0000}"/>
    <cellStyle name="Dane wejściowe 2 5 52 3" xfId="11893" xr:uid="{00000000-0005-0000-0000-0000602E0000}"/>
    <cellStyle name="Dane wejściowe 2 5 53" xfId="11894" xr:uid="{00000000-0005-0000-0000-0000612E0000}"/>
    <cellStyle name="Dane wejściowe 2 5 53 2" xfId="11895" xr:uid="{00000000-0005-0000-0000-0000622E0000}"/>
    <cellStyle name="Dane wejściowe 2 5 53 3" xfId="11896" xr:uid="{00000000-0005-0000-0000-0000632E0000}"/>
    <cellStyle name="Dane wejściowe 2 5 54" xfId="11897" xr:uid="{00000000-0005-0000-0000-0000642E0000}"/>
    <cellStyle name="Dane wejściowe 2 5 54 2" xfId="11898" xr:uid="{00000000-0005-0000-0000-0000652E0000}"/>
    <cellStyle name="Dane wejściowe 2 5 54 3" xfId="11899" xr:uid="{00000000-0005-0000-0000-0000662E0000}"/>
    <cellStyle name="Dane wejściowe 2 5 55" xfId="11900" xr:uid="{00000000-0005-0000-0000-0000672E0000}"/>
    <cellStyle name="Dane wejściowe 2 5 55 2" xfId="11901" xr:uid="{00000000-0005-0000-0000-0000682E0000}"/>
    <cellStyle name="Dane wejściowe 2 5 55 3" xfId="11902" xr:uid="{00000000-0005-0000-0000-0000692E0000}"/>
    <cellStyle name="Dane wejściowe 2 5 56" xfId="11903" xr:uid="{00000000-0005-0000-0000-00006A2E0000}"/>
    <cellStyle name="Dane wejściowe 2 5 56 2" xfId="11904" xr:uid="{00000000-0005-0000-0000-00006B2E0000}"/>
    <cellStyle name="Dane wejściowe 2 5 56 3" xfId="11905" xr:uid="{00000000-0005-0000-0000-00006C2E0000}"/>
    <cellStyle name="Dane wejściowe 2 5 57" xfId="11906" xr:uid="{00000000-0005-0000-0000-00006D2E0000}"/>
    <cellStyle name="Dane wejściowe 2 5 58" xfId="11907" xr:uid="{00000000-0005-0000-0000-00006E2E0000}"/>
    <cellStyle name="Dane wejściowe 2 5 6" xfId="11908" xr:uid="{00000000-0005-0000-0000-00006F2E0000}"/>
    <cellStyle name="Dane wejściowe 2 5 6 2" xfId="11909" xr:uid="{00000000-0005-0000-0000-0000702E0000}"/>
    <cellStyle name="Dane wejściowe 2 5 6 3" xfId="11910" xr:uid="{00000000-0005-0000-0000-0000712E0000}"/>
    <cellStyle name="Dane wejściowe 2 5 6 4" xfId="11911" xr:uid="{00000000-0005-0000-0000-0000722E0000}"/>
    <cellStyle name="Dane wejściowe 2 5 7" xfId="11912" xr:uid="{00000000-0005-0000-0000-0000732E0000}"/>
    <cellStyle name="Dane wejściowe 2 5 7 2" xfId="11913" xr:uid="{00000000-0005-0000-0000-0000742E0000}"/>
    <cellStyle name="Dane wejściowe 2 5 7 3" xfId="11914" xr:uid="{00000000-0005-0000-0000-0000752E0000}"/>
    <cellStyle name="Dane wejściowe 2 5 7 4" xfId="11915" xr:uid="{00000000-0005-0000-0000-0000762E0000}"/>
    <cellStyle name="Dane wejściowe 2 5 8" xfId="11916" xr:uid="{00000000-0005-0000-0000-0000772E0000}"/>
    <cellStyle name="Dane wejściowe 2 5 8 2" xfId="11917" xr:uid="{00000000-0005-0000-0000-0000782E0000}"/>
    <cellStyle name="Dane wejściowe 2 5 8 3" xfId="11918" xr:uid="{00000000-0005-0000-0000-0000792E0000}"/>
    <cellStyle name="Dane wejściowe 2 5 8 4" xfId="11919" xr:uid="{00000000-0005-0000-0000-00007A2E0000}"/>
    <cellStyle name="Dane wejściowe 2 5 9" xfId="11920" xr:uid="{00000000-0005-0000-0000-00007B2E0000}"/>
    <cellStyle name="Dane wejściowe 2 5 9 2" xfId="11921" xr:uid="{00000000-0005-0000-0000-00007C2E0000}"/>
    <cellStyle name="Dane wejściowe 2 5 9 3" xfId="11922" xr:uid="{00000000-0005-0000-0000-00007D2E0000}"/>
    <cellStyle name="Dane wejściowe 2 5 9 4" xfId="11923" xr:uid="{00000000-0005-0000-0000-00007E2E0000}"/>
    <cellStyle name="Dane wejściowe 2 50" xfId="11924" xr:uid="{00000000-0005-0000-0000-00007F2E0000}"/>
    <cellStyle name="Dane wejściowe 2 50 2" xfId="11925" xr:uid="{00000000-0005-0000-0000-0000802E0000}"/>
    <cellStyle name="Dane wejściowe 2 50 3" xfId="11926" xr:uid="{00000000-0005-0000-0000-0000812E0000}"/>
    <cellStyle name="Dane wejściowe 2 51" xfId="11927" xr:uid="{00000000-0005-0000-0000-0000822E0000}"/>
    <cellStyle name="Dane wejściowe 2 51 2" xfId="11928" xr:uid="{00000000-0005-0000-0000-0000832E0000}"/>
    <cellStyle name="Dane wejściowe 2 51 3" xfId="11929" xr:uid="{00000000-0005-0000-0000-0000842E0000}"/>
    <cellStyle name="Dane wejściowe 2 52" xfId="11930" xr:uid="{00000000-0005-0000-0000-0000852E0000}"/>
    <cellStyle name="Dane wejściowe 2 52 2" xfId="11931" xr:uid="{00000000-0005-0000-0000-0000862E0000}"/>
    <cellStyle name="Dane wejściowe 2 52 3" xfId="11932" xr:uid="{00000000-0005-0000-0000-0000872E0000}"/>
    <cellStyle name="Dane wejściowe 2 53" xfId="11933" xr:uid="{00000000-0005-0000-0000-0000882E0000}"/>
    <cellStyle name="Dane wejściowe 2 53 2" xfId="11934" xr:uid="{00000000-0005-0000-0000-0000892E0000}"/>
    <cellStyle name="Dane wejściowe 2 53 3" xfId="11935" xr:uid="{00000000-0005-0000-0000-00008A2E0000}"/>
    <cellStyle name="Dane wejściowe 2 54" xfId="11936" xr:uid="{00000000-0005-0000-0000-00008B2E0000}"/>
    <cellStyle name="Dane wejściowe 2 54 2" xfId="11937" xr:uid="{00000000-0005-0000-0000-00008C2E0000}"/>
    <cellStyle name="Dane wejściowe 2 54 3" xfId="11938" xr:uid="{00000000-0005-0000-0000-00008D2E0000}"/>
    <cellStyle name="Dane wejściowe 2 55" xfId="11939" xr:uid="{00000000-0005-0000-0000-00008E2E0000}"/>
    <cellStyle name="Dane wejściowe 2 55 2" xfId="11940" xr:uid="{00000000-0005-0000-0000-00008F2E0000}"/>
    <cellStyle name="Dane wejściowe 2 55 3" xfId="11941" xr:uid="{00000000-0005-0000-0000-0000902E0000}"/>
    <cellStyle name="Dane wejściowe 2 56" xfId="11942" xr:uid="{00000000-0005-0000-0000-0000912E0000}"/>
    <cellStyle name="Dane wejściowe 2 56 2" xfId="11943" xr:uid="{00000000-0005-0000-0000-0000922E0000}"/>
    <cellStyle name="Dane wejściowe 2 56 3" xfId="11944" xr:uid="{00000000-0005-0000-0000-0000932E0000}"/>
    <cellStyle name="Dane wejściowe 2 57" xfId="11945" xr:uid="{00000000-0005-0000-0000-0000942E0000}"/>
    <cellStyle name="Dane wejściowe 2 57 2" xfId="11946" xr:uid="{00000000-0005-0000-0000-0000952E0000}"/>
    <cellStyle name="Dane wejściowe 2 57 3" xfId="11947" xr:uid="{00000000-0005-0000-0000-0000962E0000}"/>
    <cellStyle name="Dane wejściowe 2 58" xfId="11948" xr:uid="{00000000-0005-0000-0000-0000972E0000}"/>
    <cellStyle name="Dane wejściowe 2 58 2" xfId="11949" xr:uid="{00000000-0005-0000-0000-0000982E0000}"/>
    <cellStyle name="Dane wejściowe 2 58 3" xfId="11950" xr:uid="{00000000-0005-0000-0000-0000992E0000}"/>
    <cellStyle name="Dane wejściowe 2 59" xfId="11951" xr:uid="{00000000-0005-0000-0000-00009A2E0000}"/>
    <cellStyle name="Dane wejściowe 2 59 2" xfId="11952" xr:uid="{00000000-0005-0000-0000-00009B2E0000}"/>
    <cellStyle name="Dane wejściowe 2 59 3" xfId="11953" xr:uid="{00000000-0005-0000-0000-00009C2E0000}"/>
    <cellStyle name="Dane wejściowe 2 6" xfId="11954" xr:uid="{00000000-0005-0000-0000-00009D2E0000}"/>
    <cellStyle name="Dane wejściowe 2 6 10" xfId="11955" xr:uid="{00000000-0005-0000-0000-00009E2E0000}"/>
    <cellStyle name="Dane wejściowe 2 6 10 2" xfId="11956" xr:uid="{00000000-0005-0000-0000-00009F2E0000}"/>
    <cellStyle name="Dane wejściowe 2 6 10 3" xfId="11957" xr:uid="{00000000-0005-0000-0000-0000A02E0000}"/>
    <cellStyle name="Dane wejściowe 2 6 10 4" xfId="11958" xr:uid="{00000000-0005-0000-0000-0000A12E0000}"/>
    <cellStyle name="Dane wejściowe 2 6 11" xfId="11959" xr:uid="{00000000-0005-0000-0000-0000A22E0000}"/>
    <cellStyle name="Dane wejściowe 2 6 11 2" xfId="11960" xr:uid="{00000000-0005-0000-0000-0000A32E0000}"/>
    <cellStyle name="Dane wejściowe 2 6 11 3" xfId="11961" xr:uid="{00000000-0005-0000-0000-0000A42E0000}"/>
    <cellStyle name="Dane wejściowe 2 6 11 4" xfId="11962" xr:uid="{00000000-0005-0000-0000-0000A52E0000}"/>
    <cellStyle name="Dane wejściowe 2 6 12" xfId="11963" xr:uid="{00000000-0005-0000-0000-0000A62E0000}"/>
    <cellStyle name="Dane wejściowe 2 6 12 2" xfId="11964" xr:uid="{00000000-0005-0000-0000-0000A72E0000}"/>
    <cellStyle name="Dane wejściowe 2 6 12 3" xfId="11965" xr:uid="{00000000-0005-0000-0000-0000A82E0000}"/>
    <cellStyle name="Dane wejściowe 2 6 12 4" xfId="11966" xr:uid="{00000000-0005-0000-0000-0000A92E0000}"/>
    <cellStyle name="Dane wejściowe 2 6 13" xfId="11967" xr:uid="{00000000-0005-0000-0000-0000AA2E0000}"/>
    <cellStyle name="Dane wejściowe 2 6 13 2" xfId="11968" xr:uid="{00000000-0005-0000-0000-0000AB2E0000}"/>
    <cellStyle name="Dane wejściowe 2 6 13 3" xfId="11969" xr:uid="{00000000-0005-0000-0000-0000AC2E0000}"/>
    <cellStyle name="Dane wejściowe 2 6 13 4" xfId="11970" xr:uid="{00000000-0005-0000-0000-0000AD2E0000}"/>
    <cellStyle name="Dane wejściowe 2 6 14" xfId="11971" xr:uid="{00000000-0005-0000-0000-0000AE2E0000}"/>
    <cellStyle name="Dane wejściowe 2 6 14 2" xfId="11972" xr:uid="{00000000-0005-0000-0000-0000AF2E0000}"/>
    <cellStyle name="Dane wejściowe 2 6 14 3" xfId="11973" xr:uid="{00000000-0005-0000-0000-0000B02E0000}"/>
    <cellStyle name="Dane wejściowe 2 6 14 4" xfId="11974" xr:uid="{00000000-0005-0000-0000-0000B12E0000}"/>
    <cellStyle name="Dane wejściowe 2 6 15" xfId="11975" xr:uid="{00000000-0005-0000-0000-0000B22E0000}"/>
    <cellStyle name="Dane wejściowe 2 6 15 2" xfId="11976" xr:uid="{00000000-0005-0000-0000-0000B32E0000}"/>
    <cellStyle name="Dane wejściowe 2 6 15 3" xfId="11977" xr:uid="{00000000-0005-0000-0000-0000B42E0000}"/>
    <cellStyle name="Dane wejściowe 2 6 15 4" xfId="11978" xr:uid="{00000000-0005-0000-0000-0000B52E0000}"/>
    <cellStyle name="Dane wejściowe 2 6 16" xfId="11979" xr:uid="{00000000-0005-0000-0000-0000B62E0000}"/>
    <cellStyle name="Dane wejściowe 2 6 16 2" xfId="11980" xr:uid="{00000000-0005-0000-0000-0000B72E0000}"/>
    <cellStyle name="Dane wejściowe 2 6 16 3" xfId="11981" xr:uid="{00000000-0005-0000-0000-0000B82E0000}"/>
    <cellStyle name="Dane wejściowe 2 6 16 4" xfId="11982" xr:uid="{00000000-0005-0000-0000-0000B92E0000}"/>
    <cellStyle name="Dane wejściowe 2 6 17" xfId="11983" xr:uid="{00000000-0005-0000-0000-0000BA2E0000}"/>
    <cellStyle name="Dane wejściowe 2 6 17 2" xfId="11984" xr:uid="{00000000-0005-0000-0000-0000BB2E0000}"/>
    <cellStyle name="Dane wejściowe 2 6 17 3" xfId="11985" xr:uid="{00000000-0005-0000-0000-0000BC2E0000}"/>
    <cellStyle name="Dane wejściowe 2 6 17 4" xfId="11986" xr:uid="{00000000-0005-0000-0000-0000BD2E0000}"/>
    <cellStyle name="Dane wejściowe 2 6 18" xfId="11987" xr:uid="{00000000-0005-0000-0000-0000BE2E0000}"/>
    <cellStyle name="Dane wejściowe 2 6 18 2" xfId="11988" xr:uid="{00000000-0005-0000-0000-0000BF2E0000}"/>
    <cellStyle name="Dane wejściowe 2 6 18 3" xfId="11989" xr:uid="{00000000-0005-0000-0000-0000C02E0000}"/>
    <cellStyle name="Dane wejściowe 2 6 18 4" xfId="11990" xr:uid="{00000000-0005-0000-0000-0000C12E0000}"/>
    <cellStyle name="Dane wejściowe 2 6 19" xfId="11991" xr:uid="{00000000-0005-0000-0000-0000C22E0000}"/>
    <cellStyle name="Dane wejściowe 2 6 19 2" xfId="11992" xr:uid="{00000000-0005-0000-0000-0000C32E0000}"/>
    <cellStyle name="Dane wejściowe 2 6 19 3" xfId="11993" xr:uid="{00000000-0005-0000-0000-0000C42E0000}"/>
    <cellStyle name="Dane wejściowe 2 6 19 4" xfId="11994" xr:uid="{00000000-0005-0000-0000-0000C52E0000}"/>
    <cellStyle name="Dane wejściowe 2 6 2" xfId="11995" xr:uid="{00000000-0005-0000-0000-0000C62E0000}"/>
    <cellStyle name="Dane wejściowe 2 6 2 2" xfId="11996" xr:uid="{00000000-0005-0000-0000-0000C72E0000}"/>
    <cellStyle name="Dane wejściowe 2 6 2 3" xfId="11997" xr:uid="{00000000-0005-0000-0000-0000C82E0000}"/>
    <cellStyle name="Dane wejściowe 2 6 2 4" xfId="11998" xr:uid="{00000000-0005-0000-0000-0000C92E0000}"/>
    <cellStyle name="Dane wejściowe 2 6 20" xfId="11999" xr:uid="{00000000-0005-0000-0000-0000CA2E0000}"/>
    <cellStyle name="Dane wejściowe 2 6 20 2" xfId="12000" xr:uid="{00000000-0005-0000-0000-0000CB2E0000}"/>
    <cellStyle name="Dane wejściowe 2 6 20 3" xfId="12001" xr:uid="{00000000-0005-0000-0000-0000CC2E0000}"/>
    <cellStyle name="Dane wejściowe 2 6 20 4" xfId="12002" xr:uid="{00000000-0005-0000-0000-0000CD2E0000}"/>
    <cellStyle name="Dane wejściowe 2 6 21" xfId="12003" xr:uid="{00000000-0005-0000-0000-0000CE2E0000}"/>
    <cellStyle name="Dane wejściowe 2 6 21 2" xfId="12004" xr:uid="{00000000-0005-0000-0000-0000CF2E0000}"/>
    <cellStyle name="Dane wejściowe 2 6 21 3" xfId="12005" xr:uid="{00000000-0005-0000-0000-0000D02E0000}"/>
    <cellStyle name="Dane wejściowe 2 6 22" xfId="12006" xr:uid="{00000000-0005-0000-0000-0000D12E0000}"/>
    <cellStyle name="Dane wejściowe 2 6 22 2" xfId="12007" xr:uid="{00000000-0005-0000-0000-0000D22E0000}"/>
    <cellStyle name="Dane wejściowe 2 6 22 3" xfId="12008" xr:uid="{00000000-0005-0000-0000-0000D32E0000}"/>
    <cellStyle name="Dane wejściowe 2 6 23" xfId="12009" xr:uid="{00000000-0005-0000-0000-0000D42E0000}"/>
    <cellStyle name="Dane wejściowe 2 6 23 2" xfId="12010" xr:uid="{00000000-0005-0000-0000-0000D52E0000}"/>
    <cellStyle name="Dane wejściowe 2 6 23 3" xfId="12011" xr:uid="{00000000-0005-0000-0000-0000D62E0000}"/>
    <cellStyle name="Dane wejściowe 2 6 24" xfId="12012" xr:uid="{00000000-0005-0000-0000-0000D72E0000}"/>
    <cellStyle name="Dane wejściowe 2 6 24 2" xfId="12013" xr:uid="{00000000-0005-0000-0000-0000D82E0000}"/>
    <cellStyle name="Dane wejściowe 2 6 24 3" xfId="12014" xr:uid="{00000000-0005-0000-0000-0000D92E0000}"/>
    <cellStyle name="Dane wejściowe 2 6 25" xfId="12015" xr:uid="{00000000-0005-0000-0000-0000DA2E0000}"/>
    <cellStyle name="Dane wejściowe 2 6 25 2" xfId="12016" xr:uid="{00000000-0005-0000-0000-0000DB2E0000}"/>
    <cellStyle name="Dane wejściowe 2 6 25 3" xfId="12017" xr:uid="{00000000-0005-0000-0000-0000DC2E0000}"/>
    <cellStyle name="Dane wejściowe 2 6 26" xfId="12018" xr:uid="{00000000-0005-0000-0000-0000DD2E0000}"/>
    <cellStyle name="Dane wejściowe 2 6 26 2" xfId="12019" xr:uid="{00000000-0005-0000-0000-0000DE2E0000}"/>
    <cellStyle name="Dane wejściowe 2 6 26 3" xfId="12020" xr:uid="{00000000-0005-0000-0000-0000DF2E0000}"/>
    <cellStyle name="Dane wejściowe 2 6 27" xfId="12021" xr:uid="{00000000-0005-0000-0000-0000E02E0000}"/>
    <cellStyle name="Dane wejściowe 2 6 27 2" xfId="12022" xr:uid="{00000000-0005-0000-0000-0000E12E0000}"/>
    <cellStyle name="Dane wejściowe 2 6 27 3" xfId="12023" xr:uid="{00000000-0005-0000-0000-0000E22E0000}"/>
    <cellStyle name="Dane wejściowe 2 6 28" xfId="12024" xr:uid="{00000000-0005-0000-0000-0000E32E0000}"/>
    <cellStyle name="Dane wejściowe 2 6 28 2" xfId="12025" xr:uid="{00000000-0005-0000-0000-0000E42E0000}"/>
    <cellStyle name="Dane wejściowe 2 6 28 3" xfId="12026" xr:uid="{00000000-0005-0000-0000-0000E52E0000}"/>
    <cellStyle name="Dane wejściowe 2 6 29" xfId="12027" xr:uid="{00000000-0005-0000-0000-0000E62E0000}"/>
    <cellStyle name="Dane wejściowe 2 6 29 2" xfId="12028" xr:uid="{00000000-0005-0000-0000-0000E72E0000}"/>
    <cellStyle name="Dane wejściowe 2 6 29 3" xfId="12029" xr:uid="{00000000-0005-0000-0000-0000E82E0000}"/>
    <cellStyle name="Dane wejściowe 2 6 3" xfId="12030" xr:uid="{00000000-0005-0000-0000-0000E92E0000}"/>
    <cellStyle name="Dane wejściowe 2 6 3 2" xfId="12031" xr:uid="{00000000-0005-0000-0000-0000EA2E0000}"/>
    <cellStyle name="Dane wejściowe 2 6 3 3" xfId="12032" xr:uid="{00000000-0005-0000-0000-0000EB2E0000}"/>
    <cellStyle name="Dane wejściowe 2 6 3 4" xfId="12033" xr:uid="{00000000-0005-0000-0000-0000EC2E0000}"/>
    <cellStyle name="Dane wejściowe 2 6 30" xfId="12034" xr:uid="{00000000-0005-0000-0000-0000ED2E0000}"/>
    <cellStyle name="Dane wejściowe 2 6 30 2" xfId="12035" xr:uid="{00000000-0005-0000-0000-0000EE2E0000}"/>
    <cellStyle name="Dane wejściowe 2 6 30 3" xfId="12036" xr:uid="{00000000-0005-0000-0000-0000EF2E0000}"/>
    <cellStyle name="Dane wejściowe 2 6 31" xfId="12037" xr:uid="{00000000-0005-0000-0000-0000F02E0000}"/>
    <cellStyle name="Dane wejściowe 2 6 31 2" xfId="12038" xr:uid="{00000000-0005-0000-0000-0000F12E0000}"/>
    <cellStyle name="Dane wejściowe 2 6 31 3" xfId="12039" xr:uid="{00000000-0005-0000-0000-0000F22E0000}"/>
    <cellStyle name="Dane wejściowe 2 6 32" xfId="12040" xr:uid="{00000000-0005-0000-0000-0000F32E0000}"/>
    <cellStyle name="Dane wejściowe 2 6 32 2" xfId="12041" xr:uid="{00000000-0005-0000-0000-0000F42E0000}"/>
    <cellStyle name="Dane wejściowe 2 6 32 3" xfId="12042" xr:uid="{00000000-0005-0000-0000-0000F52E0000}"/>
    <cellStyle name="Dane wejściowe 2 6 33" xfId="12043" xr:uid="{00000000-0005-0000-0000-0000F62E0000}"/>
    <cellStyle name="Dane wejściowe 2 6 33 2" xfId="12044" xr:uid="{00000000-0005-0000-0000-0000F72E0000}"/>
    <cellStyle name="Dane wejściowe 2 6 33 3" xfId="12045" xr:uid="{00000000-0005-0000-0000-0000F82E0000}"/>
    <cellStyle name="Dane wejściowe 2 6 34" xfId="12046" xr:uid="{00000000-0005-0000-0000-0000F92E0000}"/>
    <cellStyle name="Dane wejściowe 2 6 34 2" xfId="12047" xr:uid="{00000000-0005-0000-0000-0000FA2E0000}"/>
    <cellStyle name="Dane wejściowe 2 6 34 3" xfId="12048" xr:uid="{00000000-0005-0000-0000-0000FB2E0000}"/>
    <cellStyle name="Dane wejściowe 2 6 35" xfId="12049" xr:uid="{00000000-0005-0000-0000-0000FC2E0000}"/>
    <cellStyle name="Dane wejściowe 2 6 35 2" xfId="12050" xr:uid="{00000000-0005-0000-0000-0000FD2E0000}"/>
    <cellStyle name="Dane wejściowe 2 6 35 3" xfId="12051" xr:uid="{00000000-0005-0000-0000-0000FE2E0000}"/>
    <cellStyle name="Dane wejściowe 2 6 36" xfId="12052" xr:uid="{00000000-0005-0000-0000-0000FF2E0000}"/>
    <cellStyle name="Dane wejściowe 2 6 36 2" xfId="12053" xr:uid="{00000000-0005-0000-0000-0000002F0000}"/>
    <cellStyle name="Dane wejściowe 2 6 36 3" xfId="12054" xr:uid="{00000000-0005-0000-0000-0000012F0000}"/>
    <cellStyle name="Dane wejściowe 2 6 37" xfId="12055" xr:uid="{00000000-0005-0000-0000-0000022F0000}"/>
    <cellStyle name="Dane wejściowe 2 6 37 2" xfId="12056" xr:uid="{00000000-0005-0000-0000-0000032F0000}"/>
    <cellStyle name="Dane wejściowe 2 6 37 3" xfId="12057" xr:uid="{00000000-0005-0000-0000-0000042F0000}"/>
    <cellStyle name="Dane wejściowe 2 6 38" xfId="12058" xr:uid="{00000000-0005-0000-0000-0000052F0000}"/>
    <cellStyle name="Dane wejściowe 2 6 38 2" xfId="12059" xr:uid="{00000000-0005-0000-0000-0000062F0000}"/>
    <cellStyle name="Dane wejściowe 2 6 38 3" xfId="12060" xr:uid="{00000000-0005-0000-0000-0000072F0000}"/>
    <cellStyle name="Dane wejściowe 2 6 39" xfId="12061" xr:uid="{00000000-0005-0000-0000-0000082F0000}"/>
    <cellStyle name="Dane wejściowe 2 6 39 2" xfId="12062" xr:uid="{00000000-0005-0000-0000-0000092F0000}"/>
    <cellStyle name="Dane wejściowe 2 6 39 3" xfId="12063" xr:uid="{00000000-0005-0000-0000-00000A2F0000}"/>
    <cellStyle name="Dane wejściowe 2 6 4" xfId="12064" xr:uid="{00000000-0005-0000-0000-00000B2F0000}"/>
    <cellStyle name="Dane wejściowe 2 6 4 2" xfId="12065" xr:uid="{00000000-0005-0000-0000-00000C2F0000}"/>
    <cellStyle name="Dane wejściowe 2 6 4 3" xfId="12066" xr:uid="{00000000-0005-0000-0000-00000D2F0000}"/>
    <cellStyle name="Dane wejściowe 2 6 4 4" xfId="12067" xr:uid="{00000000-0005-0000-0000-00000E2F0000}"/>
    <cellStyle name="Dane wejściowe 2 6 40" xfId="12068" xr:uid="{00000000-0005-0000-0000-00000F2F0000}"/>
    <cellStyle name="Dane wejściowe 2 6 40 2" xfId="12069" xr:uid="{00000000-0005-0000-0000-0000102F0000}"/>
    <cellStyle name="Dane wejściowe 2 6 40 3" xfId="12070" xr:uid="{00000000-0005-0000-0000-0000112F0000}"/>
    <cellStyle name="Dane wejściowe 2 6 41" xfId="12071" xr:uid="{00000000-0005-0000-0000-0000122F0000}"/>
    <cellStyle name="Dane wejściowe 2 6 41 2" xfId="12072" xr:uid="{00000000-0005-0000-0000-0000132F0000}"/>
    <cellStyle name="Dane wejściowe 2 6 41 3" xfId="12073" xr:uid="{00000000-0005-0000-0000-0000142F0000}"/>
    <cellStyle name="Dane wejściowe 2 6 42" xfId="12074" xr:uid="{00000000-0005-0000-0000-0000152F0000}"/>
    <cellStyle name="Dane wejściowe 2 6 42 2" xfId="12075" xr:uid="{00000000-0005-0000-0000-0000162F0000}"/>
    <cellStyle name="Dane wejściowe 2 6 42 3" xfId="12076" xr:uid="{00000000-0005-0000-0000-0000172F0000}"/>
    <cellStyle name="Dane wejściowe 2 6 43" xfId="12077" xr:uid="{00000000-0005-0000-0000-0000182F0000}"/>
    <cellStyle name="Dane wejściowe 2 6 43 2" xfId="12078" xr:uid="{00000000-0005-0000-0000-0000192F0000}"/>
    <cellStyle name="Dane wejściowe 2 6 43 3" xfId="12079" xr:uid="{00000000-0005-0000-0000-00001A2F0000}"/>
    <cellStyle name="Dane wejściowe 2 6 44" xfId="12080" xr:uid="{00000000-0005-0000-0000-00001B2F0000}"/>
    <cellStyle name="Dane wejściowe 2 6 44 2" xfId="12081" xr:uid="{00000000-0005-0000-0000-00001C2F0000}"/>
    <cellStyle name="Dane wejściowe 2 6 44 3" xfId="12082" xr:uid="{00000000-0005-0000-0000-00001D2F0000}"/>
    <cellStyle name="Dane wejściowe 2 6 45" xfId="12083" xr:uid="{00000000-0005-0000-0000-00001E2F0000}"/>
    <cellStyle name="Dane wejściowe 2 6 45 2" xfId="12084" xr:uid="{00000000-0005-0000-0000-00001F2F0000}"/>
    <cellStyle name="Dane wejściowe 2 6 45 3" xfId="12085" xr:uid="{00000000-0005-0000-0000-0000202F0000}"/>
    <cellStyle name="Dane wejściowe 2 6 46" xfId="12086" xr:uid="{00000000-0005-0000-0000-0000212F0000}"/>
    <cellStyle name="Dane wejściowe 2 6 46 2" xfId="12087" xr:uid="{00000000-0005-0000-0000-0000222F0000}"/>
    <cellStyle name="Dane wejściowe 2 6 46 3" xfId="12088" xr:uid="{00000000-0005-0000-0000-0000232F0000}"/>
    <cellStyle name="Dane wejściowe 2 6 47" xfId="12089" xr:uid="{00000000-0005-0000-0000-0000242F0000}"/>
    <cellStyle name="Dane wejściowe 2 6 47 2" xfId="12090" xr:uid="{00000000-0005-0000-0000-0000252F0000}"/>
    <cellStyle name="Dane wejściowe 2 6 47 3" xfId="12091" xr:uid="{00000000-0005-0000-0000-0000262F0000}"/>
    <cellStyle name="Dane wejściowe 2 6 48" xfId="12092" xr:uid="{00000000-0005-0000-0000-0000272F0000}"/>
    <cellStyle name="Dane wejściowe 2 6 48 2" xfId="12093" xr:uid="{00000000-0005-0000-0000-0000282F0000}"/>
    <cellStyle name="Dane wejściowe 2 6 48 3" xfId="12094" xr:uid="{00000000-0005-0000-0000-0000292F0000}"/>
    <cellStyle name="Dane wejściowe 2 6 49" xfId="12095" xr:uid="{00000000-0005-0000-0000-00002A2F0000}"/>
    <cellStyle name="Dane wejściowe 2 6 49 2" xfId="12096" xr:uid="{00000000-0005-0000-0000-00002B2F0000}"/>
    <cellStyle name="Dane wejściowe 2 6 49 3" xfId="12097" xr:uid="{00000000-0005-0000-0000-00002C2F0000}"/>
    <cellStyle name="Dane wejściowe 2 6 5" xfId="12098" xr:uid="{00000000-0005-0000-0000-00002D2F0000}"/>
    <cellStyle name="Dane wejściowe 2 6 5 2" xfId="12099" xr:uid="{00000000-0005-0000-0000-00002E2F0000}"/>
    <cellStyle name="Dane wejściowe 2 6 5 3" xfId="12100" xr:uid="{00000000-0005-0000-0000-00002F2F0000}"/>
    <cellStyle name="Dane wejściowe 2 6 5 4" xfId="12101" xr:uid="{00000000-0005-0000-0000-0000302F0000}"/>
    <cellStyle name="Dane wejściowe 2 6 50" xfId="12102" xr:uid="{00000000-0005-0000-0000-0000312F0000}"/>
    <cellStyle name="Dane wejściowe 2 6 50 2" xfId="12103" xr:uid="{00000000-0005-0000-0000-0000322F0000}"/>
    <cellStyle name="Dane wejściowe 2 6 50 3" xfId="12104" xr:uid="{00000000-0005-0000-0000-0000332F0000}"/>
    <cellStyle name="Dane wejściowe 2 6 51" xfId="12105" xr:uid="{00000000-0005-0000-0000-0000342F0000}"/>
    <cellStyle name="Dane wejściowe 2 6 51 2" xfId="12106" xr:uid="{00000000-0005-0000-0000-0000352F0000}"/>
    <cellStyle name="Dane wejściowe 2 6 51 3" xfId="12107" xr:uid="{00000000-0005-0000-0000-0000362F0000}"/>
    <cellStyle name="Dane wejściowe 2 6 52" xfId="12108" xr:uid="{00000000-0005-0000-0000-0000372F0000}"/>
    <cellStyle name="Dane wejściowe 2 6 52 2" xfId="12109" xr:uid="{00000000-0005-0000-0000-0000382F0000}"/>
    <cellStyle name="Dane wejściowe 2 6 52 3" xfId="12110" xr:uid="{00000000-0005-0000-0000-0000392F0000}"/>
    <cellStyle name="Dane wejściowe 2 6 53" xfId="12111" xr:uid="{00000000-0005-0000-0000-00003A2F0000}"/>
    <cellStyle name="Dane wejściowe 2 6 53 2" xfId="12112" xr:uid="{00000000-0005-0000-0000-00003B2F0000}"/>
    <cellStyle name="Dane wejściowe 2 6 53 3" xfId="12113" xr:uid="{00000000-0005-0000-0000-00003C2F0000}"/>
    <cellStyle name="Dane wejściowe 2 6 54" xfId="12114" xr:uid="{00000000-0005-0000-0000-00003D2F0000}"/>
    <cellStyle name="Dane wejściowe 2 6 54 2" xfId="12115" xr:uid="{00000000-0005-0000-0000-00003E2F0000}"/>
    <cellStyle name="Dane wejściowe 2 6 54 3" xfId="12116" xr:uid="{00000000-0005-0000-0000-00003F2F0000}"/>
    <cellStyle name="Dane wejściowe 2 6 55" xfId="12117" xr:uid="{00000000-0005-0000-0000-0000402F0000}"/>
    <cellStyle name="Dane wejściowe 2 6 55 2" xfId="12118" xr:uid="{00000000-0005-0000-0000-0000412F0000}"/>
    <cellStyle name="Dane wejściowe 2 6 55 3" xfId="12119" xr:uid="{00000000-0005-0000-0000-0000422F0000}"/>
    <cellStyle name="Dane wejściowe 2 6 56" xfId="12120" xr:uid="{00000000-0005-0000-0000-0000432F0000}"/>
    <cellStyle name="Dane wejściowe 2 6 56 2" xfId="12121" xr:uid="{00000000-0005-0000-0000-0000442F0000}"/>
    <cellStyle name="Dane wejściowe 2 6 56 3" xfId="12122" xr:uid="{00000000-0005-0000-0000-0000452F0000}"/>
    <cellStyle name="Dane wejściowe 2 6 57" xfId="12123" xr:uid="{00000000-0005-0000-0000-0000462F0000}"/>
    <cellStyle name="Dane wejściowe 2 6 58" xfId="12124" xr:uid="{00000000-0005-0000-0000-0000472F0000}"/>
    <cellStyle name="Dane wejściowe 2 6 6" xfId="12125" xr:uid="{00000000-0005-0000-0000-0000482F0000}"/>
    <cellStyle name="Dane wejściowe 2 6 6 2" xfId="12126" xr:uid="{00000000-0005-0000-0000-0000492F0000}"/>
    <cellStyle name="Dane wejściowe 2 6 6 3" xfId="12127" xr:uid="{00000000-0005-0000-0000-00004A2F0000}"/>
    <cellStyle name="Dane wejściowe 2 6 6 4" xfId="12128" xr:uid="{00000000-0005-0000-0000-00004B2F0000}"/>
    <cellStyle name="Dane wejściowe 2 6 7" xfId="12129" xr:uid="{00000000-0005-0000-0000-00004C2F0000}"/>
    <cellStyle name="Dane wejściowe 2 6 7 2" xfId="12130" xr:uid="{00000000-0005-0000-0000-00004D2F0000}"/>
    <cellStyle name="Dane wejściowe 2 6 7 3" xfId="12131" xr:uid="{00000000-0005-0000-0000-00004E2F0000}"/>
    <cellStyle name="Dane wejściowe 2 6 7 4" xfId="12132" xr:uid="{00000000-0005-0000-0000-00004F2F0000}"/>
    <cellStyle name="Dane wejściowe 2 6 8" xfId="12133" xr:uid="{00000000-0005-0000-0000-0000502F0000}"/>
    <cellStyle name="Dane wejściowe 2 6 8 2" xfId="12134" xr:uid="{00000000-0005-0000-0000-0000512F0000}"/>
    <cellStyle name="Dane wejściowe 2 6 8 3" xfId="12135" xr:uid="{00000000-0005-0000-0000-0000522F0000}"/>
    <cellStyle name="Dane wejściowe 2 6 8 4" xfId="12136" xr:uid="{00000000-0005-0000-0000-0000532F0000}"/>
    <cellStyle name="Dane wejściowe 2 6 9" xfId="12137" xr:uid="{00000000-0005-0000-0000-0000542F0000}"/>
    <cellStyle name="Dane wejściowe 2 6 9 2" xfId="12138" xr:uid="{00000000-0005-0000-0000-0000552F0000}"/>
    <cellStyle name="Dane wejściowe 2 6 9 3" xfId="12139" xr:uid="{00000000-0005-0000-0000-0000562F0000}"/>
    <cellStyle name="Dane wejściowe 2 6 9 4" xfId="12140" xr:uid="{00000000-0005-0000-0000-0000572F0000}"/>
    <cellStyle name="Dane wejściowe 2 60" xfId="12141" xr:uid="{00000000-0005-0000-0000-0000582F0000}"/>
    <cellStyle name="Dane wejściowe 2 60 2" xfId="12142" xr:uid="{00000000-0005-0000-0000-0000592F0000}"/>
    <cellStyle name="Dane wejściowe 2 60 3" xfId="12143" xr:uid="{00000000-0005-0000-0000-00005A2F0000}"/>
    <cellStyle name="Dane wejściowe 2 61" xfId="12144" xr:uid="{00000000-0005-0000-0000-00005B2F0000}"/>
    <cellStyle name="Dane wejściowe 2 61 2" xfId="12145" xr:uid="{00000000-0005-0000-0000-00005C2F0000}"/>
    <cellStyle name="Dane wejściowe 2 61 3" xfId="12146" xr:uid="{00000000-0005-0000-0000-00005D2F0000}"/>
    <cellStyle name="Dane wejściowe 2 62" xfId="12147" xr:uid="{00000000-0005-0000-0000-00005E2F0000}"/>
    <cellStyle name="Dane wejściowe 2 62 2" xfId="12148" xr:uid="{00000000-0005-0000-0000-00005F2F0000}"/>
    <cellStyle name="Dane wejściowe 2 62 3" xfId="12149" xr:uid="{00000000-0005-0000-0000-0000602F0000}"/>
    <cellStyle name="Dane wejściowe 2 63" xfId="12150" xr:uid="{00000000-0005-0000-0000-0000612F0000}"/>
    <cellStyle name="Dane wejściowe 2 63 2" xfId="12151" xr:uid="{00000000-0005-0000-0000-0000622F0000}"/>
    <cellStyle name="Dane wejściowe 2 63 3" xfId="12152" xr:uid="{00000000-0005-0000-0000-0000632F0000}"/>
    <cellStyle name="Dane wejściowe 2 64" xfId="12153" xr:uid="{00000000-0005-0000-0000-0000642F0000}"/>
    <cellStyle name="Dane wejściowe 2 64 2" xfId="12154" xr:uid="{00000000-0005-0000-0000-0000652F0000}"/>
    <cellStyle name="Dane wejściowe 2 64 3" xfId="12155" xr:uid="{00000000-0005-0000-0000-0000662F0000}"/>
    <cellStyle name="Dane wejściowe 2 65" xfId="12156" xr:uid="{00000000-0005-0000-0000-0000672F0000}"/>
    <cellStyle name="Dane wejściowe 2 65 2" xfId="12157" xr:uid="{00000000-0005-0000-0000-0000682F0000}"/>
    <cellStyle name="Dane wejściowe 2 65 3" xfId="12158" xr:uid="{00000000-0005-0000-0000-0000692F0000}"/>
    <cellStyle name="Dane wejściowe 2 66" xfId="12159" xr:uid="{00000000-0005-0000-0000-00006A2F0000}"/>
    <cellStyle name="Dane wejściowe 2 66 2" xfId="12160" xr:uid="{00000000-0005-0000-0000-00006B2F0000}"/>
    <cellStyle name="Dane wejściowe 2 66 3" xfId="12161" xr:uid="{00000000-0005-0000-0000-00006C2F0000}"/>
    <cellStyle name="Dane wejściowe 2 67" xfId="12162" xr:uid="{00000000-0005-0000-0000-00006D2F0000}"/>
    <cellStyle name="Dane wejściowe 2 67 2" xfId="12163" xr:uid="{00000000-0005-0000-0000-00006E2F0000}"/>
    <cellStyle name="Dane wejściowe 2 67 3" xfId="12164" xr:uid="{00000000-0005-0000-0000-00006F2F0000}"/>
    <cellStyle name="Dane wejściowe 2 68" xfId="12165" xr:uid="{00000000-0005-0000-0000-0000702F0000}"/>
    <cellStyle name="Dane wejściowe 2 68 2" xfId="12166" xr:uid="{00000000-0005-0000-0000-0000712F0000}"/>
    <cellStyle name="Dane wejściowe 2 68 3" xfId="12167" xr:uid="{00000000-0005-0000-0000-0000722F0000}"/>
    <cellStyle name="Dane wejściowe 2 69" xfId="12168" xr:uid="{00000000-0005-0000-0000-0000732F0000}"/>
    <cellStyle name="Dane wejściowe 2 69 2" xfId="12169" xr:uid="{00000000-0005-0000-0000-0000742F0000}"/>
    <cellStyle name="Dane wejściowe 2 69 3" xfId="12170" xr:uid="{00000000-0005-0000-0000-0000752F0000}"/>
    <cellStyle name="Dane wejściowe 2 7" xfId="12171" xr:uid="{00000000-0005-0000-0000-0000762F0000}"/>
    <cellStyle name="Dane wejściowe 2 7 10" xfId="12172" xr:uid="{00000000-0005-0000-0000-0000772F0000}"/>
    <cellStyle name="Dane wejściowe 2 7 10 2" xfId="12173" xr:uid="{00000000-0005-0000-0000-0000782F0000}"/>
    <cellStyle name="Dane wejściowe 2 7 10 3" xfId="12174" xr:uid="{00000000-0005-0000-0000-0000792F0000}"/>
    <cellStyle name="Dane wejściowe 2 7 10 4" xfId="12175" xr:uid="{00000000-0005-0000-0000-00007A2F0000}"/>
    <cellStyle name="Dane wejściowe 2 7 11" xfId="12176" xr:uid="{00000000-0005-0000-0000-00007B2F0000}"/>
    <cellStyle name="Dane wejściowe 2 7 11 2" xfId="12177" xr:uid="{00000000-0005-0000-0000-00007C2F0000}"/>
    <cellStyle name="Dane wejściowe 2 7 11 3" xfId="12178" xr:uid="{00000000-0005-0000-0000-00007D2F0000}"/>
    <cellStyle name="Dane wejściowe 2 7 11 4" xfId="12179" xr:uid="{00000000-0005-0000-0000-00007E2F0000}"/>
    <cellStyle name="Dane wejściowe 2 7 12" xfId="12180" xr:uid="{00000000-0005-0000-0000-00007F2F0000}"/>
    <cellStyle name="Dane wejściowe 2 7 12 2" xfId="12181" xr:uid="{00000000-0005-0000-0000-0000802F0000}"/>
    <cellStyle name="Dane wejściowe 2 7 12 3" xfId="12182" xr:uid="{00000000-0005-0000-0000-0000812F0000}"/>
    <cellStyle name="Dane wejściowe 2 7 12 4" xfId="12183" xr:uid="{00000000-0005-0000-0000-0000822F0000}"/>
    <cellStyle name="Dane wejściowe 2 7 13" xfId="12184" xr:uid="{00000000-0005-0000-0000-0000832F0000}"/>
    <cellStyle name="Dane wejściowe 2 7 13 2" xfId="12185" xr:uid="{00000000-0005-0000-0000-0000842F0000}"/>
    <cellStyle name="Dane wejściowe 2 7 13 3" xfId="12186" xr:uid="{00000000-0005-0000-0000-0000852F0000}"/>
    <cellStyle name="Dane wejściowe 2 7 13 4" xfId="12187" xr:uid="{00000000-0005-0000-0000-0000862F0000}"/>
    <cellStyle name="Dane wejściowe 2 7 14" xfId="12188" xr:uid="{00000000-0005-0000-0000-0000872F0000}"/>
    <cellStyle name="Dane wejściowe 2 7 14 2" xfId="12189" xr:uid="{00000000-0005-0000-0000-0000882F0000}"/>
    <cellStyle name="Dane wejściowe 2 7 14 3" xfId="12190" xr:uid="{00000000-0005-0000-0000-0000892F0000}"/>
    <cellStyle name="Dane wejściowe 2 7 14 4" xfId="12191" xr:uid="{00000000-0005-0000-0000-00008A2F0000}"/>
    <cellStyle name="Dane wejściowe 2 7 15" xfId="12192" xr:uid="{00000000-0005-0000-0000-00008B2F0000}"/>
    <cellStyle name="Dane wejściowe 2 7 15 2" xfId="12193" xr:uid="{00000000-0005-0000-0000-00008C2F0000}"/>
    <cellStyle name="Dane wejściowe 2 7 15 3" xfId="12194" xr:uid="{00000000-0005-0000-0000-00008D2F0000}"/>
    <cellStyle name="Dane wejściowe 2 7 15 4" xfId="12195" xr:uid="{00000000-0005-0000-0000-00008E2F0000}"/>
    <cellStyle name="Dane wejściowe 2 7 16" xfId="12196" xr:uid="{00000000-0005-0000-0000-00008F2F0000}"/>
    <cellStyle name="Dane wejściowe 2 7 16 2" xfId="12197" xr:uid="{00000000-0005-0000-0000-0000902F0000}"/>
    <cellStyle name="Dane wejściowe 2 7 16 3" xfId="12198" xr:uid="{00000000-0005-0000-0000-0000912F0000}"/>
    <cellStyle name="Dane wejściowe 2 7 16 4" xfId="12199" xr:uid="{00000000-0005-0000-0000-0000922F0000}"/>
    <cellStyle name="Dane wejściowe 2 7 17" xfId="12200" xr:uid="{00000000-0005-0000-0000-0000932F0000}"/>
    <cellStyle name="Dane wejściowe 2 7 17 2" xfId="12201" xr:uid="{00000000-0005-0000-0000-0000942F0000}"/>
    <cellStyle name="Dane wejściowe 2 7 17 3" xfId="12202" xr:uid="{00000000-0005-0000-0000-0000952F0000}"/>
    <cellStyle name="Dane wejściowe 2 7 17 4" xfId="12203" xr:uid="{00000000-0005-0000-0000-0000962F0000}"/>
    <cellStyle name="Dane wejściowe 2 7 18" xfId="12204" xr:uid="{00000000-0005-0000-0000-0000972F0000}"/>
    <cellStyle name="Dane wejściowe 2 7 18 2" xfId="12205" xr:uid="{00000000-0005-0000-0000-0000982F0000}"/>
    <cellStyle name="Dane wejściowe 2 7 18 3" xfId="12206" xr:uid="{00000000-0005-0000-0000-0000992F0000}"/>
    <cellStyle name="Dane wejściowe 2 7 18 4" xfId="12207" xr:uid="{00000000-0005-0000-0000-00009A2F0000}"/>
    <cellStyle name="Dane wejściowe 2 7 19" xfId="12208" xr:uid="{00000000-0005-0000-0000-00009B2F0000}"/>
    <cellStyle name="Dane wejściowe 2 7 19 2" xfId="12209" xr:uid="{00000000-0005-0000-0000-00009C2F0000}"/>
    <cellStyle name="Dane wejściowe 2 7 19 3" xfId="12210" xr:uid="{00000000-0005-0000-0000-00009D2F0000}"/>
    <cellStyle name="Dane wejściowe 2 7 19 4" xfId="12211" xr:uid="{00000000-0005-0000-0000-00009E2F0000}"/>
    <cellStyle name="Dane wejściowe 2 7 2" xfId="12212" xr:uid="{00000000-0005-0000-0000-00009F2F0000}"/>
    <cellStyle name="Dane wejściowe 2 7 2 2" xfId="12213" xr:uid="{00000000-0005-0000-0000-0000A02F0000}"/>
    <cellStyle name="Dane wejściowe 2 7 2 3" xfId="12214" xr:uid="{00000000-0005-0000-0000-0000A12F0000}"/>
    <cellStyle name="Dane wejściowe 2 7 2 4" xfId="12215" xr:uid="{00000000-0005-0000-0000-0000A22F0000}"/>
    <cellStyle name="Dane wejściowe 2 7 20" xfId="12216" xr:uid="{00000000-0005-0000-0000-0000A32F0000}"/>
    <cellStyle name="Dane wejściowe 2 7 20 2" xfId="12217" xr:uid="{00000000-0005-0000-0000-0000A42F0000}"/>
    <cellStyle name="Dane wejściowe 2 7 20 3" xfId="12218" xr:uid="{00000000-0005-0000-0000-0000A52F0000}"/>
    <cellStyle name="Dane wejściowe 2 7 20 4" xfId="12219" xr:uid="{00000000-0005-0000-0000-0000A62F0000}"/>
    <cellStyle name="Dane wejściowe 2 7 21" xfId="12220" xr:uid="{00000000-0005-0000-0000-0000A72F0000}"/>
    <cellStyle name="Dane wejściowe 2 7 21 2" xfId="12221" xr:uid="{00000000-0005-0000-0000-0000A82F0000}"/>
    <cellStyle name="Dane wejściowe 2 7 21 3" xfId="12222" xr:uid="{00000000-0005-0000-0000-0000A92F0000}"/>
    <cellStyle name="Dane wejściowe 2 7 22" xfId="12223" xr:uid="{00000000-0005-0000-0000-0000AA2F0000}"/>
    <cellStyle name="Dane wejściowe 2 7 22 2" xfId="12224" xr:uid="{00000000-0005-0000-0000-0000AB2F0000}"/>
    <cellStyle name="Dane wejściowe 2 7 22 3" xfId="12225" xr:uid="{00000000-0005-0000-0000-0000AC2F0000}"/>
    <cellStyle name="Dane wejściowe 2 7 23" xfId="12226" xr:uid="{00000000-0005-0000-0000-0000AD2F0000}"/>
    <cellStyle name="Dane wejściowe 2 7 23 2" xfId="12227" xr:uid="{00000000-0005-0000-0000-0000AE2F0000}"/>
    <cellStyle name="Dane wejściowe 2 7 23 3" xfId="12228" xr:uid="{00000000-0005-0000-0000-0000AF2F0000}"/>
    <cellStyle name="Dane wejściowe 2 7 24" xfId="12229" xr:uid="{00000000-0005-0000-0000-0000B02F0000}"/>
    <cellStyle name="Dane wejściowe 2 7 24 2" xfId="12230" xr:uid="{00000000-0005-0000-0000-0000B12F0000}"/>
    <cellStyle name="Dane wejściowe 2 7 24 3" xfId="12231" xr:uid="{00000000-0005-0000-0000-0000B22F0000}"/>
    <cellStyle name="Dane wejściowe 2 7 25" xfId="12232" xr:uid="{00000000-0005-0000-0000-0000B32F0000}"/>
    <cellStyle name="Dane wejściowe 2 7 25 2" xfId="12233" xr:uid="{00000000-0005-0000-0000-0000B42F0000}"/>
    <cellStyle name="Dane wejściowe 2 7 25 3" xfId="12234" xr:uid="{00000000-0005-0000-0000-0000B52F0000}"/>
    <cellStyle name="Dane wejściowe 2 7 26" xfId="12235" xr:uid="{00000000-0005-0000-0000-0000B62F0000}"/>
    <cellStyle name="Dane wejściowe 2 7 26 2" xfId="12236" xr:uid="{00000000-0005-0000-0000-0000B72F0000}"/>
    <cellStyle name="Dane wejściowe 2 7 26 3" xfId="12237" xr:uid="{00000000-0005-0000-0000-0000B82F0000}"/>
    <cellStyle name="Dane wejściowe 2 7 27" xfId="12238" xr:uid="{00000000-0005-0000-0000-0000B92F0000}"/>
    <cellStyle name="Dane wejściowe 2 7 27 2" xfId="12239" xr:uid="{00000000-0005-0000-0000-0000BA2F0000}"/>
    <cellStyle name="Dane wejściowe 2 7 27 3" xfId="12240" xr:uid="{00000000-0005-0000-0000-0000BB2F0000}"/>
    <cellStyle name="Dane wejściowe 2 7 28" xfId="12241" xr:uid="{00000000-0005-0000-0000-0000BC2F0000}"/>
    <cellStyle name="Dane wejściowe 2 7 28 2" xfId="12242" xr:uid="{00000000-0005-0000-0000-0000BD2F0000}"/>
    <cellStyle name="Dane wejściowe 2 7 28 3" xfId="12243" xr:uid="{00000000-0005-0000-0000-0000BE2F0000}"/>
    <cellStyle name="Dane wejściowe 2 7 29" xfId="12244" xr:uid="{00000000-0005-0000-0000-0000BF2F0000}"/>
    <cellStyle name="Dane wejściowe 2 7 29 2" xfId="12245" xr:uid="{00000000-0005-0000-0000-0000C02F0000}"/>
    <cellStyle name="Dane wejściowe 2 7 29 3" xfId="12246" xr:uid="{00000000-0005-0000-0000-0000C12F0000}"/>
    <cellStyle name="Dane wejściowe 2 7 3" xfId="12247" xr:uid="{00000000-0005-0000-0000-0000C22F0000}"/>
    <cellStyle name="Dane wejściowe 2 7 3 2" xfId="12248" xr:uid="{00000000-0005-0000-0000-0000C32F0000}"/>
    <cellStyle name="Dane wejściowe 2 7 3 3" xfId="12249" xr:uid="{00000000-0005-0000-0000-0000C42F0000}"/>
    <cellStyle name="Dane wejściowe 2 7 3 4" xfId="12250" xr:uid="{00000000-0005-0000-0000-0000C52F0000}"/>
    <cellStyle name="Dane wejściowe 2 7 30" xfId="12251" xr:uid="{00000000-0005-0000-0000-0000C62F0000}"/>
    <cellStyle name="Dane wejściowe 2 7 30 2" xfId="12252" xr:uid="{00000000-0005-0000-0000-0000C72F0000}"/>
    <cellStyle name="Dane wejściowe 2 7 30 3" xfId="12253" xr:uid="{00000000-0005-0000-0000-0000C82F0000}"/>
    <cellStyle name="Dane wejściowe 2 7 31" xfId="12254" xr:uid="{00000000-0005-0000-0000-0000C92F0000}"/>
    <cellStyle name="Dane wejściowe 2 7 31 2" xfId="12255" xr:uid="{00000000-0005-0000-0000-0000CA2F0000}"/>
    <cellStyle name="Dane wejściowe 2 7 31 3" xfId="12256" xr:uid="{00000000-0005-0000-0000-0000CB2F0000}"/>
    <cellStyle name="Dane wejściowe 2 7 32" xfId="12257" xr:uid="{00000000-0005-0000-0000-0000CC2F0000}"/>
    <cellStyle name="Dane wejściowe 2 7 32 2" xfId="12258" xr:uid="{00000000-0005-0000-0000-0000CD2F0000}"/>
    <cellStyle name="Dane wejściowe 2 7 32 3" xfId="12259" xr:uid="{00000000-0005-0000-0000-0000CE2F0000}"/>
    <cellStyle name="Dane wejściowe 2 7 33" xfId="12260" xr:uid="{00000000-0005-0000-0000-0000CF2F0000}"/>
    <cellStyle name="Dane wejściowe 2 7 33 2" xfId="12261" xr:uid="{00000000-0005-0000-0000-0000D02F0000}"/>
    <cellStyle name="Dane wejściowe 2 7 33 3" xfId="12262" xr:uid="{00000000-0005-0000-0000-0000D12F0000}"/>
    <cellStyle name="Dane wejściowe 2 7 34" xfId="12263" xr:uid="{00000000-0005-0000-0000-0000D22F0000}"/>
    <cellStyle name="Dane wejściowe 2 7 34 2" xfId="12264" xr:uid="{00000000-0005-0000-0000-0000D32F0000}"/>
    <cellStyle name="Dane wejściowe 2 7 34 3" xfId="12265" xr:uid="{00000000-0005-0000-0000-0000D42F0000}"/>
    <cellStyle name="Dane wejściowe 2 7 35" xfId="12266" xr:uid="{00000000-0005-0000-0000-0000D52F0000}"/>
    <cellStyle name="Dane wejściowe 2 7 35 2" xfId="12267" xr:uid="{00000000-0005-0000-0000-0000D62F0000}"/>
    <cellStyle name="Dane wejściowe 2 7 35 3" xfId="12268" xr:uid="{00000000-0005-0000-0000-0000D72F0000}"/>
    <cellStyle name="Dane wejściowe 2 7 36" xfId="12269" xr:uid="{00000000-0005-0000-0000-0000D82F0000}"/>
    <cellStyle name="Dane wejściowe 2 7 36 2" xfId="12270" xr:uid="{00000000-0005-0000-0000-0000D92F0000}"/>
    <cellStyle name="Dane wejściowe 2 7 36 3" xfId="12271" xr:uid="{00000000-0005-0000-0000-0000DA2F0000}"/>
    <cellStyle name="Dane wejściowe 2 7 37" xfId="12272" xr:uid="{00000000-0005-0000-0000-0000DB2F0000}"/>
    <cellStyle name="Dane wejściowe 2 7 37 2" xfId="12273" xr:uid="{00000000-0005-0000-0000-0000DC2F0000}"/>
    <cellStyle name="Dane wejściowe 2 7 37 3" xfId="12274" xr:uid="{00000000-0005-0000-0000-0000DD2F0000}"/>
    <cellStyle name="Dane wejściowe 2 7 38" xfId="12275" xr:uid="{00000000-0005-0000-0000-0000DE2F0000}"/>
    <cellStyle name="Dane wejściowe 2 7 38 2" xfId="12276" xr:uid="{00000000-0005-0000-0000-0000DF2F0000}"/>
    <cellStyle name="Dane wejściowe 2 7 38 3" xfId="12277" xr:uid="{00000000-0005-0000-0000-0000E02F0000}"/>
    <cellStyle name="Dane wejściowe 2 7 39" xfId="12278" xr:uid="{00000000-0005-0000-0000-0000E12F0000}"/>
    <cellStyle name="Dane wejściowe 2 7 39 2" xfId="12279" xr:uid="{00000000-0005-0000-0000-0000E22F0000}"/>
    <cellStyle name="Dane wejściowe 2 7 39 3" xfId="12280" xr:uid="{00000000-0005-0000-0000-0000E32F0000}"/>
    <cellStyle name="Dane wejściowe 2 7 4" xfId="12281" xr:uid="{00000000-0005-0000-0000-0000E42F0000}"/>
    <cellStyle name="Dane wejściowe 2 7 4 2" xfId="12282" xr:uid="{00000000-0005-0000-0000-0000E52F0000}"/>
    <cellStyle name="Dane wejściowe 2 7 4 3" xfId="12283" xr:uid="{00000000-0005-0000-0000-0000E62F0000}"/>
    <cellStyle name="Dane wejściowe 2 7 4 4" xfId="12284" xr:uid="{00000000-0005-0000-0000-0000E72F0000}"/>
    <cellStyle name="Dane wejściowe 2 7 40" xfId="12285" xr:uid="{00000000-0005-0000-0000-0000E82F0000}"/>
    <cellStyle name="Dane wejściowe 2 7 40 2" xfId="12286" xr:uid="{00000000-0005-0000-0000-0000E92F0000}"/>
    <cellStyle name="Dane wejściowe 2 7 40 3" xfId="12287" xr:uid="{00000000-0005-0000-0000-0000EA2F0000}"/>
    <cellStyle name="Dane wejściowe 2 7 41" xfId="12288" xr:uid="{00000000-0005-0000-0000-0000EB2F0000}"/>
    <cellStyle name="Dane wejściowe 2 7 41 2" xfId="12289" xr:uid="{00000000-0005-0000-0000-0000EC2F0000}"/>
    <cellStyle name="Dane wejściowe 2 7 41 3" xfId="12290" xr:uid="{00000000-0005-0000-0000-0000ED2F0000}"/>
    <cellStyle name="Dane wejściowe 2 7 42" xfId="12291" xr:uid="{00000000-0005-0000-0000-0000EE2F0000}"/>
    <cellStyle name="Dane wejściowe 2 7 42 2" xfId="12292" xr:uid="{00000000-0005-0000-0000-0000EF2F0000}"/>
    <cellStyle name="Dane wejściowe 2 7 42 3" xfId="12293" xr:uid="{00000000-0005-0000-0000-0000F02F0000}"/>
    <cellStyle name="Dane wejściowe 2 7 43" xfId="12294" xr:uid="{00000000-0005-0000-0000-0000F12F0000}"/>
    <cellStyle name="Dane wejściowe 2 7 43 2" xfId="12295" xr:uid="{00000000-0005-0000-0000-0000F22F0000}"/>
    <cellStyle name="Dane wejściowe 2 7 43 3" xfId="12296" xr:uid="{00000000-0005-0000-0000-0000F32F0000}"/>
    <cellStyle name="Dane wejściowe 2 7 44" xfId="12297" xr:uid="{00000000-0005-0000-0000-0000F42F0000}"/>
    <cellStyle name="Dane wejściowe 2 7 44 2" xfId="12298" xr:uid="{00000000-0005-0000-0000-0000F52F0000}"/>
    <cellStyle name="Dane wejściowe 2 7 44 3" xfId="12299" xr:uid="{00000000-0005-0000-0000-0000F62F0000}"/>
    <cellStyle name="Dane wejściowe 2 7 45" xfId="12300" xr:uid="{00000000-0005-0000-0000-0000F72F0000}"/>
    <cellStyle name="Dane wejściowe 2 7 45 2" xfId="12301" xr:uid="{00000000-0005-0000-0000-0000F82F0000}"/>
    <cellStyle name="Dane wejściowe 2 7 45 3" xfId="12302" xr:uid="{00000000-0005-0000-0000-0000F92F0000}"/>
    <cellStyle name="Dane wejściowe 2 7 46" xfId="12303" xr:uid="{00000000-0005-0000-0000-0000FA2F0000}"/>
    <cellStyle name="Dane wejściowe 2 7 46 2" xfId="12304" xr:uid="{00000000-0005-0000-0000-0000FB2F0000}"/>
    <cellStyle name="Dane wejściowe 2 7 46 3" xfId="12305" xr:uid="{00000000-0005-0000-0000-0000FC2F0000}"/>
    <cellStyle name="Dane wejściowe 2 7 47" xfId="12306" xr:uid="{00000000-0005-0000-0000-0000FD2F0000}"/>
    <cellStyle name="Dane wejściowe 2 7 47 2" xfId="12307" xr:uid="{00000000-0005-0000-0000-0000FE2F0000}"/>
    <cellStyle name="Dane wejściowe 2 7 47 3" xfId="12308" xr:uid="{00000000-0005-0000-0000-0000FF2F0000}"/>
    <cellStyle name="Dane wejściowe 2 7 48" xfId="12309" xr:uid="{00000000-0005-0000-0000-000000300000}"/>
    <cellStyle name="Dane wejściowe 2 7 48 2" xfId="12310" xr:uid="{00000000-0005-0000-0000-000001300000}"/>
    <cellStyle name="Dane wejściowe 2 7 48 3" xfId="12311" xr:uid="{00000000-0005-0000-0000-000002300000}"/>
    <cellStyle name="Dane wejściowe 2 7 49" xfId="12312" xr:uid="{00000000-0005-0000-0000-000003300000}"/>
    <cellStyle name="Dane wejściowe 2 7 49 2" xfId="12313" xr:uid="{00000000-0005-0000-0000-000004300000}"/>
    <cellStyle name="Dane wejściowe 2 7 49 3" xfId="12314" xr:uid="{00000000-0005-0000-0000-000005300000}"/>
    <cellStyle name="Dane wejściowe 2 7 5" xfId="12315" xr:uid="{00000000-0005-0000-0000-000006300000}"/>
    <cellStyle name="Dane wejściowe 2 7 5 2" xfId="12316" xr:uid="{00000000-0005-0000-0000-000007300000}"/>
    <cellStyle name="Dane wejściowe 2 7 5 3" xfId="12317" xr:uid="{00000000-0005-0000-0000-000008300000}"/>
    <cellStyle name="Dane wejściowe 2 7 5 4" xfId="12318" xr:uid="{00000000-0005-0000-0000-000009300000}"/>
    <cellStyle name="Dane wejściowe 2 7 50" xfId="12319" xr:uid="{00000000-0005-0000-0000-00000A300000}"/>
    <cellStyle name="Dane wejściowe 2 7 50 2" xfId="12320" xr:uid="{00000000-0005-0000-0000-00000B300000}"/>
    <cellStyle name="Dane wejściowe 2 7 50 3" xfId="12321" xr:uid="{00000000-0005-0000-0000-00000C300000}"/>
    <cellStyle name="Dane wejściowe 2 7 51" xfId="12322" xr:uid="{00000000-0005-0000-0000-00000D300000}"/>
    <cellStyle name="Dane wejściowe 2 7 51 2" xfId="12323" xr:uid="{00000000-0005-0000-0000-00000E300000}"/>
    <cellStyle name="Dane wejściowe 2 7 51 3" xfId="12324" xr:uid="{00000000-0005-0000-0000-00000F300000}"/>
    <cellStyle name="Dane wejściowe 2 7 52" xfId="12325" xr:uid="{00000000-0005-0000-0000-000010300000}"/>
    <cellStyle name="Dane wejściowe 2 7 52 2" xfId="12326" xr:uid="{00000000-0005-0000-0000-000011300000}"/>
    <cellStyle name="Dane wejściowe 2 7 52 3" xfId="12327" xr:uid="{00000000-0005-0000-0000-000012300000}"/>
    <cellStyle name="Dane wejściowe 2 7 53" xfId="12328" xr:uid="{00000000-0005-0000-0000-000013300000}"/>
    <cellStyle name="Dane wejściowe 2 7 53 2" xfId="12329" xr:uid="{00000000-0005-0000-0000-000014300000}"/>
    <cellStyle name="Dane wejściowe 2 7 53 3" xfId="12330" xr:uid="{00000000-0005-0000-0000-000015300000}"/>
    <cellStyle name="Dane wejściowe 2 7 54" xfId="12331" xr:uid="{00000000-0005-0000-0000-000016300000}"/>
    <cellStyle name="Dane wejściowe 2 7 54 2" xfId="12332" xr:uid="{00000000-0005-0000-0000-000017300000}"/>
    <cellStyle name="Dane wejściowe 2 7 54 3" xfId="12333" xr:uid="{00000000-0005-0000-0000-000018300000}"/>
    <cellStyle name="Dane wejściowe 2 7 55" xfId="12334" xr:uid="{00000000-0005-0000-0000-000019300000}"/>
    <cellStyle name="Dane wejściowe 2 7 55 2" xfId="12335" xr:uid="{00000000-0005-0000-0000-00001A300000}"/>
    <cellStyle name="Dane wejściowe 2 7 55 3" xfId="12336" xr:uid="{00000000-0005-0000-0000-00001B300000}"/>
    <cellStyle name="Dane wejściowe 2 7 56" xfId="12337" xr:uid="{00000000-0005-0000-0000-00001C300000}"/>
    <cellStyle name="Dane wejściowe 2 7 56 2" xfId="12338" xr:uid="{00000000-0005-0000-0000-00001D300000}"/>
    <cellStyle name="Dane wejściowe 2 7 56 3" xfId="12339" xr:uid="{00000000-0005-0000-0000-00001E300000}"/>
    <cellStyle name="Dane wejściowe 2 7 57" xfId="12340" xr:uid="{00000000-0005-0000-0000-00001F300000}"/>
    <cellStyle name="Dane wejściowe 2 7 58" xfId="12341" xr:uid="{00000000-0005-0000-0000-000020300000}"/>
    <cellStyle name="Dane wejściowe 2 7 6" xfId="12342" xr:uid="{00000000-0005-0000-0000-000021300000}"/>
    <cellStyle name="Dane wejściowe 2 7 6 2" xfId="12343" xr:uid="{00000000-0005-0000-0000-000022300000}"/>
    <cellStyle name="Dane wejściowe 2 7 6 3" xfId="12344" xr:uid="{00000000-0005-0000-0000-000023300000}"/>
    <cellStyle name="Dane wejściowe 2 7 6 4" xfId="12345" xr:uid="{00000000-0005-0000-0000-000024300000}"/>
    <cellStyle name="Dane wejściowe 2 7 7" xfId="12346" xr:uid="{00000000-0005-0000-0000-000025300000}"/>
    <cellStyle name="Dane wejściowe 2 7 7 2" xfId="12347" xr:uid="{00000000-0005-0000-0000-000026300000}"/>
    <cellStyle name="Dane wejściowe 2 7 7 3" xfId="12348" xr:uid="{00000000-0005-0000-0000-000027300000}"/>
    <cellStyle name="Dane wejściowe 2 7 7 4" xfId="12349" xr:uid="{00000000-0005-0000-0000-000028300000}"/>
    <cellStyle name="Dane wejściowe 2 7 8" xfId="12350" xr:uid="{00000000-0005-0000-0000-000029300000}"/>
    <cellStyle name="Dane wejściowe 2 7 8 2" xfId="12351" xr:uid="{00000000-0005-0000-0000-00002A300000}"/>
    <cellStyle name="Dane wejściowe 2 7 8 3" xfId="12352" xr:uid="{00000000-0005-0000-0000-00002B300000}"/>
    <cellStyle name="Dane wejściowe 2 7 8 4" xfId="12353" xr:uid="{00000000-0005-0000-0000-00002C300000}"/>
    <cellStyle name="Dane wejściowe 2 7 9" xfId="12354" xr:uid="{00000000-0005-0000-0000-00002D300000}"/>
    <cellStyle name="Dane wejściowe 2 7 9 2" xfId="12355" xr:uid="{00000000-0005-0000-0000-00002E300000}"/>
    <cellStyle name="Dane wejściowe 2 7 9 3" xfId="12356" xr:uid="{00000000-0005-0000-0000-00002F300000}"/>
    <cellStyle name="Dane wejściowe 2 7 9 4" xfId="12357" xr:uid="{00000000-0005-0000-0000-000030300000}"/>
    <cellStyle name="Dane wejściowe 2 70" xfId="12358" xr:uid="{00000000-0005-0000-0000-000031300000}"/>
    <cellStyle name="Dane wejściowe 2 70 2" xfId="12359" xr:uid="{00000000-0005-0000-0000-000032300000}"/>
    <cellStyle name="Dane wejściowe 2 70 3" xfId="12360" xr:uid="{00000000-0005-0000-0000-000033300000}"/>
    <cellStyle name="Dane wejściowe 2 71" xfId="12361" xr:uid="{00000000-0005-0000-0000-000034300000}"/>
    <cellStyle name="Dane wejściowe 2 71 2" xfId="12362" xr:uid="{00000000-0005-0000-0000-000035300000}"/>
    <cellStyle name="Dane wejściowe 2 71 3" xfId="12363" xr:uid="{00000000-0005-0000-0000-000036300000}"/>
    <cellStyle name="Dane wejściowe 2 72" xfId="12364" xr:uid="{00000000-0005-0000-0000-000037300000}"/>
    <cellStyle name="Dane wejściowe 2 72 2" xfId="12365" xr:uid="{00000000-0005-0000-0000-000038300000}"/>
    <cellStyle name="Dane wejściowe 2 72 3" xfId="12366" xr:uid="{00000000-0005-0000-0000-000039300000}"/>
    <cellStyle name="Dane wejściowe 2 73" xfId="12367" xr:uid="{00000000-0005-0000-0000-00003A300000}"/>
    <cellStyle name="Dane wejściowe 2 73 2" xfId="12368" xr:uid="{00000000-0005-0000-0000-00003B300000}"/>
    <cellStyle name="Dane wejściowe 2 73 3" xfId="12369" xr:uid="{00000000-0005-0000-0000-00003C300000}"/>
    <cellStyle name="Dane wejściowe 2 74" xfId="12370" xr:uid="{00000000-0005-0000-0000-00003D300000}"/>
    <cellStyle name="Dane wejściowe 2 74 2" xfId="12371" xr:uid="{00000000-0005-0000-0000-00003E300000}"/>
    <cellStyle name="Dane wejściowe 2 74 3" xfId="12372" xr:uid="{00000000-0005-0000-0000-00003F300000}"/>
    <cellStyle name="Dane wejściowe 2 75" xfId="12373" xr:uid="{00000000-0005-0000-0000-000040300000}"/>
    <cellStyle name="Dane wejściowe 2 75 2" xfId="12374" xr:uid="{00000000-0005-0000-0000-000041300000}"/>
    <cellStyle name="Dane wejściowe 2 75 3" xfId="12375" xr:uid="{00000000-0005-0000-0000-000042300000}"/>
    <cellStyle name="Dane wejściowe 2 76" xfId="12376" xr:uid="{00000000-0005-0000-0000-000043300000}"/>
    <cellStyle name="Dane wejściowe 2 76 2" xfId="12377" xr:uid="{00000000-0005-0000-0000-000044300000}"/>
    <cellStyle name="Dane wejściowe 2 76 3" xfId="12378" xr:uid="{00000000-0005-0000-0000-000045300000}"/>
    <cellStyle name="Dane wejściowe 2 77" xfId="12379" xr:uid="{00000000-0005-0000-0000-000046300000}"/>
    <cellStyle name="Dane wejściowe 2 77 2" xfId="12380" xr:uid="{00000000-0005-0000-0000-000047300000}"/>
    <cellStyle name="Dane wejściowe 2 77 3" xfId="12381" xr:uid="{00000000-0005-0000-0000-000048300000}"/>
    <cellStyle name="Dane wejściowe 2 78" xfId="12382" xr:uid="{00000000-0005-0000-0000-000049300000}"/>
    <cellStyle name="Dane wejściowe 2 78 2" xfId="12383" xr:uid="{00000000-0005-0000-0000-00004A300000}"/>
    <cellStyle name="Dane wejściowe 2 78 3" xfId="12384" xr:uid="{00000000-0005-0000-0000-00004B300000}"/>
    <cellStyle name="Dane wejściowe 2 79" xfId="12385" xr:uid="{00000000-0005-0000-0000-00004C300000}"/>
    <cellStyle name="Dane wejściowe 2 79 2" xfId="12386" xr:uid="{00000000-0005-0000-0000-00004D300000}"/>
    <cellStyle name="Dane wejściowe 2 79 3" xfId="12387" xr:uid="{00000000-0005-0000-0000-00004E300000}"/>
    <cellStyle name="Dane wejściowe 2 8" xfId="12388" xr:uid="{00000000-0005-0000-0000-00004F300000}"/>
    <cellStyle name="Dane wejściowe 2 8 10" xfId="12389" xr:uid="{00000000-0005-0000-0000-000050300000}"/>
    <cellStyle name="Dane wejściowe 2 8 10 2" xfId="12390" xr:uid="{00000000-0005-0000-0000-000051300000}"/>
    <cellStyle name="Dane wejściowe 2 8 10 3" xfId="12391" xr:uid="{00000000-0005-0000-0000-000052300000}"/>
    <cellStyle name="Dane wejściowe 2 8 10 4" xfId="12392" xr:uid="{00000000-0005-0000-0000-000053300000}"/>
    <cellStyle name="Dane wejściowe 2 8 11" xfId="12393" xr:uid="{00000000-0005-0000-0000-000054300000}"/>
    <cellStyle name="Dane wejściowe 2 8 11 2" xfId="12394" xr:uid="{00000000-0005-0000-0000-000055300000}"/>
    <cellStyle name="Dane wejściowe 2 8 11 3" xfId="12395" xr:uid="{00000000-0005-0000-0000-000056300000}"/>
    <cellStyle name="Dane wejściowe 2 8 11 4" xfId="12396" xr:uid="{00000000-0005-0000-0000-000057300000}"/>
    <cellStyle name="Dane wejściowe 2 8 12" xfId="12397" xr:uid="{00000000-0005-0000-0000-000058300000}"/>
    <cellStyle name="Dane wejściowe 2 8 12 2" xfId="12398" xr:uid="{00000000-0005-0000-0000-000059300000}"/>
    <cellStyle name="Dane wejściowe 2 8 12 3" xfId="12399" xr:uid="{00000000-0005-0000-0000-00005A300000}"/>
    <cellStyle name="Dane wejściowe 2 8 12 4" xfId="12400" xr:uid="{00000000-0005-0000-0000-00005B300000}"/>
    <cellStyle name="Dane wejściowe 2 8 13" xfId="12401" xr:uid="{00000000-0005-0000-0000-00005C300000}"/>
    <cellStyle name="Dane wejściowe 2 8 13 2" xfId="12402" xr:uid="{00000000-0005-0000-0000-00005D300000}"/>
    <cellStyle name="Dane wejściowe 2 8 13 3" xfId="12403" xr:uid="{00000000-0005-0000-0000-00005E300000}"/>
    <cellStyle name="Dane wejściowe 2 8 13 4" xfId="12404" xr:uid="{00000000-0005-0000-0000-00005F300000}"/>
    <cellStyle name="Dane wejściowe 2 8 14" xfId="12405" xr:uid="{00000000-0005-0000-0000-000060300000}"/>
    <cellStyle name="Dane wejściowe 2 8 14 2" xfId="12406" xr:uid="{00000000-0005-0000-0000-000061300000}"/>
    <cellStyle name="Dane wejściowe 2 8 14 3" xfId="12407" xr:uid="{00000000-0005-0000-0000-000062300000}"/>
    <cellStyle name="Dane wejściowe 2 8 14 4" xfId="12408" xr:uid="{00000000-0005-0000-0000-000063300000}"/>
    <cellStyle name="Dane wejściowe 2 8 15" xfId="12409" xr:uid="{00000000-0005-0000-0000-000064300000}"/>
    <cellStyle name="Dane wejściowe 2 8 15 2" xfId="12410" xr:uid="{00000000-0005-0000-0000-000065300000}"/>
    <cellStyle name="Dane wejściowe 2 8 15 3" xfId="12411" xr:uid="{00000000-0005-0000-0000-000066300000}"/>
    <cellStyle name="Dane wejściowe 2 8 15 4" xfId="12412" xr:uid="{00000000-0005-0000-0000-000067300000}"/>
    <cellStyle name="Dane wejściowe 2 8 16" xfId="12413" xr:uid="{00000000-0005-0000-0000-000068300000}"/>
    <cellStyle name="Dane wejściowe 2 8 16 2" xfId="12414" xr:uid="{00000000-0005-0000-0000-000069300000}"/>
    <cellStyle name="Dane wejściowe 2 8 16 3" xfId="12415" xr:uid="{00000000-0005-0000-0000-00006A300000}"/>
    <cellStyle name="Dane wejściowe 2 8 16 4" xfId="12416" xr:uid="{00000000-0005-0000-0000-00006B300000}"/>
    <cellStyle name="Dane wejściowe 2 8 17" xfId="12417" xr:uid="{00000000-0005-0000-0000-00006C300000}"/>
    <cellStyle name="Dane wejściowe 2 8 17 2" xfId="12418" xr:uid="{00000000-0005-0000-0000-00006D300000}"/>
    <cellStyle name="Dane wejściowe 2 8 17 3" xfId="12419" xr:uid="{00000000-0005-0000-0000-00006E300000}"/>
    <cellStyle name="Dane wejściowe 2 8 17 4" xfId="12420" xr:uid="{00000000-0005-0000-0000-00006F300000}"/>
    <cellStyle name="Dane wejściowe 2 8 18" xfId="12421" xr:uid="{00000000-0005-0000-0000-000070300000}"/>
    <cellStyle name="Dane wejściowe 2 8 18 2" xfId="12422" xr:uid="{00000000-0005-0000-0000-000071300000}"/>
    <cellStyle name="Dane wejściowe 2 8 18 3" xfId="12423" xr:uid="{00000000-0005-0000-0000-000072300000}"/>
    <cellStyle name="Dane wejściowe 2 8 18 4" xfId="12424" xr:uid="{00000000-0005-0000-0000-000073300000}"/>
    <cellStyle name="Dane wejściowe 2 8 19" xfId="12425" xr:uid="{00000000-0005-0000-0000-000074300000}"/>
    <cellStyle name="Dane wejściowe 2 8 19 2" xfId="12426" xr:uid="{00000000-0005-0000-0000-000075300000}"/>
    <cellStyle name="Dane wejściowe 2 8 19 3" xfId="12427" xr:uid="{00000000-0005-0000-0000-000076300000}"/>
    <cellStyle name="Dane wejściowe 2 8 19 4" xfId="12428" xr:uid="{00000000-0005-0000-0000-000077300000}"/>
    <cellStyle name="Dane wejściowe 2 8 2" xfId="12429" xr:uid="{00000000-0005-0000-0000-000078300000}"/>
    <cellStyle name="Dane wejściowe 2 8 2 2" xfId="12430" xr:uid="{00000000-0005-0000-0000-000079300000}"/>
    <cellStyle name="Dane wejściowe 2 8 2 3" xfId="12431" xr:uid="{00000000-0005-0000-0000-00007A300000}"/>
    <cellStyle name="Dane wejściowe 2 8 2 4" xfId="12432" xr:uid="{00000000-0005-0000-0000-00007B300000}"/>
    <cellStyle name="Dane wejściowe 2 8 20" xfId="12433" xr:uid="{00000000-0005-0000-0000-00007C300000}"/>
    <cellStyle name="Dane wejściowe 2 8 20 2" xfId="12434" xr:uid="{00000000-0005-0000-0000-00007D300000}"/>
    <cellStyle name="Dane wejściowe 2 8 20 3" xfId="12435" xr:uid="{00000000-0005-0000-0000-00007E300000}"/>
    <cellStyle name="Dane wejściowe 2 8 20 4" xfId="12436" xr:uid="{00000000-0005-0000-0000-00007F300000}"/>
    <cellStyle name="Dane wejściowe 2 8 21" xfId="12437" xr:uid="{00000000-0005-0000-0000-000080300000}"/>
    <cellStyle name="Dane wejściowe 2 8 21 2" xfId="12438" xr:uid="{00000000-0005-0000-0000-000081300000}"/>
    <cellStyle name="Dane wejściowe 2 8 21 3" xfId="12439" xr:uid="{00000000-0005-0000-0000-000082300000}"/>
    <cellStyle name="Dane wejściowe 2 8 22" xfId="12440" xr:uid="{00000000-0005-0000-0000-000083300000}"/>
    <cellStyle name="Dane wejściowe 2 8 22 2" xfId="12441" xr:uid="{00000000-0005-0000-0000-000084300000}"/>
    <cellStyle name="Dane wejściowe 2 8 22 3" xfId="12442" xr:uid="{00000000-0005-0000-0000-000085300000}"/>
    <cellStyle name="Dane wejściowe 2 8 23" xfId="12443" xr:uid="{00000000-0005-0000-0000-000086300000}"/>
    <cellStyle name="Dane wejściowe 2 8 23 2" xfId="12444" xr:uid="{00000000-0005-0000-0000-000087300000}"/>
    <cellStyle name="Dane wejściowe 2 8 23 3" xfId="12445" xr:uid="{00000000-0005-0000-0000-000088300000}"/>
    <cellStyle name="Dane wejściowe 2 8 24" xfId="12446" xr:uid="{00000000-0005-0000-0000-000089300000}"/>
    <cellStyle name="Dane wejściowe 2 8 24 2" xfId="12447" xr:uid="{00000000-0005-0000-0000-00008A300000}"/>
    <cellStyle name="Dane wejściowe 2 8 24 3" xfId="12448" xr:uid="{00000000-0005-0000-0000-00008B300000}"/>
    <cellStyle name="Dane wejściowe 2 8 25" xfId="12449" xr:uid="{00000000-0005-0000-0000-00008C300000}"/>
    <cellStyle name="Dane wejściowe 2 8 25 2" xfId="12450" xr:uid="{00000000-0005-0000-0000-00008D300000}"/>
    <cellStyle name="Dane wejściowe 2 8 25 3" xfId="12451" xr:uid="{00000000-0005-0000-0000-00008E300000}"/>
    <cellStyle name="Dane wejściowe 2 8 26" xfId="12452" xr:uid="{00000000-0005-0000-0000-00008F300000}"/>
    <cellStyle name="Dane wejściowe 2 8 26 2" xfId="12453" xr:uid="{00000000-0005-0000-0000-000090300000}"/>
    <cellStyle name="Dane wejściowe 2 8 26 3" xfId="12454" xr:uid="{00000000-0005-0000-0000-000091300000}"/>
    <cellStyle name="Dane wejściowe 2 8 27" xfId="12455" xr:uid="{00000000-0005-0000-0000-000092300000}"/>
    <cellStyle name="Dane wejściowe 2 8 27 2" xfId="12456" xr:uid="{00000000-0005-0000-0000-000093300000}"/>
    <cellStyle name="Dane wejściowe 2 8 27 3" xfId="12457" xr:uid="{00000000-0005-0000-0000-000094300000}"/>
    <cellStyle name="Dane wejściowe 2 8 28" xfId="12458" xr:uid="{00000000-0005-0000-0000-000095300000}"/>
    <cellStyle name="Dane wejściowe 2 8 28 2" xfId="12459" xr:uid="{00000000-0005-0000-0000-000096300000}"/>
    <cellStyle name="Dane wejściowe 2 8 28 3" xfId="12460" xr:uid="{00000000-0005-0000-0000-000097300000}"/>
    <cellStyle name="Dane wejściowe 2 8 29" xfId="12461" xr:uid="{00000000-0005-0000-0000-000098300000}"/>
    <cellStyle name="Dane wejściowe 2 8 29 2" xfId="12462" xr:uid="{00000000-0005-0000-0000-000099300000}"/>
    <cellStyle name="Dane wejściowe 2 8 29 3" xfId="12463" xr:uid="{00000000-0005-0000-0000-00009A300000}"/>
    <cellStyle name="Dane wejściowe 2 8 3" xfId="12464" xr:uid="{00000000-0005-0000-0000-00009B300000}"/>
    <cellStyle name="Dane wejściowe 2 8 3 2" xfId="12465" xr:uid="{00000000-0005-0000-0000-00009C300000}"/>
    <cellStyle name="Dane wejściowe 2 8 3 3" xfId="12466" xr:uid="{00000000-0005-0000-0000-00009D300000}"/>
    <cellStyle name="Dane wejściowe 2 8 3 4" xfId="12467" xr:uid="{00000000-0005-0000-0000-00009E300000}"/>
    <cellStyle name="Dane wejściowe 2 8 30" xfId="12468" xr:uid="{00000000-0005-0000-0000-00009F300000}"/>
    <cellStyle name="Dane wejściowe 2 8 30 2" xfId="12469" xr:uid="{00000000-0005-0000-0000-0000A0300000}"/>
    <cellStyle name="Dane wejściowe 2 8 30 3" xfId="12470" xr:uid="{00000000-0005-0000-0000-0000A1300000}"/>
    <cellStyle name="Dane wejściowe 2 8 31" xfId="12471" xr:uid="{00000000-0005-0000-0000-0000A2300000}"/>
    <cellStyle name="Dane wejściowe 2 8 31 2" xfId="12472" xr:uid="{00000000-0005-0000-0000-0000A3300000}"/>
    <cellStyle name="Dane wejściowe 2 8 31 3" xfId="12473" xr:uid="{00000000-0005-0000-0000-0000A4300000}"/>
    <cellStyle name="Dane wejściowe 2 8 32" xfId="12474" xr:uid="{00000000-0005-0000-0000-0000A5300000}"/>
    <cellStyle name="Dane wejściowe 2 8 32 2" xfId="12475" xr:uid="{00000000-0005-0000-0000-0000A6300000}"/>
    <cellStyle name="Dane wejściowe 2 8 32 3" xfId="12476" xr:uid="{00000000-0005-0000-0000-0000A7300000}"/>
    <cellStyle name="Dane wejściowe 2 8 33" xfId="12477" xr:uid="{00000000-0005-0000-0000-0000A8300000}"/>
    <cellStyle name="Dane wejściowe 2 8 33 2" xfId="12478" xr:uid="{00000000-0005-0000-0000-0000A9300000}"/>
    <cellStyle name="Dane wejściowe 2 8 33 3" xfId="12479" xr:uid="{00000000-0005-0000-0000-0000AA300000}"/>
    <cellStyle name="Dane wejściowe 2 8 34" xfId="12480" xr:uid="{00000000-0005-0000-0000-0000AB300000}"/>
    <cellStyle name="Dane wejściowe 2 8 34 2" xfId="12481" xr:uid="{00000000-0005-0000-0000-0000AC300000}"/>
    <cellStyle name="Dane wejściowe 2 8 34 3" xfId="12482" xr:uid="{00000000-0005-0000-0000-0000AD300000}"/>
    <cellStyle name="Dane wejściowe 2 8 35" xfId="12483" xr:uid="{00000000-0005-0000-0000-0000AE300000}"/>
    <cellStyle name="Dane wejściowe 2 8 35 2" xfId="12484" xr:uid="{00000000-0005-0000-0000-0000AF300000}"/>
    <cellStyle name="Dane wejściowe 2 8 35 3" xfId="12485" xr:uid="{00000000-0005-0000-0000-0000B0300000}"/>
    <cellStyle name="Dane wejściowe 2 8 36" xfId="12486" xr:uid="{00000000-0005-0000-0000-0000B1300000}"/>
    <cellStyle name="Dane wejściowe 2 8 36 2" xfId="12487" xr:uid="{00000000-0005-0000-0000-0000B2300000}"/>
    <cellStyle name="Dane wejściowe 2 8 36 3" xfId="12488" xr:uid="{00000000-0005-0000-0000-0000B3300000}"/>
    <cellStyle name="Dane wejściowe 2 8 37" xfId="12489" xr:uid="{00000000-0005-0000-0000-0000B4300000}"/>
    <cellStyle name="Dane wejściowe 2 8 37 2" xfId="12490" xr:uid="{00000000-0005-0000-0000-0000B5300000}"/>
    <cellStyle name="Dane wejściowe 2 8 37 3" xfId="12491" xr:uid="{00000000-0005-0000-0000-0000B6300000}"/>
    <cellStyle name="Dane wejściowe 2 8 38" xfId="12492" xr:uid="{00000000-0005-0000-0000-0000B7300000}"/>
    <cellStyle name="Dane wejściowe 2 8 38 2" xfId="12493" xr:uid="{00000000-0005-0000-0000-0000B8300000}"/>
    <cellStyle name="Dane wejściowe 2 8 38 3" xfId="12494" xr:uid="{00000000-0005-0000-0000-0000B9300000}"/>
    <cellStyle name="Dane wejściowe 2 8 39" xfId="12495" xr:uid="{00000000-0005-0000-0000-0000BA300000}"/>
    <cellStyle name="Dane wejściowe 2 8 39 2" xfId="12496" xr:uid="{00000000-0005-0000-0000-0000BB300000}"/>
    <cellStyle name="Dane wejściowe 2 8 39 3" xfId="12497" xr:uid="{00000000-0005-0000-0000-0000BC300000}"/>
    <cellStyle name="Dane wejściowe 2 8 4" xfId="12498" xr:uid="{00000000-0005-0000-0000-0000BD300000}"/>
    <cellStyle name="Dane wejściowe 2 8 4 2" xfId="12499" xr:uid="{00000000-0005-0000-0000-0000BE300000}"/>
    <cellStyle name="Dane wejściowe 2 8 4 3" xfId="12500" xr:uid="{00000000-0005-0000-0000-0000BF300000}"/>
    <cellStyle name="Dane wejściowe 2 8 4 4" xfId="12501" xr:uid="{00000000-0005-0000-0000-0000C0300000}"/>
    <cellStyle name="Dane wejściowe 2 8 40" xfId="12502" xr:uid="{00000000-0005-0000-0000-0000C1300000}"/>
    <cellStyle name="Dane wejściowe 2 8 40 2" xfId="12503" xr:uid="{00000000-0005-0000-0000-0000C2300000}"/>
    <cellStyle name="Dane wejściowe 2 8 40 3" xfId="12504" xr:uid="{00000000-0005-0000-0000-0000C3300000}"/>
    <cellStyle name="Dane wejściowe 2 8 41" xfId="12505" xr:uid="{00000000-0005-0000-0000-0000C4300000}"/>
    <cellStyle name="Dane wejściowe 2 8 41 2" xfId="12506" xr:uid="{00000000-0005-0000-0000-0000C5300000}"/>
    <cellStyle name="Dane wejściowe 2 8 41 3" xfId="12507" xr:uid="{00000000-0005-0000-0000-0000C6300000}"/>
    <cellStyle name="Dane wejściowe 2 8 42" xfId="12508" xr:uid="{00000000-0005-0000-0000-0000C7300000}"/>
    <cellStyle name="Dane wejściowe 2 8 42 2" xfId="12509" xr:uid="{00000000-0005-0000-0000-0000C8300000}"/>
    <cellStyle name="Dane wejściowe 2 8 42 3" xfId="12510" xr:uid="{00000000-0005-0000-0000-0000C9300000}"/>
    <cellStyle name="Dane wejściowe 2 8 43" xfId="12511" xr:uid="{00000000-0005-0000-0000-0000CA300000}"/>
    <cellStyle name="Dane wejściowe 2 8 43 2" xfId="12512" xr:uid="{00000000-0005-0000-0000-0000CB300000}"/>
    <cellStyle name="Dane wejściowe 2 8 43 3" xfId="12513" xr:uid="{00000000-0005-0000-0000-0000CC300000}"/>
    <cellStyle name="Dane wejściowe 2 8 44" xfId="12514" xr:uid="{00000000-0005-0000-0000-0000CD300000}"/>
    <cellStyle name="Dane wejściowe 2 8 44 2" xfId="12515" xr:uid="{00000000-0005-0000-0000-0000CE300000}"/>
    <cellStyle name="Dane wejściowe 2 8 44 3" xfId="12516" xr:uid="{00000000-0005-0000-0000-0000CF300000}"/>
    <cellStyle name="Dane wejściowe 2 8 45" xfId="12517" xr:uid="{00000000-0005-0000-0000-0000D0300000}"/>
    <cellStyle name="Dane wejściowe 2 8 45 2" xfId="12518" xr:uid="{00000000-0005-0000-0000-0000D1300000}"/>
    <cellStyle name="Dane wejściowe 2 8 45 3" xfId="12519" xr:uid="{00000000-0005-0000-0000-0000D2300000}"/>
    <cellStyle name="Dane wejściowe 2 8 46" xfId="12520" xr:uid="{00000000-0005-0000-0000-0000D3300000}"/>
    <cellStyle name="Dane wejściowe 2 8 46 2" xfId="12521" xr:uid="{00000000-0005-0000-0000-0000D4300000}"/>
    <cellStyle name="Dane wejściowe 2 8 46 3" xfId="12522" xr:uid="{00000000-0005-0000-0000-0000D5300000}"/>
    <cellStyle name="Dane wejściowe 2 8 47" xfId="12523" xr:uid="{00000000-0005-0000-0000-0000D6300000}"/>
    <cellStyle name="Dane wejściowe 2 8 47 2" xfId="12524" xr:uid="{00000000-0005-0000-0000-0000D7300000}"/>
    <cellStyle name="Dane wejściowe 2 8 47 3" xfId="12525" xr:uid="{00000000-0005-0000-0000-0000D8300000}"/>
    <cellStyle name="Dane wejściowe 2 8 48" xfId="12526" xr:uid="{00000000-0005-0000-0000-0000D9300000}"/>
    <cellStyle name="Dane wejściowe 2 8 48 2" xfId="12527" xr:uid="{00000000-0005-0000-0000-0000DA300000}"/>
    <cellStyle name="Dane wejściowe 2 8 48 3" xfId="12528" xr:uid="{00000000-0005-0000-0000-0000DB300000}"/>
    <cellStyle name="Dane wejściowe 2 8 49" xfId="12529" xr:uid="{00000000-0005-0000-0000-0000DC300000}"/>
    <cellStyle name="Dane wejściowe 2 8 49 2" xfId="12530" xr:uid="{00000000-0005-0000-0000-0000DD300000}"/>
    <cellStyle name="Dane wejściowe 2 8 49 3" xfId="12531" xr:uid="{00000000-0005-0000-0000-0000DE300000}"/>
    <cellStyle name="Dane wejściowe 2 8 5" xfId="12532" xr:uid="{00000000-0005-0000-0000-0000DF300000}"/>
    <cellStyle name="Dane wejściowe 2 8 5 2" xfId="12533" xr:uid="{00000000-0005-0000-0000-0000E0300000}"/>
    <cellStyle name="Dane wejściowe 2 8 5 3" xfId="12534" xr:uid="{00000000-0005-0000-0000-0000E1300000}"/>
    <cellStyle name="Dane wejściowe 2 8 5 4" xfId="12535" xr:uid="{00000000-0005-0000-0000-0000E2300000}"/>
    <cellStyle name="Dane wejściowe 2 8 50" xfId="12536" xr:uid="{00000000-0005-0000-0000-0000E3300000}"/>
    <cellStyle name="Dane wejściowe 2 8 50 2" xfId="12537" xr:uid="{00000000-0005-0000-0000-0000E4300000}"/>
    <cellStyle name="Dane wejściowe 2 8 50 3" xfId="12538" xr:uid="{00000000-0005-0000-0000-0000E5300000}"/>
    <cellStyle name="Dane wejściowe 2 8 51" xfId="12539" xr:uid="{00000000-0005-0000-0000-0000E6300000}"/>
    <cellStyle name="Dane wejściowe 2 8 51 2" xfId="12540" xr:uid="{00000000-0005-0000-0000-0000E7300000}"/>
    <cellStyle name="Dane wejściowe 2 8 51 3" xfId="12541" xr:uid="{00000000-0005-0000-0000-0000E8300000}"/>
    <cellStyle name="Dane wejściowe 2 8 52" xfId="12542" xr:uid="{00000000-0005-0000-0000-0000E9300000}"/>
    <cellStyle name="Dane wejściowe 2 8 52 2" xfId="12543" xr:uid="{00000000-0005-0000-0000-0000EA300000}"/>
    <cellStyle name="Dane wejściowe 2 8 52 3" xfId="12544" xr:uid="{00000000-0005-0000-0000-0000EB300000}"/>
    <cellStyle name="Dane wejściowe 2 8 53" xfId="12545" xr:uid="{00000000-0005-0000-0000-0000EC300000}"/>
    <cellStyle name="Dane wejściowe 2 8 53 2" xfId="12546" xr:uid="{00000000-0005-0000-0000-0000ED300000}"/>
    <cellStyle name="Dane wejściowe 2 8 53 3" xfId="12547" xr:uid="{00000000-0005-0000-0000-0000EE300000}"/>
    <cellStyle name="Dane wejściowe 2 8 54" xfId="12548" xr:uid="{00000000-0005-0000-0000-0000EF300000}"/>
    <cellStyle name="Dane wejściowe 2 8 54 2" xfId="12549" xr:uid="{00000000-0005-0000-0000-0000F0300000}"/>
    <cellStyle name="Dane wejściowe 2 8 54 3" xfId="12550" xr:uid="{00000000-0005-0000-0000-0000F1300000}"/>
    <cellStyle name="Dane wejściowe 2 8 55" xfId="12551" xr:uid="{00000000-0005-0000-0000-0000F2300000}"/>
    <cellStyle name="Dane wejściowe 2 8 55 2" xfId="12552" xr:uid="{00000000-0005-0000-0000-0000F3300000}"/>
    <cellStyle name="Dane wejściowe 2 8 55 3" xfId="12553" xr:uid="{00000000-0005-0000-0000-0000F4300000}"/>
    <cellStyle name="Dane wejściowe 2 8 56" xfId="12554" xr:uid="{00000000-0005-0000-0000-0000F5300000}"/>
    <cellStyle name="Dane wejściowe 2 8 56 2" xfId="12555" xr:uid="{00000000-0005-0000-0000-0000F6300000}"/>
    <cellStyle name="Dane wejściowe 2 8 56 3" xfId="12556" xr:uid="{00000000-0005-0000-0000-0000F7300000}"/>
    <cellStyle name="Dane wejściowe 2 8 57" xfId="12557" xr:uid="{00000000-0005-0000-0000-0000F8300000}"/>
    <cellStyle name="Dane wejściowe 2 8 58" xfId="12558" xr:uid="{00000000-0005-0000-0000-0000F9300000}"/>
    <cellStyle name="Dane wejściowe 2 8 6" xfId="12559" xr:uid="{00000000-0005-0000-0000-0000FA300000}"/>
    <cellStyle name="Dane wejściowe 2 8 6 2" xfId="12560" xr:uid="{00000000-0005-0000-0000-0000FB300000}"/>
    <cellStyle name="Dane wejściowe 2 8 6 3" xfId="12561" xr:uid="{00000000-0005-0000-0000-0000FC300000}"/>
    <cellStyle name="Dane wejściowe 2 8 6 4" xfId="12562" xr:uid="{00000000-0005-0000-0000-0000FD300000}"/>
    <cellStyle name="Dane wejściowe 2 8 7" xfId="12563" xr:uid="{00000000-0005-0000-0000-0000FE300000}"/>
    <cellStyle name="Dane wejściowe 2 8 7 2" xfId="12564" xr:uid="{00000000-0005-0000-0000-0000FF300000}"/>
    <cellStyle name="Dane wejściowe 2 8 7 3" xfId="12565" xr:uid="{00000000-0005-0000-0000-000000310000}"/>
    <cellStyle name="Dane wejściowe 2 8 7 4" xfId="12566" xr:uid="{00000000-0005-0000-0000-000001310000}"/>
    <cellStyle name="Dane wejściowe 2 8 8" xfId="12567" xr:uid="{00000000-0005-0000-0000-000002310000}"/>
    <cellStyle name="Dane wejściowe 2 8 8 2" xfId="12568" xr:uid="{00000000-0005-0000-0000-000003310000}"/>
    <cellStyle name="Dane wejściowe 2 8 8 3" xfId="12569" xr:uid="{00000000-0005-0000-0000-000004310000}"/>
    <cellStyle name="Dane wejściowe 2 8 8 4" xfId="12570" xr:uid="{00000000-0005-0000-0000-000005310000}"/>
    <cellStyle name="Dane wejściowe 2 8 9" xfId="12571" xr:uid="{00000000-0005-0000-0000-000006310000}"/>
    <cellStyle name="Dane wejściowe 2 8 9 2" xfId="12572" xr:uid="{00000000-0005-0000-0000-000007310000}"/>
    <cellStyle name="Dane wejściowe 2 8 9 3" xfId="12573" xr:uid="{00000000-0005-0000-0000-000008310000}"/>
    <cellStyle name="Dane wejściowe 2 8 9 4" xfId="12574" xr:uid="{00000000-0005-0000-0000-000009310000}"/>
    <cellStyle name="Dane wejściowe 2 80" xfId="12575" xr:uid="{00000000-0005-0000-0000-00000A310000}"/>
    <cellStyle name="Dane wejściowe 2 80 2" xfId="12576" xr:uid="{00000000-0005-0000-0000-00000B310000}"/>
    <cellStyle name="Dane wejściowe 2 80 3" xfId="12577" xr:uid="{00000000-0005-0000-0000-00000C310000}"/>
    <cellStyle name="Dane wejściowe 2 81" xfId="12578" xr:uid="{00000000-0005-0000-0000-00000D310000}"/>
    <cellStyle name="Dane wejściowe 2 81 2" xfId="12579" xr:uid="{00000000-0005-0000-0000-00000E310000}"/>
    <cellStyle name="Dane wejściowe 2 81 3" xfId="12580" xr:uid="{00000000-0005-0000-0000-00000F310000}"/>
    <cellStyle name="Dane wejściowe 2 82" xfId="12581" xr:uid="{00000000-0005-0000-0000-000010310000}"/>
    <cellStyle name="Dane wejściowe 2 82 2" xfId="12582" xr:uid="{00000000-0005-0000-0000-000011310000}"/>
    <cellStyle name="Dane wejściowe 2 82 3" xfId="12583" xr:uid="{00000000-0005-0000-0000-000012310000}"/>
    <cellStyle name="Dane wejściowe 2 83" xfId="12584" xr:uid="{00000000-0005-0000-0000-000013310000}"/>
    <cellStyle name="Dane wejściowe 2 83 2" xfId="12585" xr:uid="{00000000-0005-0000-0000-000014310000}"/>
    <cellStyle name="Dane wejściowe 2 83 3" xfId="12586" xr:uid="{00000000-0005-0000-0000-000015310000}"/>
    <cellStyle name="Dane wejściowe 2 84" xfId="12587" xr:uid="{00000000-0005-0000-0000-000016310000}"/>
    <cellStyle name="Dane wejściowe 2 84 2" xfId="12588" xr:uid="{00000000-0005-0000-0000-000017310000}"/>
    <cellStyle name="Dane wejściowe 2 84 3" xfId="12589" xr:uid="{00000000-0005-0000-0000-000018310000}"/>
    <cellStyle name="Dane wejściowe 2 85" xfId="12590" xr:uid="{00000000-0005-0000-0000-000019310000}"/>
    <cellStyle name="Dane wejściowe 2 85 2" xfId="12591" xr:uid="{00000000-0005-0000-0000-00001A310000}"/>
    <cellStyle name="Dane wejściowe 2 85 3" xfId="12592" xr:uid="{00000000-0005-0000-0000-00001B310000}"/>
    <cellStyle name="Dane wejściowe 2 86" xfId="12593" xr:uid="{00000000-0005-0000-0000-00001C310000}"/>
    <cellStyle name="Dane wejściowe 2 86 2" xfId="12594" xr:uid="{00000000-0005-0000-0000-00001D310000}"/>
    <cellStyle name="Dane wejściowe 2 86 3" xfId="12595" xr:uid="{00000000-0005-0000-0000-00001E310000}"/>
    <cellStyle name="Dane wejściowe 2 87" xfId="12596" xr:uid="{00000000-0005-0000-0000-00001F310000}"/>
    <cellStyle name="Dane wejściowe 2 87 2" xfId="12597" xr:uid="{00000000-0005-0000-0000-000020310000}"/>
    <cellStyle name="Dane wejściowe 2 87 3" xfId="12598" xr:uid="{00000000-0005-0000-0000-000021310000}"/>
    <cellStyle name="Dane wejściowe 2 88" xfId="12599" xr:uid="{00000000-0005-0000-0000-000022310000}"/>
    <cellStyle name="Dane wejściowe 2 9" xfId="12600" xr:uid="{00000000-0005-0000-0000-000023310000}"/>
    <cellStyle name="Dane wejściowe 2 9 10" xfId="12601" xr:uid="{00000000-0005-0000-0000-000024310000}"/>
    <cellStyle name="Dane wejściowe 2 9 10 2" xfId="12602" xr:uid="{00000000-0005-0000-0000-000025310000}"/>
    <cellStyle name="Dane wejściowe 2 9 10 3" xfId="12603" xr:uid="{00000000-0005-0000-0000-000026310000}"/>
    <cellStyle name="Dane wejściowe 2 9 10 4" xfId="12604" xr:uid="{00000000-0005-0000-0000-000027310000}"/>
    <cellStyle name="Dane wejściowe 2 9 11" xfId="12605" xr:uid="{00000000-0005-0000-0000-000028310000}"/>
    <cellStyle name="Dane wejściowe 2 9 11 2" xfId="12606" xr:uid="{00000000-0005-0000-0000-000029310000}"/>
    <cellStyle name="Dane wejściowe 2 9 11 3" xfId="12607" xr:uid="{00000000-0005-0000-0000-00002A310000}"/>
    <cellStyle name="Dane wejściowe 2 9 11 4" xfId="12608" xr:uid="{00000000-0005-0000-0000-00002B310000}"/>
    <cellStyle name="Dane wejściowe 2 9 12" xfId="12609" xr:uid="{00000000-0005-0000-0000-00002C310000}"/>
    <cellStyle name="Dane wejściowe 2 9 12 2" xfId="12610" xr:uid="{00000000-0005-0000-0000-00002D310000}"/>
    <cellStyle name="Dane wejściowe 2 9 12 3" xfId="12611" xr:uid="{00000000-0005-0000-0000-00002E310000}"/>
    <cellStyle name="Dane wejściowe 2 9 12 4" xfId="12612" xr:uid="{00000000-0005-0000-0000-00002F310000}"/>
    <cellStyle name="Dane wejściowe 2 9 13" xfId="12613" xr:uid="{00000000-0005-0000-0000-000030310000}"/>
    <cellStyle name="Dane wejściowe 2 9 13 2" xfId="12614" xr:uid="{00000000-0005-0000-0000-000031310000}"/>
    <cellStyle name="Dane wejściowe 2 9 13 3" xfId="12615" xr:uid="{00000000-0005-0000-0000-000032310000}"/>
    <cellStyle name="Dane wejściowe 2 9 13 4" xfId="12616" xr:uid="{00000000-0005-0000-0000-000033310000}"/>
    <cellStyle name="Dane wejściowe 2 9 14" xfId="12617" xr:uid="{00000000-0005-0000-0000-000034310000}"/>
    <cellStyle name="Dane wejściowe 2 9 14 2" xfId="12618" xr:uid="{00000000-0005-0000-0000-000035310000}"/>
    <cellStyle name="Dane wejściowe 2 9 14 3" xfId="12619" xr:uid="{00000000-0005-0000-0000-000036310000}"/>
    <cellStyle name="Dane wejściowe 2 9 14 4" xfId="12620" xr:uid="{00000000-0005-0000-0000-000037310000}"/>
    <cellStyle name="Dane wejściowe 2 9 15" xfId="12621" xr:uid="{00000000-0005-0000-0000-000038310000}"/>
    <cellStyle name="Dane wejściowe 2 9 15 2" xfId="12622" xr:uid="{00000000-0005-0000-0000-000039310000}"/>
    <cellStyle name="Dane wejściowe 2 9 15 3" xfId="12623" xr:uid="{00000000-0005-0000-0000-00003A310000}"/>
    <cellStyle name="Dane wejściowe 2 9 15 4" xfId="12624" xr:uid="{00000000-0005-0000-0000-00003B310000}"/>
    <cellStyle name="Dane wejściowe 2 9 16" xfId="12625" xr:uid="{00000000-0005-0000-0000-00003C310000}"/>
    <cellStyle name="Dane wejściowe 2 9 16 2" xfId="12626" xr:uid="{00000000-0005-0000-0000-00003D310000}"/>
    <cellStyle name="Dane wejściowe 2 9 16 3" xfId="12627" xr:uid="{00000000-0005-0000-0000-00003E310000}"/>
    <cellStyle name="Dane wejściowe 2 9 16 4" xfId="12628" xr:uid="{00000000-0005-0000-0000-00003F310000}"/>
    <cellStyle name="Dane wejściowe 2 9 17" xfId="12629" xr:uid="{00000000-0005-0000-0000-000040310000}"/>
    <cellStyle name="Dane wejściowe 2 9 17 2" xfId="12630" xr:uid="{00000000-0005-0000-0000-000041310000}"/>
    <cellStyle name="Dane wejściowe 2 9 17 3" xfId="12631" xr:uid="{00000000-0005-0000-0000-000042310000}"/>
    <cellStyle name="Dane wejściowe 2 9 17 4" xfId="12632" xr:uid="{00000000-0005-0000-0000-000043310000}"/>
    <cellStyle name="Dane wejściowe 2 9 18" xfId="12633" xr:uid="{00000000-0005-0000-0000-000044310000}"/>
    <cellStyle name="Dane wejściowe 2 9 18 2" xfId="12634" xr:uid="{00000000-0005-0000-0000-000045310000}"/>
    <cellStyle name="Dane wejściowe 2 9 18 3" xfId="12635" xr:uid="{00000000-0005-0000-0000-000046310000}"/>
    <cellStyle name="Dane wejściowe 2 9 18 4" xfId="12636" xr:uid="{00000000-0005-0000-0000-000047310000}"/>
    <cellStyle name="Dane wejściowe 2 9 19" xfId="12637" xr:uid="{00000000-0005-0000-0000-000048310000}"/>
    <cellStyle name="Dane wejściowe 2 9 19 2" xfId="12638" xr:uid="{00000000-0005-0000-0000-000049310000}"/>
    <cellStyle name="Dane wejściowe 2 9 19 3" xfId="12639" xr:uid="{00000000-0005-0000-0000-00004A310000}"/>
    <cellStyle name="Dane wejściowe 2 9 19 4" xfId="12640" xr:uid="{00000000-0005-0000-0000-00004B310000}"/>
    <cellStyle name="Dane wejściowe 2 9 2" xfId="12641" xr:uid="{00000000-0005-0000-0000-00004C310000}"/>
    <cellStyle name="Dane wejściowe 2 9 2 2" xfId="12642" xr:uid="{00000000-0005-0000-0000-00004D310000}"/>
    <cellStyle name="Dane wejściowe 2 9 2 3" xfId="12643" xr:uid="{00000000-0005-0000-0000-00004E310000}"/>
    <cellStyle name="Dane wejściowe 2 9 2 4" xfId="12644" xr:uid="{00000000-0005-0000-0000-00004F310000}"/>
    <cellStyle name="Dane wejściowe 2 9 20" xfId="12645" xr:uid="{00000000-0005-0000-0000-000050310000}"/>
    <cellStyle name="Dane wejściowe 2 9 20 2" xfId="12646" xr:uid="{00000000-0005-0000-0000-000051310000}"/>
    <cellStyle name="Dane wejściowe 2 9 20 3" xfId="12647" xr:uid="{00000000-0005-0000-0000-000052310000}"/>
    <cellStyle name="Dane wejściowe 2 9 20 4" xfId="12648" xr:uid="{00000000-0005-0000-0000-000053310000}"/>
    <cellStyle name="Dane wejściowe 2 9 21" xfId="12649" xr:uid="{00000000-0005-0000-0000-000054310000}"/>
    <cellStyle name="Dane wejściowe 2 9 21 2" xfId="12650" xr:uid="{00000000-0005-0000-0000-000055310000}"/>
    <cellStyle name="Dane wejściowe 2 9 21 3" xfId="12651" xr:uid="{00000000-0005-0000-0000-000056310000}"/>
    <cellStyle name="Dane wejściowe 2 9 22" xfId="12652" xr:uid="{00000000-0005-0000-0000-000057310000}"/>
    <cellStyle name="Dane wejściowe 2 9 22 2" xfId="12653" xr:uid="{00000000-0005-0000-0000-000058310000}"/>
    <cellStyle name="Dane wejściowe 2 9 22 3" xfId="12654" xr:uid="{00000000-0005-0000-0000-000059310000}"/>
    <cellStyle name="Dane wejściowe 2 9 23" xfId="12655" xr:uid="{00000000-0005-0000-0000-00005A310000}"/>
    <cellStyle name="Dane wejściowe 2 9 23 2" xfId="12656" xr:uid="{00000000-0005-0000-0000-00005B310000}"/>
    <cellStyle name="Dane wejściowe 2 9 23 3" xfId="12657" xr:uid="{00000000-0005-0000-0000-00005C310000}"/>
    <cellStyle name="Dane wejściowe 2 9 24" xfId="12658" xr:uid="{00000000-0005-0000-0000-00005D310000}"/>
    <cellStyle name="Dane wejściowe 2 9 24 2" xfId="12659" xr:uid="{00000000-0005-0000-0000-00005E310000}"/>
    <cellStyle name="Dane wejściowe 2 9 24 3" xfId="12660" xr:uid="{00000000-0005-0000-0000-00005F310000}"/>
    <cellStyle name="Dane wejściowe 2 9 25" xfId="12661" xr:uid="{00000000-0005-0000-0000-000060310000}"/>
    <cellStyle name="Dane wejściowe 2 9 25 2" xfId="12662" xr:uid="{00000000-0005-0000-0000-000061310000}"/>
    <cellStyle name="Dane wejściowe 2 9 25 3" xfId="12663" xr:uid="{00000000-0005-0000-0000-000062310000}"/>
    <cellStyle name="Dane wejściowe 2 9 26" xfId="12664" xr:uid="{00000000-0005-0000-0000-000063310000}"/>
    <cellStyle name="Dane wejściowe 2 9 26 2" xfId="12665" xr:uid="{00000000-0005-0000-0000-000064310000}"/>
    <cellStyle name="Dane wejściowe 2 9 26 3" xfId="12666" xr:uid="{00000000-0005-0000-0000-000065310000}"/>
    <cellStyle name="Dane wejściowe 2 9 27" xfId="12667" xr:uid="{00000000-0005-0000-0000-000066310000}"/>
    <cellStyle name="Dane wejściowe 2 9 27 2" xfId="12668" xr:uid="{00000000-0005-0000-0000-000067310000}"/>
    <cellStyle name="Dane wejściowe 2 9 27 3" xfId="12669" xr:uid="{00000000-0005-0000-0000-000068310000}"/>
    <cellStyle name="Dane wejściowe 2 9 28" xfId="12670" xr:uid="{00000000-0005-0000-0000-000069310000}"/>
    <cellStyle name="Dane wejściowe 2 9 28 2" xfId="12671" xr:uid="{00000000-0005-0000-0000-00006A310000}"/>
    <cellStyle name="Dane wejściowe 2 9 28 3" xfId="12672" xr:uid="{00000000-0005-0000-0000-00006B310000}"/>
    <cellStyle name="Dane wejściowe 2 9 29" xfId="12673" xr:uid="{00000000-0005-0000-0000-00006C310000}"/>
    <cellStyle name="Dane wejściowe 2 9 29 2" xfId="12674" xr:uid="{00000000-0005-0000-0000-00006D310000}"/>
    <cellStyle name="Dane wejściowe 2 9 29 3" xfId="12675" xr:uid="{00000000-0005-0000-0000-00006E310000}"/>
    <cellStyle name="Dane wejściowe 2 9 3" xfId="12676" xr:uid="{00000000-0005-0000-0000-00006F310000}"/>
    <cellStyle name="Dane wejściowe 2 9 3 2" xfId="12677" xr:uid="{00000000-0005-0000-0000-000070310000}"/>
    <cellStyle name="Dane wejściowe 2 9 3 3" xfId="12678" xr:uid="{00000000-0005-0000-0000-000071310000}"/>
    <cellStyle name="Dane wejściowe 2 9 3 4" xfId="12679" xr:uid="{00000000-0005-0000-0000-000072310000}"/>
    <cellStyle name="Dane wejściowe 2 9 30" xfId="12680" xr:uid="{00000000-0005-0000-0000-000073310000}"/>
    <cellStyle name="Dane wejściowe 2 9 30 2" xfId="12681" xr:uid="{00000000-0005-0000-0000-000074310000}"/>
    <cellStyle name="Dane wejściowe 2 9 30 3" xfId="12682" xr:uid="{00000000-0005-0000-0000-000075310000}"/>
    <cellStyle name="Dane wejściowe 2 9 31" xfId="12683" xr:uid="{00000000-0005-0000-0000-000076310000}"/>
    <cellStyle name="Dane wejściowe 2 9 31 2" xfId="12684" xr:uid="{00000000-0005-0000-0000-000077310000}"/>
    <cellStyle name="Dane wejściowe 2 9 31 3" xfId="12685" xr:uid="{00000000-0005-0000-0000-000078310000}"/>
    <cellStyle name="Dane wejściowe 2 9 32" xfId="12686" xr:uid="{00000000-0005-0000-0000-000079310000}"/>
    <cellStyle name="Dane wejściowe 2 9 32 2" xfId="12687" xr:uid="{00000000-0005-0000-0000-00007A310000}"/>
    <cellStyle name="Dane wejściowe 2 9 32 3" xfId="12688" xr:uid="{00000000-0005-0000-0000-00007B310000}"/>
    <cellStyle name="Dane wejściowe 2 9 33" xfId="12689" xr:uid="{00000000-0005-0000-0000-00007C310000}"/>
    <cellStyle name="Dane wejściowe 2 9 33 2" xfId="12690" xr:uid="{00000000-0005-0000-0000-00007D310000}"/>
    <cellStyle name="Dane wejściowe 2 9 33 3" xfId="12691" xr:uid="{00000000-0005-0000-0000-00007E310000}"/>
    <cellStyle name="Dane wejściowe 2 9 34" xfId="12692" xr:uid="{00000000-0005-0000-0000-00007F310000}"/>
    <cellStyle name="Dane wejściowe 2 9 34 2" xfId="12693" xr:uid="{00000000-0005-0000-0000-000080310000}"/>
    <cellStyle name="Dane wejściowe 2 9 34 3" xfId="12694" xr:uid="{00000000-0005-0000-0000-000081310000}"/>
    <cellStyle name="Dane wejściowe 2 9 35" xfId="12695" xr:uid="{00000000-0005-0000-0000-000082310000}"/>
    <cellStyle name="Dane wejściowe 2 9 35 2" xfId="12696" xr:uid="{00000000-0005-0000-0000-000083310000}"/>
    <cellStyle name="Dane wejściowe 2 9 35 3" xfId="12697" xr:uid="{00000000-0005-0000-0000-000084310000}"/>
    <cellStyle name="Dane wejściowe 2 9 36" xfId="12698" xr:uid="{00000000-0005-0000-0000-000085310000}"/>
    <cellStyle name="Dane wejściowe 2 9 36 2" xfId="12699" xr:uid="{00000000-0005-0000-0000-000086310000}"/>
    <cellStyle name="Dane wejściowe 2 9 36 3" xfId="12700" xr:uid="{00000000-0005-0000-0000-000087310000}"/>
    <cellStyle name="Dane wejściowe 2 9 37" xfId="12701" xr:uid="{00000000-0005-0000-0000-000088310000}"/>
    <cellStyle name="Dane wejściowe 2 9 37 2" xfId="12702" xr:uid="{00000000-0005-0000-0000-000089310000}"/>
    <cellStyle name="Dane wejściowe 2 9 37 3" xfId="12703" xr:uid="{00000000-0005-0000-0000-00008A310000}"/>
    <cellStyle name="Dane wejściowe 2 9 38" xfId="12704" xr:uid="{00000000-0005-0000-0000-00008B310000}"/>
    <cellStyle name="Dane wejściowe 2 9 38 2" xfId="12705" xr:uid="{00000000-0005-0000-0000-00008C310000}"/>
    <cellStyle name="Dane wejściowe 2 9 38 3" xfId="12706" xr:uid="{00000000-0005-0000-0000-00008D310000}"/>
    <cellStyle name="Dane wejściowe 2 9 39" xfId="12707" xr:uid="{00000000-0005-0000-0000-00008E310000}"/>
    <cellStyle name="Dane wejściowe 2 9 39 2" xfId="12708" xr:uid="{00000000-0005-0000-0000-00008F310000}"/>
    <cellStyle name="Dane wejściowe 2 9 39 3" xfId="12709" xr:uid="{00000000-0005-0000-0000-000090310000}"/>
    <cellStyle name="Dane wejściowe 2 9 4" xfId="12710" xr:uid="{00000000-0005-0000-0000-000091310000}"/>
    <cellStyle name="Dane wejściowe 2 9 4 2" xfId="12711" xr:uid="{00000000-0005-0000-0000-000092310000}"/>
    <cellStyle name="Dane wejściowe 2 9 4 3" xfId="12712" xr:uid="{00000000-0005-0000-0000-000093310000}"/>
    <cellStyle name="Dane wejściowe 2 9 4 4" xfId="12713" xr:uid="{00000000-0005-0000-0000-000094310000}"/>
    <cellStyle name="Dane wejściowe 2 9 40" xfId="12714" xr:uid="{00000000-0005-0000-0000-000095310000}"/>
    <cellStyle name="Dane wejściowe 2 9 40 2" xfId="12715" xr:uid="{00000000-0005-0000-0000-000096310000}"/>
    <cellStyle name="Dane wejściowe 2 9 40 3" xfId="12716" xr:uid="{00000000-0005-0000-0000-000097310000}"/>
    <cellStyle name="Dane wejściowe 2 9 41" xfId="12717" xr:uid="{00000000-0005-0000-0000-000098310000}"/>
    <cellStyle name="Dane wejściowe 2 9 41 2" xfId="12718" xr:uid="{00000000-0005-0000-0000-000099310000}"/>
    <cellStyle name="Dane wejściowe 2 9 41 3" xfId="12719" xr:uid="{00000000-0005-0000-0000-00009A310000}"/>
    <cellStyle name="Dane wejściowe 2 9 42" xfId="12720" xr:uid="{00000000-0005-0000-0000-00009B310000}"/>
    <cellStyle name="Dane wejściowe 2 9 42 2" xfId="12721" xr:uid="{00000000-0005-0000-0000-00009C310000}"/>
    <cellStyle name="Dane wejściowe 2 9 42 3" xfId="12722" xr:uid="{00000000-0005-0000-0000-00009D310000}"/>
    <cellStyle name="Dane wejściowe 2 9 43" xfId="12723" xr:uid="{00000000-0005-0000-0000-00009E310000}"/>
    <cellStyle name="Dane wejściowe 2 9 43 2" xfId="12724" xr:uid="{00000000-0005-0000-0000-00009F310000}"/>
    <cellStyle name="Dane wejściowe 2 9 43 3" xfId="12725" xr:uid="{00000000-0005-0000-0000-0000A0310000}"/>
    <cellStyle name="Dane wejściowe 2 9 44" xfId="12726" xr:uid="{00000000-0005-0000-0000-0000A1310000}"/>
    <cellStyle name="Dane wejściowe 2 9 44 2" xfId="12727" xr:uid="{00000000-0005-0000-0000-0000A2310000}"/>
    <cellStyle name="Dane wejściowe 2 9 44 3" xfId="12728" xr:uid="{00000000-0005-0000-0000-0000A3310000}"/>
    <cellStyle name="Dane wejściowe 2 9 45" xfId="12729" xr:uid="{00000000-0005-0000-0000-0000A4310000}"/>
    <cellStyle name="Dane wejściowe 2 9 45 2" xfId="12730" xr:uid="{00000000-0005-0000-0000-0000A5310000}"/>
    <cellStyle name="Dane wejściowe 2 9 45 3" xfId="12731" xr:uid="{00000000-0005-0000-0000-0000A6310000}"/>
    <cellStyle name="Dane wejściowe 2 9 46" xfId="12732" xr:uid="{00000000-0005-0000-0000-0000A7310000}"/>
    <cellStyle name="Dane wejściowe 2 9 46 2" xfId="12733" xr:uid="{00000000-0005-0000-0000-0000A8310000}"/>
    <cellStyle name="Dane wejściowe 2 9 46 3" xfId="12734" xr:uid="{00000000-0005-0000-0000-0000A9310000}"/>
    <cellStyle name="Dane wejściowe 2 9 47" xfId="12735" xr:uid="{00000000-0005-0000-0000-0000AA310000}"/>
    <cellStyle name="Dane wejściowe 2 9 47 2" xfId="12736" xr:uid="{00000000-0005-0000-0000-0000AB310000}"/>
    <cellStyle name="Dane wejściowe 2 9 47 3" xfId="12737" xr:uid="{00000000-0005-0000-0000-0000AC310000}"/>
    <cellStyle name="Dane wejściowe 2 9 48" xfId="12738" xr:uid="{00000000-0005-0000-0000-0000AD310000}"/>
    <cellStyle name="Dane wejściowe 2 9 48 2" xfId="12739" xr:uid="{00000000-0005-0000-0000-0000AE310000}"/>
    <cellStyle name="Dane wejściowe 2 9 48 3" xfId="12740" xr:uid="{00000000-0005-0000-0000-0000AF310000}"/>
    <cellStyle name="Dane wejściowe 2 9 49" xfId="12741" xr:uid="{00000000-0005-0000-0000-0000B0310000}"/>
    <cellStyle name="Dane wejściowe 2 9 49 2" xfId="12742" xr:uid="{00000000-0005-0000-0000-0000B1310000}"/>
    <cellStyle name="Dane wejściowe 2 9 49 3" xfId="12743" xr:uid="{00000000-0005-0000-0000-0000B2310000}"/>
    <cellStyle name="Dane wejściowe 2 9 5" xfId="12744" xr:uid="{00000000-0005-0000-0000-0000B3310000}"/>
    <cellStyle name="Dane wejściowe 2 9 5 2" xfId="12745" xr:uid="{00000000-0005-0000-0000-0000B4310000}"/>
    <cellStyle name="Dane wejściowe 2 9 5 3" xfId="12746" xr:uid="{00000000-0005-0000-0000-0000B5310000}"/>
    <cellStyle name="Dane wejściowe 2 9 5 4" xfId="12747" xr:uid="{00000000-0005-0000-0000-0000B6310000}"/>
    <cellStyle name="Dane wejściowe 2 9 50" xfId="12748" xr:uid="{00000000-0005-0000-0000-0000B7310000}"/>
    <cellStyle name="Dane wejściowe 2 9 50 2" xfId="12749" xr:uid="{00000000-0005-0000-0000-0000B8310000}"/>
    <cellStyle name="Dane wejściowe 2 9 50 3" xfId="12750" xr:uid="{00000000-0005-0000-0000-0000B9310000}"/>
    <cellStyle name="Dane wejściowe 2 9 51" xfId="12751" xr:uid="{00000000-0005-0000-0000-0000BA310000}"/>
    <cellStyle name="Dane wejściowe 2 9 51 2" xfId="12752" xr:uid="{00000000-0005-0000-0000-0000BB310000}"/>
    <cellStyle name="Dane wejściowe 2 9 51 3" xfId="12753" xr:uid="{00000000-0005-0000-0000-0000BC310000}"/>
    <cellStyle name="Dane wejściowe 2 9 52" xfId="12754" xr:uid="{00000000-0005-0000-0000-0000BD310000}"/>
    <cellStyle name="Dane wejściowe 2 9 52 2" xfId="12755" xr:uid="{00000000-0005-0000-0000-0000BE310000}"/>
    <cellStyle name="Dane wejściowe 2 9 52 3" xfId="12756" xr:uid="{00000000-0005-0000-0000-0000BF310000}"/>
    <cellStyle name="Dane wejściowe 2 9 53" xfId="12757" xr:uid="{00000000-0005-0000-0000-0000C0310000}"/>
    <cellStyle name="Dane wejściowe 2 9 53 2" xfId="12758" xr:uid="{00000000-0005-0000-0000-0000C1310000}"/>
    <cellStyle name="Dane wejściowe 2 9 53 3" xfId="12759" xr:uid="{00000000-0005-0000-0000-0000C2310000}"/>
    <cellStyle name="Dane wejściowe 2 9 54" xfId="12760" xr:uid="{00000000-0005-0000-0000-0000C3310000}"/>
    <cellStyle name="Dane wejściowe 2 9 54 2" xfId="12761" xr:uid="{00000000-0005-0000-0000-0000C4310000}"/>
    <cellStyle name="Dane wejściowe 2 9 54 3" xfId="12762" xr:uid="{00000000-0005-0000-0000-0000C5310000}"/>
    <cellStyle name="Dane wejściowe 2 9 55" xfId="12763" xr:uid="{00000000-0005-0000-0000-0000C6310000}"/>
    <cellStyle name="Dane wejściowe 2 9 55 2" xfId="12764" xr:uid="{00000000-0005-0000-0000-0000C7310000}"/>
    <cellStyle name="Dane wejściowe 2 9 55 3" xfId="12765" xr:uid="{00000000-0005-0000-0000-0000C8310000}"/>
    <cellStyle name="Dane wejściowe 2 9 56" xfId="12766" xr:uid="{00000000-0005-0000-0000-0000C9310000}"/>
    <cellStyle name="Dane wejściowe 2 9 56 2" xfId="12767" xr:uid="{00000000-0005-0000-0000-0000CA310000}"/>
    <cellStyle name="Dane wejściowe 2 9 56 3" xfId="12768" xr:uid="{00000000-0005-0000-0000-0000CB310000}"/>
    <cellStyle name="Dane wejściowe 2 9 57" xfId="12769" xr:uid="{00000000-0005-0000-0000-0000CC310000}"/>
    <cellStyle name="Dane wejściowe 2 9 58" xfId="12770" xr:uid="{00000000-0005-0000-0000-0000CD310000}"/>
    <cellStyle name="Dane wejściowe 2 9 6" xfId="12771" xr:uid="{00000000-0005-0000-0000-0000CE310000}"/>
    <cellStyle name="Dane wejściowe 2 9 6 2" xfId="12772" xr:uid="{00000000-0005-0000-0000-0000CF310000}"/>
    <cellStyle name="Dane wejściowe 2 9 6 3" xfId="12773" xr:uid="{00000000-0005-0000-0000-0000D0310000}"/>
    <cellStyle name="Dane wejściowe 2 9 6 4" xfId="12774" xr:uid="{00000000-0005-0000-0000-0000D1310000}"/>
    <cellStyle name="Dane wejściowe 2 9 7" xfId="12775" xr:uid="{00000000-0005-0000-0000-0000D2310000}"/>
    <cellStyle name="Dane wejściowe 2 9 7 2" xfId="12776" xr:uid="{00000000-0005-0000-0000-0000D3310000}"/>
    <cellStyle name="Dane wejściowe 2 9 7 3" xfId="12777" xr:uid="{00000000-0005-0000-0000-0000D4310000}"/>
    <cellStyle name="Dane wejściowe 2 9 7 4" xfId="12778" xr:uid="{00000000-0005-0000-0000-0000D5310000}"/>
    <cellStyle name="Dane wejściowe 2 9 8" xfId="12779" xr:uid="{00000000-0005-0000-0000-0000D6310000}"/>
    <cellStyle name="Dane wejściowe 2 9 8 2" xfId="12780" xr:uid="{00000000-0005-0000-0000-0000D7310000}"/>
    <cellStyle name="Dane wejściowe 2 9 8 3" xfId="12781" xr:uid="{00000000-0005-0000-0000-0000D8310000}"/>
    <cellStyle name="Dane wejściowe 2 9 8 4" xfId="12782" xr:uid="{00000000-0005-0000-0000-0000D9310000}"/>
    <cellStyle name="Dane wejściowe 2 9 9" xfId="12783" xr:uid="{00000000-0005-0000-0000-0000DA310000}"/>
    <cellStyle name="Dane wejściowe 2 9 9 2" xfId="12784" xr:uid="{00000000-0005-0000-0000-0000DB310000}"/>
    <cellStyle name="Dane wejściowe 2 9 9 3" xfId="12785" xr:uid="{00000000-0005-0000-0000-0000DC310000}"/>
    <cellStyle name="Dane wejściowe 2 9 9 4" xfId="12786" xr:uid="{00000000-0005-0000-0000-0000DD310000}"/>
    <cellStyle name="Dane wejściowe 3" xfId="12787" xr:uid="{00000000-0005-0000-0000-0000DE310000}"/>
    <cellStyle name="Dane wejściowe 3 2" xfId="12788" xr:uid="{00000000-0005-0000-0000-0000DF310000}"/>
    <cellStyle name="Dane wejściowe 3 2 2" xfId="12789" xr:uid="{00000000-0005-0000-0000-0000E0310000}"/>
    <cellStyle name="Dane wejściowe 3 3" xfId="12790" xr:uid="{00000000-0005-0000-0000-0000E1310000}"/>
    <cellStyle name="Dane wejściowe 3 4" xfId="12791" xr:uid="{00000000-0005-0000-0000-0000E2310000}"/>
    <cellStyle name="Dane wejściowe 3 5" xfId="12792" xr:uid="{00000000-0005-0000-0000-0000E3310000}"/>
    <cellStyle name="Dane wejściowe 3 6" xfId="12793" xr:uid="{00000000-0005-0000-0000-0000E4310000}"/>
    <cellStyle name="Dane wejściowe 3 7" xfId="12794" xr:uid="{00000000-0005-0000-0000-0000E5310000}"/>
    <cellStyle name="Dane wejściowe 3 8" xfId="12795" xr:uid="{00000000-0005-0000-0000-0000E6310000}"/>
    <cellStyle name="Dane wejściowe 3 9" xfId="12796" xr:uid="{00000000-0005-0000-0000-0000E7310000}"/>
    <cellStyle name="Dane wejściowe 4" xfId="12797" xr:uid="{00000000-0005-0000-0000-0000E8310000}"/>
    <cellStyle name="Dane wejściowe 4 2" xfId="12798" xr:uid="{00000000-0005-0000-0000-0000E9310000}"/>
    <cellStyle name="Dane wejściowe 4 3" xfId="12799" xr:uid="{00000000-0005-0000-0000-0000EA310000}"/>
    <cellStyle name="Dane wejściowe 4 4" xfId="12800" xr:uid="{00000000-0005-0000-0000-0000EB310000}"/>
    <cellStyle name="Dane wejściowe 4 5" xfId="12801" xr:uid="{00000000-0005-0000-0000-0000EC310000}"/>
    <cellStyle name="Dane wejściowe 4 6" xfId="12802" xr:uid="{00000000-0005-0000-0000-0000ED310000}"/>
    <cellStyle name="Dane wejściowe 4 7" xfId="12803" xr:uid="{00000000-0005-0000-0000-0000EE310000}"/>
    <cellStyle name="Dane wejściowe 4 8" xfId="12804" xr:uid="{00000000-0005-0000-0000-0000EF310000}"/>
    <cellStyle name="Dane wejściowe 4 9" xfId="12805" xr:uid="{00000000-0005-0000-0000-0000F0310000}"/>
    <cellStyle name="Dane wejściowe 5" xfId="12806" xr:uid="{00000000-0005-0000-0000-0000F1310000}"/>
    <cellStyle name="Dane wejściowe 5 2" xfId="12807" xr:uid="{00000000-0005-0000-0000-0000F2310000}"/>
    <cellStyle name="Dane wejściowe 6" xfId="12808" xr:uid="{00000000-0005-0000-0000-0000F3310000}"/>
    <cellStyle name="Dane wejściowe 7" xfId="12809" xr:uid="{00000000-0005-0000-0000-0000F4310000}"/>
    <cellStyle name="Dane wyjściowe 2" xfId="12810" xr:uid="{00000000-0005-0000-0000-0000F5310000}"/>
    <cellStyle name="Dane wyjściowe 2 10" xfId="12811" xr:uid="{00000000-0005-0000-0000-0000F6310000}"/>
    <cellStyle name="Dane wyjściowe 2 10 10" xfId="12812" xr:uid="{00000000-0005-0000-0000-0000F7310000}"/>
    <cellStyle name="Dane wyjściowe 2 10 10 2" xfId="12813" xr:uid="{00000000-0005-0000-0000-0000F8310000}"/>
    <cellStyle name="Dane wyjściowe 2 10 10 3" xfId="12814" xr:uid="{00000000-0005-0000-0000-0000F9310000}"/>
    <cellStyle name="Dane wyjściowe 2 10 10 4" xfId="12815" xr:uid="{00000000-0005-0000-0000-0000FA310000}"/>
    <cellStyle name="Dane wyjściowe 2 10 11" xfId="12816" xr:uid="{00000000-0005-0000-0000-0000FB310000}"/>
    <cellStyle name="Dane wyjściowe 2 10 11 2" xfId="12817" xr:uid="{00000000-0005-0000-0000-0000FC310000}"/>
    <cellStyle name="Dane wyjściowe 2 10 11 3" xfId="12818" xr:uid="{00000000-0005-0000-0000-0000FD310000}"/>
    <cellStyle name="Dane wyjściowe 2 10 11 4" xfId="12819" xr:uid="{00000000-0005-0000-0000-0000FE310000}"/>
    <cellStyle name="Dane wyjściowe 2 10 12" xfId="12820" xr:uid="{00000000-0005-0000-0000-0000FF310000}"/>
    <cellStyle name="Dane wyjściowe 2 10 12 2" xfId="12821" xr:uid="{00000000-0005-0000-0000-000000320000}"/>
    <cellStyle name="Dane wyjściowe 2 10 12 3" xfId="12822" xr:uid="{00000000-0005-0000-0000-000001320000}"/>
    <cellStyle name="Dane wyjściowe 2 10 12 4" xfId="12823" xr:uid="{00000000-0005-0000-0000-000002320000}"/>
    <cellStyle name="Dane wyjściowe 2 10 13" xfId="12824" xr:uid="{00000000-0005-0000-0000-000003320000}"/>
    <cellStyle name="Dane wyjściowe 2 10 13 2" xfId="12825" xr:uid="{00000000-0005-0000-0000-000004320000}"/>
    <cellStyle name="Dane wyjściowe 2 10 13 3" xfId="12826" xr:uid="{00000000-0005-0000-0000-000005320000}"/>
    <cellStyle name="Dane wyjściowe 2 10 13 4" xfId="12827" xr:uid="{00000000-0005-0000-0000-000006320000}"/>
    <cellStyle name="Dane wyjściowe 2 10 14" xfId="12828" xr:uid="{00000000-0005-0000-0000-000007320000}"/>
    <cellStyle name="Dane wyjściowe 2 10 14 2" xfId="12829" xr:uid="{00000000-0005-0000-0000-000008320000}"/>
    <cellStyle name="Dane wyjściowe 2 10 14 3" xfId="12830" xr:uid="{00000000-0005-0000-0000-000009320000}"/>
    <cellStyle name="Dane wyjściowe 2 10 14 4" xfId="12831" xr:uid="{00000000-0005-0000-0000-00000A320000}"/>
    <cellStyle name="Dane wyjściowe 2 10 15" xfId="12832" xr:uid="{00000000-0005-0000-0000-00000B320000}"/>
    <cellStyle name="Dane wyjściowe 2 10 15 2" xfId="12833" xr:uid="{00000000-0005-0000-0000-00000C320000}"/>
    <cellStyle name="Dane wyjściowe 2 10 15 3" xfId="12834" xr:uid="{00000000-0005-0000-0000-00000D320000}"/>
    <cellStyle name="Dane wyjściowe 2 10 15 4" xfId="12835" xr:uid="{00000000-0005-0000-0000-00000E320000}"/>
    <cellStyle name="Dane wyjściowe 2 10 16" xfId="12836" xr:uid="{00000000-0005-0000-0000-00000F320000}"/>
    <cellStyle name="Dane wyjściowe 2 10 16 2" xfId="12837" xr:uid="{00000000-0005-0000-0000-000010320000}"/>
    <cellStyle name="Dane wyjściowe 2 10 16 3" xfId="12838" xr:uid="{00000000-0005-0000-0000-000011320000}"/>
    <cellStyle name="Dane wyjściowe 2 10 16 4" xfId="12839" xr:uid="{00000000-0005-0000-0000-000012320000}"/>
    <cellStyle name="Dane wyjściowe 2 10 17" xfId="12840" xr:uid="{00000000-0005-0000-0000-000013320000}"/>
    <cellStyle name="Dane wyjściowe 2 10 17 2" xfId="12841" xr:uid="{00000000-0005-0000-0000-000014320000}"/>
    <cellStyle name="Dane wyjściowe 2 10 17 3" xfId="12842" xr:uid="{00000000-0005-0000-0000-000015320000}"/>
    <cellStyle name="Dane wyjściowe 2 10 17 4" xfId="12843" xr:uid="{00000000-0005-0000-0000-000016320000}"/>
    <cellStyle name="Dane wyjściowe 2 10 18" xfId="12844" xr:uid="{00000000-0005-0000-0000-000017320000}"/>
    <cellStyle name="Dane wyjściowe 2 10 18 2" xfId="12845" xr:uid="{00000000-0005-0000-0000-000018320000}"/>
    <cellStyle name="Dane wyjściowe 2 10 18 3" xfId="12846" xr:uid="{00000000-0005-0000-0000-000019320000}"/>
    <cellStyle name="Dane wyjściowe 2 10 18 4" xfId="12847" xr:uid="{00000000-0005-0000-0000-00001A320000}"/>
    <cellStyle name="Dane wyjściowe 2 10 19" xfId="12848" xr:uid="{00000000-0005-0000-0000-00001B320000}"/>
    <cellStyle name="Dane wyjściowe 2 10 19 2" xfId="12849" xr:uid="{00000000-0005-0000-0000-00001C320000}"/>
    <cellStyle name="Dane wyjściowe 2 10 19 3" xfId="12850" xr:uid="{00000000-0005-0000-0000-00001D320000}"/>
    <cellStyle name="Dane wyjściowe 2 10 19 4" xfId="12851" xr:uid="{00000000-0005-0000-0000-00001E320000}"/>
    <cellStyle name="Dane wyjściowe 2 10 2" xfId="12852" xr:uid="{00000000-0005-0000-0000-00001F320000}"/>
    <cellStyle name="Dane wyjściowe 2 10 2 2" xfId="12853" xr:uid="{00000000-0005-0000-0000-000020320000}"/>
    <cellStyle name="Dane wyjściowe 2 10 2 3" xfId="12854" xr:uid="{00000000-0005-0000-0000-000021320000}"/>
    <cellStyle name="Dane wyjściowe 2 10 2 4" xfId="12855" xr:uid="{00000000-0005-0000-0000-000022320000}"/>
    <cellStyle name="Dane wyjściowe 2 10 20" xfId="12856" xr:uid="{00000000-0005-0000-0000-000023320000}"/>
    <cellStyle name="Dane wyjściowe 2 10 20 2" xfId="12857" xr:uid="{00000000-0005-0000-0000-000024320000}"/>
    <cellStyle name="Dane wyjściowe 2 10 20 3" xfId="12858" xr:uid="{00000000-0005-0000-0000-000025320000}"/>
    <cellStyle name="Dane wyjściowe 2 10 20 4" xfId="12859" xr:uid="{00000000-0005-0000-0000-000026320000}"/>
    <cellStyle name="Dane wyjściowe 2 10 21" xfId="12860" xr:uid="{00000000-0005-0000-0000-000027320000}"/>
    <cellStyle name="Dane wyjściowe 2 10 21 2" xfId="12861" xr:uid="{00000000-0005-0000-0000-000028320000}"/>
    <cellStyle name="Dane wyjściowe 2 10 21 3" xfId="12862" xr:uid="{00000000-0005-0000-0000-000029320000}"/>
    <cellStyle name="Dane wyjściowe 2 10 22" xfId="12863" xr:uid="{00000000-0005-0000-0000-00002A320000}"/>
    <cellStyle name="Dane wyjściowe 2 10 22 2" xfId="12864" xr:uid="{00000000-0005-0000-0000-00002B320000}"/>
    <cellStyle name="Dane wyjściowe 2 10 22 3" xfId="12865" xr:uid="{00000000-0005-0000-0000-00002C320000}"/>
    <cellStyle name="Dane wyjściowe 2 10 23" xfId="12866" xr:uid="{00000000-0005-0000-0000-00002D320000}"/>
    <cellStyle name="Dane wyjściowe 2 10 23 2" xfId="12867" xr:uid="{00000000-0005-0000-0000-00002E320000}"/>
    <cellStyle name="Dane wyjściowe 2 10 23 3" xfId="12868" xr:uid="{00000000-0005-0000-0000-00002F320000}"/>
    <cellStyle name="Dane wyjściowe 2 10 24" xfId="12869" xr:uid="{00000000-0005-0000-0000-000030320000}"/>
    <cellStyle name="Dane wyjściowe 2 10 24 2" xfId="12870" xr:uid="{00000000-0005-0000-0000-000031320000}"/>
    <cellStyle name="Dane wyjściowe 2 10 24 3" xfId="12871" xr:uid="{00000000-0005-0000-0000-000032320000}"/>
    <cellStyle name="Dane wyjściowe 2 10 25" xfId="12872" xr:uid="{00000000-0005-0000-0000-000033320000}"/>
    <cellStyle name="Dane wyjściowe 2 10 25 2" xfId="12873" xr:uid="{00000000-0005-0000-0000-000034320000}"/>
    <cellStyle name="Dane wyjściowe 2 10 25 3" xfId="12874" xr:uid="{00000000-0005-0000-0000-000035320000}"/>
    <cellStyle name="Dane wyjściowe 2 10 26" xfId="12875" xr:uid="{00000000-0005-0000-0000-000036320000}"/>
    <cellStyle name="Dane wyjściowe 2 10 26 2" xfId="12876" xr:uid="{00000000-0005-0000-0000-000037320000}"/>
    <cellStyle name="Dane wyjściowe 2 10 26 3" xfId="12877" xr:uid="{00000000-0005-0000-0000-000038320000}"/>
    <cellStyle name="Dane wyjściowe 2 10 27" xfId="12878" xr:uid="{00000000-0005-0000-0000-000039320000}"/>
    <cellStyle name="Dane wyjściowe 2 10 27 2" xfId="12879" xr:uid="{00000000-0005-0000-0000-00003A320000}"/>
    <cellStyle name="Dane wyjściowe 2 10 27 3" xfId="12880" xr:uid="{00000000-0005-0000-0000-00003B320000}"/>
    <cellStyle name="Dane wyjściowe 2 10 28" xfId="12881" xr:uid="{00000000-0005-0000-0000-00003C320000}"/>
    <cellStyle name="Dane wyjściowe 2 10 28 2" xfId="12882" xr:uid="{00000000-0005-0000-0000-00003D320000}"/>
    <cellStyle name="Dane wyjściowe 2 10 28 3" xfId="12883" xr:uid="{00000000-0005-0000-0000-00003E320000}"/>
    <cellStyle name="Dane wyjściowe 2 10 29" xfId="12884" xr:uid="{00000000-0005-0000-0000-00003F320000}"/>
    <cellStyle name="Dane wyjściowe 2 10 29 2" xfId="12885" xr:uid="{00000000-0005-0000-0000-000040320000}"/>
    <cellStyle name="Dane wyjściowe 2 10 29 3" xfId="12886" xr:uid="{00000000-0005-0000-0000-000041320000}"/>
    <cellStyle name="Dane wyjściowe 2 10 3" xfId="12887" xr:uid="{00000000-0005-0000-0000-000042320000}"/>
    <cellStyle name="Dane wyjściowe 2 10 3 2" xfId="12888" xr:uid="{00000000-0005-0000-0000-000043320000}"/>
    <cellStyle name="Dane wyjściowe 2 10 3 3" xfId="12889" xr:uid="{00000000-0005-0000-0000-000044320000}"/>
    <cellStyle name="Dane wyjściowe 2 10 3 4" xfId="12890" xr:uid="{00000000-0005-0000-0000-000045320000}"/>
    <cellStyle name="Dane wyjściowe 2 10 30" xfId="12891" xr:uid="{00000000-0005-0000-0000-000046320000}"/>
    <cellStyle name="Dane wyjściowe 2 10 30 2" xfId="12892" xr:uid="{00000000-0005-0000-0000-000047320000}"/>
    <cellStyle name="Dane wyjściowe 2 10 30 3" xfId="12893" xr:uid="{00000000-0005-0000-0000-000048320000}"/>
    <cellStyle name="Dane wyjściowe 2 10 31" xfId="12894" xr:uid="{00000000-0005-0000-0000-000049320000}"/>
    <cellStyle name="Dane wyjściowe 2 10 31 2" xfId="12895" xr:uid="{00000000-0005-0000-0000-00004A320000}"/>
    <cellStyle name="Dane wyjściowe 2 10 31 3" xfId="12896" xr:uid="{00000000-0005-0000-0000-00004B320000}"/>
    <cellStyle name="Dane wyjściowe 2 10 32" xfId="12897" xr:uid="{00000000-0005-0000-0000-00004C320000}"/>
    <cellStyle name="Dane wyjściowe 2 10 32 2" xfId="12898" xr:uid="{00000000-0005-0000-0000-00004D320000}"/>
    <cellStyle name="Dane wyjściowe 2 10 32 3" xfId="12899" xr:uid="{00000000-0005-0000-0000-00004E320000}"/>
    <cellStyle name="Dane wyjściowe 2 10 33" xfId="12900" xr:uid="{00000000-0005-0000-0000-00004F320000}"/>
    <cellStyle name="Dane wyjściowe 2 10 33 2" xfId="12901" xr:uid="{00000000-0005-0000-0000-000050320000}"/>
    <cellStyle name="Dane wyjściowe 2 10 33 3" xfId="12902" xr:uid="{00000000-0005-0000-0000-000051320000}"/>
    <cellStyle name="Dane wyjściowe 2 10 34" xfId="12903" xr:uid="{00000000-0005-0000-0000-000052320000}"/>
    <cellStyle name="Dane wyjściowe 2 10 34 2" xfId="12904" xr:uid="{00000000-0005-0000-0000-000053320000}"/>
    <cellStyle name="Dane wyjściowe 2 10 34 3" xfId="12905" xr:uid="{00000000-0005-0000-0000-000054320000}"/>
    <cellStyle name="Dane wyjściowe 2 10 35" xfId="12906" xr:uid="{00000000-0005-0000-0000-000055320000}"/>
    <cellStyle name="Dane wyjściowe 2 10 35 2" xfId="12907" xr:uid="{00000000-0005-0000-0000-000056320000}"/>
    <cellStyle name="Dane wyjściowe 2 10 35 3" xfId="12908" xr:uid="{00000000-0005-0000-0000-000057320000}"/>
    <cellStyle name="Dane wyjściowe 2 10 36" xfId="12909" xr:uid="{00000000-0005-0000-0000-000058320000}"/>
    <cellStyle name="Dane wyjściowe 2 10 36 2" xfId="12910" xr:uid="{00000000-0005-0000-0000-000059320000}"/>
    <cellStyle name="Dane wyjściowe 2 10 36 3" xfId="12911" xr:uid="{00000000-0005-0000-0000-00005A320000}"/>
    <cellStyle name="Dane wyjściowe 2 10 37" xfId="12912" xr:uid="{00000000-0005-0000-0000-00005B320000}"/>
    <cellStyle name="Dane wyjściowe 2 10 37 2" xfId="12913" xr:uid="{00000000-0005-0000-0000-00005C320000}"/>
    <cellStyle name="Dane wyjściowe 2 10 37 3" xfId="12914" xr:uid="{00000000-0005-0000-0000-00005D320000}"/>
    <cellStyle name="Dane wyjściowe 2 10 38" xfId="12915" xr:uid="{00000000-0005-0000-0000-00005E320000}"/>
    <cellStyle name="Dane wyjściowe 2 10 38 2" xfId="12916" xr:uid="{00000000-0005-0000-0000-00005F320000}"/>
    <cellStyle name="Dane wyjściowe 2 10 38 3" xfId="12917" xr:uid="{00000000-0005-0000-0000-000060320000}"/>
    <cellStyle name="Dane wyjściowe 2 10 39" xfId="12918" xr:uid="{00000000-0005-0000-0000-000061320000}"/>
    <cellStyle name="Dane wyjściowe 2 10 39 2" xfId="12919" xr:uid="{00000000-0005-0000-0000-000062320000}"/>
    <cellStyle name="Dane wyjściowe 2 10 39 3" xfId="12920" xr:uid="{00000000-0005-0000-0000-000063320000}"/>
    <cellStyle name="Dane wyjściowe 2 10 4" xfId="12921" xr:uid="{00000000-0005-0000-0000-000064320000}"/>
    <cellStyle name="Dane wyjściowe 2 10 4 2" xfId="12922" xr:uid="{00000000-0005-0000-0000-000065320000}"/>
    <cellStyle name="Dane wyjściowe 2 10 4 3" xfId="12923" xr:uid="{00000000-0005-0000-0000-000066320000}"/>
    <cellStyle name="Dane wyjściowe 2 10 4 4" xfId="12924" xr:uid="{00000000-0005-0000-0000-000067320000}"/>
    <cellStyle name="Dane wyjściowe 2 10 40" xfId="12925" xr:uid="{00000000-0005-0000-0000-000068320000}"/>
    <cellStyle name="Dane wyjściowe 2 10 40 2" xfId="12926" xr:uid="{00000000-0005-0000-0000-000069320000}"/>
    <cellStyle name="Dane wyjściowe 2 10 40 3" xfId="12927" xr:uid="{00000000-0005-0000-0000-00006A320000}"/>
    <cellStyle name="Dane wyjściowe 2 10 41" xfId="12928" xr:uid="{00000000-0005-0000-0000-00006B320000}"/>
    <cellStyle name="Dane wyjściowe 2 10 41 2" xfId="12929" xr:uid="{00000000-0005-0000-0000-00006C320000}"/>
    <cellStyle name="Dane wyjściowe 2 10 41 3" xfId="12930" xr:uid="{00000000-0005-0000-0000-00006D320000}"/>
    <cellStyle name="Dane wyjściowe 2 10 42" xfId="12931" xr:uid="{00000000-0005-0000-0000-00006E320000}"/>
    <cellStyle name="Dane wyjściowe 2 10 42 2" xfId="12932" xr:uid="{00000000-0005-0000-0000-00006F320000}"/>
    <cellStyle name="Dane wyjściowe 2 10 42 3" xfId="12933" xr:uid="{00000000-0005-0000-0000-000070320000}"/>
    <cellStyle name="Dane wyjściowe 2 10 43" xfId="12934" xr:uid="{00000000-0005-0000-0000-000071320000}"/>
    <cellStyle name="Dane wyjściowe 2 10 43 2" xfId="12935" xr:uid="{00000000-0005-0000-0000-000072320000}"/>
    <cellStyle name="Dane wyjściowe 2 10 43 3" xfId="12936" xr:uid="{00000000-0005-0000-0000-000073320000}"/>
    <cellStyle name="Dane wyjściowe 2 10 44" xfId="12937" xr:uid="{00000000-0005-0000-0000-000074320000}"/>
    <cellStyle name="Dane wyjściowe 2 10 44 2" xfId="12938" xr:uid="{00000000-0005-0000-0000-000075320000}"/>
    <cellStyle name="Dane wyjściowe 2 10 44 3" xfId="12939" xr:uid="{00000000-0005-0000-0000-000076320000}"/>
    <cellStyle name="Dane wyjściowe 2 10 45" xfId="12940" xr:uid="{00000000-0005-0000-0000-000077320000}"/>
    <cellStyle name="Dane wyjściowe 2 10 45 2" xfId="12941" xr:uid="{00000000-0005-0000-0000-000078320000}"/>
    <cellStyle name="Dane wyjściowe 2 10 45 3" xfId="12942" xr:uid="{00000000-0005-0000-0000-000079320000}"/>
    <cellStyle name="Dane wyjściowe 2 10 46" xfId="12943" xr:uid="{00000000-0005-0000-0000-00007A320000}"/>
    <cellStyle name="Dane wyjściowe 2 10 46 2" xfId="12944" xr:uid="{00000000-0005-0000-0000-00007B320000}"/>
    <cellStyle name="Dane wyjściowe 2 10 46 3" xfId="12945" xr:uid="{00000000-0005-0000-0000-00007C320000}"/>
    <cellStyle name="Dane wyjściowe 2 10 47" xfId="12946" xr:uid="{00000000-0005-0000-0000-00007D320000}"/>
    <cellStyle name="Dane wyjściowe 2 10 47 2" xfId="12947" xr:uid="{00000000-0005-0000-0000-00007E320000}"/>
    <cellStyle name="Dane wyjściowe 2 10 47 3" xfId="12948" xr:uid="{00000000-0005-0000-0000-00007F320000}"/>
    <cellStyle name="Dane wyjściowe 2 10 48" xfId="12949" xr:uid="{00000000-0005-0000-0000-000080320000}"/>
    <cellStyle name="Dane wyjściowe 2 10 48 2" xfId="12950" xr:uid="{00000000-0005-0000-0000-000081320000}"/>
    <cellStyle name="Dane wyjściowe 2 10 48 3" xfId="12951" xr:uid="{00000000-0005-0000-0000-000082320000}"/>
    <cellStyle name="Dane wyjściowe 2 10 49" xfId="12952" xr:uid="{00000000-0005-0000-0000-000083320000}"/>
    <cellStyle name="Dane wyjściowe 2 10 49 2" xfId="12953" xr:uid="{00000000-0005-0000-0000-000084320000}"/>
    <cellStyle name="Dane wyjściowe 2 10 49 3" xfId="12954" xr:uid="{00000000-0005-0000-0000-000085320000}"/>
    <cellStyle name="Dane wyjściowe 2 10 5" xfId="12955" xr:uid="{00000000-0005-0000-0000-000086320000}"/>
    <cellStyle name="Dane wyjściowe 2 10 5 2" xfId="12956" xr:uid="{00000000-0005-0000-0000-000087320000}"/>
    <cellStyle name="Dane wyjściowe 2 10 5 3" xfId="12957" xr:uid="{00000000-0005-0000-0000-000088320000}"/>
    <cellStyle name="Dane wyjściowe 2 10 5 4" xfId="12958" xr:uid="{00000000-0005-0000-0000-000089320000}"/>
    <cellStyle name="Dane wyjściowe 2 10 50" xfId="12959" xr:uid="{00000000-0005-0000-0000-00008A320000}"/>
    <cellStyle name="Dane wyjściowe 2 10 50 2" xfId="12960" xr:uid="{00000000-0005-0000-0000-00008B320000}"/>
    <cellStyle name="Dane wyjściowe 2 10 50 3" xfId="12961" xr:uid="{00000000-0005-0000-0000-00008C320000}"/>
    <cellStyle name="Dane wyjściowe 2 10 51" xfId="12962" xr:uid="{00000000-0005-0000-0000-00008D320000}"/>
    <cellStyle name="Dane wyjściowe 2 10 51 2" xfId="12963" xr:uid="{00000000-0005-0000-0000-00008E320000}"/>
    <cellStyle name="Dane wyjściowe 2 10 51 3" xfId="12964" xr:uid="{00000000-0005-0000-0000-00008F320000}"/>
    <cellStyle name="Dane wyjściowe 2 10 52" xfId="12965" xr:uid="{00000000-0005-0000-0000-000090320000}"/>
    <cellStyle name="Dane wyjściowe 2 10 52 2" xfId="12966" xr:uid="{00000000-0005-0000-0000-000091320000}"/>
    <cellStyle name="Dane wyjściowe 2 10 52 3" xfId="12967" xr:uid="{00000000-0005-0000-0000-000092320000}"/>
    <cellStyle name="Dane wyjściowe 2 10 53" xfId="12968" xr:uid="{00000000-0005-0000-0000-000093320000}"/>
    <cellStyle name="Dane wyjściowe 2 10 53 2" xfId="12969" xr:uid="{00000000-0005-0000-0000-000094320000}"/>
    <cellStyle name="Dane wyjściowe 2 10 53 3" xfId="12970" xr:uid="{00000000-0005-0000-0000-000095320000}"/>
    <cellStyle name="Dane wyjściowe 2 10 54" xfId="12971" xr:uid="{00000000-0005-0000-0000-000096320000}"/>
    <cellStyle name="Dane wyjściowe 2 10 54 2" xfId="12972" xr:uid="{00000000-0005-0000-0000-000097320000}"/>
    <cellStyle name="Dane wyjściowe 2 10 54 3" xfId="12973" xr:uid="{00000000-0005-0000-0000-000098320000}"/>
    <cellStyle name="Dane wyjściowe 2 10 55" xfId="12974" xr:uid="{00000000-0005-0000-0000-000099320000}"/>
    <cellStyle name="Dane wyjściowe 2 10 55 2" xfId="12975" xr:uid="{00000000-0005-0000-0000-00009A320000}"/>
    <cellStyle name="Dane wyjściowe 2 10 55 3" xfId="12976" xr:uid="{00000000-0005-0000-0000-00009B320000}"/>
    <cellStyle name="Dane wyjściowe 2 10 56" xfId="12977" xr:uid="{00000000-0005-0000-0000-00009C320000}"/>
    <cellStyle name="Dane wyjściowe 2 10 56 2" xfId="12978" xr:uid="{00000000-0005-0000-0000-00009D320000}"/>
    <cellStyle name="Dane wyjściowe 2 10 56 3" xfId="12979" xr:uid="{00000000-0005-0000-0000-00009E320000}"/>
    <cellStyle name="Dane wyjściowe 2 10 57" xfId="12980" xr:uid="{00000000-0005-0000-0000-00009F320000}"/>
    <cellStyle name="Dane wyjściowe 2 10 58" xfId="12981" xr:uid="{00000000-0005-0000-0000-0000A0320000}"/>
    <cellStyle name="Dane wyjściowe 2 10 6" xfId="12982" xr:uid="{00000000-0005-0000-0000-0000A1320000}"/>
    <cellStyle name="Dane wyjściowe 2 10 6 2" xfId="12983" xr:uid="{00000000-0005-0000-0000-0000A2320000}"/>
    <cellStyle name="Dane wyjściowe 2 10 6 3" xfId="12984" xr:uid="{00000000-0005-0000-0000-0000A3320000}"/>
    <cellStyle name="Dane wyjściowe 2 10 6 4" xfId="12985" xr:uid="{00000000-0005-0000-0000-0000A4320000}"/>
    <cellStyle name="Dane wyjściowe 2 10 7" xfId="12986" xr:uid="{00000000-0005-0000-0000-0000A5320000}"/>
    <cellStyle name="Dane wyjściowe 2 10 7 2" xfId="12987" xr:uid="{00000000-0005-0000-0000-0000A6320000}"/>
    <cellStyle name="Dane wyjściowe 2 10 7 3" xfId="12988" xr:uid="{00000000-0005-0000-0000-0000A7320000}"/>
    <cellStyle name="Dane wyjściowe 2 10 7 4" xfId="12989" xr:uid="{00000000-0005-0000-0000-0000A8320000}"/>
    <cellStyle name="Dane wyjściowe 2 10 8" xfId="12990" xr:uid="{00000000-0005-0000-0000-0000A9320000}"/>
    <cellStyle name="Dane wyjściowe 2 10 8 2" xfId="12991" xr:uid="{00000000-0005-0000-0000-0000AA320000}"/>
    <cellStyle name="Dane wyjściowe 2 10 8 3" xfId="12992" xr:uid="{00000000-0005-0000-0000-0000AB320000}"/>
    <cellStyle name="Dane wyjściowe 2 10 8 4" xfId="12993" xr:uid="{00000000-0005-0000-0000-0000AC320000}"/>
    <cellStyle name="Dane wyjściowe 2 10 9" xfId="12994" xr:uid="{00000000-0005-0000-0000-0000AD320000}"/>
    <cellStyle name="Dane wyjściowe 2 10 9 2" xfId="12995" xr:uid="{00000000-0005-0000-0000-0000AE320000}"/>
    <cellStyle name="Dane wyjściowe 2 10 9 3" xfId="12996" xr:uid="{00000000-0005-0000-0000-0000AF320000}"/>
    <cellStyle name="Dane wyjściowe 2 10 9 4" xfId="12997" xr:uid="{00000000-0005-0000-0000-0000B0320000}"/>
    <cellStyle name="Dane wyjściowe 2 11" xfId="12998" xr:uid="{00000000-0005-0000-0000-0000B1320000}"/>
    <cellStyle name="Dane wyjściowe 2 11 10" xfId="12999" xr:uid="{00000000-0005-0000-0000-0000B2320000}"/>
    <cellStyle name="Dane wyjściowe 2 11 10 2" xfId="13000" xr:uid="{00000000-0005-0000-0000-0000B3320000}"/>
    <cellStyle name="Dane wyjściowe 2 11 10 3" xfId="13001" xr:uid="{00000000-0005-0000-0000-0000B4320000}"/>
    <cellStyle name="Dane wyjściowe 2 11 10 4" xfId="13002" xr:uid="{00000000-0005-0000-0000-0000B5320000}"/>
    <cellStyle name="Dane wyjściowe 2 11 11" xfId="13003" xr:uid="{00000000-0005-0000-0000-0000B6320000}"/>
    <cellStyle name="Dane wyjściowe 2 11 11 2" xfId="13004" xr:uid="{00000000-0005-0000-0000-0000B7320000}"/>
    <cellStyle name="Dane wyjściowe 2 11 11 3" xfId="13005" xr:uid="{00000000-0005-0000-0000-0000B8320000}"/>
    <cellStyle name="Dane wyjściowe 2 11 11 4" xfId="13006" xr:uid="{00000000-0005-0000-0000-0000B9320000}"/>
    <cellStyle name="Dane wyjściowe 2 11 12" xfId="13007" xr:uid="{00000000-0005-0000-0000-0000BA320000}"/>
    <cellStyle name="Dane wyjściowe 2 11 12 2" xfId="13008" xr:uid="{00000000-0005-0000-0000-0000BB320000}"/>
    <cellStyle name="Dane wyjściowe 2 11 12 3" xfId="13009" xr:uid="{00000000-0005-0000-0000-0000BC320000}"/>
    <cellStyle name="Dane wyjściowe 2 11 12 4" xfId="13010" xr:uid="{00000000-0005-0000-0000-0000BD320000}"/>
    <cellStyle name="Dane wyjściowe 2 11 13" xfId="13011" xr:uid="{00000000-0005-0000-0000-0000BE320000}"/>
    <cellStyle name="Dane wyjściowe 2 11 13 2" xfId="13012" xr:uid="{00000000-0005-0000-0000-0000BF320000}"/>
    <cellStyle name="Dane wyjściowe 2 11 13 3" xfId="13013" xr:uid="{00000000-0005-0000-0000-0000C0320000}"/>
    <cellStyle name="Dane wyjściowe 2 11 13 4" xfId="13014" xr:uid="{00000000-0005-0000-0000-0000C1320000}"/>
    <cellStyle name="Dane wyjściowe 2 11 14" xfId="13015" xr:uid="{00000000-0005-0000-0000-0000C2320000}"/>
    <cellStyle name="Dane wyjściowe 2 11 14 2" xfId="13016" xr:uid="{00000000-0005-0000-0000-0000C3320000}"/>
    <cellStyle name="Dane wyjściowe 2 11 14 3" xfId="13017" xr:uid="{00000000-0005-0000-0000-0000C4320000}"/>
    <cellStyle name="Dane wyjściowe 2 11 14 4" xfId="13018" xr:uid="{00000000-0005-0000-0000-0000C5320000}"/>
    <cellStyle name="Dane wyjściowe 2 11 15" xfId="13019" xr:uid="{00000000-0005-0000-0000-0000C6320000}"/>
    <cellStyle name="Dane wyjściowe 2 11 15 2" xfId="13020" xr:uid="{00000000-0005-0000-0000-0000C7320000}"/>
    <cellStyle name="Dane wyjściowe 2 11 15 3" xfId="13021" xr:uid="{00000000-0005-0000-0000-0000C8320000}"/>
    <cellStyle name="Dane wyjściowe 2 11 15 4" xfId="13022" xr:uid="{00000000-0005-0000-0000-0000C9320000}"/>
    <cellStyle name="Dane wyjściowe 2 11 16" xfId="13023" xr:uid="{00000000-0005-0000-0000-0000CA320000}"/>
    <cellStyle name="Dane wyjściowe 2 11 16 2" xfId="13024" xr:uid="{00000000-0005-0000-0000-0000CB320000}"/>
    <cellStyle name="Dane wyjściowe 2 11 16 3" xfId="13025" xr:uid="{00000000-0005-0000-0000-0000CC320000}"/>
    <cellStyle name="Dane wyjściowe 2 11 16 4" xfId="13026" xr:uid="{00000000-0005-0000-0000-0000CD320000}"/>
    <cellStyle name="Dane wyjściowe 2 11 17" xfId="13027" xr:uid="{00000000-0005-0000-0000-0000CE320000}"/>
    <cellStyle name="Dane wyjściowe 2 11 17 2" xfId="13028" xr:uid="{00000000-0005-0000-0000-0000CF320000}"/>
    <cellStyle name="Dane wyjściowe 2 11 17 3" xfId="13029" xr:uid="{00000000-0005-0000-0000-0000D0320000}"/>
    <cellStyle name="Dane wyjściowe 2 11 17 4" xfId="13030" xr:uid="{00000000-0005-0000-0000-0000D1320000}"/>
    <cellStyle name="Dane wyjściowe 2 11 18" xfId="13031" xr:uid="{00000000-0005-0000-0000-0000D2320000}"/>
    <cellStyle name="Dane wyjściowe 2 11 18 2" xfId="13032" xr:uid="{00000000-0005-0000-0000-0000D3320000}"/>
    <cellStyle name="Dane wyjściowe 2 11 18 3" xfId="13033" xr:uid="{00000000-0005-0000-0000-0000D4320000}"/>
    <cellStyle name="Dane wyjściowe 2 11 18 4" xfId="13034" xr:uid="{00000000-0005-0000-0000-0000D5320000}"/>
    <cellStyle name="Dane wyjściowe 2 11 19" xfId="13035" xr:uid="{00000000-0005-0000-0000-0000D6320000}"/>
    <cellStyle name="Dane wyjściowe 2 11 19 2" xfId="13036" xr:uid="{00000000-0005-0000-0000-0000D7320000}"/>
    <cellStyle name="Dane wyjściowe 2 11 19 3" xfId="13037" xr:uid="{00000000-0005-0000-0000-0000D8320000}"/>
    <cellStyle name="Dane wyjściowe 2 11 19 4" xfId="13038" xr:uid="{00000000-0005-0000-0000-0000D9320000}"/>
    <cellStyle name="Dane wyjściowe 2 11 2" xfId="13039" xr:uid="{00000000-0005-0000-0000-0000DA320000}"/>
    <cellStyle name="Dane wyjściowe 2 11 2 2" xfId="13040" xr:uid="{00000000-0005-0000-0000-0000DB320000}"/>
    <cellStyle name="Dane wyjściowe 2 11 2 3" xfId="13041" xr:uid="{00000000-0005-0000-0000-0000DC320000}"/>
    <cellStyle name="Dane wyjściowe 2 11 2 4" xfId="13042" xr:uid="{00000000-0005-0000-0000-0000DD320000}"/>
    <cellStyle name="Dane wyjściowe 2 11 20" xfId="13043" xr:uid="{00000000-0005-0000-0000-0000DE320000}"/>
    <cellStyle name="Dane wyjściowe 2 11 20 2" xfId="13044" xr:uid="{00000000-0005-0000-0000-0000DF320000}"/>
    <cellStyle name="Dane wyjściowe 2 11 20 3" xfId="13045" xr:uid="{00000000-0005-0000-0000-0000E0320000}"/>
    <cellStyle name="Dane wyjściowe 2 11 20 4" xfId="13046" xr:uid="{00000000-0005-0000-0000-0000E1320000}"/>
    <cellStyle name="Dane wyjściowe 2 11 21" xfId="13047" xr:uid="{00000000-0005-0000-0000-0000E2320000}"/>
    <cellStyle name="Dane wyjściowe 2 11 21 2" xfId="13048" xr:uid="{00000000-0005-0000-0000-0000E3320000}"/>
    <cellStyle name="Dane wyjściowe 2 11 21 3" xfId="13049" xr:uid="{00000000-0005-0000-0000-0000E4320000}"/>
    <cellStyle name="Dane wyjściowe 2 11 22" xfId="13050" xr:uid="{00000000-0005-0000-0000-0000E5320000}"/>
    <cellStyle name="Dane wyjściowe 2 11 22 2" xfId="13051" xr:uid="{00000000-0005-0000-0000-0000E6320000}"/>
    <cellStyle name="Dane wyjściowe 2 11 22 3" xfId="13052" xr:uid="{00000000-0005-0000-0000-0000E7320000}"/>
    <cellStyle name="Dane wyjściowe 2 11 23" xfId="13053" xr:uid="{00000000-0005-0000-0000-0000E8320000}"/>
    <cellStyle name="Dane wyjściowe 2 11 23 2" xfId="13054" xr:uid="{00000000-0005-0000-0000-0000E9320000}"/>
    <cellStyle name="Dane wyjściowe 2 11 23 3" xfId="13055" xr:uid="{00000000-0005-0000-0000-0000EA320000}"/>
    <cellStyle name="Dane wyjściowe 2 11 24" xfId="13056" xr:uid="{00000000-0005-0000-0000-0000EB320000}"/>
    <cellStyle name="Dane wyjściowe 2 11 24 2" xfId="13057" xr:uid="{00000000-0005-0000-0000-0000EC320000}"/>
    <cellStyle name="Dane wyjściowe 2 11 24 3" xfId="13058" xr:uid="{00000000-0005-0000-0000-0000ED320000}"/>
    <cellStyle name="Dane wyjściowe 2 11 25" xfId="13059" xr:uid="{00000000-0005-0000-0000-0000EE320000}"/>
    <cellStyle name="Dane wyjściowe 2 11 25 2" xfId="13060" xr:uid="{00000000-0005-0000-0000-0000EF320000}"/>
    <cellStyle name="Dane wyjściowe 2 11 25 3" xfId="13061" xr:uid="{00000000-0005-0000-0000-0000F0320000}"/>
    <cellStyle name="Dane wyjściowe 2 11 26" xfId="13062" xr:uid="{00000000-0005-0000-0000-0000F1320000}"/>
    <cellStyle name="Dane wyjściowe 2 11 26 2" xfId="13063" xr:uid="{00000000-0005-0000-0000-0000F2320000}"/>
    <cellStyle name="Dane wyjściowe 2 11 26 3" xfId="13064" xr:uid="{00000000-0005-0000-0000-0000F3320000}"/>
    <cellStyle name="Dane wyjściowe 2 11 27" xfId="13065" xr:uid="{00000000-0005-0000-0000-0000F4320000}"/>
    <cellStyle name="Dane wyjściowe 2 11 27 2" xfId="13066" xr:uid="{00000000-0005-0000-0000-0000F5320000}"/>
    <cellStyle name="Dane wyjściowe 2 11 27 3" xfId="13067" xr:uid="{00000000-0005-0000-0000-0000F6320000}"/>
    <cellStyle name="Dane wyjściowe 2 11 28" xfId="13068" xr:uid="{00000000-0005-0000-0000-0000F7320000}"/>
    <cellStyle name="Dane wyjściowe 2 11 28 2" xfId="13069" xr:uid="{00000000-0005-0000-0000-0000F8320000}"/>
    <cellStyle name="Dane wyjściowe 2 11 28 3" xfId="13070" xr:uid="{00000000-0005-0000-0000-0000F9320000}"/>
    <cellStyle name="Dane wyjściowe 2 11 29" xfId="13071" xr:uid="{00000000-0005-0000-0000-0000FA320000}"/>
    <cellStyle name="Dane wyjściowe 2 11 29 2" xfId="13072" xr:uid="{00000000-0005-0000-0000-0000FB320000}"/>
    <cellStyle name="Dane wyjściowe 2 11 29 3" xfId="13073" xr:uid="{00000000-0005-0000-0000-0000FC320000}"/>
    <cellStyle name="Dane wyjściowe 2 11 3" xfId="13074" xr:uid="{00000000-0005-0000-0000-0000FD320000}"/>
    <cellStyle name="Dane wyjściowe 2 11 3 2" xfId="13075" xr:uid="{00000000-0005-0000-0000-0000FE320000}"/>
    <cellStyle name="Dane wyjściowe 2 11 3 3" xfId="13076" xr:uid="{00000000-0005-0000-0000-0000FF320000}"/>
    <cellStyle name="Dane wyjściowe 2 11 3 4" xfId="13077" xr:uid="{00000000-0005-0000-0000-000000330000}"/>
    <cellStyle name="Dane wyjściowe 2 11 30" xfId="13078" xr:uid="{00000000-0005-0000-0000-000001330000}"/>
    <cellStyle name="Dane wyjściowe 2 11 30 2" xfId="13079" xr:uid="{00000000-0005-0000-0000-000002330000}"/>
    <cellStyle name="Dane wyjściowe 2 11 30 3" xfId="13080" xr:uid="{00000000-0005-0000-0000-000003330000}"/>
    <cellStyle name="Dane wyjściowe 2 11 31" xfId="13081" xr:uid="{00000000-0005-0000-0000-000004330000}"/>
    <cellStyle name="Dane wyjściowe 2 11 31 2" xfId="13082" xr:uid="{00000000-0005-0000-0000-000005330000}"/>
    <cellStyle name="Dane wyjściowe 2 11 31 3" xfId="13083" xr:uid="{00000000-0005-0000-0000-000006330000}"/>
    <cellStyle name="Dane wyjściowe 2 11 32" xfId="13084" xr:uid="{00000000-0005-0000-0000-000007330000}"/>
    <cellStyle name="Dane wyjściowe 2 11 32 2" xfId="13085" xr:uid="{00000000-0005-0000-0000-000008330000}"/>
    <cellStyle name="Dane wyjściowe 2 11 32 3" xfId="13086" xr:uid="{00000000-0005-0000-0000-000009330000}"/>
    <cellStyle name="Dane wyjściowe 2 11 33" xfId="13087" xr:uid="{00000000-0005-0000-0000-00000A330000}"/>
    <cellStyle name="Dane wyjściowe 2 11 33 2" xfId="13088" xr:uid="{00000000-0005-0000-0000-00000B330000}"/>
    <cellStyle name="Dane wyjściowe 2 11 33 3" xfId="13089" xr:uid="{00000000-0005-0000-0000-00000C330000}"/>
    <cellStyle name="Dane wyjściowe 2 11 34" xfId="13090" xr:uid="{00000000-0005-0000-0000-00000D330000}"/>
    <cellStyle name="Dane wyjściowe 2 11 34 2" xfId="13091" xr:uid="{00000000-0005-0000-0000-00000E330000}"/>
    <cellStyle name="Dane wyjściowe 2 11 34 3" xfId="13092" xr:uid="{00000000-0005-0000-0000-00000F330000}"/>
    <cellStyle name="Dane wyjściowe 2 11 35" xfId="13093" xr:uid="{00000000-0005-0000-0000-000010330000}"/>
    <cellStyle name="Dane wyjściowe 2 11 35 2" xfId="13094" xr:uid="{00000000-0005-0000-0000-000011330000}"/>
    <cellStyle name="Dane wyjściowe 2 11 35 3" xfId="13095" xr:uid="{00000000-0005-0000-0000-000012330000}"/>
    <cellStyle name="Dane wyjściowe 2 11 36" xfId="13096" xr:uid="{00000000-0005-0000-0000-000013330000}"/>
    <cellStyle name="Dane wyjściowe 2 11 36 2" xfId="13097" xr:uid="{00000000-0005-0000-0000-000014330000}"/>
    <cellStyle name="Dane wyjściowe 2 11 36 3" xfId="13098" xr:uid="{00000000-0005-0000-0000-000015330000}"/>
    <cellStyle name="Dane wyjściowe 2 11 37" xfId="13099" xr:uid="{00000000-0005-0000-0000-000016330000}"/>
    <cellStyle name="Dane wyjściowe 2 11 37 2" xfId="13100" xr:uid="{00000000-0005-0000-0000-000017330000}"/>
    <cellStyle name="Dane wyjściowe 2 11 37 3" xfId="13101" xr:uid="{00000000-0005-0000-0000-000018330000}"/>
    <cellStyle name="Dane wyjściowe 2 11 38" xfId="13102" xr:uid="{00000000-0005-0000-0000-000019330000}"/>
    <cellStyle name="Dane wyjściowe 2 11 38 2" xfId="13103" xr:uid="{00000000-0005-0000-0000-00001A330000}"/>
    <cellStyle name="Dane wyjściowe 2 11 38 3" xfId="13104" xr:uid="{00000000-0005-0000-0000-00001B330000}"/>
    <cellStyle name="Dane wyjściowe 2 11 39" xfId="13105" xr:uid="{00000000-0005-0000-0000-00001C330000}"/>
    <cellStyle name="Dane wyjściowe 2 11 39 2" xfId="13106" xr:uid="{00000000-0005-0000-0000-00001D330000}"/>
    <cellStyle name="Dane wyjściowe 2 11 39 3" xfId="13107" xr:uid="{00000000-0005-0000-0000-00001E330000}"/>
    <cellStyle name="Dane wyjściowe 2 11 4" xfId="13108" xr:uid="{00000000-0005-0000-0000-00001F330000}"/>
    <cellStyle name="Dane wyjściowe 2 11 4 2" xfId="13109" xr:uid="{00000000-0005-0000-0000-000020330000}"/>
    <cellStyle name="Dane wyjściowe 2 11 4 3" xfId="13110" xr:uid="{00000000-0005-0000-0000-000021330000}"/>
    <cellStyle name="Dane wyjściowe 2 11 4 4" xfId="13111" xr:uid="{00000000-0005-0000-0000-000022330000}"/>
    <cellStyle name="Dane wyjściowe 2 11 40" xfId="13112" xr:uid="{00000000-0005-0000-0000-000023330000}"/>
    <cellStyle name="Dane wyjściowe 2 11 40 2" xfId="13113" xr:uid="{00000000-0005-0000-0000-000024330000}"/>
    <cellStyle name="Dane wyjściowe 2 11 40 3" xfId="13114" xr:uid="{00000000-0005-0000-0000-000025330000}"/>
    <cellStyle name="Dane wyjściowe 2 11 41" xfId="13115" xr:uid="{00000000-0005-0000-0000-000026330000}"/>
    <cellStyle name="Dane wyjściowe 2 11 41 2" xfId="13116" xr:uid="{00000000-0005-0000-0000-000027330000}"/>
    <cellStyle name="Dane wyjściowe 2 11 41 3" xfId="13117" xr:uid="{00000000-0005-0000-0000-000028330000}"/>
    <cellStyle name="Dane wyjściowe 2 11 42" xfId="13118" xr:uid="{00000000-0005-0000-0000-000029330000}"/>
    <cellStyle name="Dane wyjściowe 2 11 42 2" xfId="13119" xr:uid="{00000000-0005-0000-0000-00002A330000}"/>
    <cellStyle name="Dane wyjściowe 2 11 42 3" xfId="13120" xr:uid="{00000000-0005-0000-0000-00002B330000}"/>
    <cellStyle name="Dane wyjściowe 2 11 43" xfId="13121" xr:uid="{00000000-0005-0000-0000-00002C330000}"/>
    <cellStyle name="Dane wyjściowe 2 11 43 2" xfId="13122" xr:uid="{00000000-0005-0000-0000-00002D330000}"/>
    <cellStyle name="Dane wyjściowe 2 11 43 3" xfId="13123" xr:uid="{00000000-0005-0000-0000-00002E330000}"/>
    <cellStyle name="Dane wyjściowe 2 11 44" xfId="13124" xr:uid="{00000000-0005-0000-0000-00002F330000}"/>
    <cellStyle name="Dane wyjściowe 2 11 44 2" xfId="13125" xr:uid="{00000000-0005-0000-0000-000030330000}"/>
    <cellStyle name="Dane wyjściowe 2 11 44 3" xfId="13126" xr:uid="{00000000-0005-0000-0000-000031330000}"/>
    <cellStyle name="Dane wyjściowe 2 11 45" xfId="13127" xr:uid="{00000000-0005-0000-0000-000032330000}"/>
    <cellStyle name="Dane wyjściowe 2 11 45 2" xfId="13128" xr:uid="{00000000-0005-0000-0000-000033330000}"/>
    <cellStyle name="Dane wyjściowe 2 11 45 3" xfId="13129" xr:uid="{00000000-0005-0000-0000-000034330000}"/>
    <cellStyle name="Dane wyjściowe 2 11 46" xfId="13130" xr:uid="{00000000-0005-0000-0000-000035330000}"/>
    <cellStyle name="Dane wyjściowe 2 11 46 2" xfId="13131" xr:uid="{00000000-0005-0000-0000-000036330000}"/>
    <cellStyle name="Dane wyjściowe 2 11 46 3" xfId="13132" xr:uid="{00000000-0005-0000-0000-000037330000}"/>
    <cellStyle name="Dane wyjściowe 2 11 47" xfId="13133" xr:uid="{00000000-0005-0000-0000-000038330000}"/>
    <cellStyle name="Dane wyjściowe 2 11 47 2" xfId="13134" xr:uid="{00000000-0005-0000-0000-000039330000}"/>
    <cellStyle name="Dane wyjściowe 2 11 47 3" xfId="13135" xr:uid="{00000000-0005-0000-0000-00003A330000}"/>
    <cellStyle name="Dane wyjściowe 2 11 48" xfId="13136" xr:uid="{00000000-0005-0000-0000-00003B330000}"/>
    <cellStyle name="Dane wyjściowe 2 11 48 2" xfId="13137" xr:uid="{00000000-0005-0000-0000-00003C330000}"/>
    <cellStyle name="Dane wyjściowe 2 11 48 3" xfId="13138" xr:uid="{00000000-0005-0000-0000-00003D330000}"/>
    <cellStyle name="Dane wyjściowe 2 11 49" xfId="13139" xr:uid="{00000000-0005-0000-0000-00003E330000}"/>
    <cellStyle name="Dane wyjściowe 2 11 49 2" xfId="13140" xr:uid="{00000000-0005-0000-0000-00003F330000}"/>
    <cellStyle name="Dane wyjściowe 2 11 49 3" xfId="13141" xr:uid="{00000000-0005-0000-0000-000040330000}"/>
    <cellStyle name="Dane wyjściowe 2 11 5" xfId="13142" xr:uid="{00000000-0005-0000-0000-000041330000}"/>
    <cellStyle name="Dane wyjściowe 2 11 5 2" xfId="13143" xr:uid="{00000000-0005-0000-0000-000042330000}"/>
    <cellStyle name="Dane wyjściowe 2 11 5 3" xfId="13144" xr:uid="{00000000-0005-0000-0000-000043330000}"/>
    <cellStyle name="Dane wyjściowe 2 11 5 4" xfId="13145" xr:uid="{00000000-0005-0000-0000-000044330000}"/>
    <cellStyle name="Dane wyjściowe 2 11 50" xfId="13146" xr:uid="{00000000-0005-0000-0000-000045330000}"/>
    <cellStyle name="Dane wyjściowe 2 11 50 2" xfId="13147" xr:uid="{00000000-0005-0000-0000-000046330000}"/>
    <cellStyle name="Dane wyjściowe 2 11 50 3" xfId="13148" xr:uid="{00000000-0005-0000-0000-000047330000}"/>
    <cellStyle name="Dane wyjściowe 2 11 51" xfId="13149" xr:uid="{00000000-0005-0000-0000-000048330000}"/>
    <cellStyle name="Dane wyjściowe 2 11 51 2" xfId="13150" xr:uid="{00000000-0005-0000-0000-000049330000}"/>
    <cellStyle name="Dane wyjściowe 2 11 51 3" xfId="13151" xr:uid="{00000000-0005-0000-0000-00004A330000}"/>
    <cellStyle name="Dane wyjściowe 2 11 52" xfId="13152" xr:uid="{00000000-0005-0000-0000-00004B330000}"/>
    <cellStyle name="Dane wyjściowe 2 11 52 2" xfId="13153" xr:uid="{00000000-0005-0000-0000-00004C330000}"/>
    <cellStyle name="Dane wyjściowe 2 11 52 3" xfId="13154" xr:uid="{00000000-0005-0000-0000-00004D330000}"/>
    <cellStyle name="Dane wyjściowe 2 11 53" xfId="13155" xr:uid="{00000000-0005-0000-0000-00004E330000}"/>
    <cellStyle name="Dane wyjściowe 2 11 53 2" xfId="13156" xr:uid="{00000000-0005-0000-0000-00004F330000}"/>
    <cellStyle name="Dane wyjściowe 2 11 53 3" xfId="13157" xr:uid="{00000000-0005-0000-0000-000050330000}"/>
    <cellStyle name="Dane wyjściowe 2 11 54" xfId="13158" xr:uid="{00000000-0005-0000-0000-000051330000}"/>
    <cellStyle name="Dane wyjściowe 2 11 54 2" xfId="13159" xr:uid="{00000000-0005-0000-0000-000052330000}"/>
    <cellStyle name="Dane wyjściowe 2 11 54 3" xfId="13160" xr:uid="{00000000-0005-0000-0000-000053330000}"/>
    <cellStyle name="Dane wyjściowe 2 11 55" xfId="13161" xr:uid="{00000000-0005-0000-0000-000054330000}"/>
    <cellStyle name="Dane wyjściowe 2 11 55 2" xfId="13162" xr:uid="{00000000-0005-0000-0000-000055330000}"/>
    <cellStyle name="Dane wyjściowe 2 11 55 3" xfId="13163" xr:uid="{00000000-0005-0000-0000-000056330000}"/>
    <cellStyle name="Dane wyjściowe 2 11 56" xfId="13164" xr:uid="{00000000-0005-0000-0000-000057330000}"/>
    <cellStyle name="Dane wyjściowe 2 11 56 2" xfId="13165" xr:uid="{00000000-0005-0000-0000-000058330000}"/>
    <cellStyle name="Dane wyjściowe 2 11 56 3" xfId="13166" xr:uid="{00000000-0005-0000-0000-000059330000}"/>
    <cellStyle name="Dane wyjściowe 2 11 57" xfId="13167" xr:uid="{00000000-0005-0000-0000-00005A330000}"/>
    <cellStyle name="Dane wyjściowe 2 11 58" xfId="13168" xr:uid="{00000000-0005-0000-0000-00005B330000}"/>
    <cellStyle name="Dane wyjściowe 2 11 6" xfId="13169" xr:uid="{00000000-0005-0000-0000-00005C330000}"/>
    <cellStyle name="Dane wyjściowe 2 11 6 2" xfId="13170" xr:uid="{00000000-0005-0000-0000-00005D330000}"/>
    <cellStyle name="Dane wyjściowe 2 11 6 3" xfId="13171" xr:uid="{00000000-0005-0000-0000-00005E330000}"/>
    <cellStyle name="Dane wyjściowe 2 11 6 4" xfId="13172" xr:uid="{00000000-0005-0000-0000-00005F330000}"/>
    <cellStyle name="Dane wyjściowe 2 11 7" xfId="13173" xr:uid="{00000000-0005-0000-0000-000060330000}"/>
    <cellStyle name="Dane wyjściowe 2 11 7 2" xfId="13174" xr:uid="{00000000-0005-0000-0000-000061330000}"/>
    <cellStyle name="Dane wyjściowe 2 11 7 3" xfId="13175" xr:uid="{00000000-0005-0000-0000-000062330000}"/>
    <cellStyle name="Dane wyjściowe 2 11 7 4" xfId="13176" xr:uid="{00000000-0005-0000-0000-000063330000}"/>
    <cellStyle name="Dane wyjściowe 2 11 8" xfId="13177" xr:uid="{00000000-0005-0000-0000-000064330000}"/>
    <cellStyle name="Dane wyjściowe 2 11 8 2" xfId="13178" xr:uid="{00000000-0005-0000-0000-000065330000}"/>
    <cellStyle name="Dane wyjściowe 2 11 8 3" xfId="13179" xr:uid="{00000000-0005-0000-0000-000066330000}"/>
    <cellStyle name="Dane wyjściowe 2 11 8 4" xfId="13180" xr:uid="{00000000-0005-0000-0000-000067330000}"/>
    <cellStyle name="Dane wyjściowe 2 11 9" xfId="13181" xr:uid="{00000000-0005-0000-0000-000068330000}"/>
    <cellStyle name="Dane wyjściowe 2 11 9 2" xfId="13182" xr:uid="{00000000-0005-0000-0000-000069330000}"/>
    <cellStyle name="Dane wyjściowe 2 11 9 3" xfId="13183" xr:uid="{00000000-0005-0000-0000-00006A330000}"/>
    <cellStyle name="Dane wyjściowe 2 11 9 4" xfId="13184" xr:uid="{00000000-0005-0000-0000-00006B330000}"/>
    <cellStyle name="Dane wyjściowe 2 12" xfId="13185" xr:uid="{00000000-0005-0000-0000-00006C330000}"/>
    <cellStyle name="Dane wyjściowe 2 12 10" xfId="13186" xr:uid="{00000000-0005-0000-0000-00006D330000}"/>
    <cellStyle name="Dane wyjściowe 2 12 10 2" xfId="13187" xr:uid="{00000000-0005-0000-0000-00006E330000}"/>
    <cellStyle name="Dane wyjściowe 2 12 10 3" xfId="13188" xr:uid="{00000000-0005-0000-0000-00006F330000}"/>
    <cellStyle name="Dane wyjściowe 2 12 10 4" xfId="13189" xr:uid="{00000000-0005-0000-0000-000070330000}"/>
    <cellStyle name="Dane wyjściowe 2 12 11" xfId="13190" xr:uid="{00000000-0005-0000-0000-000071330000}"/>
    <cellStyle name="Dane wyjściowe 2 12 11 2" xfId="13191" xr:uid="{00000000-0005-0000-0000-000072330000}"/>
    <cellStyle name="Dane wyjściowe 2 12 11 3" xfId="13192" xr:uid="{00000000-0005-0000-0000-000073330000}"/>
    <cellStyle name="Dane wyjściowe 2 12 11 4" xfId="13193" xr:uid="{00000000-0005-0000-0000-000074330000}"/>
    <cellStyle name="Dane wyjściowe 2 12 12" xfId="13194" xr:uid="{00000000-0005-0000-0000-000075330000}"/>
    <cellStyle name="Dane wyjściowe 2 12 12 2" xfId="13195" xr:uid="{00000000-0005-0000-0000-000076330000}"/>
    <cellStyle name="Dane wyjściowe 2 12 12 3" xfId="13196" xr:uid="{00000000-0005-0000-0000-000077330000}"/>
    <cellStyle name="Dane wyjściowe 2 12 12 4" xfId="13197" xr:uid="{00000000-0005-0000-0000-000078330000}"/>
    <cellStyle name="Dane wyjściowe 2 12 13" xfId="13198" xr:uid="{00000000-0005-0000-0000-000079330000}"/>
    <cellStyle name="Dane wyjściowe 2 12 13 2" xfId="13199" xr:uid="{00000000-0005-0000-0000-00007A330000}"/>
    <cellStyle name="Dane wyjściowe 2 12 13 3" xfId="13200" xr:uid="{00000000-0005-0000-0000-00007B330000}"/>
    <cellStyle name="Dane wyjściowe 2 12 13 4" xfId="13201" xr:uid="{00000000-0005-0000-0000-00007C330000}"/>
    <cellStyle name="Dane wyjściowe 2 12 14" xfId="13202" xr:uid="{00000000-0005-0000-0000-00007D330000}"/>
    <cellStyle name="Dane wyjściowe 2 12 14 2" xfId="13203" xr:uid="{00000000-0005-0000-0000-00007E330000}"/>
    <cellStyle name="Dane wyjściowe 2 12 14 3" xfId="13204" xr:uid="{00000000-0005-0000-0000-00007F330000}"/>
    <cellStyle name="Dane wyjściowe 2 12 14 4" xfId="13205" xr:uid="{00000000-0005-0000-0000-000080330000}"/>
    <cellStyle name="Dane wyjściowe 2 12 15" xfId="13206" xr:uid="{00000000-0005-0000-0000-000081330000}"/>
    <cellStyle name="Dane wyjściowe 2 12 15 2" xfId="13207" xr:uid="{00000000-0005-0000-0000-000082330000}"/>
    <cellStyle name="Dane wyjściowe 2 12 15 3" xfId="13208" xr:uid="{00000000-0005-0000-0000-000083330000}"/>
    <cellStyle name="Dane wyjściowe 2 12 15 4" xfId="13209" xr:uid="{00000000-0005-0000-0000-000084330000}"/>
    <cellStyle name="Dane wyjściowe 2 12 16" xfId="13210" xr:uid="{00000000-0005-0000-0000-000085330000}"/>
    <cellStyle name="Dane wyjściowe 2 12 16 2" xfId="13211" xr:uid="{00000000-0005-0000-0000-000086330000}"/>
    <cellStyle name="Dane wyjściowe 2 12 16 3" xfId="13212" xr:uid="{00000000-0005-0000-0000-000087330000}"/>
    <cellStyle name="Dane wyjściowe 2 12 16 4" xfId="13213" xr:uid="{00000000-0005-0000-0000-000088330000}"/>
    <cellStyle name="Dane wyjściowe 2 12 17" xfId="13214" xr:uid="{00000000-0005-0000-0000-000089330000}"/>
    <cellStyle name="Dane wyjściowe 2 12 17 2" xfId="13215" xr:uid="{00000000-0005-0000-0000-00008A330000}"/>
    <cellStyle name="Dane wyjściowe 2 12 17 3" xfId="13216" xr:uid="{00000000-0005-0000-0000-00008B330000}"/>
    <cellStyle name="Dane wyjściowe 2 12 17 4" xfId="13217" xr:uid="{00000000-0005-0000-0000-00008C330000}"/>
    <cellStyle name="Dane wyjściowe 2 12 18" xfId="13218" xr:uid="{00000000-0005-0000-0000-00008D330000}"/>
    <cellStyle name="Dane wyjściowe 2 12 18 2" xfId="13219" xr:uid="{00000000-0005-0000-0000-00008E330000}"/>
    <cellStyle name="Dane wyjściowe 2 12 18 3" xfId="13220" xr:uid="{00000000-0005-0000-0000-00008F330000}"/>
    <cellStyle name="Dane wyjściowe 2 12 18 4" xfId="13221" xr:uid="{00000000-0005-0000-0000-000090330000}"/>
    <cellStyle name="Dane wyjściowe 2 12 19" xfId="13222" xr:uid="{00000000-0005-0000-0000-000091330000}"/>
    <cellStyle name="Dane wyjściowe 2 12 19 2" xfId="13223" xr:uid="{00000000-0005-0000-0000-000092330000}"/>
    <cellStyle name="Dane wyjściowe 2 12 19 3" xfId="13224" xr:uid="{00000000-0005-0000-0000-000093330000}"/>
    <cellStyle name="Dane wyjściowe 2 12 19 4" xfId="13225" xr:uid="{00000000-0005-0000-0000-000094330000}"/>
    <cellStyle name="Dane wyjściowe 2 12 2" xfId="13226" xr:uid="{00000000-0005-0000-0000-000095330000}"/>
    <cellStyle name="Dane wyjściowe 2 12 2 2" xfId="13227" xr:uid="{00000000-0005-0000-0000-000096330000}"/>
    <cellStyle name="Dane wyjściowe 2 12 2 3" xfId="13228" xr:uid="{00000000-0005-0000-0000-000097330000}"/>
    <cellStyle name="Dane wyjściowe 2 12 2 4" xfId="13229" xr:uid="{00000000-0005-0000-0000-000098330000}"/>
    <cellStyle name="Dane wyjściowe 2 12 20" xfId="13230" xr:uid="{00000000-0005-0000-0000-000099330000}"/>
    <cellStyle name="Dane wyjściowe 2 12 20 2" xfId="13231" xr:uid="{00000000-0005-0000-0000-00009A330000}"/>
    <cellStyle name="Dane wyjściowe 2 12 20 3" xfId="13232" xr:uid="{00000000-0005-0000-0000-00009B330000}"/>
    <cellStyle name="Dane wyjściowe 2 12 20 4" xfId="13233" xr:uid="{00000000-0005-0000-0000-00009C330000}"/>
    <cellStyle name="Dane wyjściowe 2 12 21" xfId="13234" xr:uid="{00000000-0005-0000-0000-00009D330000}"/>
    <cellStyle name="Dane wyjściowe 2 12 21 2" xfId="13235" xr:uid="{00000000-0005-0000-0000-00009E330000}"/>
    <cellStyle name="Dane wyjściowe 2 12 21 3" xfId="13236" xr:uid="{00000000-0005-0000-0000-00009F330000}"/>
    <cellStyle name="Dane wyjściowe 2 12 22" xfId="13237" xr:uid="{00000000-0005-0000-0000-0000A0330000}"/>
    <cellStyle name="Dane wyjściowe 2 12 22 2" xfId="13238" xr:uid="{00000000-0005-0000-0000-0000A1330000}"/>
    <cellStyle name="Dane wyjściowe 2 12 22 3" xfId="13239" xr:uid="{00000000-0005-0000-0000-0000A2330000}"/>
    <cellStyle name="Dane wyjściowe 2 12 23" xfId="13240" xr:uid="{00000000-0005-0000-0000-0000A3330000}"/>
    <cellStyle name="Dane wyjściowe 2 12 23 2" xfId="13241" xr:uid="{00000000-0005-0000-0000-0000A4330000}"/>
    <cellStyle name="Dane wyjściowe 2 12 23 3" xfId="13242" xr:uid="{00000000-0005-0000-0000-0000A5330000}"/>
    <cellStyle name="Dane wyjściowe 2 12 24" xfId="13243" xr:uid="{00000000-0005-0000-0000-0000A6330000}"/>
    <cellStyle name="Dane wyjściowe 2 12 24 2" xfId="13244" xr:uid="{00000000-0005-0000-0000-0000A7330000}"/>
    <cellStyle name="Dane wyjściowe 2 12 24 3" xfId="13245" xr:uid="{00000000-0005-0000-0000-0000A8330000}"/>
    <cellStyle name="Dane wyjściowe 2 12 25" xfId="13246" xr:uid="{00000000-0005-0000-0000-0000A9330000}"/>
    <cellStyle name="Dane wyjściowe 2 12 25 2" xfId="13247" xr:uid="{00000000-0005-0000-0000-0000AA330000}"/>
    <cellStyle name="Dane wyjściowe 2 12 25 3" xfId="13248" xr:uid="{00000000-0005-0000-0000-0000AB330000}"/>
    <cellStyle name="Dane wyjściowe 2 12 26" xfId="13249" xr:uid="{00000000-0005-0000-0000-0000AC330000}"/>
    <cellStyle name="Dane wyjściowe 2 12 26 2" xfId="13250" xr:uid="{00000000-0005-0000-0000-0000AD330000}"/>
    <cellStyle name="Dane wyjściowe 2 12 26 3" xfId="13251" xr:uid="{00000000-0005-0000-0000-0000AE330000}"/>
    <cellStyle name="Dane wyjściowe 2 12 27" xfId="13252" xr:uid="{00000000-0005-0000-0000-0000AF330000}"/>
    <cellStyle name="Dane wyjściowe 2 12 27 2" xfId="13253" xr:uid="{00000000-0005-0000-0000-0000B0330000}"/>
    <cellStyle name="Dane wyjściowe 2 12 27 3" xfId="13254" xr:uid="{00000000-0005-0000-0000-0000B1330000}"/>
    <cellStyle name="Dane wyjściowe 2 12 28" xfId="13255" xr:uid="{00000000-0005-0000-0000-0000B2330000}"/>
    <cellStyle name="Dane wyjściowe 2 12 28 2" xfId="13256" xr:uid="{00000000-0005-0000-0000-0000B3330000}"/>
    <cellStyle name="Dane wyjściowe 2 12 28 3" xfId="13257" xr:uid="{00000000-0005-0000-0000-0000B4330000}"/>
    <cellStyle name="Dane wyjściowe 2 12 29" xfId="13258" xr:uid="{00000000-0005-0000-0000-0000B5330000}"/>
    <cellStyle name="Dane wyjściowe 2 12 29 2" xfId="13259" xr:uid="{00000000-0005-0000-0000-0000B6330000}"/>
    <cellStyle name="Dane wyjściowe 2 12 29 3" xfId="13260" xr:uid="{00000000-0005-0000-0000-0000B7330000}"/>
    <cellStyle name="Dane wyjściowe 2 12 3" xfId="13261" xr:uid="{00000000-0005-0000-0000-0000B8330000}"/>
    <cellStyle name="Dane wyjściowe 2 12 3 2" xfId="13262" xr:uid="{00000000-0005-0000-0000-0000B9330000}"/>
    <cellStyle name="Dane wyjściowe 2 12 3 3" xfId="13263" xr:uid="{00000000-0005-0000-0000-0000BA330000}"/>
    <cellStyle name="Dane wyjściowe 2 12 3 4" xfId="13264" xr:uid="{00000000-0005-0000-0000-0000BB330000}"/>
    <cellStyle name="Dane wyjściowe 2 12 30" xfId="13265" xr:uid="{00000000-0005-0000-0000-0000BC330000}"/>
    <cellStyle name="Dane wyjściowe 2 12 30 2" xfId="13266" xr:uid="{00000000-0005-0000-0000-0000BD330000}"/>
    <cellStyle name="Dane wyjściowe 2 12 30 3" xfId="13267" xr:uid="{00000000-0005-0000-0000-0000BE330000}"/>
    <cellStyle name="Dane wyjściowe 2 12 31" xfId="13268" xr:uid="{00000000-0005-0000-0000-0000BF330000}"/>
    <cellStyle name="Dane wyjściowe 2 12 31 2" xfId="13269" xr:uid="{00000000-0005-0000-0000-0000C0330000}"/>
    <cellStyle name="Dane wyjściowe 2 12 31 3" xfId="13270" xr:uid="{00000000-0005-0000-0000-0000C1330000}"/>
    <cellStyle name="Dane wyjściowe 2 12 32" xfId="13271" xr:uid="{00000000-0005-0000-0000-0000C2330000}"/>
    <cellStyle name="Dane wyjściowe 2 12 32 2" xfId="13272" xr:uid="{00000000-0005-0000-0000-0000C3330000}"/>
    <cellStyle name="Dane wyjściowe 2 12 32 3" xfId="13273" xr:uid="{00000000-0005-0000-0000-0000C4330000}"/>
    <cellStyle name="Dane wyjściowe 2 12 33" xfId="13274" xr:uid="{00000000-0005-0000-0000-0000C5330000}"/>
    <cellStyle name="Dane wyjściowe 2 12 33 2" xfId="13275" xr:uid="{00000000-0005-0000-0000-0000C6330000}"/>
    <cellStyle name="Dane wyjściowe 2 12 33 3" xfId="13276" xr:uid="{00000000-0005-0000-0000-0000C7330000}"/>
    <cellStyle name="Dane wyjściowe 2 12 34" xfId="13277" xr:uid="{00000000-0005-0000-0000-0000C8330000}"/>
    <cellStyle name="Dane wyjściowe 2 12 34 2" xfId="13278" xr:uid="{00000000-0005-0000-0000-0000C9330000}"/>
    <cellStyle name="Dane wyjściowe 2 12 34 3" xfId="13279" xr:uid="{00000000-0005-0000-0000-0000CA330000}"/>
    <cellStyle name="Dane wyjściowe 2 12 35" xfId="13280" xr:uid="{00000000-0005-0000-0000-0000CB330000}"/>
    <cellStyle name="Dane wyjściowe 2 12 35 2" xfId="13281" xr:uid="{00000000-0005-0000-0000-0000CC330000}"/>
    <cellStyle name="Dane wyjściowe 2 12 35 3" xfId="13282" xr:uid="{00000000-0005-0000-0000-0000CD330000}"/>
    <cellStyle name="Dane wyjściowe 2 12 36" xfId="13283" xr:uid="{00000000-0005-0000-0000-0000CE330000}"/>
    <cellStyle name="Dane wyjściowe 2 12 36 2" xfId="13284" xr:uid="{00000000-0005-0000-0000-0000CF330000}"/>
    <cellStyle name="Dane wyjściowe 2 12 36 3" xfId="13285" xr:uid="{00000000-0005-0000-0000-0000D0330000}"/>
    <cellStyle name="Dane wyjściowe 2 12 37" xfId="13286" xr:uid="{00000000-0005-0000-0000-0000D1330000}"/>
    <cellStyle name="Dane wyjściowe 2 12 37 2" xfId="13287" xr:uid="{00000000-0005-0000-0000-0000D2330000}"/>
    <cellStyle name="Dane wyjściowe 2 12 37 3" xfId="13288" xr:uid="{00000000-0005-0000-0000-0000D3330000}"/>
    <cellStyle name="Dane wyjściowe 2 12 38" xfId="13289" xr:uid="{00000000-0005-0000-0000-0000D4330000}"/>
    <cellStyle name="Dane wyjściowe 2 12 38 2" xfId="13290" xr:uid="{00000000-0005-0000-0000-0000D5330000}"/>
    <cellStyle name="Dane wyjściowe 2 12 38 3" xfId="13291" xr:uid="{00000000-0005-0000-0000-0000D6330000}"/>
    <cellStyle name="Dane wyjściowe 2 12 39" xfId="13292" xr:uid="{00000000-0005-0000-0000-0000D7330000}"/>
    <cellStyle name="Dane wyjściowe 2 12 39 2" xfId="13293" xr:uid="{00000000-0005-0000-0000-0000D8330000}"/>
    <cellStyle name="Dane wyjściowe 2 12 39 3" xfId="13294" xr:uid="{00000000-0005-0000-0000-0000D9330000}"/>
    <cellStyle name="Dane wyjściowe 2 12 4" xfId="13295" xr:uid="{00000000-0005-0000-0000-0000DA330000}"/>
    <cellStyle name="Dane wyjściowe 2 12 4 2" xfId="13296" xr:uid="{00000000-0005-0000-0000-0000DB330000}"/>
    <cellStyle name="Dane wyjściowe 2 12 4 3" xfId="13297" xr:uid="{00000000-0005-0000-0000-0000DC330000}"/>
    <cellStyle name="Dane wyjściowe 2 12 4 4" xfId="13298" xr:uid="{00000000-0005-0000-0000-0000DD330000}"/>
    <cellStyle name="Dane wyjściowe 2 12 40" xfId="13299" xr:uid="{00000000-0005-0000-0000-0000DE330000}"/>
    <cellStyle name="Dane wyjściowe 2 12 40 2" xfId="13300" xr:uid="{00000000-0005-0000-0000-0000DF330000}"/>
    <cellStyle name="Dane wyjściowe 2 12 40 3" xfId="13301" xr:uid="{00000000-0005-0000-0000-0000E0330000}"/>
    <cellStyle name="Dane wyjściowe 2 12 41" xfId="13302" xr:uid="{00000000-0005-0000-0000-0000E1330000}"/>
    <cellStyle name="Dane wyjściowe 2 12 41 2" xfId="13303" xr:uid="{00000000-0005-0000-0000-0000E2330000}"/>
    <cellStyle name="Dane wyjściowe 2 12 41 3" xfId="13304" xr:uid="{00000000-0005-0000-0000-0000E3330000}"/>
    <cellStyle name="Dane wyjściowe 2 12 42" xfId="13305" xr:uid="{00000000-0005-0000-0000-0000E4330000}"/>
    <cellStyle name="Dane wyjściowe 2 12 42 2" xfId="13306" xr:uid="{00000000-0005-0000-0000-0000E5330000}"/>
    <cellStyle name="Dane wyjściowe 2 12 42 3" xfId="13307" xr:uid="{00000000-0005-0000-0000-0000E6330000}"/>
    <cellStyle name="Dane wyjściowe 2 12 43" xfId="13308" xr:uid="{00000000-0005-0000-0000-0000E7330000}"/>
    <cellStyle name="Dane wyjściowe 2 12 43 2" xfId="13309" xr:uid="{00000000-0005-0000-0000-0000E8330000}"/>
    <cellStyle name="Dane wyjściowe 2 12 43 3" xfId="13310" xr:uid="{00000000-0005-0000-0000-0000E9330000}"/>
    <cellStyle name="Dane wyjściowe 2 12 44" xfId="13311" xr:uid="{00000000-0005-0000-0000-0000EA330000}"/>
    <cellStyle name="Dane wyjściowe 2 12 44 2" xfId="13312" xr:uid="{00000000-0005-0000-0000-0000EB330000}"/>
    <cellStyle name="Dane wyjściowe 2 12 44 3" xfId="13313" xr:uid="{00000000-0005-0000-0000-0000EC330000}"/>
    <cellStyle name="Dane wyjściowe 2 12 45" xfId="13314" xr:uid="{00000000-0005-0000-0000-0000ED330000}"/>
    <cellStyle name="Dane wyjściowe 2 12 45 2" xfId="13315" xr:uid="{00000000-0005-0000-0000-0000EE330000}"/>
    <cellStyle name="Dane wyjściowe 2 12 45 3" xfId="13316" xr:uid="{00000000-0005-0000-0000-0000EF330000}"/>
    <cellStyle name="Dane wyjściowe 2 12 46" xfId="13317" xr:uid="{00000000-0005-0000-0000-0000F0330000}"/>
    <cellStyle name="Dane wyjściowe 2 12 46 2" xfId="13318" xr:uid="{00000000-0005-0000-0000-0000F1330000}"/>
    <cellStyle name="Dane wyjściowe 2 12 46 3" xfId="13319" xr:uid="{00000000-0005-0000-0000-0000F2330000}"/>
    <cellStyle name="Dane wyjściowe 2 12 47" xfId="13320" xr:uid="{00000000-0005-0000-0000-0000F3330000}"/>
    <cellStyle name="Dane wyjściowe 2 12 47 2" xfId="13321" xr:uid="{00000000-0005-0000-0000-0000F4330000}"/>
    <cellStyle name="Dane wyjściowe 2 12 47 3" xfId="13322" xr:uid="{00000000-0005-0000-0000-0000F5330000}"/>
    <cellStyle name="Dane wyjściowe 2 12 48" xfId="13323" xr:uid="{00000000-0005-0000-0000-0000F6330000}"/>
    <cellStyle name="Dane wyjściowe 2 12 48 2" xfId="13324" xr:uid="{00000000-0005-0000-0000-0000F7330000}"/>
    <cellStyle name="Dane wyjściowe 2 12 48 3" xfId="13325" xr:uid="{00000000-0005-0000-0000-0000F8330000}"/>
    <cellStyle name="Dane wyjściowe 2 12 49" xfId="13326" xr:uid="{00000000-0005-0000-0000-0000F9330000}"/>
    <cellStyle name="Dane wyjściowe 2 12 49 2" xfId="13327" xr:uid="{00000000-0005-0000-0000-0000FA330000}"/>
    <cellStyle name="Dane wyjściowe 2 12 49 3" xfId="13328" xr:uid="{00000000-0005-0000-0000-0000FB330000}"/>
    <cellStyle name="Dane wyjściowe 2 12 5" xfId="13329" xr:uid="{00000000-0005-0000-0000-0000FC330000}"/>
    <cellStyle name="Dane wyjściowe 2 12 5 2" xfId="13330" xr:uid="{00000000-0005-0000-0000-0000FD330000}"/>
    <cellStyle name="Dane wyjściowe 2 12 5 3" xfId="13331" xr:uid="{00000000-0005-0000-0000-0000FE330000}"/>
    <cellStyle name="Dane wyjściowe 2 12 5 4" xfId="13332" xr:uid="{00000000-0005-0000-0000-0000FF330000}"/>
    <cellStyle name="Dane wyjściowe 2 12 50" xfId="13333" xr:uid="{00000000-0005-0000-0000-000000340000}"/>
    <cellStyle name="Dane wyjściowe 2 12 50 2" xfId="13334" xr:uid="{00000000-0005-0000-0000-000001340000}"/>
    <cellStyle name="Dane wyjściowe 2 12 50 3" xfId="13335" xr:uid="{00000000-0005-0000-0000-000002340000}"/>
    <cellStyle name="Dane wyjściowe 2 12 51" xfId="13336" xr:uid="{00000000-0005-0000-0000-000003340000}"/>
    <cellStyle name="Dane wyjściowe 2 12 51 2" xfId="13337" xr:uid="{00000000-0005-0000-0000-000004340000}"/>
    <cellStyle name="Dane wyjściowe 2 12 51 3" xfId="13338" xr:uid="{00000000-0005-0000-0000-000005340000}"/>
    <cellStyle name="Dane wyjściowe 2 12 52" xfId="13339" xr:uid="{00000000-0005-0000-0000-000006340000}"/>
    <cellStyle name="Dane wyjściowe 2 12 52 2" xfId="13340" xr:uid="{00000000-0005-0000-0000-000007340000}"/>
    <cellStyle name="Dane wyjściowe 2 12 52 3" xfId="13341" xr:uid="{00000000-0005-0000-0000-000008340000}"/>
    <cellStyle name="Dane wyjściowe 2 12 53" xfId="13342" xr:uid="{00000000-0005-0000-0000-000009340000}"/>
    <cellStyle name="Dane wyjściowe 2 12 53 2" xfId="13343" xr:uid="{00000000-0005-0000-0000-00000A340000}"/>
    <cellStyle name="Dane wyjściowe 2 12 53 3" xfId="13344" xr:uid="{00000000-0005-0000-0000-00000B340000}"/>
    <cellStyle name="Dane wyjściowe 2 12 54" xfId="13345" xr:uid="{00000000-0005-0000-0000-00000C340000}"/>
    <cellStyle name="Dane wyjściowe 2 12 54 2" xfId="13346" xr:uid="{00000000-0005-0000-0000-00000D340000}"/>
    <cellStyle name="Dane wyjściowe 2 12 54 3" xfId="13347" xr:uid="{00000000-0005-0000-0000-00000E340000}"/>
    <cellStyle name="Dane wyjściowe 2 12 55" xfId="13348" xr:uid="{00000000-0005-0000-0000-00000F340000}"/>
    <cellStyle name="Dane wyjściowe 2 12 55 2" xfId="13349" xr:uid="{00000000-0005-0000-0000-000010340000}"/>
    <cellStyle name="Dane wyjściowe 2 12 55 3" xfId="13350" xr:uid="{00000000-0005-0000-0000-000011340000}"/>
    <cellStyle name="Dane wyjściowe 2 12 56" xfId="13351" xr:uid="{00000000-0005-0000-0000-000012340000}"/>
    <cellStyle name="Dane wyjściowe 2 12 56 2" xfId="13352" xr:uid="{00000000-0005-0000-0000-000013340000}"/>
    <cellStyle name="Dane wyjściowe 2 12 56 3" xfId="13353" xr:uid="{00000000-0005-0000-0000-000014340000}"/>
    <cellStyle name="Dane wyjściowe 2 12 57" xfId="13354" xr:uid="{00000000-0005-0000-0000-000015340000}"/>
    <cellStyle name="Dane wyjściowe 2 12 58" xfId="13355" xr:uid="{00000000-0005-0000-0000-000016340000}"/>
    <cellStyle name="Dane wyjściowe 2 12 6" xfId="13356" xr:uid="{00000000-0005-0000-0000-000017340000}"/>
    <cellStyle name="Dane wyjściowe 2 12 6 2" xfId="13357" xr:uid="{00000000-0005-0000-0000-000018340000}"/>
    <cellStyle name="Dane wyjściowe 2 12 6 3" xfId="13358" xr:uid="{00000000-0005-0000-0000-000019340000}"/>
    <cellStyle name="Dane wyjściowe 2 12 6 4" xfId="13359" xr:uid="{00000000-0005-0000-0000-00001A340000}"/>
    <cellStyle name="Dane wyjściowe 2 12 7" xfId="13360" xr:uid="{00000000-0005-0000-0000-00001B340000}"/>
    <cellStyle name="Dane wyjściowe 2 12 7 2" xfId="13361" xr:uid="{00000000-0005-0000-0000-00001C340000}"/>
    <cellStyle name="Dane wyjściowe 2 12 7 3" xfId="13362" xr:uid="{00000000-0005-0000-0000-00001D340000}"/>
    <cellStyle name="Dane wyjściowe 2 12 7 4" xfId="13363" xr:uid="{00000000-0005-0000-0000-00001E340000}"/>
    <cellStyle name="Dane wyjściowe 2 12 8" xfId="13364" xr:uid="{00000000-0005-0000-0000-00001F340000}"/>
    <cellStyle name="Dane wyjściowe 2 12 8 2" xfId="13365" xr:uid="{00000000-0005-0000-0000-000020340000}"/>
    <cellStyle name="Dane wyjściowe 2 12 8 3" xfId="13366" xr:uid="{00000000-0005-0000-0000-000021340000}"/>
    <cellStyle name="Dane wyjściowe 2 12 8 4" xfId="13367" xr:uid="{00000000-0005-0000-0000-000022340000}"/>
    <cellStyle name="Dane wyjściowe 2 12 9" xfId="13368" xr:uid="{00000000-0005-0000-0000-000023340000}"/>
    <cellStyle name="Dane wyjściowe 2 12 9 2" xfId="13369" xr:uid="{00000000-0005-0000-0000-000024340000}"/>
    <cellStyle name="Dane wyjściowe 2 12 9 3" xfId="13370" xr:uid="{00000000-0005-0000-0000-000025340000}"/>
    <cellStyle name="Dane wyjściowe 2 12 9 4" xfId="13371" xr:uid="{00000000-0005-0000-0000-000026340000}"/>
    <cellStyle name="Dane wyjściowe 2 13" xfId="13372" xr:uid="{00000000-0005-0000-0000-000027340000}"/>
    <cellStyle name="Dane wyjściowe 2 13 10" xfId="13373" xr:uid="{00000000-0005-0000-0000-000028340000}"/>
    <cellStyle name="Dane wyjściowe 2 13 10 2" xfId="13374" xr:uid="{00000000-0005-0000-0000-000029340000}"/>
    <cellStyle name="Dane wyjściowe 2 13 10 3" xfId="13375" xr:uid="{00000000-0005-0000-0000-00002A340000}"/>
    <cellStyle name="Dane wyjściowe 2 13 10 4" xfId="13376" xr:uid="{00000000-0005-0000-0000-00002B340000}"/>
    <cellStyle name="Dane wyjściowe 2 13 11" xfId="13377" xr:uid="{00000000-0005-0000-0000-00002C340000}"/>
    <cellStyle name="Dane wyjściowe 2 13 11 2" xfId="13378" xr:uid="{00000000-0005-0000-0000-00002D340000}"/>
    <cellStyle name="Dane wyjściowe 2 13 11 3" xfId="13379" xr:uid="{00000000-0005-0000-0000-00002E340000}"/>
    <cellStyle name="Dane wyjściowe 2 13 11 4" xfId="13380" xr:uid="{00000000-0005-0000-0000-00002F340000}"/>
    <cellStyle name="Dane wyjściowe 2 13 12" xfId="13381" xr:uid="{00000000-0005-0000-0000-000030340000}"/>
    <cellStyle name="Dane wyjściowe 2 13 12 2" xfId="13382" xr:uid="{00000000-0005-0000-0000-000031340000}"/>
    <cellStyle name="Dane wyjściowe 2 13 12 3" xfId="13383" xr:uid="{00000000-0005-0000-0000-000032340000}"/>
    <cellStyle name="Dane wyjściowe 2 13 12 4" xfId="13384" xr:uid="{00000000-0005-0000-0000-000033340000}"/>
    <cellStyle name="Dane wyjściowe 2 13 13" xfId="13385" xr:uid="{00000000-0005-0000-0000-000034340000}"/>
    <cellStyle name="Dane wyjściowe 2 13 13 2" xfId="13386" xr:uid="{00000000-0005-0000-0000-000035340000}"/>
    <cellStyle name="Dane wyjściowe 2 13 13 3" xfId="13387" xr:uid="{00000000-0005-0000-0000-000036340000}"/>
    <cellStyle name="Dane wyjściowe 2 13 13 4" xfId="13388" xr:uid="{00000000-0005-0000-0000-000037340000}"/>
    <cellStyle name="Dane wyjściowe 2 13 14" xfId="13389" xr:uid="{00000000-0005-0000-0000-000038340000}"/>
    <cellStyle name="Dane wyjściowe 2 13 14 2" xfId="13390" xr:uid="{00000000-0005-0000-0000-000039340000}"/>
    <cellStyle name="Dane wyjściowe 2 13 14 3" xfId="13391" xr:uid="{00000000-0005-0000-0000-00003A340000}"/>
    <cellStyle name="Dane wyjściowe 2 13 14 4" xfId="13392" xr:uid="{00000000-0005-0000-0000-00003B340000}"/>
    <cellStyle name="Dane wyjściowe 2 13 15" xfId="13393" xr:uid="{00000000-0005-0000-0000-00003C340000}"/>
    <cellStyle name="Dane wyjściowe 2 13 15 2" xfId="13394" xr:uid="{00000000-0005-0000-0000-00003D340000}"/>
    <cellStyle name="Dane wyjściowe 2 13 15 3" xfId="13395" xr:uid="{00000000-0005-0000-0000-00003E340000}"/>
    <cellStyle name="Dane wyjściowe 2 13 15 4" xfId="13396" xr:uid="{00000000-0005-0000-0000-00003F340000}"/>
    <cellStyle name="Dane wyjściowe 2 13 16" xfId="13397" xr:uid="{00000000-0005-0000-0000-000040340000}"/>
    <cellStyle name="Dane wyjściowe 2 13 16 2" xfId="13398" xr:uid="{00000000-0005-0000-0000-000041340000}"/>
    <cellStyle name="Dane wyjściowe 2 13 16 3" xfId="13399" xr:uid="{00000000-0005-0000-0000-000042340000}"/>
    <cellStyle name="Dane wyjściowe 2 13 16 4" xfId="13400" xr:uid="{00000000-0005-0000-0000-000043340000}"/>
    <cellStyle name="Dane wyjściowe 2 13 17" xfId="13401" xr:uid="{00000000-0005-0000-0000-000044340000}"/>
    <cellStyle name="Dane wyjściowe 2 13 17 2" xfId="13402" xr:uid="{00000000-0005-0000-0000-000045340000}"/>
    <cellStyle name="Dane wyjściowe 2 13 17 3" xfId="13403" xr:uid="{00000000-0005-0000-0000-000046340000}"/>
    <cellStyle name="Dane wyjściowe 2 13 17 4" xfId="13404" xr:uid="{00000000-0005-0000-0000-000047340000}"/>
    <cellStyle name="Dane wyjściowe 2 13 18" xfId="13405" xr:uid="{00000000-0005-0000-0000-000048340000}"/>
    <cellStyle name="Dane wyjściowe 2 13 18 2" xfId="13406" xr:uid="{00000000-0005-0000-0000-000049340000}"/>
    <cellStyle name="Dane wyjściowe 2 13 18 3" xfId="13407" xr:uid="{00000000-0005-0000-0000-00004A340000}"/>
    <cellStyle name="Dane wyjściowe 2 13 18 4" xfId="13408" xr:uid="{00000000-0005-0000-0000-00004B340000}"/>
    <cellStyle name="Dane wyjściowe 2 13 19" xfId="13409" xr:uid="{00000000-0005-0000-0000-00004C340000}"/>
    <cellStyle name="Dane wyjściowe 2 13 19 2" xfId="13410" xr:uid="{00000000-0005-0000-0000-00004D340000}"/>
    <cellStyle name="Dane wyjściowe 2 13 19 3" xfId="13411" xr:uid="{00000000-0005-0000-0000-00004E340000}"/>
    <cellStyle name="Dane wyjściowe 2 13 19 4" xfId="13412" xr:uid="{00000000-0005-0000-0000-00004F340000}"/>
    <cellStyle name="Dane wyjściowe 2 13 2" xfId="13413" xr:uid="{00000000-0005-0000-0000-000050340000}"/>
    <cellStyle name="Dane wyjściowe 2 13 2 2" xfId="13414" xr:uid="{00000000-0005-0000-0000-000051340000}"/>
    <cellStyle name="Dane wyjściowe 2 13 2 3" xfId="13415" xr:uid="{00000000-0005-0000-0000-000052340000}"/>
    <cellStyle name="Dane wyjściowe 2 13 2 4" xfId="13416" xr:uid="{00000000-0005-0000-0000-000053340000}"/>
    <cellStyle name="Dane wyjściowe 2 13 20" xfId="13417" xr:uid="{00000000-0005-0000-0000-000054340000}"/>
    <cellStyle name="Dane wyjściowe 2 13 20 2" xfId="13418" xr:uid="{00000000-0005-0000-0000-000055340000}"/>
    <cellStyle name="Dane wyjściowe 2 13 20 3" xfId="13419" xr:uid="{00000000-0005-0000-0000-000056340000}"/>
    <cellStyle name="Dane wyjściowe 2 13 20 4" xfId="13420" xr:uid="{00000000-0005-0000-0000-000057340000}"/>
    <cellStyle name="Dane wyjściowe 2 13 21" xfId="13421" xr:uid="{00000000-0005-0000-0000-000058340000}"/>
    <cellStyle name="Dane wyjściowe 2 13 21 2" xfId="13422" xr:uid="{00000000-0005-0000-0000-000059340000}"/>
    <cellStyle name="Dane wyjściowe 2 13 21 3" xfId="13423" xr:uid="{00000000-0005-0000-0000-00005A340000}"/>
    <cellStyle name="Dane wyjściowe 2 13 22" xfId="13424" xr:uid="{00000000-0005-0000-0000-00005B340000}"/>
    <cellStyle name="Dane wyjściowe 2 13 22 2" xfId="13425" xr:uid="{00000000-0005-0000-0000-00005C340000}"/>
    <cellStyle name="Dane wyjściowe 2 13 22 3" xfId="13426" xr:uid="{00000000-0005-0000-0000-00005D340000}"/>
    <cellStyle name="Dane wyjściowe 2 13 23" xfId="13427" xr:uid="{00000000-0005-0000-0000-00005E340000}"/>
    <cellStyle name="Dane wyjściowe 2 13 23 2" xfId="13428" xr:uid="{00000000-0005-0000-0000-00005F340000}"/>
    <cellStyle name="Dane wyjściowe 2 13 23 3" xfId="13429" xr:uid="{00000000-0005-0000-0000-000060340000}"/>
    <cellStyle name="Dane wyjściowe 2 13 24" xfId="13430" xr:uid="{00000000-0005-0000-0000-000061340000}"/>
    <cellStyle name="Dane wyjściowe 2 13 24 2" xfId="13431" xr:uid="{00000000-0005-0000-0000-000062340000}"/>
    <cellStyle name="Dane wyjściowe 2 13 24 3" xfId="13432" xr:uid="{00000000-0005-0000-0000-000063340000}"/>
    <cellStyle name="Dane wyjściowe 2 13 25" xfId="13433" xr:uid="{00000000-0005-0000-0000-000064340000}"/>
    <cellStyle name="Dane wyjściowe 2 13 25 2" xfId="13434" xr:uid="{00000000-0005-0000-0000-000065340000}"/>
    <cellStyle name="Dane wyjściowe 2 13 25 3" xfId="13435" xr:uid="{00000000-0005-0000-0000-000066340000}"/>
    <cellStyle name="Dane wyjściowe 2 13 26" xfId="13436" xr:uid="{00000000-0005-0000-0000-000067340000}"/>
    <cellStyle name="Dane wyjściowe 2 13 26 2" xfId="13437" xr:uid="{00000000-0005-0000-0000-000068340000}"/>
    <cellStyle name="Dane wyjściowe 2 13 26 3" xfId="13438" xr:uid="{00000000-0005-0000-0000-000069340000}"/>
    <cellStyle name="Dane wyjściowe 2 13 27" xfId="13439" xr:uid="{00000000-0005-0000-0000-00006A340000}"/>
    <cellStyle name="Dane wyjściowe 2 13 27 2" xfId="13440" xr:uid="{00000000-0005-0000-0000-00006B340000}"/>
    <cellStyle name="Dane wyjściowe 2 13 27 3" xfId="13441" xr:uid="{00000000-0005-0000-0000-00006C340000}"/>
    <cellStyle name="Dane wyjściowe 2 13 28" xfId="13442" xr:uid="{00000000-0005-0000-0000-00006D340000}"/>
    <cellStyle name="Dane wyjściowe 2 13 28 2" xfId="13443" xr:uid="{00000000-0005-0000-0000-00006E340000}"/>
    <cellStyle name="Dane wyjściowe 2 13 28 3" xfId="13444" xr:uid="{00000000-0005-0000-0000-00006F340000}"/>
    <cellStyle name="Dane wyjściowe 2 13 29" xfId="13445" xr:uid="{00000000-0005-0000-0000-000070340000}"/>
    <cellStyle name="Dane wyjściowe 2 13 29 2" xfId="13446" xr:uid="{00000000-0005-0000-0000-000071340000}"/>
    <cellStyle name="Dane wyjściowe 2 13 29 3" xfId="13447" xr:uid="{00000000-0005-0000-0000-000072340000}"/>
    <cellStyle name="Dane wyjściowe 2 13 3" xfId="13448" xr:uid="{00000000-0005-0000-0000-000073340000}"/>
    <cellStyle name="Dane wyjściowe 2 13 3 2" xfId="13449" xr:uid="{00000000-0005-0000-0000-000074340000}"/>
    <cellStyle name="Dane wyjściowe 2 13 3 3" xfId="13450" xr:uid="{00000000-0005-0000-0000-000075340000}"/>
    <cellStyle name="Dane wyjściowe 2 13 3 4" xfId="13451" xr:uid="{00000000-0005-0000-0000-000076340000}"/>
    <cellStyle name="Dane wyjściowe 2 13 30" xfId="13452" xr:uid="{00000000-0005-0000-0000-000077340000}"/>
    <cellStyle name="Dane wyjściowe 2 13 30 2" xfId="13453" xr:uid="{00000000-0005-0000-0000-000078340000}"/>
    <cellStyle name="Dane wyjściowe 2 13 30 3" xfId="13454" xr:uid="{00000000-0005-0000-0000-000079340000}"/>
    <cellStyle name="Dane wyjściowe 2 13 31" xfId="13455" xr:uid="{00000000-0005-0000-0000-00007A340000}"/>
    <cellStyle name="Dane wyjściowe 2 13 31 2" xfId="13456" xr:uid="{00000000-0005-0000-0000-00007B340000}"/>
    <cellStyle name="Dane wyjściowe 2 13 31 3" xfId="13457" xr:uid="{00000000-0005-0000-0000-00007C340000}"/>
    <cellStyle name="Dane wyjściowe 2 13 32" xfId="13458" xr:uid="{00000000-0005-0000-0000-00007D340000}"/>
    <cellStyle name="Dane wyjściowe 2 13 32 2" xfId="13459" xr:uid="{00000000-0005-0000-0000-00007E340000}"/>
    <cellStyle name="Dane wyjściowe 2 13 32 3" xfId="13460" xr:uid="{00000000-0005-0000-0000-00007F340000}"/>
    <cellStyle name="Dane wyjściowe 2 13 33" xfId="13461" xr:uid="{00000000-0005-0000-0000-000080340000}"/>
    <cellStyle name="Dane wyjściowe 2 13 33 2" xfId="13462" xr:uid="{00000000-0005-0000-0000-000081340000}"/>
    <cellStyle name="Dane wyjściowe 2 13 33 3" xfId="13463" xr:uid="{00000000-0005-0000-0000-000082340000}"/>
    <cellStyle name="Dane wyjściowe 2 13 34" xfId="13464" xr:uid="{00000000-0005-0000-0000-000083340000}"/>
    <cellStyle name="Dane wyjściowe 2 13 34 2" xfId="13465" xr:uid="{00000000-0005-0000-0000-000084340000}"/>
    <cellStyle name="Dane wyjściowe 2 13 34 3" xfId="13466" xr:uid="{00000000-0005-0000-0000-000085340000}"/>
    <cellStyle name="Dane wyjściowe 2 13 35" xfId="13467" xr:uid="{00000000-0005-0000-0000-000086340000}"/>
    <cellStyle name="Dane wyjściowe 2 13 35 2" xfId="13468" xr:uid="{00000000-0005-0000-0000-000087340000}"/>
    <cellStyle name="Dane wyjściowe 2 13 35 3" xfId="13469" xr:uid="{00000000-0005-0000-0000-000088340000}"/>
    <cellStyle name="Dane wyjściowe 2 13 36" xfId="13470" xr:uid="{00000000-0005-0000-0000-000089340000}"/>
    <cellStyle name="Dane wyjściowe 2 13 36 2" xfId="13471" xr:uid="{00000000-0005-0000-0000-00008A340000}"/>
    <cellStyle name="Dane wyjściowe 2 13 36 3" xfId="13472" xr:uid="{00000000-0005-0000-0000-00008B340000}"/>
    <cellStyle name="Dane wyjściowe 2 13 37" xfId="13473" xr:uid="{00000000-0005-0000-0000-00008C340000}"/>
    <cellStyle name="Dane wyjściowe 2 13 37 2" xfId="13474" xr:uid="{00000000-0005-0000-0000-00008D340000}"/>
    <cellStyle name="Dane wyjściowe 2 13 37 3" xfId="13475" xr:uid="{00000000-0005-0000-0000-00008E340000}"/>
    <cellStyle name="Dane wyjściowe 2 13 38" xfId="13476" xr:uid="{00000000-0005-0000-0000-00008F340000}"/>
    <cellStyle name="Dane wyjściowe 2 13 38 2" xfId="13477" xr:uid="{00000000-0005-0000-0000-000090340000}"/>
    <cellStyle name="Dane wyjściowe 2 13 38 3" xfId="13478" xr:uid="{00000000-0005-0000-0000-000091340000}"/>
    <cellStyle name="Dane wyjściowe 2 13 39" xfId="13479" xr:uid="{00000000-0005-0000-0000-000092340000}"/>
    <cellStyle name="Dane wyjściowe 2 13 39 2" xfId="13480" xr:uid="{00000000-0005-0000-0000-000093340000}"/>
    <cellStyle name="Dane wyjściowe 2 13 39 3" xfId="13481" xr:uid="{00000000-0005-0000-0000-000094340000}"/>
    <cellStyle name="Dane wyjściowe 2 13 4" xfId="13482" xr:uid="{00000000-0005-0000-0000-000095340000}"/>
    <cellStyle name="Dane wyjściowe 2 13 4 2" xfId="13483" xr:uid="{00000000-0005-0000-0000-000096340000}"/>
    <cellStyle name="Dane wyjściowe 2 13 4 3" xfId="13484" xr:uid="{00000000-0005-0000-0000-000097340000}"/>
    <cellStyle name="Dane wyjściowe 2 13 4 4" xfId="13485" xr:uid="{00000000-0005-0000-0000-000098340000}"/>
    <cellStyle name="Dane wyjściowe 2 13 40" xfId="13486" xr:uid="{00000000-0005-0000-0000-000099340000}"/>
    <cellStyle name="Dane wyjściowe 2 13 40 2" xfId="13487" xr:uid="{00000000-0005-0000-0000-00009A340000}"/>
    <cellStyle name="Dane wyjściowe 2 13 40 3" xfId="13488" xr:uid="{00000000-0005-0000-0000-00009B340000}"/>
    <cellStyle name="Dane wyjściowe 2 13 41" xfId="13489" xr:uid="{00000000-0005-0000-0000-00009C340000}"/>
    <cellStyle name="Dane wyjściowe 2 13 41 2" xfId="13490" xr:uid="{00000000-0005-0000-0000-00009D340000}"/>
    <cellStyle name="Dane wyjściowe 2 13 41 3" xfId="13491" xr:uid="{00000000-0005-0000-0000-00009E340000}"/>
    <cellStyle name="Dane wyjściowe 2 13 42" xfId="13492" xr:uid="{00000000-0005-0000-0000-00009F340000}"/>
    <cellStyle name="Dane wyjściowe 2 13 42 2" xfId="13493" xr:uid="{00000000-0005-0000-0000-0000A0340000}"/>
    <cellStyle name="Dane wyjściowe 2 13 42 3" xfId="13494" xr:uid="{00000000-0005-0000-0000-0000A1340000}"/>
    <cellStyle name="Dane wyjściowe 2 13 43" xfId="13495" xr:uid="{00000000-0005-0000-0000-0000A2340000}"/>
    <cellStyle name="Dane wyjściowe 2 13 43 2" xfId="13496" xr:uid="{00000000-0005-0000-0000-0000A3340000}"/>
    <cellStyle name="Dane wyjściowe 2 13 43 3" xfId="13497" xr:uid="{00000000-0005-0000-0000-0000A4340000}"/>
    <cellStyle name="Dane wyjściowe 2 13 44" xfId="13498" xr:uid="{00000000-0005-0000-0000-0000A5340000}"/>
    <cellStyle name="Dane wyjściowe 2 13 44 2" xfId="13499" xr:uid="{00000000-0005-0000-0000-0000A6340000}"/>
    <cellStyle name="Dane wyjściowe 2 13 44 3" xfId="13500" xr:uid="{00000000-0005-0000-0000-0000A7340000}"/>
    <cellStyle name="Dane wyjściowe 2 13 45" xfId="13501" xr:uid="{00000000-0005-0000-0000-0000A8340000}"/>
    <cellStyle name="Dane wyjściowe 2 13 45 2" xfId="13502" xr:uid="{00000000-0005-0000-0000-0000A9340000}"/>
    <cellStyle name="Dane wyjściowe 2 13 45 3" xfId="13503" xr:uid="{00000000-0005-0000-0000-0000AA340000}"/>
    <cellStyle name="Dane wyjściowe 2 13 46" xfId="13504" xr:uid="{00000000-0005-0000-0000-0000AB340000}"/>
    <cellStyle name="Dane wyjściowe 2 13 46 2" xfId="13505" xr:uid="{00000000-0005-0000-0000-0000AC340000}"/>
    <cellStyle name="Dane wyjściowe 2 13 46 3" xfId="13506" xr:uid="{00000000-0005-0000-0000-0000AD340000}"/>
    <cellStyle name="Dane wyjściowe 2 13 47" xfId="13507" xr:uid="{00000000-0005-0000-0000-0000AE340000}"/>
    <cellStyle name="Dane wyjściowe 2 13 47 2" xfId="13508" xr:uid="{00000000-0005-0000-0000-0000AF340000}"/>
    <cellStyle name="Dane wyjściowe 2 13 47 3" xfId="13509" xr:uid="{00000000-0005-0000-0000-0000B0340000}"/>
    <cellStyle name="Dane wyjściowe 2 13 48" xfId="13510" xr:uid="{00000000-0005-0000-0000-0000B1340000}"/>
    <cellStyle name="Dane wyjściowe 2 13 48 2" xfId="13511" xr:uid="{00000000-0005-0000-0000-0000B2340000}"/>
    <cellStyle name="Dane wyjściowe 2 13 48 3" xfId="13512" xr:uid="{00000000-0005-0000-0000-0000B3340000}"/>
    <cellStyle name="Dane wyjściowe 2 13 49" xfId="13513" xr:uid="{00000000-0005-0000-0000-0000B4340000}"/>
    <cellStyle name="Dane wyjściowe 2 13 49 2" xfId="13514" xr:uid="{00000000-0005-0000-0000-0000B5340000}"/>
    <cellStyle name="Dane wyjściowe 2 13 49 3" xfId="13515" xr:uid="{00000000-0005-0000-0000-0000B6340000}"/>
    <cellStyle name="Dane wyjściowe 2 13 5" xfId="13516" xr:uid="{00000000-0005-0000-0000-0000B7340000}"/>
    <cellStyle name="Dane wyjściowe 2 13 5 2" xfId="13517" xr:uid="{00000000-0005-0000-0000-0000B8340000}"/>
    <cellStyle name="Dane wyjściowe 2 13 5 3" xfId="13518" xr:uid="{00000000-0005-0000-0000-0000B9340000}"/>
    <cellStyle name="Dane wyjściowe 2 13 5 4" xfId="13519" xr:uid="{00000000-0005-0000-0000-0000BA340000}"/>
    <cellStyle name="Dane wyjściowe 2 13 50" xfId="13520" xr:uid="{00000000-0005-0000-0000-0000BB340000}"/>
    <cellStyle name="Dane wyjściowe 2 13 50 2" xfId="13521" xr:uid="{00000000-0005-0000-0000-0000BC340000}"/>
    <cellStyle name="Dane wyjściowe 2 13 50 3" xfId="13522" xr:uid="{00000000-0005-0000-0000-0000BD340000}"/>
    <cellStyle name="Dane wyjściowe 2 13 51" xfId="13523" xr:uid="{00000000-0005-0000-0000-0000BE340000}"/>
    <cellStyle name="Dane wyjściowe 2 13 51 2" xfId="13524" xr:uid="{00000000-0005-0000-0000-0000BF340000}"/>
    <cellStyle name="Dane wyjściowe 2 13 51 3" xfId="13525" xr:uid="{00000000-0005-0000-0000-0000C0340000}"/>
    <cellStyle name="Dane wyjściowe 2 13 52" xfId="13526" xr:uid="{00000000-0005-0000-0000-0000C1340000}"/>
    <cellStyle name="Dane wyjściowe 2 13 52 2" xfId="13527" xr:uid="{00000000-0005-0000-0000-0000C2340000}"/>
    <cellStyle name="Dane wyjściowe 2 13 52 3" xfId="13528" xr:uid="{00000000-0005-0000-0000-0000C3340000}"/>
    <cellStyle name="Dane wyjściowe 2 13 53" xfId="13529" xr:uid="{00000000-0005-0000-0000-0000C4340000}"/>
    <cellStyle name="Dane wyjściowe 2 13 53 2" xfId="13530" xr:uid="{00000000-0005-0000-0000-0000C5340000}"/>
    <cellStyle name="Dane wyjściowe 2 13 53 3" xfId="13531" xr:uid="{00000000-0005-0000-0000-0000C6340000}"/>
    <cellStyle name="Dane wyjściowe 2 13 54" xfId="13532" xr:uid="{00000000-0005-0000-0000-0000C7340000}"/>
    <cellStyle name="Dane wyjściowe 2 13 54 2" xfId="13533" xr:uid="{00000000-0005-0000-0000-0000C8340000}"/>
    <cellStyle name="Dane wyjściowe 2 13 54 3" xfId="13534" xr:uid="{00000000-0005-0000-0000-0000C9340000}"/>
    <cellStyle name="Dane wyjściowe 2 13 55" xfId="13535" xr:uid="{00000000-0005-0000-0000-0000CA340000}"/>
    <cellStyle name="Dane wyjściowe 2 13 55 2" xfId="13536" xr:uid="{00000000-0005-0000-0000-0000CB340000}"/>
    <cellStyle name="Dane wyjściowe 2 13 55 3" xfId="13537" xr:uid="{00000000-0005-0000-0000-0000CC340000}"/>
    <cellStyle name="Dane wyjściowe 2 13 56" xfId="13538" xr:uid="{00000000-0005-0000-0000-0000CD340000}"/>
    <cellStyle name="Dane wyjściowe 2 13 56 2" xfId="13539" xr:uid="{00000000-0005-0000-0000-0000CE340000}"/>
    <cellStyle name="Dane wyjściowe 2 13 56 3" xfId="13540" xr:uid="{00000000-0005-0000-0000-0000CF340000}"/>
    <cellStyle name="Dane wyjściowe 2 13 57" xfId="13541" xr:uid="{00000000-0005-0000-0000-0000D0340000}"/>
    <cellStyle name="Dane wyjściowe 2 13 58" xfId="13542" xr:uid="{00000000-0005-0000-0000-0000D1340000}"/>
    <cellStyle name="Dane wyjściowe 2 13 6" xfId="13543" xr:uid="{00000000-0005-0000-0000-0000D2340000}"/>
    <cellStyle name="Dane wyjściowe 2 13 6 2" xfId="13544" xr:uid="{00000000-0005-0000-0000-0000D3340000}"/>
    <cellStyle name="Dane wyjściowe 2 13 6 3" xfId="13545" xr:uid="{00000000-0005-0000-0000-0000D4340000}"/>
    <cellStyle name="Dane wyjściowe 2 13 6 4" xfId="13546" xr:uid="{00000000-0005-0000-0000-0000D5340000}"/>
    <cellStyle name="Dane wyjściowe 2 13 7" xfId="13547" xr:uid="{00000000-0005-0000-0000-0000D6340000}"/>
    <cellStyle name="Dane wyjściowe 2 13 7 2" xfId="13548" xr:uid="{00000000-0005-0000-0000-0000D7340000}"/>
    <cellStyle name="Dane wyjściowe 2 13 7 3" xfId="13549" xr:uid="{00000000-0005-0000-0000-0000D8340000}"/>
    <cellStyle name="Dane wyjściowe 2 13 7 4" xfId="13550" xr:uid="{00000000-0005-0000-0000-0000D9340000}"/>
    <cellStyle name="Dane wyjściowe 2 13 8" xfId="13551" xr:uid="{00000000-0005-0000-0000-0000DA340000}"/>
    <cellStyle name="Dane wyjściowe 2 13 8 2" xfId="13552" xr:uid="{00000000-0005-0000-0000-0000DB340000}"/>
    <cellStyle name="Dane wyjściowe 2 13 8 3" xfId="13553" xr:uid="{00000000-0005-0000-0000-0000DC340000}"/>
    <cellStyle name="Dane wyjściowe 2 13 8 4" xfId="13554" xr:uid="{00000000-0005-0000-0000-0000DD340000}"/>
    <cellStyle name="Dane wyjściowe 2 13 9" xfId="13555" xr:uid="{00000000-0005-0000-0000-0000DE340000}"/>
    <cellStyle name="Dane wyjściowe 2 13 9 2" xfId="13556" xr:uid="{00000000-0005-0000-0000-0000DF340000}"/>
    <cellStyle name="Dane wyjściowe 2 13 9 3" xfId="13557" xr:uid="{00000000-0005-0000-0000-0000E0340000}"/>
    <cellStyle name="Dane wyjściowe 2 13 9 4" xfId="13558" xr:uid="{00000000-0005-0000-0000-0000E1340000}"/>
    <cellStyle name="Dane wyjściowe 2 14" xfId="13559" xr:uid="{00000000-0005-0000-0000-0000E2340000}"/>
    <cellStyle name="Dane wyjściowe 2 14 10" xfId="13560" xr:uid="{00000000-0005-0000-0000-0000E3340000}"/>
    <cellStyle name="Dane wyjściowe 2 14 10 2" xfId="13561" xr:uid="{00000000-0005-0000-0000-0000E4340000}"/>
    <cellStyle name="Dane wyjściowe 2 14 10 3" xfId="13562" xr:uid="{00000000-0005-0000-0000-0000E5340000}"/>
    <cellStyle name="Dane wyjściowe 2 14 10 4" xfId="13563" xr:uid="{00000000-0005-0000-0000-0000E6340000}"/>
    <cellStyle name="Dane wyjściowe 2 14 11" xfId="13564" xr:uid="{00000000-0005-0000-0000-0000E7340000}"/>
    <cellStyle name="Dane wyjściowe 2 14 11 2" xfId="13565" xr:uid="{00000000-0005-0000-0000-0000E8340000}"/>
    <cellStyle name="Dane wyjściowe 2 14 11 3" xfId="13566" xr:uid="{00000000-0005-0000-0000-0000E9340000}"/>
    <cellStyle name="Dane wyjściowe 2 14 11 4" xfId="13567" xr:uid="{00000000-0005-0000-0000-0000EA340000}"/>
    <cellStyle name="Dane wyjściowe 2 14 12" xfId="13568" xr:uid="{00000000-0005-0000-0000-0000EB340000}"/>
    <cellStyle name="Dane wyjściowe 2 14 12 2" xfId="13569" xr:uid="{00000000-0005-0000-0000-0000EC340000}"/>
    <cellStyle name="Dane wyjściowe 2 14 12 3" xfId="13570" xr:uid="{00000000-0005-0000-0000-0000ED340000}"/>
    <cellStyle name="Dane wyjściowe 2 14 12 4" xfId="13571" xr:uid="{00000000-0005-0000-0000-0000EE340000}"/>
    <cellStyle name="Dane wyjściowe 2 14 13" xfId="13572" xr:uid="{00000000-0005-0000-0000-0000EF340000}"/>
    <cellStyle name="Dane wyjściowe 2 14 13 2" xfId="13573" xr:uid="{00000000-0005-0000-0000-0000F0340000}"/>
    <cellStyle name="Dane wyjściowe 2 14 13 3" xfId="13574" xr:uid="{00000000-0005-0000-0000-0000F1340000}"/>
    <cellStyle name="Dane wyjściowe 2 14 13 4" xfId="13575" xr:uid="{00000000-0005-0000-0000-0000F2340000}"/>
    <cellStyle name="Dane wyjściowe 2 14 14" xfId="13576" xr:uid="{00000000-0005-0000-0000-0000F3340000}"/>
    <cellStyle name="Dane wyjściowe 2 14 14 2" xfId="13577" xr:uid="{00000000-0005-0000-0000-0000F4340000}"/>
    <cellStyle name="Dane wyjściowe 2 14 14 3" xfId="13578" xr:uid="{00000000-0005-0000-0000-0000F5340000}"/>
    <cellStyle name="Dane wyjściowe 2 14 14 4" xfId="13579" xr:uid="{00000000-0005-0000-0000-0000F6340000}"/>
    <cellStyle name="Dane wyjściowe 2 14 15" xfId="13580" xr:uid="{00000000-0005-0000-0000-0000F7340000}"/>
    <cellStyle name="Dane wyjściowe 2 14 15 2" xfId="13581" xr:uid="{00000000-0005-0000-0000-0000F8340000}"/>
    <cellStyle name="Dane wyjściowe 2 14 15 3" xfId="13582" xr:uid="{00000000-0005-0000-0000-0000F9340000}"/>
    <cellStyle name="Dane wyjściowe 2 14 15 4" xfId="13583" xr:uid="{00000000-0005-0000-0000-0000FA340000}"/>
    <cellStyle name="Dane wyjściowe 2 14 16" xfId="13584" xr:uid="{00000000-0005-0000-0000-0000FB340000}"/>
    <cellStyle name="Dane wyjściowe 2 14 16 2" xfId="13585" xr:uid="{00000000-0005-0000-0000-0000FC340000}"/>
    <cellStyle name="Dane wyjściowe 2 14 16 3" xfId="13586" xr:uid="{00000000-0005-0000-0000-0000FD340000}"/>
    <cellStyle name="Dane wyjściowe 2 14 16 4" xfId="13587" xr:uid="{00000000-0005-0000-0000-0000FE340000}"/>
    <cellStyle name="Dane wyjściowe 2 14 17" xfId="13588" xr:uid="{00000000-0005-0000-0000-0000FF340000}"/>
    <cellStyle name="Dane wyjściowe 2 14 17 2" xfId="13589" xr:uid="{00000000-0005-0000-0000-000000350000}"/>
    <cellStyle name="Dane wyjściowe 2 14 17 3" xfId="13590" xr:uid="{00000000-0005-0000-0000-000001350000}"/>
    <cellStyle name="Dane wyjściowe 2 14 17 4" xfId="13591" xr:uid="{00000000-0005-0000-0000-000002350000}"/>
    <cellStyle name="Dane wyjściowe 2 14 18" xfId="13592" xr:uid="{00000000-0005-0000-0000-000003350000}"/>
    <cellStyle name="Dane wyjściowe 2 14 18 2" xfId="13593" xr:uid="{00000000-0005-0000-0000-000004350000}"/>
    <cellStyle name="Dane wyjściowe 2 14 18 3" xfId="13594" xr:uid="{00000000-0005-0000-0000-000005350000}"/>
    <cellStyle name="Dane wyjściowe 2 14 18 4" xfId="13595" xr:uid="{00000000-0005-0000-0000-000006350000}"/>
    <cellStyle name="Dane wyjściowe 2 14 19" xfId="13596" xr:uid="{00000000-0005-0000-0000-000007350000}"/>
    <cellStyle name="Dane wyjściowe 2 14 19 2" xfId="13597" xr:uid="{00000000-0005-0000-0000-000008350000}"/>
    <cellStyle name="Dane wyjściowe 2 14 19 3" xfId="13598" xr:uid="{00000000-0005-0000-0000-000009350000}"/>
    <cellStyle name="Dane wyjściowe 2 14 19 4" xfId="13599" xr:uid="{00000000-0005-0000-0000-00000A350000}"/>
    <cellStyle name="Dane wyjściowe 2 14 2" xfId="13600" xr:uid="{00000000-0005-0000-0000-00000B350000}"/>
    <cellStyle name="Dane wyjściowe 2 14 2 2" xfId="13601" xr:uid="{00000000-0005-0000-0000-00000C350000}"/>
    <cellStyle name="Dane wyjściowe 2 14 2 3" xfId="13602" xr:uid="{00000000-0005-0000-0000-00000D350000}"/>
    <cellStyle name="Dane wyjściowe 2 14 2 4" xfId="13603" xr:uid="{00000000-0005-0000-0000-00000E350000}"/>
    <cellStyle name="Dane wyjściowe 2 14 20" xfId="13604" xr:uid="{00000000-0005-0000-0000-00000F350000}"/>
    <cellStyle name="Dane wyjściowe 2 14 20 2" xfId="13605" xr:uid="{00000000-0005-0000-0000-000010350000}"/>
    <cellStyle name="Dane wyjściowe 2 14 20 3" xfId="13606" xr:uid="{00000000-0005-0000-0000-000011350000}"/>
    <cellStyle name="Dane wyjściowe 2 14 20 4" xfId="13607" xr:uid="{00000000-0005-0000-0000-000012350000}"/>
    <cellStyle name="Dane wyjściowe 2 14 21" xfId="13608" xr:uid="{00000000-0005-0000-0000-000013350000}"/>
    <cellStyle name="Dane wyjściowe 2 14 21 2" xfId="13609" xr:uid="{00000000-0005-0000-0000-000014350000}"/>
    <cellStyle name="Dane wyjściowe 2 14 21 3" xfId="13610" xr:uid="{00000000-0005-0000-0000-000015350000}"/>
    <cellStyle name="Dane wyjściowe 2 14 22" xfId="13611" xr:uid="{00000000-0005-0000-0000-000016350000}"/>
    <cellStyle name="Dane wyjściowe 2 14 22 2" xfId="13612" xr:uid="{00000000-0005-0000-0000-000017350000}"/>
    <cellStyle name="Dane wyjściowe 2 14 22 3" xfId="13613" xr:uid="{00000000-0005-0000-0000-000018350000}"/>
    <cellStyle name="Dane wyjściowe 2 14 23" xfId="13614" xr:uid="{00000000-0005-0000-0000-000019350000}"/>
    <cellStyle name="Dane wyjściowe 2 14 23 2" xfId="13615" xr:uid="{00000000-0005-0000-0000-00001A350000}"/>
    <cellStyle name="Dane wyjściowe 2 14 23 3" xfId="13616" xr:uid="{00000000-0005-0000-0000-00001B350000}"/>
    <cellStyle name="Dane wyjściowe 2 14 24" xfId="13617" xr:uid="{00000000-0005-0000-0000-00001C350000}"/>
    <cellStyle name="Dane wyjściowe 2 14 24 2" xfId="13618" xr:uid="{00000000-0005-0000-0000-00001D350000}"/>
    <cellStyle name="Dane wyjściowe 2 14 24 3" xfId="13619" xr:uid="{00000000-0005-0000-0000-00001E350000}"/>
    <cellStyle name="Dane wyjściowe 2 14 25" xfId="13620" xr:uid="{00000000-0005-0000-0000-00001F350000}"/>
    <cellStyle name="Dane wyjściowe 2 14 25 2" xfId="13621" xr:uid="{00000000-0005-0000-0000-000020350000}"/>
    <cellStyle name="Dane wyjściowe 2 14 25 3" xfId="13622" xr:uid="{00000000-0005-0000-0000-000021350000}"/>
    <cellStyle name="Dane wyjściowe 2 14 26" xfId="13623" xr:uid="{00000000-0005-0000-0000-000022350000}"/>
    <cellStyle name="Dane wyjściowe 2 14 26 2" xfId="13624" xr:uid="{00000000-0005-0000-0000-000023350000}"/>
    <cellStyle name="Dane wyjściowe 2 14 26 3" xfId="13625" xr:uid="{00000000-0005-0000-0000-000024350000}"/>
    <cellStyle name="Dane wyjściowe 2 14 27" xfId="13626" xr:uid="{00000000-0005-0000-0000-000025350000}"/>
    <cellStyle name="Dane wyjściowe 2 14 27 2" xfId="13627" xr:uid="{00000000-0005-0000-0000-000026350000}"/>
    <cellStyle name="Dane wyjściowe 2 14 27 3" xfId="13628" xr:uid="{00000000-0005-0000-0000-000027350000}"/>
    <cellStyle name="Dane wyjściowe 2 14 28" xfId="13629" xr:uid="{00000000-0005-0000-0000-000028350000}"/>
    <cellStyle name="Dane wyjściowe 2 14 28 2" xfId="13630" xr:uid="{00000000-0005-0000-0000-000029350000}"/>
    <cellStyle name="Dane wyjściowe 2 14 28 3" xfId="13631" xr:uid="{00000000-0005-0000-0000-00002A350000}"/>
    <cellStyle name="Dane wyjściowe 2 14 29" xfId="13632" xr:uid="{00000000-0005-0000-0000-00002B350000}"/>
    <cellStyle name="Dane wyjściowe 2 14 29 2" xfId="13633" xr:uid="{00000000-0005-0000-0000-00002C350000}"/>
    <cellStyle name="Dane wyjściowe 2 14 29 3" xfId="13634" xr:uid="{00000000-0005-0000-0000-00002D350000}"/>
    <cellStyle name="Dane wyjściowe 2 14 3" xfId="13635" xr:uid="{00000000-0005-0000-0000-00002E350000}"/>
    <cellStyle name="Dane wyjściowe 2 14 3 2" xfId="13636" xr:uid="{00000000-0005-0000-0000-00002F350000}"/>
    <cellStyle name="Dane wyjściowe 2 14 3 3" xfId="13637" xr:uid="{00000000-0005-0000-0000-000030350000}"/>
    <cellStyle name="Dane wyjściowe 2 14 3 4" xfId="13638" xr:uid="{00000000-0005-0000-0000-000031350000}"/>
    <cellStyle name="Dane wyjściowe 2 14 30" xfId="13639" xr:uid="{00000000-0005-0000-0000-000032350000}"/>
    <cellStyle name="Dane wyjściowe 2 14 30 2" xfId="13640" xr:uid="{00000000-0005-0000-0000-000033350000}"/>
    <cellStyle name="Dane wyjściowe 2 14 30 3" xfId="13641" xr:uid="{00000000-0005-0000-0000-000034350000}"/>
    <cellStyle name="Dane wyjściowe 2 14 31" xfId="13642" xr:uid="{00000000-0005-0000-0000-000035350000}"/>
    <cellStyle name="Dane wyjściowe 2 14 31 2" xfId="13643" xr:uid="{00000000-0005-0000-0000-000036350000}"/>
    <cellStyle name="Dane wyjściowe 2 14 31 3" xfId="13644" xr:uid="{00000000-0005-0000-0000-000037350000}"/>
    <cellStyle name="Dane wyjściowe 2 14 32" xfId="13645" xr:uid="{00000000-0005-0000-0000-000038350000}"/>
    <cellStyle name="Dane wyjściowe 2 14 32 2" xfId="13646" xr:uid="{00000000-0005-0000-0000-000039350000}"/>
    <cellStyle name="Dane wyjściowe 2 14 32 3" xfId="13647" xr:uid="{00000000-0005-0000-0000-00003A350000}"/>
    <cellStyle name="Dane wyjściowe 2 14 33" xfId="13648" xr:uid="{00000000-0005-0000-0000-00003B350000}"/>
    <cellStyle name="Dane wyjściowe 2 14 33 2" xfId="13649" xr:uid="{00000000-0005-0000-0000-00003C350000}"/>
    <cellStyle name="Dane wyjściowe 2 14 33 3" xfId="13650" xr:uid="{00000000-0005-0000-0000-00003D350000}"/>
    <cellStyle name="Dane wyjściowe 2 14 34" xfId="13651" xr:uid="{00000000-0005-0000-0000-00003E350000}"/>
    <cellStyle name="Dane wyjściowe 2 14 34 2" xfId="13652" xr:uid="{00000000-0005-0000-0000-00003F350000}"/>
    <cellStyle name="Dane wyjściowe 2 14 34 3" xfId="13653" xr:uid="{00000000-0005-0000-0000-000040350000}"/>
    <cellStyle name="Dane wyjściowe 2 14 35" xfId="13654" xr:uid="{00000000-0005-0000-0000-000041350000}"/>
    <cellStyle name="Dane wyjściowe 2 14 35 2" xfId="13655" xr:uid="{00000000-0005-0000-0000-000042350000}"/>
    <cellStyle name="Dane wyjściowe 2 14 35 3" xfId="13656" xr:uid="{00000000-0005-0000-0000-000043350000}"/>
    <cellStyle name="Dane wyjściowe 2 14 36" xfId="13657" xr:uid="{00000000-0005-0000-0000-000044350000}"/>
    <cellStyle name="Dane wyjściowe 2 14 36 2" xfId="13658" xr:uid="{00000000-0005-0000-0000-000045350000}"/>
    <cellStyle name="Dane wyjściowe 2 14 36 3" xfId="13659" xr:uid="{00000000-0005-0000-0000-000046350000}"/>
    <cellStyle name="Dane wyjściowe 2 14 37" xfId="13660" xr:uid="{00000000-0005-0000-0000-000047350000}"/>
    <cellStyle name="Dane wyjściowe 2 14 37 2" xfId="13661" xr:uid="{00000000-0005-0000-0000-000048350000}"/>
    <cellStyle name="Dane wyjściowe 2 14 37 3" xfId="13662" xr:uid="{00000000-0005-0000-0000-000049350000}"/>
    <cellStyle name="Dane wyjściowe 2 14 38" xfId="13663" xr:uid="{00000000-0005-0000-0000-00004A350000}"/>
    <cellStyle name="Dane wyjściowe 2 14 38 2" xfId="13664" xr:uid="{00000000-0005-0000-0000-00004B350000}"/>
    <cellStyle name="Dane wyjściowe 2 14 38 3" xfId="13665" xr:uid="{00000000-0005-0000-0000-00004C350000}"/>
    <cellStyle name="Dane wyjściowe 2 14 39" xfId="13666" xr:uid="{00000000-0005-0000-0000-00004D350000}"/>
    <cellStyle name="Dane wyjściowe 2 14 39 2" xfId="13667" xr:uid="{00000000-0005-0000-0000-00004E350000}"/>
    <cellStyle name="Dane wyjściowe 2 14 39 3" xfId="13668" xr:uid="{00000000-0005-0000-0000-00004F350000}"/>
    <cellStyle name="Dane wyjściowe 2 14 4" xfId="13669" xr:uid="{00000000-0005-0000-0000-000050350000}"/>
    <cellStyle name="Dane wyjściowe 2 14 4 2" xfId="13670" xr:uid="{00000000-0005-0000-0000-000051350000}"/>
    <cellStyle name="Dane wyjściowe 2 14 4 3" xfId="13671" xr:uid="{00000000-0005-0000-0000-000052350000}"/>
    <cellStyle name="Dane wyjściowe 2 14 4 4" xfId="13672" xr:uid="{00000000-0005-0000-0000-000053350000}"/>
    <cellStyle name="Dane wyjściowe 2 14 40" xfId="13673" xr:uid="{00000000-0005-0000-0000-000054350000}"/>
    <cellStyle name="Dane wyjściowe 2 14 40 2" xfId="13674" xr:uid="{00000000-0005-0000-0000-000055350000}"/>
    <cellStyle name="Dane wyjściowe 2 14 40 3" xfId="13675" xr:uid="{00000000-0005-0000-0000-000056350000}"/>
    <cellStyle name="Dane wyjściowe 2 14 41" xfId="13676" xr:uid="{00000000-0005-0000-0000-000057350000}"/>
    <cellStyle name="Dane wyjściowe 2 14 41 2" xfId="13677" xr:uid="{00000000-0005-0000-0000-000058350000}"/>
    <cellStyle name="Dane wyjściowe 2 14 41 3" xfId="13678" xr:uid="{00000000-0005-0000-0000-000059350000}"/>
    <cellStyle name="Dane wyjściowe 2 14 42" xfId="13679" xr:uid="{00000000-0005-0000-0000-00005A350000}"/>
    <cellStyle name="Dane wyjściowe 2 14 42 2" xfId="13680" xr:uid="{00000000-0005-0000-0000-00005B350000}"/>
    <cellStyle name="Dane wyjściowe 2 14 42 3" xfId="13681" xr:uid="{00000000-0005-0000-0000-00005C350000}"/>
    <cellStyle name="Dane wyjściowe 2 14 43" xfId="13682" xr:uid="{00000000-0005-0000-0000-00005D350000}"/>
    <cellStyle name="Dane wyjściowe 2 14 43 2" xfId="13683" xr:uid="{00000000-0005-0000-0000-00005E350000}"/>
    <cellStyle name="Dane wyjściowe 2 14 43 3" xfId="13684" xr:uid="{00000000-0005-0000-0000-00005F350000}"/>
    <cellStyle name="Dane wyjściowe 2 14 44" xfId="13685" xr:uid="{00000000-0005-0000-0000-000060350000}"/>
    <cellStyle name="Dane wyjściowe 2 14 44 2" xfId="13686" xr:uid="{00000000-0005-0000-0000-000061350000}"/>
    <cellStyle name="Dane wyjściowe 2 14 44 3" xfId="13687" xr:uid="{00000000-0005-0000-0000-000062350000}"/>
    <cellStyle name="Dane wyjściowe 2 14 45" xfId="13688" xr:uid="{00000000-0005-0000-0000-000063350000}"/>
    <cellStyle name="Dane wyjściowe 2 14 45 2" xfId="13689" xr:uid="{00000000-0005-0000-0000-000064350000}"/>
    <cellStyle name="Dane wyjściowe 2 14 45 3" xfId="13690" xr:uid="{00000000-0005-0000-0000-000065350000}"/>
    <cellStyle name="Dane wyjściowe 2 14 46" xfId="13691" xr:uid="{00000000-0005-0000-0000-000066350000}"/>
    <cellStyle name="Dane wyjściowe 2 14 46 2" xfId="13692" xr:uid="{00000000-0005-0000-0000-000067350000}"/>
    <cellStyle name="Dane wyjściowe 2 14 46 3" xfId="13693" xr:uid="{00000000-0005-0000-0000-000068350000}"/>
    <cellStyle name="Dane wyjściowe 2 14 47" xfId="13694" xr:uid="{00000000-0005-0000-0000-000069350000}"/>
    <cellStyle name="Dane wyjściowe 2 14 47 2" xfId="13695" xr:uid="{00000000-0005-0000-0000-00006A350000}"/>
    <cellStyle name="Dane wyjściowe 2 14 47 3" xfId="13696" xr:uid="{00000000-0005-0000-0000-00006B350000}"/>
    <cellStyle name="Dane wyjściowe 2 14 48" xfId="13697" xr:uid="{00000000-0005-0000-0000-00006C350000}"/>
    <cellStyle name="Dane wyjściowe 2 14 48 2" xfId="13698" xr:uid="{00000000-0005-0000-0000-00006D350000}"/>
    <cellStyle name="Dane wyjściowe 2 14 48 3" xfId="13699" xr:uid="{00000000-0005-0000-0000-00006E350000}"/>
    <cellStyle name="Dane wyjściowe 2 14 49" xfId="13700" xr:uid="{00000000-0005-0000-0000-00006F350000}"/>
    <cellStyle name="Dane wyjściowe 2 14 49 2" xfId="13701" xr:uid="{00000000-0005-0000-0000-000070350000}"/>
    <cellStyle name="Dane wyjściowe 2 14 49 3" xfId="13702" xr:uid="{00000000-0005-0000-0000-000071350000}"/>
    <cellStyle name="Dane wyjściowe 2 14 5" xfId="13703" xr:uid="{00000000-0005-0000-0000-000072350000}"/>
    <cellStyle name="Dane wyjściowe 2 14 5 2" xfId="13704" xr:uid="{00000000-0005-0000-0000-000073350000}"/>
    <cellStyle name="Dane wyjściowe 2 14 5 3" xfId="13705" xr:uid="{00000000-0005-0000-0000-000074350000}"/>
    <cellStyle name="Dane wyjściowe 2 14 5 4" xfId="13706" xr:uid="{00000000-0005-0000-0000-000075350000}"/>
    <cellStyle name="Dane wyjściowe 2 14 50" xfId="13707" xr:uid="{00000000-0005-0000-0000-000076350000}"/>
    <cellStyle name="Dane wyjściowe 2 14 50 2" xfId="13708" xr:uid="{00000000-0005-0000-0000-000077350000}"/>
    <cellStyle name="Dane wyjściowe 2 14 50 3" xfId="13709" xr:uid="{00000000-0005-0000-0000-000078350000}"/>
    <cellStyle name="Dane wyjściowe 2 14 51" xfId="13710" xr:uid="{00000000-0005-0000-0000-000079350000}"/>
    <cellStyle name="Dane wyjściowe 2 14 51 2" xfId="13711" xr:uid="{00000000-0005-0000-0000-00007A350000}"/>
    <cellStyle name="Dane wyjściowe 2 14 51 3" xfId="13712" xr:uid="{00000000-0005-0000-0000-00007B350000}"/>
    <cellStyle name="Dane wyjściowe 2 14 52" xfId="13713" xr:uid="{00000000-0005-0000-0000-00007C350000}"/>
    <cellStyle name="Dane wyjściowe 2 14 52 2" xfId="13714" xr:uid="{00000000-0005-0000-0000-00007D350000}"/>
    <cellStyle name="Dane wyjściowe 2 14 52 3" xfId="13715" xr:uid="{00000000-0005-0000-0000-00007E350000}"/>
    <cellStyle name="Dane wyjściowe 2 14 53" xfId="13716" xr:uid="{00000000-0005-0000-0000-00007F350000}"/>
    <cellStyle name="Dane wyjściowe 2 14 53 2" xfId="13717" xr:uid="{00000000-0005-0000-0000-000080350000}"/>
    <cellStyle name="Dane wyjściowe 2 14 53 3" xfId="13718" xr:uid="{00000000-0005-0000-0000-000081350000}"/>
    <cellStyle name="Dane wyjściowe 2 14 54" xfId="13719" xr:uid="{00000000-0005-0000-0000-000082350000}"/>
    <cellStyle name="Dane wyjściowe 2 14 54 2" xfId="13720" xr:uid="{00000000-0005-0000-0000-000083350000}"/>
    <cellStyle name="Dane wyjściowe 2 14 54 3" xfId="13721" xr:uid="{00000000-0005-0000-0000-000084350000}"/>
    <cellStyle name="Dane wyjściowe 2 14 55" xfId="13722" xr:uid="{00000000-0005-0000-0000-000085350000}"/>
    <cellStyle name="Dane wyjściowe 2 14 55 2" xfId="13723" xr:uid="{00000000-0005-0000-0000-000086350000}"/>
    <cellStyle name="Dane wyjściowe 2 14 55 3" xfId="13724" xr:uid="{00000000-0005-0000-0000-000087350000}"/>
    <cellStyle name="Dane wyjściowe 2 14 56" xfId="13725" xr:uid="{00000000-0005-0000-0000-000088350000}"/>
    <cellStyle name="Dane wyjściowe 2 14 56 2" xfId="13726" xr:uid="{00000000-0005-0000-0000-000089350000}"/>
    <cellStyle name="Dane wyjściowe 2 14 56 3" xfId="13727" xr:uid="{00000000-0005-0000-0000-00008A350000}"/>
    <cellStyle name="Dane wyjściowe 2 14 57" xfId="13728" xr:uid="{00000000-0005-0000-0000-00008B350000}"/>
    <cellStyle name="Dane wyjściowe 2 14 58" xfId="13729" xr:uid="{00000000-0005-0000-0000-00008C350000}"/>
    <cellStyle name="Dane wyjściowe 2 14 6" xfId="13730" xr:uid="{00000000-0005-0000-0000-00008D350000}"/>
    <cellStyle name="Dane wyjściowe 2 14 6 2" xfId="13731" xr:uid="{00000000-0005-0000-0000-00008E350000}"/>
    <cellStyle name="Dane wyjściowe 2 14 6 3" xfId="13732" xr:uid="{00000000-0005-0000-0000-00008F350000}"/>
    <cellStyle name="Dane wyjściowe 2 14 6 4" xfId="13733" xr:uid="{00000000-0005-0000-0000-000090350000}"/>
    <cellStyle name="Dane wyjściowe 2 14 7" xfId="13734" xr:uid="{00000000-0005-0000-0000-000091350000}"/>
    <cellStyle name="Dane wyjściowe 2 14 7 2" xfId="13735" xr:uid="{00000000-0005-0000-0000-000092350000}"/>
    <cellStyle name="Dane wyjściowe 2 14 7 3" xfId="13736" xr:uid="{00000000-0005-0000-0000-000093350000}"/>
    <cellStyle name="Dane wyjściowe 2 14 7 4" xfId="13737" xr:uid="{00000000-0005-0000-0000-000094350000}"/>
    <cellStyle name="Dane wyjściowe 2 14 8" xfId="13738" xr:uid="{00000000-0005-0000-0000-000095350000}"/>
    <cellStyle name="Dane wyjściowe 2 14 8 2" xfId="13739" xr:uid="{00000000-0005-0000-0000-000096350000}"/>
    <cellStyle name="Dane wyjściowe 2 14 8 3" xfId="13740" xr:uid="{00000000-0005-0000-0000-000097350000}"/>
    <cellStyle name="Dane wyjściowe 2 14 8 4" xfId="13741" xr:uid="{00000000-0005-0000-0000-000098350000}"/>
    <cellStyle name="Dane wyjściowe 2 14 9" xfId="13742" xr:uid="{00000000-0005-0000-0000-000099350000}"/>
    <cellStyle name="Dane wyjściowe 2 14 9 2" xfId="13743" xr:uid="{00000000-0005-0000-0000-00009A350000}"/>
    <cellStyle name="Dane wyjściowe 2 14 9 3" xfId="13744" xr:uid="{00000000-0005-0000-0000-00009B350000}"/>
    <cellStyle name="Dane wyjściowe 2 14 9 4" xfId="13745" xr:uid="{00000000-0005-0000-0000-00009C350000}"/>
    <cellStyle name="Dane wyjściowe 2 15" xfId="13746" xr:uid="{00000000-0005-0000-0000-00009D350000}"/>
    <cellStyle name="Dane wyjściowe 2 15 10" xfId="13747" xr:uid="{00000000-0005-0000-0000-00009E350000}"/>
    <cellStyle name="Dane wyjściowe 2 15 10 2" xfId="13748" xr:uid="{00000000-0005-0000-0000-00009F350000}"/>
    <cellStyle name="Dane wyjściowe 2 15 10 3" xfId="13749" xr:uid="{00000000-0005-0000-0000-0000A0350000}"/>
    <cellStyle name="Dane wyjściowe 2 15 10 4" xfId="13750" xr:uid="{00000000-0005-0000-0000-0000A1350000}"/>
    <cellStyle name="Dane wyjściowe 2 15 11" xfId="13751" xr:uid="{00000000-0005-0000-0000-0000A2350000}"/>
    <cellStyle name="Dane wyjściowe 2 15 11 2" xfId="13752" xr:uid="{00000000-0005-0000-0000-0000A3350000}"/>
    <cellStyle name="Dane wyjściowe 2 15 11 3" xfId="13753" xr:uid="{00000000-0005-0000-0000-0000A4350000}"/>
    <cellStyle name="Dane wyjściowe 2 15 11 4" xfId="13754" xr:uid="{00000000-0005-0000-0000-0000A5350000}"/>
    <cellStyle name="Dane wyjściowe 2 15 12" xfId="13755" xr:uid="{00000000-0005-0000-0000-0000A6350000}"/>
    <cellStyle name="Dane wyjściowe 2 15 12 2" xfId="13756" xr:uid="{00000000-0005-0000-0000-0000A7350000}"/>
    <cellStyle name="Dane wyjściowe 2 15 12 3" xfId="13757" xr:uid="{00000000-0005-0000-0000-0000A8350000}"/>
    <cellStyle name="Dane wyjściowe 2 15 12 4" xfId="13758" xr:uid="{00000000-0005-0000-0000-0000A9350000}"/>
    <cellStyle name="Dane wyjściowe 2 15 13" xfId="13759" xr:uid="{00000000-0005-0000-0000-0000AA350000}"/>
    <cellStyle name="Dane wyjściowe 2 15 13 2" xfId="13760" xr:uid="{00000000-0005-0000-0000-0000AB350000}"/>
    <cellStyle name="Dane wyjściowe 2 15 13 3" xfId="13761" xr:uid="{00000000-0005-0000-0000-0000AC350000}"/>
    <cellStyle name="Dane wyjściowe 2 15 13 4" xfId="13762" xr:uid="{00000000-0005-0000-0000-0000AD350000}"/>
    <cellStyle name="Dane wyjściowe 2 15 14" xfId="13763" xr:uid="{00000000-0005-0000-0000-0000AE350000}"/>
    <cellStyle name="Dane wyjściowe 2 15 14 2" xfId="13764" xr:uid="{00000000-0005-0000-0000-0000AF350000}"/>
    <cellStyle name="Dane wyjściowe 2 15 14 3" xfId="13765" xr:uid="{00000000-0005-0000-0000-0000B0350000}"/>
    <cellStyle name="Dane wyjściowe 2 15 14 4" xfId="13766" xr:uid="{00000000-0005-0000-0000-0000B1350000}"/>
    <cellStyle name="Dane wyjściowe 2 15 15" xfId="13767" xr:uid="{00000000-0005-0000-0000-0000B2350000}"/>
    <cellStyle name="Dane wyjściowe 2 15 15 2" xfId="13768" xr:uid="{00000000-0005-0000-0000-0000B3350000}"/>
    <cellStyle name="Dane wyjściowe 2 15 15 3" xfId="13769" xr:uid="{00000000-0005-0000-0000-0000B4350000}"/>
    <cellStyle name="Dane wyjściowe 2 15 15 4" xfId="13770" xr:uid="{00000000-0005-0000-0000-0000B5350000}"/>
    <cellStyle name="Dane wyjściowe 2 15 16" xfId="13771" xr:uid="{00000000-0005-0000-0000-0000B6350000}"/>
    <cellStyle name="Dane wyjściowe 2 15 16 2" xfId="13772" xr:uid="{00000000-0005-0000-0000-0000B7350000}"/>
    <cellStyle name="Dane wyjściowe 2 15 16 3" xfId="13773" xr:uid="{00000000-0005-0000-0000-0000B8350000}"/>
    <cellStyle name="Dane wyjściowe 2 15 16 4" xfId="13774" xr:uid="{00000000-0005-0000-0000-0000B9350000}"/>
    <cellStyle name="Dane wyjściowe 2 15 17" xfId="13775" xr:uid="{00000000-0005-0000-0000-0000BA350000}"/>
    <cellStyle name="Dane wyjściowe 2 15 17 2" xfId="13776" xr:uid="{00000000-0005-0000-0000-0000BB350000}"/>
    <cellStyle name="Dane wyjściowe 2 15 17 3" xfId="13777" xr:uid="{00000000-0005-0000-0000-0000BC350000}"/>
    <cellStyle name="Dane wyjściowe 2 15 17 4" xfId="13778" xr:uid="{00000000-0005-0000-0000-0000BD350000}"/>
    <cellStyle name="Dane wyjściowe 2 15 18" xfId="13779" xr:uid="{00000000-0005-0000-0000-0000BE350000}"/>
    <cellStyle name="Dane wyjściowe 2 15 18 2" xfId="13780" xr:uid="{00000000-0005-0000-0000-0000BF350000}"/>
    <cellStyle name="Dane wyjściowe 2 15 18 3" xfId="13781" xr:uid="{00000000-0005-0000-0000-0000C0350000}"/>
    <cellStyle name="Dane wyjściowe 2 15 18 4" xfId="13782" xr:uid="{00000000-0005-0000-0000-0000C1350000}"/>
    <cellStyle name="Dane wyjściowe 2 15 19" xfId="13783" xr:uid="{00000000-0005-0000-0000-0000C2350000}"/>
    <cellStyle name="Dane wyjściowe 2 15 19 2" xfId="13784" xr:uid="{00000000-0005-0000-0000-0000C3350000}"/>
    <cellStyle name="Dane wyjściowe 2 15 19 3" xfId="13785" xr:uid="{00000000-0005-0000-0000-0000C4350000}"/>
    <cellStyle name="Dane wyjściowe 2 15 19 4" xfId="13786" xr:uid="{00000000-0005-0000-0000-0000C5350000}"/>
    <cellStyle name="Dane wyjściowe 2 15 2" xfId="13787" xr:uid="{00000000-0005-0000-0000-0000C6350000}"/>
    <cellStyle name="Dane wyjściowe 2 15 2 2" xfId="13788" xr:uid="{00000000-0005-0000-0000-0000C7350000}"/>
    <cellStyle name="Dane wyjściowe 2 15 2 3" xfId="13789" xr:uid="{00000000-0005-0000-0000-0000C8350000}"/>
    <cellStyle name="Dane wyjściowe 2 15 2 4" xfId="13790" xr:uid="{00000000-0005-0000-0000-0000C9350000}"/>
    <cellStyle name="Dane wyjściowe 2 15 20" xfId="13791" xr:uid="{00000000-0005-0000-0000-0000CA350000}"/>
    <cellStyle name="Dane wyjściowe 2 15 20 2" xfId="13792" xr:uid="{00000000-0005-0000-0000-0000CB350000}"/>
    <cellStyle name="Dane wyjściowe 2 15 20 3" xfId="13793" xr:uid="{00000000-0005-0000-0000-0000CC350000}"/>
    <cellStyle name="Dane wyjściowe 2 15 20 4" xfId="13794" xr:uid="{00000000-0005-0000-0000-0000CD350000}"/>
    <cellStyle name="Dane wyjściowe 2 15 21" xfId="13795" xr:uid="{00000000-0005-0000-0000-0000CE350000}"/>
    <cellStyle name="Dane wyjściowe 2 15 21 2" xfId="13796" xr:uid="{00000000-0005-0000-0000-0000CF350000}"/>
    <cellStyle name="Dane wyjściowe 2 15 21 3" xfId="13797" xr:uid="{00000000-0005-0000-0000-0000D0350000}"/>
    <cellStyle name="Dane wyjściowe 2 15 22" xfId="13798" xr:uid="{00000000-0005-0000-0000-0000D1350000}"/>
    <cellStyle name="Dane wyjściowe 2 15 22 2" xfId="13799" xr:uid="{00000000-0005-0000-0000-0000D2350000}"/>
    <cellStyle name="Dane wyjściowe 2 15 22 3" xfId="13800" xr:uid="{00000000-0005-0000-0000-0000D3350000}"/>
    <cellStyle name="Dane wyjściowe 2 15 23" xfId="13801" xr:uid="{00000000-0005-0000-0000-0000D4350000}"/>
    <cellStyle name="Dane wyjściowe 2 15 23 2" xfId="13802" xr:uid="{00000000-0005-0000-0000-0000D5350000}"/>
    <cellStyle name="Dane wyjściowe 2 15 23 3" xfId="13803" xr:uid="{00000000-0005-0000-0000-0000D6350000}"/>
    <cellStyle name="Dane wyjściowe 2 15 24" xfId="13804" xr:uid="{00000000-0005-0000-0000-0000D7350000}"/>
    <cellStyle name="Dane wyjściowe 2 15 24 2" xfId="13805" xr:uid="{00000000-0005-0000-0000-0000D8350000}"/>
    <cellStyle name="Dane wyjściowe 2 15 24 3" xfId="13806" xr:uid="{00000000-0005-0000-0000-0000D9350000}"/>
    <cellStyle name="Dane wyjściowe 2 15 25" xfId="13807" xr:uid="{00000000-0005-0000-0000-0000DA350000}"/>
    <cellStyle name="Dane wyjściowe 2 15 25 2" xfId="13808" xr:uid="{00000000-0005-0000-0000-0000DB350000}"/>
    <cellStyle name="Dane wyjściowe 2 15 25 3" xfId="13809" xr:uid="{00000000-0005-0000-0000-0000DC350000}"/>
    <cellStyle name="Dane wyjściowe 2 15 26" xfId="13810" xr:uid="{00000000-0005-0000-0000-0000DD350000}"/>
    <cellStyle name="Dane wyjściowe 2 15 26 2" xfId="13811" xr:uid="{00000000-0005-0000-0000-0000DE350000}"/>
    <cellStyle name="Dane wyjściowe 2 15 26 3" xfId="13812" xr:uid="{00000000-0005-0000-0000-0000DF350000}"/>
    <cellStyle name="Dane wyjściowe 2 15 27" xfId="13813" xr:uid="{00000000-0005-0000-0000-0000E0350000}"/>
    <cellStyle name="Dane wyjściowe 2 15 27 2" xfId="13814" xr:uid="{00000000-0005-0000-0000-0000E1350000}"/>
    <cellStyle name="Dane wyjściowe 2 15 27 3" xfId="13815" xr:uid="{00000000-0005-0000-0000-0000E2350000}"/>
    <cellStyle name="Dane wyjściowe 2 15 28" xfId="13816" xr:uid="{00000000-0005-0000-0000-0000E3350000}"/>
    <cellStyle name="Dane wyjściowe 2 15 28 2" xfId="13817" xr:uid="{00000000-0005-0000-0000-0000E4350000}"/>
    <cellStyle name="Dane wyjściowe 2 15 28 3" xfId="13818" xr:uid="{00000000-0005-0000-0000-0000E5350000}"/>
    <cellStyle name="Dane wyjściowe 2 15 29" xfId="13819" xr:uid="{00000000-0005-0000-0000-0000E6350000}"/>
    <cellStyle name="Dane wyjściowe 2 15 29 2" xfId="13820" xr:uid="{00000000-0005-0000-0000-0000E7350000}"/>
    <cellStyle name="Dane wyjściowe 2 15 29 3" xfId="13821" xr:uid="{00000000-0005-0000-0000-0000E8350000}"/>
    <cellStyle name="Dane wyjściowe 2 15 3" xfId="13822" xr:uid="{00000000-0005-0000-0000-0000E9350000}"/>
    <cellStyle name="Dane wyjściowe 2 15 3 2" xfId="13823" xr:uid="{00000000-0005-0000-0000-0000EA350000}"/>
    <cellStyle name="Dane wyjściowe 2 15 3 3" xfId="13824" xr:uid="{00000000-0005-0000-0000-0000EB350000}"/>
    <cellStyle name="Dane wyjściowe 2 15 3 4" xfId="13825" xr:uid="{00000000-0005-0000-0000-0000EC350000}"/>
    <cellStyle name="Dane wyjściowe 2 15 30" xfId="13826" xr:uid="{00000000-0005-0000-0000-0000ED350000}"/>
    <cellStyle name="Dane wyjściowe 2 15 30 2" xfId="13827" xr:uid="{00000000-0005-0000-0000-0000EE350000}"/>
    <cellStyle name="Dane wyjściowe 2 15 30 3" xfId="13828" xr:uid="{00000000-0005-0000-0000-0000EF350000}"/>
    <cellStyle name="Dane wyjściowe 2 15 31" xfId="13829" xr:uid="{00000000-0005-0000-0000-0000F0350000}"/>
    <cellStyle name="Dane wyjściowe 2 15 31 2" xfId="13830" xr:uid="{00000000-0005-0000-0000-0000F1350000}"/>
    <cellStyle name="Dane wyjściowe 2 15 31 3" xfId="13831" xr:uid="{00000000-0005-0000-0000-0000F2350000}"/>
    <cellStyle name="Dane wyjściowe 2 15 32" xfId="13832" xr:uid="{00000000-0005-0000-0000-0000F3350000}"/>
    <cellStyle name="Dane wyjściowe 2 15 32 2" xfId="13833" xr:uid="{00000000-0005-0000-0000-0000F4350000}"/>
    <cellStyle name="Dane wyjściowe 2 15 32 3" xfId="13834" xr:uid="{00000000-0005-0000-0000-0000F5350000}"/>
    <cellStyle name="Dane wyjściowe 2 15 33" xfId="13835" xr:uid="{00000000-0005-0000-0000-0000F6350000}"/>
    <cellStyle name="Dane wyjściowe 2 15 33 2" xfId="13836" xr:uid="{00000000-0005-0000-0000-0000F7350000}"/>
    <cellStyle name="Dane wyjściowe 2 15 33 3" xfId="13837" xr:uid="{00000000-0005-0000-0000-0000F8350000}"/>
    <cellStyle name="Dane wyjściowe 2 15 34" xfId="13838" xr:uid="{00000000-0005-0000-0000-0000F9350000}"/>
    <cellStyle name="Dane wyjściowe 2 15 34 2" xfId="13839" xr:uid="{00000000-0005-0000-0000-0000FA350000}"/>
    <cellStyle name="Dane wyjściowe 2 15 34 3" xfId="13840" xr:uid="{00000000-0005-0000-0000-0000FB350000}"/>
    <cellStyle name="Dane wyjściowe 2 15 35" xfId="13841" xr:uid="{00000000-0005-0000-0000-0000FC350000}"/>
    <cellStyle name="Dane wyjściowe 2 15 35 2" xfId="13842" xr:uid="{00000000-0005-0000-0000-0000FD350000}"/>
    <cellStyle name="Dane wyjściowe 2 15 35 3" xfId="13843" xr:uid="{00000000-0005-0000-0000-0000FE350000}"/>
    <cellStyle name="Dane wyjściowe 2 15 36" xfId="13844" xr:uid="{00000000-0005-0000-0000-0000FF350000}"/>
    <cellStyle name="Dane wyjściowe 2 15 36 2" xfId="13845" xr:uid="{00000000-0005-0000-0000-000000360000}"/>
    <cellStyle name="Dane wyjściowe 2 15 36 3" xfId="13846" xr:uid="{00000000-0005-0000-0000-000001360000}"/>
    <cellStyle name="Dane wyjściowe 2 15 37" xfId="13847" xr:uid="{00000000-0005-0000-0000-000002360000}"/>
    <cellStyle name="Dane wyjściowe 2 15 37 2" xfId="13848" xr:uid="{00000000-0005-0000-0000-000003360000}"/>
    <cellStyle name="Dane wyjściowe 2 15 37 3" xfId="13849" xr:uid="{00000000-0005-0000-0000-000004360000}"/>
    <cellStyle name="Dane wyjściowe 2 15 38" xfId="13850" xr:uid="{00000000-0005-0000-0000-000005360000}"/>
    <cellStyle name="Dane wyjściowe 2 15 38 2" xfId="13851" xr:uid="{00000000-0005-0000-0000-000006360000}"/>
    <cellStyle name="Dane wyjściowe 2 15 38 3" xfId="13852" xr:uid="{00000000-0005-0000-0000-000007360000}"/>
    <cellStyle name="Dane wyjściowe 2 15 39" xfId="13853" xr:uid="{00000000-0005-0000-0000-000008360000}"/>
    <cellStyle name="Dane wyjściowe 2 15 39 2" xfId="13854" xr:uid="{00000000-0005-0000-0000-000009360000}"/>
    <cellStyle name="Dane wyjściowe 2 15 39 3" xfId="13855" xr:uid="{00000000-0005-0000-0000-00000A360000}"/>
    <cellStyle name="Dane wyjściowe 2 15 4" xfId="13856" xr:uid="{00000000-0005-0000-0000-00000B360000}"/>
    <cellStyle name="Dane wyjściowe 2 15 4 2" xfId="13857" xr:uid="{00000000-0005-0000-0000-00000C360000}"/>
    <cellStyle name="Dane wyjściowe 2 15 4 3" xfId="13858" xr:uid="{00000000-0005-0000-0000-00000D360000}"/>
    <cellStyle name="Dane wyjściowe 2 15 4 4" xfId="13859" xr:uid="{00000000-0005-0000-0000-00000E360000}"/>
    <cellStyle name="Dane wyjściowe 2 15 40" xfId="13860" xr:uid="{00000000-0005-0000-0000-00000F360000}"/>
    <cellStyle name="Dane wyjściowe 2 15 40 2" xfId="13861" xr:uid="{00000000-0005-0000-0000-000010360000}"/>
    <cellStyle name="Dane wyjściowe 2 15 40 3" xfId="13862" xr:uid="{00000000-0005-0000-0000-000011360000}"/>
    <cellStyle name="Dane wyjściowe 2 15 41" xfId="13863" xr:uid="{00000000-0005-0000-0000-000012360000}"/>
    <cellStyle name="Dane wyjściowe 2 15 41 2" xfId="13864" xr:uid="{00000000-0005-0000-0000-000013360000}"/>
    <cellStyle name="Dane wyjściowe 2 15 41 3" xfId="13865" xr:uid="{00000000-0005-0000-0000-000014360000}"/>
    <cellStyle name="Dane wyjściowe 2 15 42" xfId="13866" xr:uid="{00000000-0005-0000-0000-000015360000}"/>
    <cellStyle name="Dane wyjściowe 2 15 42 2" xfId="13867" xr:uid="{00000000-0005-0000-0000-000016360000}"/>
    <cellStyle name="Dane wyjściowe 2 15 42 3" xfId="13868" xr:uid="{00000000-0005-0000-0000-000017360000}"/>
    <cellStyle name="Dane wyjściowe 2 15 43" xfId="13869" xr:uid="{00000000-0005-0000-0000-000018360000}"/>
    <cellStyle name="Dane wyjściowe 2 15 43 2" xfId="13870" xr:uid="{00000000-0005-0000-0000-000019360000}"/>
    <cellStyle name="Dane wyjściowe 2 15 43 3" xfId="13871" xr:uid="{00000000-0005-0000-0000-00001A360000}"/>
    <cellStyle name="Dane wyjściowe 2 15 44" xfId="13872" xr:uid="{00000000-0005-0000-0000-00001B360000}"/>
    <cellStyle name="Dane wyjściowe 2 15 44 2" xfId="13873" xr:uid="{00000000-0005-0000-0000-00001C360000}"/>
    <cellStyle name="Dane wyjściowe 2 15 44 3" xfId="13874" xr:uid="{00000000-0005-0000-0000-00001D360000}"/>
    <cellStyle name="Dane wyjściowe 2 15 45" xfId="13875" xr:uid="{00000000-0005-0000-0000-00001E360000}"/>
    <cellStyle name="Dane wyjściowe 2 15 45 2" xfId="13876" xr:uid="{00000000-0005-0000-0000-00001F360000}"/>
    <cellStyle name="Dane wyjściowe 2 15 45 3" xfId="13877" xr:uid="{00000000-0005-0000-0000-000020360000}"/>
    <cellStyle name="Dane wyjściowe 2 15 46" xfId="13878" xr:uid="{00000000-0005-0000-0000-000021360000}"/>
    <cellStyle name="Dane wyjściowe 2 15 46 2" xfId="13879" xr:uid="{00000000-0005-0000-0000-000022360000}"/>
    <cellStyle name="Dane wyjściowe 2 15 46 3" xfId="13880" xr:uid="{00000000-0005-0000-0000-000023360000}"/>
    <cellStyle name="Dane wyjściowe 2 15 47" xfId="13881" xr:uid="{00000000-0005-0000-0000-000024360000}"/>
    <cellStyle name="Dane wyjściowe 2 15 47 2" xfId="13882" xr:uid="{00000000-0005-0000-0000-000025360000}"/>
    <cellStyle name="Dane wyjściowe 2 15 47 3" xfId="13883" xr:uid="{00000000-0005-0000-0000-000026360000}"/>
    <cellStyle name="Dane wyjściowe 2 15 48" xfId="13884" xr:uid="{00000000-0005-0000-0000-000027360000}"/>
    <cellStyle name="Dane wyjściowe 2 15 48 2" xfId="13885" xr:uid="{00000000-0005-0000-0000-000028360000}"/>
    <cellStyle name="Dane wyjściowe 2 15 48 3" xfId="13886" xr:uid="{00000000-0005-0000-0000-000029360000}"/>
    <cellStyle name="Dane wyjściowe 2 15 49" xfId="13887" xr:uid="{00000000-0005-0000-0000-00002A360000}"/>
    <cellStyle name="Dane wyjściowe 2 15 49 2" xfId="13888" xr:uid="{00000000-0005-0000-0000-00002B360000}"/>
    <cellStyle name="Dane wyjściowe 2 15 49 3" xfId="13889" xr:uid="{00000000-0005-0000-0000-00002C360000}"/>
    <cellStyle name="Dane wyjściowe 2 15 5" xfId="13890" xr:uid="{00000000-0005-0000-0000-00002D360000}"/>
    <cellStyle name="Dane wyjściowe 2 15 5 2" xfId="13891" xr:uid="{00000000-0005-0000-0000-00002E360000}"/>
    <cellStyle name="Dane wyjściowe 2 15 5 3" xfId="13892" xr:uid="{00000000-0005-0000-0000-00002F360000}"/>
    <cellStyle name="Dane wyjściowe 2 15 5 4" xfId="13893" xr:uid="{00000000-0005-0000-0000-000030360000}"/>
    <cellStyle name="Dane wyjściowe 2 15 50" xfId="13894" xr:uid="{00000000-0005-0000-0000-000031360000}"/>
    <cellStyle name="Dane wyjściowe 2 15 50 2" xfId="13895" xr:uid="{00000000-0005-0000-0000-000032360000}"/>
    <cellStyle name="Dane wyjściowe 2 15 50 3" xfId="13896" xr:uid="{00000000-0005-0000-0000-000033360000}"/>
    <cellStyle name="Dane wyjściowe 2 15 51" xfId="13897" xr:uid="{00000000-0005-0000-0000-000034360000}"/>
    <cellStyle name="Dane wyjściowe 2 15 51 2" xfId="13898" xr:uid="{00000000-0005-0000-0000-000035360000}"/>
    <cellStyle name="Dane wyjściowe 2 15 51 3" xfId="13899" xr:uid="{00000000-0005-0000-0000-000036360000}"/>
    <cellStyle name="Dane wyjściowe 2 15 52" xfId="13900" xr:uid="{00000000-0005-0000-0000-000037360000}"/>
    <cellStyle name="Dane wyjściowe 2 15 52 2" xfId="13901" xr:uid="{00000000-0005-0000-0000-000038360000}"/>
    <cellStyle name="Dane wyjściowe 2 15 52 3" xfId="13902" xr:uid="{00000000-0005-0000-0000-000039360000}"/>
    <cellStyle name="Dane wyjściowe 2 15 53" xfId="13903" xr:uid="{00000000-0005-0000-0000-00003A360000}"/>
    <cellStyle name="Dane wyjściowe 2 15 53 2" xfId="13904" xr:uid="{00000000-0005-0000-0000-00003B360000}"/>
    <cellStyle name="Dane wyjściowe 2 15 53 3" xfId="13905" xr:uid="{00000000-0005-0000-0000-00003C360000}"/>
    <cellStyle name="Dane wyjściowe 2 15 54" xfId="13906" xr:uid="{00000000-0005-0000-0000-00003D360000}"/>
    <cellStyle name="Dane wyjściowe 2 15 54 2" xfId="13907" xr:uid="{00000000-0005-0000-0000-00003E360000}"/>
    <cellStyle name="Dane wyjściowe 2 15 54 3" xfId="13908" xr:uid="{00000000-0005-0000-0000-00003F360000}"/>
    <cellStyle name="Dane wyjściowe 2 15 55" xfId="13909" xr:uid="{00000000-0005-0000-0000-000040360000}"/>
    <cellStyle name="Dane wyjściowe 2 15 55 2" xfId="13910" xr:uid="{00000000-0005-0000-0000-000041360000}"/>
    <cellStyle name="Dane wyjściowe 2 15 55 3" xfId="13911" xr:uid="{00000000-0005-0000-0000-000042360000}"/>
    <cellStyle name="Dane wyjściowe 2 15 56" xfId="13912" xr:uid="{00000000-0005-0000-0000-000043360000}"/>
    <cellStyle name="Dane wyjściowe 2 15 56 2" xfId="13913" xr:uid="{00000000-0005-0000-0000-000044360000}"/>
    <cellStyle name="Dane wyjściowe 2 15 56 3" xfId="13914" xr:uid="{00000000-0005-0000-0000-000045360000}"/>
    <cellStyle name="Dane wyjściowe 2 15 57" xfId="13915" xr:uid="{00000000-0005-0000-0000-000046360000}"/>
    <cellStyle name="Dane wyjściowe 2 15 58" xfId="13916" xr:uid="{00000000-0005-0000-0000-000047360000}"/>
    <cellStyle name="Dane wyjściowe 2 15 6" xfId="13917" xr:uid="{00000000-0005-0000-0000-000048360000}"/>
    <cellStyle name="Dane wyjściowe 2 15 6 2" xfId="13918" xr:uid="{00000000-0005-0000-0000-000049360000}"/>
    <cellStyle name="Dane wyjściowe 2 15 6 3" xfId="13919" xr:uid="{00000000-0005-0000-0000-00004A360000}"/>
    <cellStyle name="Dane wyjściowe 2 15 6 4" xfId="13920" xr:uid="{00000000-0005-0000-0000-00004B360000}"/>
    <cellStyle name="Dane wyjściowe 2 15 7" xfId="13921" xr:uid="{00000000-0005-0000-0000-00004C360000}"/>
    <cellStyle name="Dane wyjściowe 2 15 7 2" xfId="13922" xr:uid="{00000000-0005-0000-0000-00004D360000}"/>
    <cellStyle name="Dane wyjściowe 2 15 7 3" xfId="13923" xr:uid="{00000000-0005-0000-0000-00004E360000}"/>
    <cellStyle name="Dane wyjściowe 2 15 7 4" xfId="13924" xr:uid="{00000000-0005-0000-0000-00004F360000}"/>
    <cellStyle name="Dane wyjściowe 2 15 8" xfId="13925" xr:uid="{00000000-0005-0000-0000-000050360000}"/>
    <cellStyle name="Dane wyjściowe 2 15 8 2" xfId="13926" xr:uid="{00000000-0005-0000-0000-000051360000}"/>
    <cellStyle name="Dane wyjściowe 2 15 8 3" xfId="13927" xr:uid="{00000000-0005-0000-0000-000052360000}"/>
    <cellStyle name="Dane wyjściowe 2 15 8 4" xfId="13928" xr:uid="{00000000-0005-0000-0000-000053360000}"/>
    <cellStyle name="Dane wyjściowe 2 15 9" xfId="13929" xr:uid="{00000000-0005-0000-0000-000054360000}"/>
    <cellStyle name="Dane wyjściowe 2 15 9 2" xfId="13930" xr:uid="{00000000-0005-0000-0000-000055360000}"/>
    <cellStyle name="Dane wyjściowe 2 15 9 3" xfId="13931" xr:uid="{00000000-0005-0000-0000-000056360000}"/>
    <cellStyle name="Dane wyjściowe 2 15 9 4" xfId="13932" xr:uid="{00000000-0005-0000-0000-000057360000}"/>
    <cellStyle name="Dane wyjściowe 2 16" xfId="13933" xr:uid="{00000000-0005-0000-0000-000058360000}"/>
    <cellStyle name="Dane wyjściowe 2 16 10" xfId="13934" xr:uid="{00000000-0005-0000-0000-000059360000}"/>
    <cellStyle name="Dane wyjściowe 2 16 10 2" xfId="13935" xr:uid="{00000000-0005-0000-0000-00005A360000}"/>
    <cellStyle name="Dane wyjściowe 2 16 10 3" xfId="13936" xr:uid="{00000000-0005-0000-0000-00005B360000}"/>
    <cellStyle name="Dane wyjściowe 2 16 10 4" xfId="13937" xr:uid="{00000000-0005-0000-0000-00005C360000}"/>
    <cellStyle name="Dane wyjściowe 2 16 11" xfId="13938" xr:uid="{00000000-0005-0000-0000-00005D360000}"/>
    <cellStyle name="Dane wyjściowe 2 16 11 2" xfId="13939" xr:uid="{00000000-0005-0000-0000-00005E360000}"/>
    <cellStyle name="Dane wyjściowe 2 16 11 3" xfId="13940" xr:uid="{00000000-0005-0000-0000-00005F360000}"/>
    <cellStyle name="Dane wyjściowe 2 16 11 4" xfId="13941" xr:uid="{00000000-0005-0000-0000-000060360000}"/>
    <cellStyle name="Dane wyjściowe 2 16 12" xfId="13942" xr:uid="{00000000-0005-0000-0000-000061360000}"/>
    <cellStyle name="Dane wyjściowe 2 16 12 2" xfId="13943" xr:uid="{00000000-0005-0000-0000-000062360000}"/>
    <cellStyle name="Dane wyjściowe 2 16 12 3" xfId="13944" xr:uid="{00000000-0005-0000-0000-000063360000}"/>
    <cellStyle name="Dane wyjściowe 2 16 12 4" xfId="13945" xr:uid="{00000000-0005-0000-0000-000064360000}"/>
    <cellStyle name="Dane wyjściowe 2 16 13" xfId="13946" xr:uid="{00000000-0005-0000-0000-000065360000}"/>
    <cellStyle name="Dane wyjściowe 2 16 13 2" xfId="13947" xr:uid="{00000000-0005-0000-0000-000066360000}"/>
    <cellStyle name="Dane wyjściowe 2 16 13 3" xfId="13948" xr:uid="{00000000-0005-0000-0000-000067360000}"/>
    <cellStyle name="Dane wyjściowe 2 16 13 4" xfId="13949" xr:uid="{00000000-0005-0000-0000-000068360000}"/>
    <cellStyle name="Dane wyjściowe 2 16 14" xfId="13950" xr:uid="{00000000-0005-0000-0000-000069360000}"/>
    <cellStyle name="Dane wyjściowe 2 16 14 2" xfId="13951" xr:uid="{00000000-0005-0000-0000-00006A360000}"/>
    <cellStyle name="Dane wyjściowe 2 16 14 3" xfId="13952" xr:uid="{00000000-0005-0000-0000-00006B360000}"/>
    <cellStyle name="Dane wyjściowe 2 16 14 4" xfId="13953" xr:uid="{00000000-0005-0000-0000-00006C360000}"/>
    <cellStyle name="Dane wyjściowe 2 16 15" xfId="13954" xr:uid="{00000000-0005-0000-0000-00006D360000}"/>
    <cellStyle name="Dane wyjściowe 2 16 15 2" xfId="13955" xr:uid="{00000000-0005-0000-0000-00006E360000}"/>
    <cellStyle name="Dane wyjściowe 2 16 15 3" xfId="13956" xr:uid="{00000000-0005-0000-0000-00006F360000}"/>
    <cellStyle name="Dane wyjściowe 2 16 15 4" xfId="13957" xr:uid="{00000000-0005-0000-0000-000070360000}"/>
    <cellStyle name="Dane wyjściowe 2 16 16" xfId="13958" xr:uid="{00000000-0005-0000-0000-000071360000}"/>
    <cellStyle name="Dane wyjściowe 2 16 16 2" xfId="13959" xr:uid="{00000000-0005-0000-0000-000072360000}"/>
    <cellStyle name="Dane wyjściowe 2 16 16 3" xfId="13960" xr:uid="{00000000-0005-0000-0000-000073360000}"/>
    <cellStyle name="Dane wyjściowe 2 16 16 4" xfId="13961" xr:uid="{00000000-0005-0000-0000-000074360000}"/>
    <cellStyle name="Dane wyjściowe 2 16 17" xfId="13962" xr:uid="{00000000-0005-0000-0000-000075360000}"/>
    <cellStyle name="Dane wyjściowe 2 16 17 2" xfId="13963" xr:uid="{00000000-0005-0000-0000-000076360000}"/>
    <cellStyle name="Dane wyjściowe 2 16 17 3" xfId="13964" xr:uid="{00000000-0005-0000-0000-000077360000}"/>
    <cellStyle name="Dane wyjściowe 2 16 17 4" xfId="13965" xr:uid="{00000000-0005-0000-0000-000078360000}"/>
    <cellStyle name="Dane wyjściowe 2 16 18" xfId="13966" xr:uid="{00000000-0005-0000-0000-000079360000}"/>
    <cellStyle name="Dane wyjściowe 2 16 18 2" xfId="13967" xr:uid="{00000000-0005-0000-0000-00007A360000}"/>
    <cellStyle name="Dane wyjściowe 2 16 18 3" xfId="13968" xr:uid="{00000000-0005-0000-0000-00007B360000}"/>
    <cellStyle name="Dane wyjściowe 2 16 18 4" xfId="13969" xr:uid="{00000000-0005-0000-0000-00007C360000}"/>
    <cellStyle name="Dane wyjściowe 2 16 19" xfId="13970" xr:uid="{00000000-0005-0000-0000-00007D360000}"/>
    <cellStyle name="Dane wyjściowe 2 16 19 2" xfId="13971" xr:uid="{00000000-0005-0000-0000-00007E360000}"/>
    <cellStyle name="Dane wyjściowe 2 16 19 3" xfId="13972" xr:uid="{00000000-0005-0000-0000-00007F360000}"/>
    <cellStyle name="Dane wyjściowe 2 16 19 4" xfId="13973" xr:uid="{00000000-0005-0000-0000-000080360000}"/>
    <cellStyle name="Dane wyjściowe 2 16 2" xfId="13974" xr:uid="{00000000-0005-0000-0000-000081360000}"/>
    <cellStyle name="Dane wyjściowe 2 16 2 2" xfId="13975" xr:uid="{00000000-0005-0000-0000-000082360000}"/>
    <cellStyle name="Dane wyjściowe 2 16 2 3" xfId="13976" xr:uid="{00000000-0005-0000-0000-000083360000}"/>
    <cellStyle name="Dane wyjściowe 2 16 2 4" xfId="13977" xr:uid="{00000000-0005-0000-0000-000084360000}"/>
    <cellStyle name="Dane wyjściowe 2 16 20" xfId="13978" xr:uid="{00000000-0005-0000-0000-000085360000}"/>
    <cellStyle name="Dane wyjściowe 2 16 20 2" xfId="13979" xr:uid="{00000000-0005-0000-0000-000086360000}"/>
    <cellStyle name="Dane wyjściowe 2 16 20 3" xfId="13980" xr:uid="{00000000-0005-0000-0000-000087360000}"/>
    <cellStyle name="Dane wyjściowe 2 16 20 4" xfId="13981" xr:uid="{00000000-0005-0000-0000-000088360000}"/>
    <cellStyle name="Dane wyjściowe 2 16 21" xfId="13982" xr:uid="{00000000-0005-0000-0000-000089360000}"/>
    <cellStyle name="Dane wyjściowe 2 16 21 2" xfId="13983" xr:uid="{00000000-0005-0000-0000-00008A360000}"/>
    <cellStyle name="Dane wyjściowe 2 16 21 3" xfId="13984" xr:uid="{00000000-0005-0000-0000-00008B360000}"/>
    <cellStyle name="Dane wyjściowe 2 16 22" xfId="13985" xr:uid="{00000000-0005-0000-0000-00008C360000}"/>
    <cellStyle name="Dane wyjściowe 2 16 22 2" xfId="13986" xr:uid="{00000000-0005-0000-0000-00008D360000}"/>
    <cellStyle name="Dane wyjściowe 2 16 22 3" xfId="13987" xr:uid="{00000000-0005-0000-0000-00008E360000}"/>
    <cellStyle name="Dane wyjściowe 2 16 23" xfId="13988" xr:uid="{00000000-0005-0000-0000-00008F360000}"/>
    <cellStyle name="Dane wyjściowe 2 16 23 2" xfId="13989" xr:uid="{00000000-0005-0000-0000-000090360000}"/>
    <cellStyle name="Dane wyjściowe 2 16 23 3" xfId="13990" xr:uid="{00000000-0005-0000-0000-000091360000}"/>
    <cellStyle name="Dane wyjściowe 2 16 24" xfId="13991" xr:uid="{00000000-0005-0000-0000-000092360000}"/>
    <cellStyle name="Dane wyjściowe 2 16 24 2" xfId="13992" xr:uid="{00000000-0005-0000-0000-000093360000}"/>
    <cellStyle name="Dane wyjściowe 2 16 24 3" xfId="13993" xr:uid="{00000000-0005-0000-0000-000094360000}"/>
    <cellStyle name="Dane wyjściowe 2 16 25" xfId="13994" xr:uid="{00000000-0005-0000-0000-000095360000}"/>
    <cellStyle name="Dane wyjściowe 2 16 25 2" xfId="13995" xr:uid="{00000000-0005-0000-0000-000096360000}"/>
    <cellStyle name="Dane wyjściowe 2 16 25 3" xfId="13996" xr:uid="{00000000-0005-0000-0000-000097360000}"/>
    <cellStyle name="Dane wyjściowe 2 16 26" xfId="13997" xr:uid="{00000000-0005-0000-0000-000098360000}"/>
    <cellStyle name="Dane wyjściowe 2 16 26 2" xfId="13998" xr:uid="{00000000-0005-0000-0000-000099360000}"/>
    <cellStyle name="Dane wyjściowe 2 16 26 3" xfId="13999" xr:uid="{00000000-0005-0000-0000-00009A360000}"/>
    <cellStyle name="Dane wyjściowe 2 16 27" xfId="14000" xr:uid="{00000000-0005-0000-0000-00009B360000}"/>
    <cellStyle name="Dane wyjściowe 2 16 27 2" xfId="14001" xr:uid="{00000000-0005-0000-0000-00009C360000}"/>
    <cellStyle name="Dane wyjściowe 2 16 27 3" xfId="14002" xr:uid="{00000000-0005-0000-0000-00009D360000}"/>
    <cellStyle name="Dane wyjściowe 2 16 28" xfId="14003" xr:uid="{00000000-0005-0000-0000-00009E360000}"/>
    <cellStyle name="Dane wyjściowe 2 16 28 2" xfId="14004" xr:uid="{00000000-0005-0000-0000-00009F360000}"/>
    <cellStyle name="Dane wyjściowe 2 16 28 3" xfId="14005" xr:uid="{00000000-0005-0000-0000-0000A0360000}"/>
    <cellStyle name="Dane wyjściowe 2 16 29" xfId="14006" xr:uid="{00000000-0005-0000-0000-0000A1360000}"/>
    <cellStyle name="Dane wyjściowe 2 16 29 2" xfId="14007" xr:uid="{00000000-0005-0000-0000-0000A2360000}"/>
    <cellStyle name="Dane wyjściowe 2 16 29 3" xfId="14008" xr:uid="{00000000-0005-0000-0000-0000A3360000}"/>
    <cellStyle name="Dane wyjściowe 2 16 3" xfId="14009" xr:uid="{00000000-0005-0000-0000-0000A4360000}"/>
    <cellStyle name="Dane wyjściowe 2 16 3 2" xfId="14010" xr:uid="{00000000-0005-0000-0000-0000A5360000}"/>
    <cellStyle name="Dane wyjściowe 2 16 3 3" xfId="14011" xr:uid="{00000000-0005-0000-0000-0000A6360000}"/>
    <cellStyle name="Dane wyjściowe 2 16 3 4" xfId="14012" xr:uid="{00000000-0005-0000-0000-0000A7360000}"/>
    <cellStyle name="Dane wyjściowe 2 16 30" xfId="14013" xr:uid="{00000000-0005-0000-0000-0000A8360000}"/>
    <cellStyle name="Dane wyjściowe 2 16 30 2" xfId="14014" xr:uid="{00000000-0005-0000-0000-0000A9360000}"/>
    <cellStyle name="Dane wyjściowe 2 16 30 3" xfId="14015" xr:uid="{00000000-0005-0000-0000-0000AA360000}"/>
    <cellStyle name="Dane wyjściowe 2 16 31" xfId="14016" xr:uid="{00000000-0005-0000-0000-0000AB360000}"/>
    <cellStyle name="Dane wyjściowe 2 16 31 2" xfId="14017" xr:uid="{00000000-0005-0000-0000-0000AC360000}"/>
    <cellStyle name="Dane wyjściowe 2 16 31 3" xfId="14018" xr:uid="{00000000-0005-0000-0000-0000AD360000}"/>
    <cellStyle name="Dane wyjściowe 2 16 32" xfId="14019" xr:uid="{00000000-0005-0000-0000-0000AE360000}"/>
    <cellStyle name="Dane wyjściowe 2 16 32 2" xfId="14020" xr:uid="{00000000-0005-0000-0000-0000AF360000}"/>
    <cellStyle name="Dane wyjściowe 2 16 32 3" xfId="14021" xr:uid="{00000000-0005-0000-0000-0000B0360000}"/>
    <cellStyle name="Dane wyjściowe 2 16 33" xfId="14022" xr:uid="{00000000-0005-0000-0000-0000B1360000}"/>
    <cellStyle name="Dane wyjściowe 2 16 33 2" xfId="14023" xr:uid="{00000000-0005-0000-0000-0000B2360000}"/>
    <cellStyle name="Dane wyjściowe 2 16 33 3" xfId="14024" xr:uid="{00000000-0005-0000-0000-0000B3360000}"/>
    <cellStyle name="Dane wyjściowe 2 16 34" xfId="14025" xr:uid="{00000000-0005-0000-0000-0000B4360000}"/>
    <cellStyle name="Dane wyjściowe 2 16 34 2" xfId="14026" xr:uid="{00000000-0005-0000-0000-0000B5360000}"/>
    <cellStyle name="Dane wyjściowe 2 16 34 3" xfId="14027" xr:uid="{00000000-0005-0000-0000-0000B6360000}"/>
    <cellStyle name="Dane wyjściowe 2 16 35" xfId="14028" xr:uid="{00000000-0005-0000-0000-0000B7360000}"/>
    <cellStyle name="Dane wyjściowe 2 16 35 2" xfId="14029" xr:uid="{00000000-0005-0000-0000-0000B8360000}"/>
    <cellStyle name="Dane wyjściowe 2 16 35 3" xfId="14030" xr:uid="{00000000-0005-0000-0000-0000B9360000}"/>
    <cellStyle name="Dane wyjściowe 2 16 36" xfId="14031" xr:uid="{00000000-0005-0000-0000-0000BA360000}"/>
    <cellStyle name="Dane wyjściowe 2 16 36 2" xfId="14032" xr:uid="{00000000-0005-0000-0000-0000BB360000}"/>
    <cellStyle name="Dane wyjściowe 2 16 36 3" xfId="14033" xr:uid="{00000000-0005-0000-0000-0000BC360000}"/>
    <cellStyle name="Dane wyjściowe 2 16 37" xfId="14034" xr:uid="{00000000-0005-0000-0000-0000BD360000}"/>
    <cellStyle name="Dane wyjściowe 2 16 37 2" xfId="14035" xr:uid="{00000000-0005-0000-0000-0000BE360000}"/>
    <cellStyle name="Dane wyjściowe 2 16 37 3" xfId="14036" xr:uid="{00000000-0005-0000-0000-0000BF360000}"/>
    <cellStyle name="Dane wyjściowe 2 16 38" xfId="14037" xr:uid="{00000000-0005-0000-0000-0000C0360000}"/>
    <cellStyle name="Dane wyjściowe 2 16 38 2" xfId="14038" xr:uid="{00000000-0005-0000-0000-0000C1360000}"/>
    <cellStyle name="Dane wyjściowe 2 16 38 3" xfId="14039" xr:uid="{00000000-0005-0000-0000-0000C2360000}"/>
    <cellStyle name="Dane wyjściowe 2 16 39" xfId="14040" xr:uid="{00000000-0005-0000-0000-0000C3360000}"/>
    <cellStyle name="Dane wyjściowe 2 16 39 2" xfId="14041" xr:uid="{00000000-0005-0000-0000-0000C4360000}"/>
    <cellStyle name="Dane wyjściowe 2 16 39 3" xfId="14042" xr:uid="{00000000-0005-0000-0000-0000C5360000}"/>
    <cellStyle name="Dane wyjściowe 2 16 4" xfId="14043" xr:uid="{00000000-0005-0000-0000-0000C6360000}"/>
    <cellStyle name="Dane wyjściowe 2 16 4 2" xfId="14044" xr:uid="{00000000-0005-0000-0000-0000C7360000}"/>
    <cellStyle name="Dane wyjściowe 2 16 4 3" xfId="14045" xr:uid="{00000000-0005-0000-0000-0000C8360000}"/>
    <cellStyle name="Dane wyjściowe 2 16 4 4" xfId="14046" xr:uid="{00000000-0005-0000-0000-0000C9360000}"/>
    <cellStyle name="Dane wyjściowe 2 16 40" xfId="14047" xr:uid="{00000000-0005-0000-0000-0000CA360000}"/>
    <cellStyle name="Dane wyjściowe 2 16 40 2" xfId="14048" xr:uid="{00000000-0005-0000-0000-0000CB360000}"/>
    <cellStyle name="Dane wyjściowe 2 16 40 3" xfId="14049" xr:uid="{00000000-0005-0000-0000-0000CC360000}"/>
    <cellStyle name="Dane wyjściowe 2 16 41" xfId="14050" xr:uid="{00000000-0005-0000-0000-0000CD360000}"/>
    <cellStyle name="Dane wyjściowe 2 16 41 2" xfId="14051" xr:uid="{00000000-0005-0000-0000-0000CE360000}"/>
    <cellStyle name="Dane wyjściowe 2 16 41 3" xfId="14052" xr:uid="{00000000-0005-0000-0000-0000CF360000}"/>
    <cellStyle name="Dane wyjściowe 2 16 42" xfId="14053" xr:uid="{00000000-0005-0000-0000-0000D0360000}"/>
    <cellStyle name="Dane wyjściowe 2 16 42 2" xfId="14054" xr:uid="{00000000-0005-0000-0000-0000D1360000}"/>
    <cellStyle name="Dane wyjściowe 2 16 42 3" xfId="14055" xr:uid="{00000000-0005-0000-0000-0000D2360000}"/>
    <cellStyle name="Dane wyjściowe 2 16 43" xfId="14056" xr:uid="{00000000-0005-0000-0000-0000D3360000}"/>
    <cellStyle name="Dane wyjściowe 2 16 43 2" xfId="14057" xr:uid="{00000000-0005-0000-0000-0000D4360000}"/>
    <cellStyle name="Dane wyjściowe 2 16 43 3" xfId="14058" xr:uid="{00000000-0005-0000-0000-0000D5360000}"/>
    <cellStyle name="Dane wyjściowe 2 16 44" xfId="14059" xr:uid="{00000000-0005-0000-0000-0000D6360000}"/>
    <cellStyle name="Dane wyjściowe 2 16 44 2" xfId="14060" xr:uid="{00000000-0005-0000-0000-0000D7360000}"/>
    <cellStyle name="Dane wyjściowe 2 16 44 3" xfId="14061" xr:uid="{00000000-0005-0000-0000-0000D8360000}"/>
    <cellStyle name="Dane wyjściowe 2 16 45" xfId="14062" xr:uid="{00000000-0005-0000-0000-0000D9360000}"/>
    <cellStyle name="Dane wyjściowe 2 16 45 2" xfId="14063" xr:uid="{00000000-0005-0000-0000-0000DA360000}"/>
    <cellStyle name="Dane wyjściowe 2 16 45 3" xfId="14064" xr:uid="{00000000-0005-0000-0000-0000DB360000}"/>
    <cellStyle name="Dane wyjściowe 2 16 46" xfId="14065" xr:uid="{00000000-0005-0000-0000-0000DC360000}"/>
    <cellStyle name="Dane wyjściowe 2 16 46 2" xfId="14066" xr:uid="{00000000-0005-0000-0000-0000DD360000}"/>
    <cellStyle name="Dane wyjściowe 2 16 46 3" xfId="14067" xr:uid="{00000000-0005-0000-0000-0000DE360000}"/>
    <cellStyle name="Dane wyjściowe 2 16 47" xfId="14068" xr:uid="{00000000-0005-0000-0000-0000DF360000}"/>
    <cellStyle name="Dane wyjściowe 2 16 47 2" xfId="14069" xr:uid="{00000000-0005-0000-0000-0000E0360000}"/>
    <cellStyle name="Dane wyjściowe 2 16 47 3" xfId="14070" xr:uid="{00000000-0005-0000-0000-0000E1360000}"/>
    <cellStyle name="Dane wyjściowe 2 16 48" xfId="14071" xr:uid="{00000000-0005-0000-0000-0000E2360000}"/>
    <cellStyle name="Dane wyjściowe 2 16 48 2" xfId="14072" xr:uid="{00000000-0005-0000-0000-0000E3360000}"/>
    <cellStyle name="Dane wyjściowe 2 16 48 3" xfId="14073" xr:uid="{00000000-0005-0000-0000-0000E4360000}"/>
    <cellStyle name="Dane wyjściowe 2 16 49" xfId="14074" xr:uid="{00000000-0005-0000-0000-0000E5360000}"/>
    <cellStyle name="Dane wyjściowe 2 16 49 2" xfId="14075" xr:uid="{00000000-0005-0000-0000-0000E6360000}"/>
    <cellStyle name="Dane wyjściowe 2 16 49 3" xfId="14076" xr:uid="{00000000-0005-0000-0000-0000E7360000}"/>
    <cellStyle name="Dane wyjściowe 2 16 5" xfId="14077" xr:uid="{00000000-0005-0000-0000-0000E8360000}"/>
    <cellStyle name="Dane wyjściowe 2 16 5 2" xfId="14078" xr:uid="{00000000-0005-0000-0000-0000E9360000}"/>
    <cellStyle name="Dane wyjściowe 2 16 5 3" xfId="14079" xr:uid="{00000000-0005-0000-0000-0000EA360000}"/>
    <cellStyle name="Dane wyjściowe 2 16 5 4" xfId="14080" xr:uid="{00000000-0005-0000-0000-0000EB360000}"/>
    <cellStyle name="Dane wyjściowe 2 16 50" xfId="14081" xr:uid="{00000000-0005-0000-0000-0000EC360000}"/>
    <cellStyle name="Dane wyjściowe 2 16 50 2" xfId="14082" xr:uid="{00000000-0005-0000-0000-0000ED360000}"/>
    <cellStyle name="Dane wyjściowe 2 16 50 3" xfId="14083" xr:uid="{00000000-0005-0000-0000-0000EE360000}"/>
    <cellStyle name="Dane wyjściowe 2 16 51" xfId="14084" xr:uid="{00000000-0005-0000-0000-0000EF360000}"/>
    <cellStyle name="Dane wyjściowe 2 16 51 2" xfId="14085" xr:uid="{00000000-0005-0000-0000-0000F0360000}"/>
    <cellStyle name="Dane wyjściowe 2 16 51 3" xfId="14086" xr:uid="{00000000-0005-0000-0000-0000F1360000}"/>
    <cellStyle name="Dane wyjściowe 2 16 52" xfId="14087" xr:uid="{00000000-0005-0000-0000-0000F2360000}"/>
    <cellStyle name="Dane wyjściowe 2 16 52 2" xfId="14088" xr:uid="{00000000-0005-0000-0000-0000F3360000}"/>
    <cellStyle name="Dane wyjściowe 2 16 52 3" xfId="14089" xr:uid="{00000000-0005-0000-0000-0000F4360000}"/>
    <cellStyle name="Dane wyjściowe 2 16 53" xfId="14090" xr:uid="{00000000-0005-0000-0000-0000F5360000}"/>
    <cellStyle name="Dane wyjściowe 2 16 53 2" xfId="14091" xr:uid="{00000000-0005-0000-0000-0000F6360000}"/>
    <cellStyle name="Dane wyjściowe 2 16 53 3" xfId="14092" xr:uid="{00000000-0005-0000-0000-0000F7360000}"/>
    <cellStyle name="Dane wyjściowe 2 16 54" xfId="14093" xr:uid="{00000000-0005-0000-0000-0000F8360000}"/>
    <cellStyle name="Dane wyjściowe 2 16 54 2" xfId="14094" xr:uid="{00000000-0005-0000-0000-0000F9360000}"/>
    <cellStyle name="Dane wyjściowe 2 16 54 3" xfId="14095" xr:uid="{00000000-0005-0000-0000-0000FA360000}"/>
    <cellStyle name="Dane wyjściowe 2 16 55" xfId="14096" xr:uid="{00000000-0005-0000-0000-0000FB360000}"/>
    <cellStyle name="Dane wyjściowe 2 16 55 2" xfId="14097" xr:uid="{00000000-0005-0000-0000-0000FC360000}"/>
    <cellStyle name="Dane wyjściowe 2 16 55 3" xfId="14098" xr:uid="{00000000-0005-0000-0000-0000FD360000}"/>
    <cellStyle name="Dane wyjściowe 2 16 56" xfId="14099" xr:uid="{00000000-0005-0000-0000-0000FE360000}"/>
    <cellStyle name="Dane wyjściowe 2 16 56 2" xfId="14100" xr:uid="{00000000-0005-0000-0000-0000FF360000}"/>
    <cellStyle name="Dane wyjściowe 2 16 56 3" xfId="14101" xr:uid="{00000000-0005-0000-0000-000000370000}"/>
    <cellStyle name="Dane wyjściowe 2 16 57" xfId="14102" xr:uid="{00000000-0005-0000-0000-000001370000}"/>
    <cellStyle name="Dane wyjściowe 2 16 58" xfId="14103" xr:uid="{00000000-0005-0000-0000-000002370000}"/>
    <cellStyle name="Dane wyjściowe 2 16 6" xfId="14104" xr:uid="{00000000-0005-0000-0000-000003370000}"/>
    <cellStyle name="Dane wyjściowe 2 16 6 2" xfId="14105" xr:uid="{00000000-0005-0000-0000-000004370000}"/>
    <cellStyle name="Dane wyjściowe 2 16 6 3" xfId="14106" xr:uid="{00000000-0005-0000-0000-000005370000}"/>
    <cellStyle name="Dane wyjściowe 2 16 6 4" xfId="14107" xr:uid="{00000000-0005-0000-0000-000006370000}"/>
    <cellStyle name="Dane wyjściowe 2 16 7" xfId="14108" xr:uid="{00000000-0005-0000-0000-000007370000}"/>
    <cellStyle name="Dane wyjściowe 2 16 7 2" xfId="14109" xr:uid="{00000000-0005-0000-0000-000008370000}"/>
    <cellStyle name="Dane wyjściowe 2 16 7 3" xfId="14110" xr:uid="{00000000-0005-0000-0000-000009370000}"/>
    <cellStyle name="Dane wyjściowe 2 16 7 4" xfId="14111" xr:uid="{00000000-0005-0000-0000-00000A370000}"/>
    <cellStyle name="Dane wyjściowe 2 16 8" xfId="14112" xr:uid="{00000000-0005-0000-0000-00000B370000}"/>
    <cellStyle name="Dane wyjściowe 2 16 8 2" xfId="14113" xr:uid="{00000000-0005-0000-0000-00000C370000}"/>
    <cellStyle name="Dane wyjściowe 2 16 8 3" xfId="14114" xr:uid="{00000000-0005-0000-0000-00000D370000}"/>
    <cellStyle name="Dane wyjściowe 2 16 8 4" xfId="14115" xr:uid="{00000000-0005-0000-0000-00000E370000}"/>
    <cellStyle name="Dane wyjściowe 2 16 9" xfId="14116" xr:uid="{00000000-0005-0000-0000-00000F370000}"/>
    <cellStyle name="Dane wyjściowe 2 16 9 2" xfId="14117" xr:uid="{00000000-0005-0000-0000-000010370000}"/>
    <cellStyle name="Dane wyjściowe 2 16 9 3" xfId="14118" xr:uid="{00000000-0005-0000-0000-000011370000}"/>
    <cellStyle name="Dane wyjściowe 2 16 9 4" xfId="14119" xr:uid="{00000000-0005-0000-0000-000012370000}"/>
    <cellStyle name="Dane wyjściowe 2 17" xfId="14120" xr:uid="{00000000-0005-0000-0000-000013370000}"/>
    <cellStyle name="Dane wyjściowe 2 17 10" xfId="14121" xr:uid="{00000000-0005-0000-0000-000014370000}"/>
    <cellStyle name="Dane wyjściowe 2 17 10 2" xfId="14122" xr:uid="{00000000-0005-0000-0000-000015370000}"/>
    <cellStyle name="Dane wyjściowe 2 17 10 3" xfId="14123" xr:uid="{00000000-0005-0000-0000-000016370000}"/>
    <cellStyle name="Dane wyjściowe 2 17 10 4" xfId="14124" xr:uid="{00000000-0005-0000-0000-000017370000}"/>
    <cellStyle name="Dane wyjściowe 2 17 11" xfId="14125" xr:uid="{00000000-0005-0000-0000-000018370000}"/>
    <cellStyle name="Dane wyjściowe 2 17 11 2" xfId="14126" xr:uid="{00000000-0005-0000-0000-000019370000}"/>
    <cellStyle name="Dane wyjściowe 2 17 11 3" xfId="14127" xr:uid="{00000000-0005-0000-0000-00001A370000}"/>
    <cellStyle name="Dane wyjściowe 2 17 11 4" xfId="14128" xr:uid="{00000000-0005-0000-0000-00001B370000}"/>
    <cellStyle name="Dane wyjściowe 2 17 12" xfId="14129" xr:uid="{00000000-0005-0000-0000-00001C370000}"/>
    <cellStyle name="Dane wyjściowe 2 17 12 2" xfId="14130" xr:uid="{00000000-0005-0000-0000-00001D370000}"/>
    <cellStyle name="Dane wyjściowe 2 17 12 3" xfId="14131" xr:uid="{00000000-0005-0000-0000-00001E370000}"/>
    <cellStyle name="Dane wyjściowe 2 17 12 4" xfId="14132" xr:uid="{00000000-0005-0000-0000-00001F370000}"/>
    <cellStyle name="Dane wyjściowe 2 17 13" xfId="14133" xr:uid="{00000000-0005-0000-0000-000020370000}"/>
    <cellStyle name="Dane wyjściowe 2 17 13 2" xfId="14134" xr:uid="{00000000-0005-0000-0000-000021370000}"/>
    <cellStyle name="Dane wyjściowe 2 17 13 3" xfId="14135" xr:uid="{00000000-0005-0000-0000-000022370000}"/>
    <cellStyle name="Dane wyjściowe 2 17 13 4" xfId="14136" xr:uid="{00000000-0005-0000-0000-000023370000}"/>
    <cellStyle name="Dane wyjściowe 2 17 14" xfId="14137" xr:uid="{00000000-0005-0000-0000-000024370000}"/>
    <cellStyle name="Dane wyjściowe 2 17 14 2" xfId="14138" xr:uid="{00000000-0005-0000-0000-000025370000}"/>
    <cellStyle name="Dane wyjściowe 2 17 14 3" xfId="14139" xr:uid="{00000000-0005-0000-0000-000026370000}"/>
    <cellStyle name="Dane wyjściowe 2 17 14 4" xfId="14140" xr:uid="{00000000-0005-0000-0000-000027370000}"/>
    <cellStyle name="Dane wyjściowe 2 17 15" xfId="14141" xr:uid="{00000000-0005-0000-0000-000028370000}"/>
    <cellStyle name="Dane wyjściowe 2 17 15 2" xfId="14142" xr:uid="{00000000-0005-0000-0000-000029370000}"/>
    <cellStyle name="Dane wyjściowe 2 17 15 3" xfId="14143" xr:uid="{00000000-0005-0000-0000-00002A370000}"/>
    <cellStyle name="Dane wyjściowe 2 17 15 4" xfId="14144" xr:uid="{00000000-0005-0000-0000-00002B370000}"/>
    <cellStyle name="Dane wyjściowe 2 17 16" xfId="14145" xr:uid="{00000000-0005-0000-0000-00002C370000}"/>
    <cellStyle name="Dane wyjściowe 2 17 16 2" xfId="14146" xr:uid="{00000000-0005-0000-0000-00002D370000}"/>
    <cellStyle name="Dane wyjściowe 2 17 16 3" xfId="14147" xr:uid="{00000000-0005-0000-0000-00002E370000}"/>
    <cellStyle name="Dane wyjściowe 2 17 16 4" xfId="14148" xr:uid="{00000000-0005-0000-0000-00002F370000}"/>
    <cellStyle name="Dane wyjściowe 2 17 17" xfId="14149" xr:uid="{00000000-0005-0000-0000-000030370000}"/>
    <cellStyle name="Dane wyjściowe 2 17 17 2" xfId="14150" xr:uid="{00000000-0005-0000-0000-000031370000}"/>
    <cellStyle name="Dane wyjściowe 2 17 17 3" xfId="14151" xr:uid="{00000000-0005-0000-0000-000032370000}"/>
    <cellStyle name="Dane wyjściowe 2 17 17 4" xfId="14152" xr:uid="{00000000-0005-0000-0000-000033370000}"/>
    <cellStyle name="Dane wyjściowe 2 17 18" xfId="14153" xr:uid="{00000000-0005-0000-0000-000034370000}"/>
    <cellStyle name="Dane wyjściowe 2 17 18 2" xfId="14154" xr:uid="{00000000-0005-0000-0000-000035370000}"/>
    <cellStyle name="Dane wyjściowe 2 17 18 3" xfId="14155" xr:uid="{00000000-0005-0000-0000-000036370000}"/>
    <cellStyle name="Dane wyjściowe 2 17 18 4" xfId="14156" xr:uid="{00000000-0005-0000-0000-000037370000}"/>
    <cellStyle name="Dane wyjściowe 2 17 19" xfId="14157" xr:uid="{00000000-0005-0000-0000-000038370000}"/>
    <cellStyle name="Dane wyjściowe 2 17 19 2" xfId="14158" xr:uid="{00000000-0005-0000-0000-000039370000}"/>
    <cellStyle name="Dane wyjściowe 2 17 19 3" xfId="14159" xr:uid="{00000000-0005-0000-0000-00003A370000}"/>
    <cellStyle name="Dane wyjściowe 2 17 19 4" xfId="14160" xr:uid="{00000000-0005-0000-0000-00003B370000}"/>
    <cellStyle name="Dane wyjściowe 2 17 2" xfId="14161" xr:uid="{00000000-0005-0000-0000-00003C370000}"/>
    <cellStyle name="Dane wyjściowe 2 17 2 2" xfId="14162" xr:uid="{00000000-0005-0000-0000-00003D370000}"/>
    <cellStyle name="Dane wyjściowe 2 17 2 3" xfId="14163" xr:uid="{00000000-0005-0000-0000-00003E370000}"/>
    <cellStyle name="Dane wyjściowe 2 17 2 4" xfId="14164" xr:uid="{00000000-0005-0000-0000-00003F370000}"/>
    <cellStyle name="Dane wyjściowe 2 17 20" xfId="14165" xr:uid="{00000000-0005-0000-0000-000040370000}"/>
    <cellStyle name="Dane wyjściowe 2 17 20 2" xfId="14166" xr:uid="{00000000-0005-0000-0000-000041370000}"/>
    <cellStyle name="Dane wyjściowe 2 17 20 3" xfId="14167" xr:uid="{00000000-0005-0000-0000-000042370000}"/>
    <cellStyle name="Dane wyjściowe 2 17 20 4" xfId="14168" xr:uid="{00000000-0005-0000-0000-000043370000}"/>
    <cellStyle name="Dane wyjściowe 2 17 21" xfId="14169" xr:uid="{00000000-0005-0000-0000-000044370000}"/>
    <cellStyle name="Dane wyjściowe 2 17 21 2" xfId="14170" xr:uid="{00000000-0005-0000-0000-000045370000}"/>
    <cellStyle name="Dane wyjściowe 2 17 21 3" xfId="14171" xr:uid="{00000000-0005-0000-0000-000046370000}"/>
    <cellStyle name="Dane wyjściowe 2 17 22" xfId="14172" xr:uid="{00000000-0005-0000-0000-000047370000}"/>
    <cellStyle name="Dane wyjściowe 2 17 22 2" xfId="14173" xr:uid="{00000000-0005-0000-0000-000048370000}"/>
    <cellStyle name="Dane wyjściowe 2 17 22 3" xfId="14174" xr:uid="{00000000-0005-0000-0000-000049370000}"/>
    <cellStyle name="Dane wyjściowe 2 17 23" xfId="14175" xr:uid="{00000000-0005-0000-0000-00004A370000}"/>
    <cellStyle name="Dane wyjściowe 2 17 23 2" xfId="14176" xr:uid="{00000000-0005-0000-0000-00004B370000}"/>
    <cellStyle name="Dane wyjściowe 2 17 23 3" xfId="14177" xr:uid="{00000000-0005-0000-0000-00004C370000}"/>
    <cellStyle name="Dane wyjściowe 2 17 24" xfId="14178" xr:uid="{00000000-0005-0000-0000-00004D370000}"/>
    <cellStyle name="Dane wyjściowe 2 17 24 2" xfId="14179" xr:uid="{00000000-0005-0000-0000-00004E370000}"/>
    <cellStyle name="Dane wyjściowe 2 17 24 3" xfId="14180" xr:uid="{00000000-0005-0000-0000-00004F370000}"/>
    <cellStyle name="Dane wyjściowe 2 17 25" xfId="14181" xr:uid="{00000000-0005-0000-0000-000050370000}"/>
    <cellStyle name="Dane wyjściowe 2 17 25 2" xfId="14182" xr:uid="{00000000-0005-0000-0000-000051370000}"/>
    <cellStyle name="Dane wyjściowe 2 17 25 3" xfId="14183" xr:uid="{00000000-0005-0000-0000-000052370000}"/>
    <cellStyle name="Dane wyjściowe 2 17 26" xfId="14184" xr:uid="{00000000-0005-0000-0000-000053370000}"/>
    <cellStyle name="Dane wyjściowe 2 17 26 2" xfId="14185" xr:uid="{00000000-0005-0000-0000-000054370000}"/>
    <cellStyle name="Dane wyjściowe 2 17 26 3" xfId="14186" xr:uid="{00000000-0005-0000-0000-000055370000}"/>
    <cellStyle name="Dane wyjściowe 2 17 27" xfId="14187" xr:uid="{00000000-0005-0000-0000-000056370000}"/>
    <cellStyle name="Dane wyjściowe 2 17 27 2" xfId="14188" xr:uid="{00000000-0005-0000-0000-000057370000}"/>
    <cellStyle name="Dane wyjściowe 2 17 27 3" xfId="14189" xr:uid="{00000000-0005-0000-0000-000058370000}"/>
    <cellStyle name="Dane wyjściowe 2 17 28" xfId="14190" xr:uid="{00000000-0005-0000-0000-000059370000}"/>
    <cellStyle name="Dane wyjściowe 2 17 28 2" xfId="14191" xr:uid="{00000000-0005-0000-0000-00005A370000}"/>
    <cellStyle name="Dane wyjściowe 2 17 28 3" xfId="14192" xr:uid="{00000000-0005-0000-0000-00005B370000}"/>
    <cellStyle name="Dane wyjściowe 2 17 29" xfId="14193" xr:uid="{00000000-0005-0000-0000-00005C370000}"/>
    <cellStyle name="Dane wyjściowe 2 17 29 2" xfId="14194" xr:uid="{00000000-0005-0000-0000-00005D370000}"/>
    <cellStyle name="Dane wyjściowe 2 17 29 3" xfId="14195" xr:uid="{00000000-0005-0000-0000-00005E370000}"/>
    <cellStyle name="Dane wyjściowe 2 17 3" xfId="14196" xr:uid="{00000000-0005-0000-0000-00005F370000}"/>
    <cellStyle name="Dane wyjściowe 2 17 3 2" xfId="14197" xr:uid="{00000000-0005-0000-0000-000060370000}"/>
    <cellStyle name="Dane wyjściowe 2 17 3 3" xfId="14198" xr:uid="{00000000-0005-0000-0000-000061370000}"/>
    <cellStyle name="Dane wyjściowe 2 17 3 4" xfId="14199" xr:uid="{00000000-0005-0000-0000-000062370000}"/>
    <cellStyle name="Dane wyjściowe 2 17 30" xfId="14200" xr:uid="{00000000-0005-0000-0000-000063370000}"/>
    <cellStyle name="Dane wyjściowe 2 17 30 2" xfId="14201" xr:uid="{00000000-0005-0000-0000-000064370000}"/>
    <cellStyle name="Dane wyjściowe 2 17 30 3" xfId="14202" xr:uid="{00000000-0005-0000-0000-000065370000}"/>
    <cellStyle name="Dane wyjściowe 2 17 31" xfId="14203" xr:uid="{00000000-0005-0000-0000-000066370000}"/>
    <cellStyle name="Dane wyjściowe 2 17 31 2" xfId="14204" xr:uid="{00000000-0005-0000-0000-000067370000}"/>
    <cellStyle name="Dane wyjściowe 2 17 31 3" xfId="14205" xr:uid="{00000000-0005-0000-0000-000068370000}"/>
    <cellStyle name="Dane wyjściowe 2 17 32" xfId="14206" xr:uid="{00000000-0005-0000-0000-000069370000}"/>
    <cellStyle name="Dane wyjściowe 2 17 32 2" xfId="14207" xr:uid="{00000000-0005-0000-0000-00006A370000}"/>
    <cellStyle name="Dane wyjściowe 2 17 32 3" xfId="14208" xr:uid="{00000000-0005-0000-0000-00006B370000}"/>
    <cellStyle name="Dane wyjściowe 2 17 33" xfId="14209" xr:uid="{00000000-0005-0000-0000-00006C370000}"/>
    <cellStyle name="Dane wyjściowe 2 17 33 2" xfId="14210" xr:uid="{00000000-0005-0000-0000-00006D370000}"/>
    <cellStyle name="Dane wyjściowe 2 17 33 3" xfId="14211" xr:uid="{00000000-0005-0000-0000-00006E370000}"/>
    <cellStyle name="Dane wyjściowe 2 17 34" xfId="14212" xr:uid="{00000000-0005-0000-0000-00006F370000}"/>
    <cellStyle name="Dane wyjściowe 2 17 34 2" xfId="14213" xr:uid="{00000000-0005-0000-0000-000070370000}"/>
    <cellStyle name="Dane wyjściowe 2 17 34 3" xfId="14214" xr:uid="{00000000-0005-0000-0000-000071370000}"/>
    <cellStyle name="Dane wyjściowe 2 17 35" xfId="14215" xr:uid="{00000000-0005-0000-0000-000072370000}"/>
    <cellStyle name="Dane wyjściowe 2 17 35 2" xfId="14216" xr:uid="{00000000-0005-0000-0000-000073370000}"/>
    <cellStyle name="Dane wyjściowe 2 17 35 3" xfId="14217" xr:uid="{00000000-0005-0000-0000-000074370000}"/>
    <cellStyle name="Dane wyjściowe 2 17 36" xfId="14218" xr:uid="{00000000-0005-0000-0000-000075370000}"/>
    <cellStyle name="Dane wyjściowe 2 17 36 2" xfId="14219" xr:uid="{00000000-0005-0000-0000-000076370000}"/>
    <cellStyle name="Dane wyjściowe 2 17 36 3" xfId="14220" xr:uid="{00000000-0005-0000-0000-000077370000}"/>
    <cellStyle name="Dane wyjściowe 2 17 37" xfId="14221" xr:uid="{00000000-0005-0000-0000-000078370000}"/>
    <cellStyle name="Dane wyjściowe 2 17 37 2" xfId="14222" xr:uid="{00000000-0005-0000-0000-000079370000}"/>
    <cellStyle name="Dane wyjściowe 2 17 37 3" xfId="14223" xr:uid="{00000000-0005-0000-0000-00007A370000}"/>
    <cellStyle name="Dane wyjściowe 2 17 38" xfId="14224" xr:uid="{00000000-0005-0000-0000-00007B370000}"/>
    <cellStyle name="Dane wyjściowe 2 17 38 2" xfId="14225" xr:uid="{00000000-0005-0000-0000-00007C370000}"/>
    <cellStyle name="Dane wyjściowe 2 17 38 3" xfId="14226" xr:uid="{00000000-0005-0000-0000-00007D370000}"/>
    <cellStyle name="Dane wyjściowe 2 17 39" xfId="14227" xr:uid="{00000000-0005-0000-0000-00007E370000}"/>
    <cellStyle name="Dane wyjściowe 2 17 39 2" xfId="14228" xr:uid="{00000000-0005-0000-0000-00007F370000}"/>
    <cellStyle name="Dane wyjściowe 2 17 39 3" xfId="14229" xr:uid="{00000000-0005-0000-0000-000080370000}"/>
    <cellStyle name="Dane wyjściowe 2 17 4" xfId="14230" xr:uid="{00000000-0005-0000-0000-000081370000}"/>
    <cellStyle name="Dane wyjściowe 2 17 4 2" xfId="14231" xr:uid="{00000000-0005-0000-0000-000082370000}"/>
    <cellStyle name="Dane wyjściowe 2 17 4 3" xfId="14232" xr:uid="{00000000-0005-0000-0000-000083370000}"/>
    <cellStyle name="Dane wyjściowe 2 17 4 4" xfId="14233" xr:uid="{00000000-0005-0000-0000-000084370000}"/>
    <cellStyle name="Dane wyjściowe 2 17 40" xfId="14234" xr:uid="{00000000-0005-0000-0000-000085370000}"/>
    <cellStyle name="Dane wyjściowe 2 17 40 2" xfId="14235" xr:uid="{00000000-0005-0000-0000-000086370000}"/>
    <cellStyle name="Dane wyjściowe 2 17 40 3" xfId="14236" xr:uid="{00000000-0005-0000-0000-000087370000}"/>
    <cellStyle name="Dane wyjściowe 2 17 41" xfId="14237" xr:uid="{00000000-0005-0000-0000-000088370000}"/>
    <cellStyle name="Dane wyjściowe 2 17 41 2" xfId="14238" xr:uid="{00000000-0005-0000-0000-000089370000}"/>
    <cellStyle name="Dane wyjściowe 2 17 41 3" xfId="14239" xr:uid="{00000000-0005-0000-0000-00008A370000}"/>
    <cellStyle name="Dane wyjściowe 2 17 42" xfId="14240" xr:uid="{00000000-0005-0000-0000-00008B370000}"/>
    <cellStyle name="Dane wyjściowe 2 17 42 2" xfId="14241" xr:uid="{00000000-0005-0000-0000-00008C370000}"/>
    <cellStyle name="Dane wyjściowe 2 17 42 3" xfId="14242" xr:uid="{00000000-0005-0000-0000-00008D370000}"/>
    <cellStyle name="Dane wyjściowe 2 17 43" xfId="14243" xr:uid="{00000000-0005-0000-0000-00008E370000}"/>
    <cellStyle name="Dane wyjściowe 2 17 43 2" xfId="14244" xr:uid="{00000000-0005-0000-0000-00008F370000}"/>
    <cellStyle name="Dane wyjściowe 2 17 43 3" xfId="14245" xr:uid="{00000000-0005-0000-0000-000090370000}"/>
    <cellStyle name="Dane wyjściowe 2 17 44" xfId="14246" xr:uid="{00000000-0005-0000-0000-000091370000}"/>
    <cellStyle name="Dane wyjściowe 2 17 44 2" xfId="14247" xr:uid="{00000000-0005-0000-0000-000092370000}"/>
    <cellStyle name="Dane wyjściowe 2 17 44 3" xfId="14248" xr:uid="{00000000-0005-0000-0000-000093370000}"/>
    <cellStyle name="Dane wyjściowe 2 17 45" xfId="14249" xr:uid="{00000000-0005-0000-0000-000094370000}"/>
    <cellStyle name="Dane wyjściowe 2 17 45 2" xfId="14250" xr:uid="{00000000-0005-0000-0000-000095370000}"/>
    <cellStyle name="Dane wyjściowe 2 17 45 3" xfId="14251" xr:uid="{00000000-0005-0000-0000-000096370000}"/>
    <cellStyle name="Dane wyjściowe 2 17 46" xfId="14252" xr:uid="{00000000-0005-0000-0000-000097370000}"/>
    <cellStyle name="Dane wyjściowe 2 17 46 2" xfId="14253" xr:uid="{00000000-0005-0000-0000-000098370000}"/>
    <cellStyle name="Dane wyjściowe 2 17 46 3" xfId="14254" xr:uid="{00000000-0005-0000-0000-000099370000}"/>
    <cellStyle name="Dane wyjściowe 2 17 47" xfId="14255" xr:uid="{00000000-0005-0000-0000-00009A370000}"/>
    <cellStyle name="Dane wyjściowe 2 17 47 2" xfId="14256" xr:uid="{00000000-0005-0000-0000-00009B370000}"/>
    <cellStyle name="Dane wyjściowe 2 17 47 3" xfId="14257" xr:uid="{00000000-0005-0000-0000-00009C370000}"/>
    <cellStyle name="Dane wyjściowe 2 17 48" xfId="14258" xr:uid="{00000000-0005-0000-0000-00009D370000}"/>
    <cellStyle name="Dane wyjściowe 2 17 48 2" xfId="14259" xr:uid="{00000000-0005-0000-0000-00009E370000}"/>
    <cellStyle name="Dane wyjściowe 2 17 48 3" xfId="14260" xr:uid="{00000000-0005-0000-0000-00009F370000}"/>
    <cellStyle name="Dane wyjściowe 2 17 49" xfId="14261" xr:uid="{00000000-0005-0000-0000-0000A0370000}"/>
    <cellStyle name="Dane wyjściowe 2 17 49 2" xfId="14262" xr:uid="{00000000-0005-0000-0000-0000A1370000}"/>
    <cellStyle name="Dane wyjściowe 2 17 49 3" xfId="14263" xr:uid="{00000000-0005-0000-0000-0000A2370000}"/>
    <cellStyle name="Dane wyjściowe 2 17 5" xfId="14264" xr:uid="{00000000-0005-0000-0000-0000A3370000}"/>
    <cellStyle name="Dane wyjściowe 2 17 5 2" xfId="14265" xr:uid="{00000000-0005-0000-0000-0000A4370000}"/>
    <cellStyle name="Dane wyjściowe 2 17 5 3" xfId="14266" xr:uid="{00000000-0005-0000-0000-0000A5370000}"/>
    <cellStyle name="Dane wyjściowe 2 17 5 4" xfId="14267" xr:uid="{00000000-0005-0000-0000-0000A6370000}"/>
    <cellStyle name="Dane wyjściowe 2 17 50" xfId="14268" xr:uid="{00000000-0005-0000-0000-0000A7370000}"/>
    <cellStyle name="Dane wyjściowe 2 17 50 2" xfId="14269" xr:uid="{00000000-0005-0000-0000-0000A8370000}"/>
    <cellStyle name="Dane wyjściowe 2 17 50 3" xfId="14270" xr:uid="{00000000-0005-0000-0000-0000A9370000}"/>
    <cellStyle name="Dane wyjściowe 2 17 51" xfId="14271" xr:uid="{00000000-0005-0000-0000-0000AA370000}"/>
    <cellStyle name="Dane wyjściowe 2 17 51 2" xfId="14272" xr:uid="{00000000-0005-0000-0000-0000AB370000}"/>
    <cellStyle name="Dane wyjściowe 2 17 51 3" xfId="14273" xr:uid="{00000000-0005-0000-0000-0000AC370000}"/>
    <cellStyle name="Dane wyjściowe 2 17 52" xfId="14274" xr:uid="{00000000-0005-0000-0000-0000AD370000}"/>
    <cellStyle name="Dane wyjściowe 2 17 52 2" xfId="14275" xr:uid="{00000000-0005-0000-0000-0000AE370000}"/>
    <cellStyle name="Dane wyjściowe 2 17 52 3" xfId="14276" xr:uid="{00000000-0005-0000-0000-0000AF370000}"/>
    <cellStyle name="Dane wyjściowe 2 17 53" xfId="14277" xr:uid="{00000000-0005-0000-0000-0000B0370000}"/>
    <cellStyle name="Dane wyjściowe 2 17 53 2" xfId="14278" xr:uid="{00000000-0005-0000-0000-0000B1370000}"/>
    <cellStyle name="Dane wyjściowe 2 17 53 3" xfId="14279" xr:uid="{00000000-0005-0000-0000-0000B2370000}"/>
    <cellStyle name="Dane wyjściowe 2 17 54" xfId="14280" xr:uid="{00000000-0005-0000-0000-0000B3370000}"/>
    <cellStyle name="Dane wyjściowe 2 17 54 2" xfId="14281" xr:uid="{00000000-0005-0000-0000-0000B4370000}"/>
    <cellStyle name="Dane wyjściowe 2 17 54 3" xfId="14282" xr:uid="{00000000-0005-0000-0000-0000B5370000}"/>
    <cellStyle name="Dane wyjściowe 2 17 55" xfId="14283" xr:uid="{00000000-0005-0000-0000-0000B6370000}"/>
    <cellStyle name="Dane wyjściowe 2 17 55 2" xfId="14284" xr:uid="{00000000-0005-0000-0000-0000B7370000}"/>
    <cellStyle name="Dane wyjściowe 2 17 55 3" xfId="14285" xr:uid="{00000000-0005-0000-0000-0000B8370000}"/>
    <cellStyle name="Dane wyjściowe 2 17 56" xfId="14286" xr:uid="{00000000-0005-0000-0000-0000B9370000}"/>
    <cellStyle name="Dane wyjściowe 2 17 56 2" xfId="14287" xr:uid="{00000000-0005-0000-0000-0000BA370000}"/>
    <cellStyle name="Dane wyjściowe 2 17 56 3" xfId="14288" xr:uid="{00000000-0005-0000-0000-0000BB370000}"/>
    <cellStyle name="Dane wyjściowe 2 17 57" xfId="14289" xr:uid="{00000000-0005-0000-0000-0000BC370000}"/>
    <cellStyle name="Dane wyjściowe 2 17 58" xfId="14290" xr:uid="{00000000-0005-0000-0000-0000BD370000}"/>
    <cellStyle name="Dane wyjściowe 2 17 6" xfId="14291" xr:uid="{00000000-0005-0000-0000-0000BE370000}"/>
    <cellStyle name="Dane wyjściowe 2 17 6 2" xfId="14292" xr:uid="{00000000-0005-0000-0000-0000BF370000}"/>
    <cellStyle name="Dane wyjściowe 2 17 6 3" xfId="14293" xr:uid="{00000000-0005-0000-0000-0000C0370000}"/>
    <cellStyle name="Dane wyjściowe 2 17 6 4" xfId="14294" xr:uid="{00000000-0005-0000-0000-0000C1370000}"/>
    <cellStyle name="Dane wyjściowe 2 17 7" xfId="14295" xr:uid="{00000000-0005-0000-0000-0000C2370000}"/>
    <cellStyle name="Dane wyjściowe 2 17 7 2" xfId="14296" xr:uid="{00000000-0005-0000-0000-0000C3370000}"/>
    <cellStyle name="Dane wyjściowe 2 17 7 3" xfId="14297" xr:uid="{00000000-0005-0000-0000-0000C4370000}"/>
    <cellStyle name="Dane wyjściowe 2 17 7 4" xfId="14298" xr:uid="{00000000-0005-0000-0000-0000C5370000}"/>
    <cellStyle name="Dane wyjściowe 2 17 8" xfId="14299" xr:uid="{00000000-0005-0000-0000-0000C6370000}"/>
    <cellStyle name="Dane wyjściowe 2 17 8 2" xfId="14300" xr:uid="{00000000-0005-0000-0000-0000C7370000}"/>
    <cellStyle name="Dane wyjściowe 2 17 8 3" xfId="14301" xr:uid="{00000000-0005-0000-0000-0000C8370000}"/>
    <cellStyle name="Dane wyjściowe 2 17 8 4" xfId="14302" xr:uid="{00000000-0005-0000-0000-0000C9370000}"/>
    <cellStyle name="Dane wyjściowe 2 17 9" xfId="14303" xr:uid="{00000000-0005-0000-0000-0000CA370000}"/>
    <cellStyle name="Dane wyjściowe 2 17 9 2" xfId="14304" xr:uid="{00000000-0005-0000-0000-0000CB370000}"/>
    <cellStyle name="Dane wyjściowe 2 17 9 3" xfId="14305" xr:uid="{00000000-0005-0000-0000-0000CC370000}"/>
    <cellStyle name="Dane wyjściowe 2 17 9 4" xfId="14306" xr:uid="{00000000-0005-0000-0000-0000CD370000}"/>
    <cellStyle name="Dane wyjściowe 2 18" xfId="14307" xr:uid="{00000000-0005-0000-0000-0000CE370000}"/>
    <cellStyle name="Dane wyjściowe 2 18 10" xfId="14308" xr:uid="{00000000-0005-0000-0000-0000CF370000}"/>
    <cellStyle name="Dane wyjściowe 2 18 10 2" xfId="14309" xr:uid="{00000000-0005-0000-0000-0000D0370000}"/>
    <cellStyle name="Dane wyjściowe 2 18 10 3" xfId="14310" xr:uid="{00000000-0005-0000-0000-0000D1370000}"/>
    <cellStyle name="Dane wyjściowe 2 18 10 4" xfId="14311" xr:uid="{00000000-0005-0000-0000-0000D2370000}"/>
    <cellStyle name="Dane wyjściowe 2 18 11" xfId="14312" xr:uid="{00000000-0005-0000-0000-0000D3370000}"/>
    <cellStyle name="Dane wyjściowe 2 18 11 2" xfId="14313" xr:uid="{00000000-0005-0000-0000-0000D4370000}"/>
    <cellStyle name="Dane wyjściowe 2 18 11 3" xfId="14314" xr:uid="{00000000-0005-0000-0000-0000D5370000}"/>
    <cellStyle name="Dane wyjściowe 2 18 11 4" xfId="14315" xr:uid="{00000000-0005-0000-0000-0000D6370000}"/>
    <cellStyle name="Dane wyjściowe 2 18 12" xfId="14316" xr:uid="{00000000-0005-0000-0000-0000D7370000}"/>
    <cellStyle name="Dane wyjściowe 2 18 12 2" xfId="14317" xr:uid="{00000000-0005-0000-0000-0000D8370000}"/>
    <cellStyle name="Dane wyjściowe 2 18 12 3" xfId="14318" xr:uid="{00000000-0005-0000-0000-0000D9370000}"/>
    <cellStyle name="Dane wyjściowe 2 18 12 4" xfId="14319" xr:uid="{00000000-0005-0000-0000-0000DA370000}"/>
    <cellStyle name="Dane wyjściowe 2 18 13" xfId="14320" xr:uid="{00000000-0005-0000-0000-0000DB370000}"/>
    <cellStyle name="Dane wyjściowe 2 18 13 2" xfId="14321" xr:uid="{00000000-0005-0000-0000-0000DC370000}"/>
    <cellStyle name="Dane wyjściowe 2 18 13 3" xfId="14322" xr:uid="{00000000-0005-0000-0000-0000DD370000}"/>
    <cellStyle name="Dane wyjściowe 2 18 13 4" xfId="14323" xr:uid="{00000000-0005-0000-0000-0000DE370000}"/>
    <cellStyle name="Dane wyjściowe 2 18 14" xfId="14324" xr:uid="{00000000-0005-0000-0000-0000DF370000}"/>
    <cellStyle name="Dane wyjściowe 2 18 14 2" xfId="14325" xr:uid="{00000000-0005-0000-0000-0000E0370000}"/>
    <cellStyle name="Dane wyjściowe 2 18 14 3" xfId="14326" xr:uid="{00000000-0005-0000-0000-0000E1370000}"/>
    <cellStyle name="Dane wyjściowe 2 18 14 4" xfId="14327" xr:uid="{00000000-0005-0000-0000-0000E2370000}"/>
    <cellStyle name="Dane wyjściowe 2 18 15" xfId="14328" xr:uid="{00000000-0005-0000-0000-0000E3370000}"/>
    <cellStyle name="Dane wyjściowe 2 18 15 2" xfId="14329" xr:uid="{00000000-0005-0000-0000-0000E4370000}"/>
    <cellStyle name="Dane wyjściowe 2 18 15 3" xfId="14330" xr:uid="{00000000-0005-0000-0000-0000E5370000}"/>
    <cellStyle name="Dane wyjściowe 2 18 15 4" xfId="14331" xr:uid="{00000000-0005-0000-0000-0000E6370000}"/>
    <cellStyle name="Dane wyjściowe 2 18 16" xfId="14332" xr:uid="{00000000-0005-0000-0000-0000E7370000}"/>
    <cellStyle name="Dane wyjściowe 2 18 16 2" xfId="14333" xr:uid="{00000000-0005-0000-0000-0000E8370000}"/>
    <cellStyle name="Dane wyjściowe 2 18 16 3" xfId="14334" xr:uid="{00000000-0005-0000-0000-0000E9370000}"/>
    <cellStyle name="Dane wyjściowe 2 18 16 4" xfId="14335" xr:uid="{00000000-0005-0000-0000-0000EA370000}"/>
    <cellStyle name="Dane wyjściowe 2 18 17" xfId="14336" xr:uid="{00000000-0005-0000-0000-0000EB370000}"/>
    <cellStyle name="Dane wyjściowe 2 18 17 2" xfId="14337" xr:uid="{00000000-0005-0000-0000-0000EC370000}"/>
    <cellStyle name="Dane wyjściowe 2 18 17 3" xfId="14338" xr:uid="{00000000-0005-0000-0000-0000ED370000}"/>
    <cellStyle name="Dane wyjściowe 2 18 17 4" xfId="14339" xr:uid="{00000000-0005-0000-0000-0000EE370000}"/>
    <cellStyle name="Dane wyjściowe 2 18 18" xfId="14340" xr:uid="{00000000-0005-0000-0000-0000EF370000}"/>
    <cellStyle name="Dane wyjściowe 2 18 18 2" xfId="14341" xr:uid="{00000000-0005-0000-0000-0000F0370000}"/>
    <cellStyle name="Dane wyjściowe 2 18 18 3" xfId="14342" xr:uid="{00000000-0005-0000-0000-0000F1370000}"/>
    <cellStyle name="Dane wyjściowe 2 18 18 4" xfId="14343" xr:uid="{00000000-0005-0000-0000-0000F2370000}"/>
    <cellStyle name="Dane wyjściowe 2 18 19" xfId="14344" xr:uid="{00000000-0005-0000-0000-0000F3370000}"/>
    <cellStyle name="Dane wyjściowe 2 18 19 2" xfId="14345" xr:uid="{00000000-0005-0000-0000-0000F4370000}"/>
    <cellStyle name="Dane wyjściowe 2 18 19 3" xfId="14346" xr:uid="{00000000-0005-0000-0000-0000F5370000}"/>
    <cellStyle name="Dane wyjściowe 2 18 19 4" xfId="14347" xr:uid="{00000000-0005-0000-0000-0000F6370000}"/>
    <cellStyle name="Dane wyjściowe 2 18 2" xfId="14348" xr:uid="{00000000-0005-0000-0000-0000F7370000}"/>
    <cellStyle name="Dane wyjściowe 2 18 2 2" xfId="14349" xr:uid="{00000000-0005-0000-0000-0000F8370000}"/>
    <cellStyle name="Dane wyjściowe 2 18 2 3" xfId="14350" xr:uid="{00000000-0005-0000-0000-0000F9370000}"/>
    <cellStyle name="Dane wyjściowe 2 18 2 4" xfId="14351" xr:uid="{00000000-0005-0000-0000-0000FA370000}"/>
    <cellStyle name="Dane wyjściowe 2 18 20" xfId="14352" xr:uid="{00000000-0005-0000-0000-0000FB370000}"/>
    <cellStyle name="Dane wyjściowe 2 18 20 2" xfId="14353" xr:uid="{00000000-0005-0000-0000-0000FC370000}"/>
    <cellStyle name="Dane wyjściowe 2 18 20 3" xfId="14354" xr:uid="{00000000-0005-0000-0000-0000FD370000}"/>
    <cellStyle name="Dane wyjściowe 2 18 20 4" xfId="14355" xr:uid="{00000000-0005-0000-0000-0000FE370000}"/>
    <cellStyle name="Dane wyjściowe 2 18 21" xfId="14356" xr:uid="{00000000-0005-0000-0000-0000FF370000}"/>
    <cellStyle name="Dane wyjściowe 2 18 21 2" xfId="14357" xr:uid="{00000000-0005-0000-0000-000000380000}"/>
    <cellStyle name="Dane wyjściowe 2 18 21 3" xfId="14358" xr:uid="{00000000-0005-0000-0000-000001380000}"/>
    <cellStyle name="Dane wyjściowe 2 18 22" xfId="14359" xr:uid="{00000000-0005-0000-0000-000002380000}"/>
    <cellStyle name="Dane wyjściowe 2 18 22 2" xfId="14360" xr:uid="{00000000-0005-0000-0000-000003380000}"/>
    <cellStyle name="Dane wyjściowe 2 18 22 3" xfId="14361" xr:uid="{00000000-0005-0000-0000-000004380000}"/>
    <cellStyle name="Dane wyjściowe 2 18 23" xfId="14362" xr:uid="{00000000-0005-0000-0000-000005380000}"/>
    <cellStyle name="Dane wyjściowe 2 18 23 2" xfId="14363" xr:uid="{00000000-0005-0000-0000-000006380000}"/>
    <cellStyle name="Dane wyjściowe 2 18 23 3" xfId="14364" xr:uid="{00000000-0005-0000-0000-000007380000}"/>
    <cellStyle name="Dane wyjściowe 2 18 24" xfId="14365" xr:uid="{00000000-0005-0000-0000-000008380000}"/>
    <cellStyle name="Dane wyjściowe 2 18 24 2" xfId="14366" xr:uid="{00000000-0005-0000-0000-000009380000}"/>
    <cellStyle name="Dane wyjściowe 2 18 24 3" xfId="14367" xr:uid="{00000000-0005-0000-0000-00000A380000}"/>
    <cellStyle name="Dane wyjściowe 2 18 25" xfId="14368" xr:uid="{00000000-0005-0000-0000-00000B380000}"/>
    <cellStyle name="Dane wyjściowe 2 18 25 2" xfId="14369" xr:uid="{00000000-0005-0000-0000-00000C380000}"/>
    <cellStyle name="Dane wyjściowe 2 18 25 3" xfId="14370" xr:uid="{00000000-0005-0000-0000-00000D380000}"/>
    <cellStyle name="Dane wyjściowe 2 18 26" xfId="14371" xr:uid="{00000000-0005-0000-0000-00000E380000}"/>
    <cellStyle name="Dane wyjściowe 2 18 26 2" xfId="14372" xr:uid="{00000000-0005-0000-0000-00000F380000}"/>
    <cellStyle name="Dane wyjściowe 2 18 26 3" xfId="14373" xr:uid="{00000000-0005-0000-0000-000010380000}"/>
    <cellStyle name="Dane wyjściowe 2 18 27" xfId="14374" xr:uid="{00000000-0005-0000-0000-000011380000}"/>
    <cellStyle name="Dane wyjściowe 2 18 27 2" xfId="14375" xr:uid="{00000000-0005-0000-0000-000012380000}"/>
    <cellStyle name="Dane wyjściowe 2 18 27 3" xfId="14376" xr:uid="{00000000-0005-0000-0000-000013380000}"/>
    <cellStyle name="Dane wyjściowe 2 18 28" xfId="14377" xr:uid="{00000000-0005-0000-0000-000014380000}"/>
    <cellStyle name="Dane wyjściowe 2 18 28 2" xfId="14378" xr:uid="{00000000-0005-0000-0000-000015380000}"/>
    <cellStyle name="Dane wyjściowe 2 18 28 3" xfId="14379" xr:uid="{00000000-0005-0000-0000-000016380000}"/>
    <cellStyle name="Dane wyjściowe 2 18 29" xfId="14380" xr:uid="{00000000-0005-0000-0000-000017380000}"/>
    <cellStyle name="Dane wyjściowe 2 18 29 2" xfId="14381" xr:uid="{00000000-0005-0000-0000-000018380000}"/>
    <cellStyle name="Dane wyjściowe 2 18 29 3" xfId="14382" xr:uid="{00000000-0005-0000-0000-000019380000}"/>
    <cellStyle name="Dane wyjściowe 2 18 3" xfId="14383" xr:uid="{00000000-0005-0000-0000-00001A380000}"/>
    <cellStyle name="Dane wyjściowe 2 18 3 2" xfId="14384" xr:uid="{00000000-0005-0000-0000-00001B380000}"/>
    <cellStyle name="Dane wyjściowe 2 18 3 3" xfId="14385" xr:uid="{00000000-0005-0000-0000-00001C380000}"/>
    <cellStyle name="Dane wyjściowe 2 18 3 4" xfId="14386" xr:uid="{00000000-0005-0000-0000-00001D380000}"/>
    <cellStyle name="Dane wyjściowe 2 18 30" xfId="14387" xr:uid="{00000000-0005-0000-0000-00001E380000}"/>
    <cellStyle name="Dane wyjściowe 2 18 30 2" xfId="14388" xr:uid="{00000000-0005-0000-0000-00001F380000}"/>
    <cellStyle name="Dane wyjściowe 2 18 30 3" xfId="14389" xr:uid="{00000000-0005-0000-0000-000020380000}"/>
    <cellStyle name="Dane wyjściowe 2 18 31" xfId="14390" xr:uid="{00000000-0005-0000-0000-000021380000}"/>
    <cellStyle name="Dane wyjściowe 2 18 31 2" xfId="14391" xr:uid="{00000000-0005-0000-0000-000022380000}"/>
    <cellStyle name="Dane wyjściowe 2 18 31 3" xfId="14392" xr:uid="{00000000-0005-0000-0000-000023380000}"/>
    <cellStyle name="Dane wyjściowe 2 18 32" xfId="14393" xr:uid="{00000000-0005-0000-0000-000024380000}"/>
    <cellStyle name="Dane wyjściowe 2 18 32 2" xfId="14394" xr:uid="{00000000-0005-0000-0000-000025380000}"/>
    <cellStyle name="Dane wyjściowe 2 18 32 3" xfId="14395" xr:uid="{00000000-0005-0000-0000-000026380000}"/>
    <cellStyle name="Dane wyjściowe 2 18 33" xfId="14396" xr:uid="{00000000-0005-0000-0000-000027380000}"/>
    <cellStyle name="Dane wyjściowe 2 18 33 2" xfId="14397" xr:uid="{00000000-0005-0000-0000-000028380000}"/>
    <cellStyle name="Dane wyjściowe 2 18 33 3" xfId="14398" xr:uid="{00000000-0005-0000-0000-000029380000}"/>
    <cellStyle name="Dane wyjściowe 2 18 34" xfId="14399" xr:uid="{00000000-0005-0000-0000-00002A380000}"/>
    <cellStyle name="Dane wyjściowe 2 18 34 2" xfId="14400" xr:uid="{00000000-0005-0000-0000-00002B380000}"/>
    <cellStyle name="Dane wyjściowe 2 18 34 3" xfId="14401" xr:uid="{00000000-0005-0000-0000-00002C380000}"/>
    <cellStyle name="Dane wyjściowe 2 18 35" xfId="14402" xr:uid="{00000000-0005-0000-0000-00002D380000}"/>
    <cellStyle name="Dane wyjściowe 2 18 35 2" xfId="14403" xr:uid="{00000000-0005-0000-0000-00002E380000}"/>
    <cellStyle name="Dane wyjściowe 2 18 35 3" xfId="14404" xr:uid="{00000000-0005-0000-0000-00002F380000}"/>
    <cellStyle name="Dane wyjściowe 2 18 36" xfId="14405" xr:uid="{00000000-0005-0000-0000-000030380000}"/>
    <cellStyle name="Dane wyjściowe 2 18 36 2" xfId="14406" xr:uid="{00000000-0005-0000-0000-000031380000}"/>
    <cellStyle name="Dane wyjściowe 2 18 36 3" xfId="14407" xr:uid="{00000000-0005-0000-0000-000032380000}"/>
    <cellStyle name="Dane wyjściowe 2 18 37" xfId="14408" xr:uid="{00000000-0005-0000-0000-000033380000}"/>
    <cellStyle name="Dane wyjściowe 2 18 37 2" xfId="14409" xr:uid="{00000000-0005-0000-0000-000034380000}"/>
    <cellStyle name="Dane wyjściowe 2 18 37 3" xfId="14410" xr:uid="{00000000-0005-0000-0000-000035380000}"/>
    <cellStyle name="Dane wyjściowe 2 18 38" xfId="14411" xr:uid="{00000000-0005-0000-0000-000036380000}"/>
    <cellStyle name="Dane wyjściowe 2 18 38 2" xfId="14412" xr:uid="{00000000-0005-0000-0000-000037380000}"/>
    <cellStyle name="Dane wyjściowe 2 18 38 3" xfId="14413" xr:uid="{00000000-0005-0000-0000-000038380000}"/>
    <cellStyle name="Dane wyjściowe 2 18 39" xfId="14414" xr:uid="{00000000-0005-0000-0000-000039380000}"/>
    <cellStyle name="Dane wyjściowe 2 18 39 2" xfId="14415" xr:uid="{00000000-0005-0000-0000-00003A380000}"/>
    <cellStyle name="Dane wyjściowe 2 18 39 3" xfId="14416" xr:uid="{00000000-0005-0000-0000-00003B380000}"/>
    <cellStyle name="Dane wyjściowe 2 18 4" xfId="14417" xr:uid="{00000000-0005-0000-0000-00003C380000}"/>
    <cellStyle name="Dane wyjściowe 2 18 4 2" xfId="14418" xr:uid="{00000000-0005-0000-0000-00003D380000}"/>
    <cellStyle name="Dane wyjściowe 2 18 4 3" xfId="14419" xr:uid="{00000000-0005-0000-0000-00003E380000}"/>
    <cellStyle name="Dane wyjściowe 2 18 4 4" xfId="14420" xr:uid="{00000000-0005-0000-0000-00003F380000}"/>
    <cellStyle name="Dane wyjściowe 2 18 40" xfId="14421" xr:uid="{00000000-0005-0000-0000-000040380000}"/>
    <cellStyle name="Dane wyjściowe 2 18 40 2" xfId="14422" xr:uid="{00000000-0005-0000-0000-000041380000}"/>
    <cellStyle name="Dane wyjściowe 2 18 40 3" xfId="14423" xr:uid="{00000000-0005-0000-0000-000042380000}"/>
    <cellStyle name="Dane wyjściowe 2 18 41" xfId="14424" xr:uid="{00000000-0005-0000-0000-000043380000}"/>
    <cellStyle name="Dane wyjściowe 2 18 41 2" xfId="14425" xr:uid="{00000000-0005-0000-0000-000044380000}"/>
    <cellStyle name="Dane wyjściowe 2 18 41 3" xfId="14426" xr:uid="{00000000-0005-0000-0000-000045380000}"/>
    <cellStyle name="Dane wyjściowe 2 18 42" xfId="14427" xr:uid="{00000000-0005-0000-0000-000046380000}"/>
    <cellStyle name="Dane wyjściowe 2 18 42 2" xfId="14428" xr:uid="{00000000-0005-0000-0000-000047380000}"/>
    <cellStyle name="Dane wyjściowe 2 18 42 3" xfId="14429" xr:uid="{00000000-0005-0000-0000-000048380000}"/>
    <cellStyle name="Dane wyjściowe 2 18 43" xfId="14430" xr:uid="{00000000-0005-0000-0000-000049380000}"/>
    <cellStyle name="Dane wyjściowe 2 18 43 2" xfId="14431" xr:uid="{00000000-0005-0000-0000-00004A380000}"/>
    <cellStyle name="Dane wyjściowe 2 18 43 3" xfId="14432" xr:uid="{00000000-0005-0000-0000-00004B380000}"/>
    <cellStyle name="Dane wyjściowe 2 18 44" xfId="14433" xr:uid="{00000000-0005-0000-0000-00004C380000}"/>
    <cellStyle name="Dane wyjściowe 2 18 44 2" xfId="14434" xr:uid="{00000000-0005-0000-0000-00004D380000}"/>
    <cellStyle name="Dane wyjściowe 2 18 44 3" xfId="14435" xr:uid="{00000000-0005-0000-0000-00004E380000}"/>
    <cellStyle name="Dane wyjściowe 2 18 45" xfId="14436" xr:uid="{00000000-0005-0000-0000-00004F380000}"/>
    <cellStyle name="Dane wyjściowe 2 18 45 2" xfId="14437" xr:uid="{00000000-0005-0000-0000-000050380000}"/>
    <cellStyle name="Dane wyjściowe 2 18 45 3" xfId="14438" xr:uid="{00000000-0005-0000-0000-000051380000}"/>
    <cellStyle name="Dane wyjściowe 2 18 46" xfId="14439" xr:uid="{00000000-0005-0000-0000-000052380000}"/>
    <cellStyle name="Dane wyjściowe 2 18 46 2" xfId="14440" xr:uid="{00000000-0005-0000-0000-000053380000}"/>
    <cellStyle name="Dane wyjściowe 2 18 46 3" xfId="14441" xr:uid="{00000000-0005-0000-0000-000054380000}"/>
    <cellStyle name="Dane wyjściowe 2 18 47" xfId="14442" xr:uid="{00000000-0005-0000-0000-000055380000}"/>
    <cellStyle name="Dane wyjściowe 2 18 47 2" xfId="14443" xr:uid="{00000000-0005-0000-0000-000056380000}"/>
    <cellStyle name="Dane wyjściowe 2 18 47 3" xfId="14444" xr:uid="{00000000-0005-0000-0000-000057380000}"/>
    <cellStyle name="Dane wyjściowe 2 18 48" xfId="14445" xr:uid="{00000000-0005-0000-0000-000058380000}"/>
    <cellStyle name="Dane wyjściowe 2 18 48 2" xfId="14446" xr:uid="{00000000-0005-0000-0000-000059380000}"/>
    <cellStyle name="Dane wyjściowe 2 18 48 3" xfId="14447" xr:uid="{00000000-0005-0000-0000-00005A380000}"/>
    <cellStyle name="Dane wyjściowe 2 18 49" xfId="14448" xr:uid="{00000000-0005-0000-0000-00005B380000}"/>
    <cellStyle name="Dane wyjściowe 2 18 49 2" xfId="14449" xr:uid="{00000000-0005-0000-0000-00005C380000}"/>
    <cellStyle name="Dane wyjściowe 2 18 49 3" xfId="14450" xr:uid="{00000000-0005-0000-0000-00005D380000}"/>
    <cellStyle name="Dane wyjściowe 2 18 5" xfId="14451" xr:uid="{00000000-0005-0000-0000-00005E380000}"/>
    <cellStyle name="Dane wyjściowe 2 18 5 2" xfId="14452" xr:uid="{00000000-0005-0000-0000-00005F380000}"/>
    <cellStyle name="Dane wyjściowe 2 18 5 3" xfId="14453" xr:uid="{00000000-0005-0000-0000-000060380000}"/>
    <cellStyle name="Dane wyjściowe 2 18 5 4" xfId="14454" xr:uid="{00000000-0005-0000-0000-000061380000}"/>
    <cellStyle name="Dane wyjściowe 2 18 50" xfId="14455" xr:uid="{00000000-0005-0000-0000-000062380000}"/>
    <cellStyle name="Dane wyjściowe 2 18 50 2" xfId="14456" xr:uid="{00000000-0005-0000-0000-000063380000}"/>
    <cellStyle name="Dane wyjściowe 2 18 50 3" xfId="14457" xr:uid="{00000000-0005-0000-0000-000064380000}"/>
    <cellStyle name="Dane wyjściowe 2 18 51" xfId="14458" xr:uid="{00000000-0005-0000-0000-000065380000}"/>
    <cellStyle name="Dane wyjściowe 2 18 51 2" xfId="14459" xr:uid="{00000000-0005-0000-0000-000066380000}"/>
    <cellStyle name="Dane wyjściowe 2 18 51 3" xfId="14460" xr:uid="{00000000-0005-0000-0000-000067380000}"/>
    <cellStyle name="Dane wyjściowe 2 18 52" xfId="14461" xr:uid="{00000000-0005-0000-0000-000068380000}"/>
    <cellStyle name="Dane wyjściowe 2 18 52 2" xfId="14462" xr:uid="{00000000-0005-0000-0000-000069380000}"/>
    <cellStyle name="Dane wyjściowe 2 18 52 3" xfId="14463" xr:uid="{00000000-0005-0000-0000-00006A380000}"/>
    <cellStyle name="Dane wyjściowe 2 18 53" xfId="14464" xr:uid="{00000000-0005-0000-0000-00006B380000}"/>
    <cellStyle name="Dane wyjściowe 2 18 53 2" xfId="14465" xr:uid="{00000000-0005-0000-0000-00006C380000}"/>
    <cellStyle name="Dane wyjściowe 2 18 53 3" xfId="14466" xr:uid="{00000000-0005-0000-0000-00006D380000}"/>
    <cellStyle name="Dane wyjściowe 2 18 54" xfId="14467" xr:uid="{00000000-0005-0000-0000-00006E380000}"/>
    <cellStyle name="Dane wyjściowe 2 18 54 2" xfId="14468" xr:uid="{00000000-0005-0000-0000-00006F380000}"/>
    <cellStyle name="Dane wyjściowe 2 18 54 3" xfId="14469" xr:uid="{00000000-0005-0000-0000-000070380000}"/>
    <cellStyle name="Dane wyjściowe 2 18 55" xfId="14470" xr:uid="{00000000-0005-0000-0000-000071380000}"/>
    <cellStyle name="Dane wyjściowe 2 18 55 2" xfId="14471" xr:uid="{00000000-0005-0000-0000-000072380000}"/>
    <cellStyle name="Dane wyjściowe 2 18 55 3" xfId="14472" xr:uid="{00000000-0005-0000-0000-000073380000}"/>
    <cellStyle name="Dane wyjściowe 2 18 56" xfId="14473" xr:uid="{00000000-0005-0000-0000-000074380000}"/>
    <cellStyle name="Dane wyjściowe 2 18 56 2" xfId="14474" xr:uid="{00000000-0005-0000-0000-000075380000}"/>
    <cellStyle name="Dane wyjściowe 2 18 56 3" xfId="14475" xr:uid="{00000000-0005-0000-0000-000076380000}"/>
    <cellStyle name="Dane wyjściowe 2 18 57" xfId="14476" xr:uid="{00000000-0005-0000-0000-000077380000}"/>
    <cellStyle name="Dane wyjściowe 2 18 58" xfId="14477" xr:uid="{00000000-0005-0000-0000-000078380000}"/>
    <cellStyle name="Dane wyjściowe 2 18 6" xfId="14478" xr:uid="{00000000-0005-0000-0000-000079380000}"/>
    <cellStyle name="Dane wyjściowe 2 18 6 2" xfId="14479" xr:uid="{00000000-0005-0000-0000-00007A380000}"/>
    <cellStyle name="Dane wyjściowe 2 18 6 3" xfId="14480" xr:uid="{00000000-0005-0000-0000-00007B380000}"/>
    <cellStyle name="Dane wyjściowe 2 18 6 4" xfId="14481" xr:uid="{00000000-0005-0000-0000-00007C380000}"/>
    <cellStyle name="Dane wyjściowe 2 18 7" xfId="14482" xr:uid="{00000000-0005-0000-0000-00007D380000}"/>
    <cellStyle name="Dane wyjściowe 2 18 7 2" xfId="14483" xr:uid="{00000000-0005-0000-0000-00007E380000}"/>
    <cellStyle name="Dane wyjściowe 2 18 7 3" xfId="14484" xr:uid="{00000000-0005-0000-0000-00007F380000}"/>
    <cellStyle name="Dane wyjściowe 2 18 7 4" xfId="14485" xr:uid="{00000000-0005-0000-0000-000080380000}"/>
    <cellStyle name="Dane wyjściowe 2 18 8" xfId="14486" xr:uid="{00000000-0005-0000-0000-000081380000}"/>
    <cellStyle name="Dane wyjściowe 2 18 8 2" xfId="14487" xr:uid="{00000000-0005-0000-0000-000082380000}"/>
    <cellStyle name="Dane wyjściowe 2 18 8 3" xfId="14488" xr:uid="{00000000-0005-0000-0000-000083380000}"/>
    <cellStyle name="Dane wyjściowe 2 18 8 4" xfId="14489" xr:uid="{00000000-0005-0000-0000-000084380000}"/>
    <cellStyle name="Dane wyjściowe 2 18 9" xfId="14490" xr:uid="{00000000-0005-0000-0000-000085380000}"/>
    <cellStyle name="Dane wyjściowe 2 18 9 2" xfId="14491" xr:uid="{00000000-0005-0000-0000-000086380000}"/>
    <cellStyle name="Dane wyjściowe 2 18 9 3" xfId="14492" xr:uid="{00000000-0005-0000-0000-000087380000}"/>
    <cellStyle name="Dane wyjściowe 2 18 9 4" xfId="14493" xr:uid="{00000000-0005-0000-0000-000088380000}"/>
    <cellStyle name="Dane wyjściowe 2 19" xfId="14494" xr:uid="{00000000-0005-0000-0000-000089380000}"/>
    <cellStyle name="Dane wyjściowe 2 19 10" xfId="14495" xr:uid="{00000000-0005-0000-0000-00008A380000}"/>
    <cellStyle name="Dane wyjściowe 2 19 10 2" xfId="14496" xr:uid="{00000000-0005-0000-0000-00008B380000}"/>
    <cellStyle name="Dane wyjściowe 2 19 10 3" xfId="14497" xr:uid="{00000000-0005-0000-0000-00008C380000}"/>
    <cellStyle name="Dane wyjściowe 2 19 10 4" xfId="14498" xr:uid="{00000000-0005-0000-0000-00008D380000}"/>
    <cellStyle name="Dane wyjściowe 2 19 11" xfId="14499" xr:uid="{00000000-0005-0000-0000-00008E380000}"/>
    <cellStyle name="Dane wyjściowe 2 19 11 2" xfId="14500" xr:uid="{00000000-0005-0000-0000-00008F380000}"/>
    <cellStyle name="Dane wyjściowe 2 19 11 3" xfId="14501" xr:uid="{00000000-0005-0000-0000-000090380000}"/>
    <cellStyle name="Dane wyjściowe 2 19 11 4" xfId="14502" xr:uid="{00000000-0005-0000-0000-000091380000}"/>
    <cellStyle name="Dane wyjściowe 2 19 12" xfId="14503" xr:uid="{00000000-0005-0000-0000-000092380000}"/>
    <cellStyle name="Dane wyjściowe 2 19 12 2" xfId="14504" xr:uid="{00000000-0005-0000-0000-000093380000}"/>
    <cellStyle name="Dane wyjściowe 2 19 12 3" xfId="14505" xr:uid="{00000000-0005-0000-0000-000094380000}"/>
    <cellStyle name="Dane wyjściowe 2 19 12 4" xfId="14506" xr:uid="{00000000-0005-0000-0000-000095380000}"/>
    <cellStyle name="Dane wyjściowe 2 19 13" xfId="14507" xr:uid="{00000000-0005-0000-0000-000096380000}"/>
    <cellStyle name="Dane wyjściowe 2 19 13 2" xfId="14508" xr:uid="{00000000-0005-0000-0000-000097380000}"/>
    <cellStyle name="Dane wyjściowe 2 19 13 3" xfId="14509" xr:uid="{00000000-0005-0000-0000-000098380000}"/>
    <cellStyle name="Dane wyjściowe 2 19 13 4" xfId="14510" xr:uid="{00000000-0005-0000-0000-000099380000}"/>
    <cellStyle name="Dane wyjściowe 2 19 14" xfId="14511" xr:uid="{00000000-0005-0000-0000-00009A380000}"/>
    <cellStyle name="Dane wyjściowe 2 19 14 2" xfId="14512" xr:uid="{00000000-0005-0000-0000-00009B380000}"/>
    <cellStyle name="Dane wyjściowe 2 19 14 3" xfId="14513" xr:uid="{00000000-0005-0000-0000-00009C380000}"/>
    <cellStyle name="Dane wyjściowe 2 19 14 4" xfId="14514" xr:uid="{00000000-0005-0000-0000-00009D380000}"/>
    <cellStyle name="Dane wyjściowe 2 19 15" xfId="14515" xr:uid="{00000000-0005-0000-0000-00009E380000}"/>
    <cellStyle name="Dane wyjściowe 2 19 15 2" xfId="14516" xr:uid="{00000000-0005-0000-0000-00009F380000}"/>
    <cellStyle name="Dane wyjściowe 2 19 15 3" xfId="14517" xr:uid="{00000000-0005-0000-0000-0000A0380000}"/>
    <cellStyle name="Dane wyjściowe 2 19 15 4" xfId="14518" xr:uid="{00000000-0005-0000-0000-0000A1380000}"/>
    <cellStyle name="Dane wyjściowe 2 19 16" xfId="14519" xr:uid="{00000000-0005-0000-0000-0000A2380000}"/>
    <cellStyle name="Dane wyjściowe 2 19 16 2" xfId="14520" xr:uid="{00000000-0005-0000-0000-0000A3380000}"/>
    <cellStyle name="Dane wyjściowe 2 19 16 3" xfId="14521" xr:uid="{00000000-0005-0000-0000-0000A4380000}"/>
    <cellStyle name="Dane wyjściowe 2 19 16 4" xfId="14522" xr:uid="{00000000-0005-0000-0000-0000A5380000}"/>
    <cellStyle name="Dane wyjściowe 2 19 17" xfId="14523" xr:uid="{00000000-0005-0000-0000-0000A6380000}"/>
    <cellStyle name="Dane wyjściowe 2 19 17 2" xfId="14524" xr:uid="{00000000-0005-0000-0000-0000A7380000}"/>
    <cellStyle name="Dane wyjściowe 2 19 17 3" xfId="14525" xr:uid="{00000000-0005-0000-0000-0000A8380000}"/>
    <cellStyle name="Dane wyjściowe 2 19 17 4" xfId="14526" xr:uid="{00000000-0005-0000-0000-0000A9380000}"/>
    <cellStyle name="Dane wyjściowe 2 19 18" xfId="14527" xr:uid="{00000000-0005-0000-0000-0000AA380000}"/>
    <cellStyle name="Dane wyjściowe 2 19 18 2" xfId="14528" xr:uid="{00000000-0005-0000-0000-0000AB380000}"/>
    <cellStyle name="Dane wyjściowe 2 19 18 3" xfId="14529" xr:uid="{00000000-0005-0000-0000-0000AC380000}"/>
    <cellStyle name="Dane wyjściowe 2 19 18 4" xfId="14530" xr:uid="{00000000-0005-0000-0000-0000AD380000}"/>
    <cellStyle name="Dane wyjściowe 2 19 19" xfId="14531" xr:uid="{00000000-0005-0000-0000-0000AE380000}"/>
    <cellStyle name="Dane wyjściowe 2 19 19 2" xfId="14532" xr:uid="{00000000-0005-0000-0000-0000AF380000}"/>
    <cellStyle name="Dane wyjściowe 2 19 19 3" xfId="14533" xr:uid="{00000000-0005-0000-0000-0000B0380000}"/>
    <cellStyle name="Dane wyjściowe 2 19 19 4" xfId="14534" xr:uid="{00000000-0005-0000-0000-0000B1380000}"/>
    <cellStyle name="Dane wyjściowe 2 19 2" xfId="14535" xr:uid="{00000000-0005-0000-0000-0000B2380000}"/>
    <cellStyle name="Dane wyjściowe 2 19 2 2" xfId="14536" xr:uid="{00000000-0005-0000-0000-0000B3380000}"/>
    <cellStyle name="Dane wyjściowe 2 19 2 3" xfId="14537" xr:uid="{00000000-0005-0000-0000-0000B4380000}"/>
    <cellStyle name="Dane wyjściowe 2 19 2 4" xfId="14538" xr:uid="{00000000-0005-0000-0000-0000B5380000}"/>
    <cellStyle name="Dane wyjściowe 2 19 20" xfId="14539" xr:uid="{00000000-0005-0000-0000-0000B6380000}"/>
    <cellStyle name="Dane wyjściowe 2 19 20 2" xfId="14540" xr:uid="{00000000-0005-0000-0000-0000B7380000}"/>
    <cellStyle name="Dane wyjściowe 2 19 20 3" xfId="14541" xr:uid="{00000000-0005-0000-0000-0000B8380000}"/>
    <cellStyle name="Dane wyjściowe 2 19 20 4" xfId="14542" xr:uid="{00000000-0005-0000-0000-0000B9380000}"/>
    <cellStyle name="Dane wyjściowe 2 19 21" xfId="14543" xr:uid="{00000000-0005-0000-0000-0000BA380000}"/>
    <cellStyle name="Dane wyjściowe 2 19 21 2" xfId="14544" xr:uid="{00000000-0005-0000-0000-0000BB380000}"/>
    <cellStyle name="Dane wyjściowe 2 19 21 3" xfId="14545" xr:uid="{00000000-0005-0000-0000-0000BC380000}"/>
    <cellStyle name="Dane wyjściowe 2 19 22" xfId="14546" xr:uid="{00000000-0005-0000-0000-0000BD380000}"/>
    <cellStyle name="Dane wyjściowe 2 19 22 2" xfId="14547" xr:uid="{00000000-0005-0000-0000-0000BE380000}"/>
    <cellStyle name="Dane wyjściowe 2 19 22 3" xfId="14548" xr:uid="{00000000-0005-0000-0000-0000BF380000}"/>
    <cellStyle name="Dane wyjściowe 2 19 23" xfId="14549" xr:uid="{00000000-0005-0000-0000-0000C0380000}"/>
    <cellStyle name="Dane wyjściowe 2 19 23 2" xfId="14550" xr:uid="{00000000-0005-0000-0000-0000C1380000}"/>
    <cellStyle name="Dane wyjściowe 2 19 23 3" xfId="14551" xr:uid="{00000000-0005-0000-0000-0000C2380000}"/>
    <cellStyle name="Dane wyjściowe 2 19 24" xfId="14552" xr:uid="{00000000-0005-0000-0000-0000C3380000}"/>
    <cellStyle name="Dane wyjściowe 2 19 24 2" xfId="14553" xr:uid="{00000000-0005-0000-0000-0000C4380000}"/>
    <cellStyle name="Dane wyjściowe 2 19 24 3" xfId="14554" xr:uid="{00000000-0005-0000-0000-0000C5380000}"/>
    <cellStyle name="Dane wyjściowe 2 19 25" xfId="14555" xr:uid="{00000000-0005-0000-0000-0000C6380000}"/>
    <cellStyle name="Dane wyjściowe 2 19 25 2" xfId="14556" xr:uid="{00000000-0005-0000-0000-0000C7380000}"/>
    <cellStyle name="Dane wyjściowe 2 19 25 3" xfId="14557" xr:uid="{00000000-0005-0000-0000-0000C8380000}"/>
    <cellStyle name="Dane wyjściowe 2 19 26" xfId="14558" xr:uid="{00000000-0005-0000-0000-0000C9380000}"/>
    <cellStyle name="Dane wyjściowe 2 19 26 2" xfId="14559" xr:uid="{00000000-0005-0000-0000-0000CA380000}"/>
    <cellStyle name="Dane wyjściowe 2 19 26 3" xfId="14560" xr:uid="{00000000-0005-0000-0000-0000CB380000}"/>
    <cellStyle name="Dane wyjściowe 2 19 27" xfId="14561" xr:uid="{00000000-0005-0000-0000-0000CC380000}"/>
    <cellStyle name="Dane wyjściowe 2 19 27 2" xfId="14562" xr:uid="{00000000-0005-0000-0000-0000CD380000}"/>
    <cellStyle name="Dane wyjściowe 2 19 27 3" xfId="14563" xr:uid="{00000000-0005-0000-0000-0000CE380000}"/>
    <cellStyle name="Dane wyjściowe 2 19 28" xfId="14564" xr:uid="{00000000-0005-0000-0000-0000CF380000}"/>
    <cellStyle name="Dane wyjściowe 2 19 28 2" xfId="14565" xr:uid="{00000000-0005-0000-0000-0000D0380000}"/>
    <cellStyle name="Dane wyjściowe 2 19 28 3" xfId="14566" xr:uid="{00000000-0005-0000-0000-0000D1380000}"/>
    <cellStyle name="Dane wyjściowe 2 19 29" xfId="14567" xr:uid="{00000000-0005-0000-0000-0000D2380000}"/>
    <cellStyle name="Dane wyjściowe 2 19 29 2" xfId="14568" xr:uid="{00000000-0005-0000-0000-0000D3380000}"/>
    <cellStyle name="Dane wyjściowe 2 19 29 3" xfId="14569" xr:uid="{00000000-0005-0000-0000-0000D4380000}"/>
    <cellStyle name="Dane wyjściowe 2 19 3" xfId="14570" xr:uid="{00000000-0005-0000-0000-0000D5380000}"/>
    <cellStyle name="Dane wyjściowe 2 19 3 2" xfId="14571" xr:uid="{00000000-0005-0000-0000-0000D6380000}"/>
    <cellStyle name="Dane wyjściowe 2 19 3 3" xfId="14572" xr:uid="{00000000-0005-0000-0000-0000D7380000}"/>
    <cellStyle name="Dane wyjściowe 2 19 3 4" xfId="14573" xr:uid="{00000000-0005-0000-0000-0000D8380000}"/>
    <cellStyle name="Dane wyjściowe 2 19 30" xfId="14574" xr:uid="{00000000-0005-0000-0000-0000D9380000}"/>
    <cellStyle name="Dane wyjściowe 2 19 30 2" xfId="14575" xr:uid="{00000000-0005-0000-0000-0000DA380000}"/>
    <cellStyle name="Dane wyjściowe 2 19 30 3" xfId="14576" xr:uid="{00000000-0005-0000-0000-0000DB380000}"/>
    <cellStyle name="Dane wyjściowe 2 19 31" xfId="14577" xr:uid="{00000000-0005-0000-0000-0000DC380000}"/>
    <cellStyle name="Dane wyjściowe 2 19 31 2" xfId="14578" xr:uid="{00000000-0005-0000-0000-0000DD380000}"/>
    <cellStyle name="Dane wyjściowe 2 19 31 3" xfId="14579" xr:uid="{00000000-0005-0000-0000-0000DE380000}"/>
    <cellStyle name="Dane wyjściowe 2 19 32" xfId="14580" xr:uid="{00000000-0005-0000-0000-0000DF380000}"/>
    <cellStyle name="Dane wyjściowe 2 19 32 2" xfId="14581" xr:uid="{00000000-0005-0000-0000-0000E0380000}"/>
    <cellStyle name="Dane wyjściowe 2 19 32 3" xfId="14582" xr:uid="{00000000-0005-0000-0000-0000E1380000}"/>
    <cellStyle name="Dane wyjściowe 2 19 33" xfId="14583" xr:uid="{00000000-0005-0000-0000-0000E2380000}"/>
    <cellStyle name="Dane wyjściowe 2 19 33 2" xfId="14584" xr:uid="{00000000-0005-0000-0000-0000E3380000}"/>
    <cellStyle name="Dane wyjściowe 2 19 33 3" xfId="14585" xr:uid="{00000000-0005-0000-0000-0000E4380000}"/>
    <cellStyle name="Dane wyjściowe 2 19 34" xfId="14586" xr:uid="{00000000-0005-0000-0000-0000E5380000}"/>
    <cellStyle name="Dane wyjściowe 2 19 34 2" xfId="14587" xr:uid="{00000000-0005-0000-0000-0000E6380000}"/>
    <cellStyle name="Dane wyjściowe 2 19 34 3" xfId="14588" xr:uid="{00000000-0005-0000-0000-0000E7380000}"/>
    <cellStyle name="Dane wyjściowe 2 19 35" xfId="14589" xr:uid="{00000000-0005-0000-0000-0000E8380000}"/>
    <cellStyle name="Dane wyjściowe 2 19 35 2" xfId="14590" xr:uid="{00000000-0005-0000-0000-0000E9380000}"/>
    <cellStyle name="Dane wyjściowe 2 19 35 3" xfId="14591" xr:uid="{00000000-0005-0000-0000-0000EA380000}"/>
    <cellStyle name="Dane wyjściowe 2 19 36" xfId="14592" xr:uid="{00000000-0005-0000-0000-0000EB380000}"/>
    <cellStyle name="Dane wyjściowe 2 19 36 2" xfId="14593" xr:uid="{00000000-0005-0000-0000-0000EC380000}"/>
    <cellStyle name="Dane wyjściowe 2 19 36 3" xfId="14594" xr:uid="{00000000-0005-0000-0000-0000ED380000}"/>
    <cellStyle name="Dane wyjściowe 2 19 37" xfId="14595" xr:uid="{00000000-0005-0000-0000-0000EE380000}"/>
    <cellStyle name="Dane wyjściowe 2 19 37 2" xfId="14596" xr:uid="{00000000-0005-0000-0000-0000EF380000}"/>
    <cellStyle name="Dane wyjściowe 2 19 37 3" xfId="14597" xr:uid="{00000000-0005-0000-0000-0000F0380000}"/>
    <cellStyle name="Dane wyjściowe 2 19 38" xfId="14598" xr:uid="{00000000-0005-0000-0000-0000F1380000}"/>
    <cellStyle name="Dane wyjściowe 2 19 38 2" xfId="14599" xr:uid="{00000000-0005-0000-0000-0000F2380000}"/>
    <cellStyle name="Dane wyjściowe 2 19 38 3" xfId="14600" xr:uid="{00000000-0005-0000-0000-0000F3380000}"/>
    <cellStyle name="Dane wyjściowe 2 19 39" xfId="14601" xr:uid="{00000000-0005-0000-0000-0000F4380000}"/>
    <cellStyle name="Dane wyjściowe 2 19 39 2" xfId="14602" xr:uid="{00000000-0005-0000-0000-0000F5380000}"/>
    <cellStyle name="Dane wyjściowe 2 19 39 3" xfId="14603" xr:uid="{00000000-0005-0000-0000-0000F6380000}"/>
    <cellStyle name="Dane wyjściowe 2 19 4" xfId="14604" xr:uid="{00000000-0005-0000-0000-0000F7380000}"/>
    <cellStyle name="Dane wyjściowe 2 19 4 2" xfId="14605" xr:uid="{00000000-0005-0000-0000-0000F8380000}"/>
    <cellStyle name="Dane wyjściowe 2 19 4 3" xfId="14606" xr:uid="{00000000-0005-0000-0000-0000F9380000}"/>
    <cellStyle name="Dane wyjściowe 2 19 4 4" xfId="14607" xr:uid="{00000000-0005-0000-0000-0000FA380000}"/>
    <cellStyle name="Dane wyjściowe 2 19 40" xfId="14608" xr:uid="{00000000-0005-0000-0000-0000FB380000}"/>
    <cellStyle name="Dane wyjściowe 2 19 40 2" xfId="14609" xr:uid="{00000000-0005-0000-0000-0000FC380000}"/>
    <cellStyle name="Dane wyjściowe 2 19 40 3" xfId="14610" xr:uid="{00000000-0005-0000-0000-0000FD380000}"/>
    <cellStyle name="Dane wyjściowe 2 19 41" xfId="14611" xr:uid="{00000000-0005-0000-0000-0000FE380000}"/>
    <cellStyle name="Dane wyjściowe 2 19 41 2" xfId="14612" xr:uid="{00000000-0005-0000-0000-0000FF380000}"/>
    <cellStyle name="Dane wyjściowe 2 19 41 3" xfId="14613" xr:uid="{00000000-0005-0000-0000-000000390000}"/>
    <cellStyle name="Dane wyjściowe 2 19 42" xfId="14614" xr:uid="{00000000-0005-0000-0000-000001390000}"/>
    <cellStyle name="Dane wyjściowe 2 19 42 2" xfId="14615" xr:uid="{00000000-0005-0000-0000-000002390000}"/>
    <cellStyle name="Dane wyjściowe 2 19 42 3" xfId="14616" xr:uid="{00000000-0005-0000-0000-000003390000}"/>
    <cellStyle name="Dane wyjściowe 2 19 43" xfId="14617" xr:uid="{00000000-0005-0000-0000-000004390000}"/>
    <cellStyle name="Dane wyjściowe 2 19 43 2" xfId="14618" xr:uid="{00000000-0005-0000-0000-000005390000}"/>
    <cellStyle name="Dane wyjściowe 2 19 43 3" xfId="14619" xr:uid="{00000000-0005-0000-0000-000006390000}"/>
    <cellStyle name="Dane wyjściowe 2 19 44" xfId="14620" xr:uid="{00000000-0005-0000-0000-000007390000}"/>
    <cellStyle name="Dane wyjściowe 2 19 44 2" xfId="14621" xr:uid="{00000000-0005-0000-0000-000008390000}"/>
    <cellStyle name="Dane wyjściowe 2 19 44 3" xfId="14622" xr:uid="{00000000-0005-0000-0000-000009390000}"/>
    <cellStyle name="Dane wyjściowe 2 19 45" xfId="14623" xr:uid="{00000000-0005-0000-0000-00000A390000}"/>
    <cellStyle name="Dane wyjściowe 2 19 45 2" xfId="14624" xr:uid="{00000000-0005-0000-0000-00000B390000}"/>
    <cellStyle name="Dane wyjściowe 2 19 45 3" xfId="14625" xr:uid="{00000000-0005-0000-0000-00000C390000}"/>
    <cellStyle name="Dane wyjściowe 2 19 46" xfId="14626" xr:uid="{00000000-0005-0000-0000-00000D390000}"/>
    <cellStyle name="Dane wyjściowe 2 19 46 2" xfId="14627" xr:uid="{00000000-0005-0000-0000-00000E390000}"/>
    <cellStyle name="Dane wyjściowe 2 19 46 3" xfId="14628" xr:uid="{00000000-0005-0000-0000-00000F390000}"/>
    <cellStyle name="Dane wyjściowe 2 19 47" xfId="14629" xr:uid="{00000000-0005-0000-0000-000010390000}"/>
    <cellStyle name="Dane wyjściowe 2 19 47 2" xfId="14630" xr:uid="{00000000-0005-0000-0000-000011390000}"/>
    <cellStyle name="Dane wyjściowe 2 19 47 3" xfId="14631" xr:uid="{00000000-0005-0000-0000-000012390000}"/>
    <cellStyle name="Dane wyjściowe 2 19 48" xfId="14632" xr:uid="{00000000-0005-0000-0000-000013390000}"/>
    <cellStyle name="Dane wyjściowe 2 19 48 2" xfId="14633" xr:uid="{00000000-0005-0000-0000-000014390000}"/>
    <cellStyle name="Dane wyjściowe 2 19 48 3" xfId="14634" xr:uid="{00000000-0005-0000-0000-000015390000}"/>
    <cellStyle name="Dane wyjściowe 2 19 49" xfId="14635" xr:uid="{00000000-0005-0000-0000-000016390000}"/>
    <cellStyle name="Dane wyjściowe 2 19 49 2" xfId="14636" xr:uid="{00000000-0005-0000-0000-000017390000}"/>
    <cellStyle name="Dane wyjściowe 2 19 49 3" xfId="14637" xr:uid="{00000000-0005-0000-0000-000018390000}"/>
    <cellStyle name="Dane wyjściowe 2 19 5" xfId="14638" xr:uid="{00000000-0005-0000-0000-000019390000}"/>
    <cellStyle name="Dane wyjściowe 2 19 5 2" xfId="14639" xr:uid="{00000000-0005-0000-0000-00001A390000}"/>
    <cellStyle name="Dane wyjściowe 2 19 5 3" xfId="14640" xr:uid="{00000000-0005-0000-0000-00001B390000}"/>
    <cellStyle name="Dane wyjściowe 2 19 5 4" xfId="14641" xr:uid="{00000000-0005-0000-0000-00001C390000}"/>
    <cellStyle name="Dane wyjściowe 2 19 50" xfId="14642" xr:uid="{00000000-0005-0000-0000-00001D390000}"/>
    <cellStyle name="Dane wyjściowe 2 19 50 2" xfId="14643" xr:uid="{00000000-0005-0000-0000-00001E390000}"/>
    <cellStyle name="Dane wyjściowe 2 19 50 3" xfId="14644" xr:uid="{00000000-0005-0000-0000-00001F390000}"/>
    <cellStyle name="Dane wyjściowe 2 19 51" xfId="14645" xr:uid="{00000000-0005-0000-0000-000020390000}"/>
    <cellStyle name="Dane wyjściowe 2 19 51 2" xfId="14646" xr:uid="{00000000-0005-0000-0000-000021390000}"/>
    <cellStyle name="Dane wyjściowe 2 19 51 3" xfId="14647" xr:uid="{00000000-0005-0000-0000-000022390000}"/>
    <cellStyle name="Dane wyjściowe 2 19 52" xfId="14648" xr:uid="{00000000-0005-0000-0000-000023390000}"/>
    <cellStyle name="Dane wyjściowe 2 19 52 2" xfId="14649" xr:uid="{00000000-0005-0000-0000-000024390000}"/>
    <cellStyle name="Dane wyjściowe 2 19 52 3" xfId="14650" xr:uid="{00000000-0005-0000-0000-000025390000}"/>
    <cellStyle name="Dane wyjściowe 2 19 53" xfId="14651" xr:uid="{00000000-0005-0000-0000-000026390000}"/>
    <cellStyle name="Dane wyjściowe 2 19 53 2" xfId="14652" xr:uid="{00000000-0005-0000-0000-000027390000}"/>
    <cellStyle name="Dane wyjściowe 2 19 53 3" xfId="14653" xr:uid="{00000000-0005-0000-0000-000028390000}"/>
    <cellStyle name="Dane wyjściowe 2 19 54" xfId="14654" xr:uid="{00000000-0005-0000-0000-000029390000}"/>
    <cellStyle name="Dane wyjściowe 2 19 54 2" xfId="14655" xr:uid="{00000000-0005-0000-0000-00002A390000}"/>
    <cellStyle name="Dane wyjściowe 2 19 54 3" xfId="14656" xr:uid="{00000000-0005-0000-0000-00002B390000}"/>
    <cellStyle name="Dane wyjściowe 2 19 55" xfId="14657" xr:uid="{00000000-0005-0000-0000-00002C390000}"/>
    <cellStyle name="Dane wyjściowe 2 19 55 2" xfId="14658" xr:uid="{00000000-0005-0000-0000-00002D390000}"/>
    <cellStyle name="Dane wyjściowe 2 19 55 3" xfId="14659" xr:uid="{00000000-0005-0000-0000-00002E390000}"/>
    <cellStyle name="Dane wyjściowe 2 19 56" xfId="14660" xr:uid="{00000000-0005-0000-0000-00002F390000}"/>
    <cellStyle name="Dane wyjściowe 2 19 56 2" xfId="14661" xr:uid="{00000000-0005-0000-0000-000030390000}"/>
    <cellStyle name="Dane wyjściowe 2 19 56 3" xfId="14662" xr:uid="{00000000-0005-0000-0000-000031390000}"/>
    <cellStyle name="Dane wyjściowe 2 19 57" xfId="14663" xr:uid="{00000000-0005-0000-0000-000032390000}"/>
    <cellStyle name="Dane wyjściowe 2 19 58" xfId="14664" xr:uid="{00000000-0005-0000-0000-000033390000}"/>
    <cellStyle name="Dane wyjściowe 2 19 6" xfId="14665" xr:uid="{00000000-0005-0000-0000-000034390000}"/>
    <cellStyle name="Dane wyjściowe 2 19 6 2" xfId="14666" xr:uid="{00000000-0005-0000-0000-000035390000}"/>
    <cellStyle name="Dane wyjściowe 2 19 6 3" xfId="14667" xr:uid="{00000000-0005-0000-0000-000036390000}"/>
    <cellStyle name="Dane wyjściowe 2 19 6 4" xfId="14668" xr:uid="{00000000-0005-0000-0000-000037390000}"/>
    <cellStyle name="Dane wyjściowe 2 19 7" xfId="14669" xr:uid="{00000000-0005-0000-0000-000038390000}"/>
    <cellStyle name="Dane wyjściowe 2 19 7 2" xfId="14670" xr:uid="{00000000-0005-0000-0000-000039390000}"/>
    <cellStyle name="Dane wyjściowe 2 19 7 3" xfId="14671" xr:uid="{00000000-0005-0000-0000-00003A390000}"/>
    <cellStyle name="Dane wyjściowe 2 19 7 4" xfId="14672" xr:uid="{00000000-0005-0000-0000-00003B390000}"/>
    <cellStyle name="Dane wyjściowe 2 19 8" xfId="14673" xr:uid="{00000000-0005-0000-0000-00003C390000}"/>
    <cellStyle name="Dane wyjściowe 2 19 8 2" xfId="14674" xr:uid="{00000000-0005-0000-0000-00003D390000}"/>
    <cellStyle name="Dane wyjściowe 2 19 8 3" xfId="14675" xr:uid="{00000000-0005-0000-0000-00003E390000}"/>
    <cellStyle name="Dane wyjściowe 2 19 8 4" xfId="14676" xr:uid="{00000000-0005-0000-0000-00003F390000}"/>
    <cellStyle name="Dane wyjściowe 2 19 9" xfId="14677" xr:uid="{00000000-0005-0000-0000-000040390000}"/>
    <cellStyle name="Dane wyjściowe 2 19 9 2" xfId="14678" xr:uid="{00000000-0005-0000-0000-000041390000}"/>
    <cellStyle name="Dane wyjściowe 2 19 9 3" xfId="14679" xr:uid="{00000000-0005-0000-0000-000042390000}"/>
    <cellStyle name="Dane wyjściowe 2 19 9 4" xfId="14680" xr:uid="{00000000-0005-0000-0000-000043390000}"/>
    <cellStyle name="Dane wyjściowe 2 2" xfId="14681" xr:uid="{00000000-0005-0000-0000-000044390000}"/>
    <cellStyle name="Dane wyjściowe 2 2 10" xfId="14682" xr:uid="{00000000-0005-0000-0000-000045390000}"/>
    <cellStyle name="Dane wyjściowe 2 2 10 2" xfId="14683" xr:uid="{00000000-0005-0000-0000-000046390000}"/>
    <cellStyle name="Dane wyjściowe 2 2 10 3" xfId="14684" xr:uid="{00000000-0005-0000-0000-000047390000}"/>
    <cellStyle name="Dane wyjściowe 2 2 10 4" xfId="14685" xr:uid="{00000000-0005-0000-0000-000048390000}"/>
    <cellStyle name="Dane wyjściowe 2 2 11" xfId="14686" xr:uid="{00000000-0005-0000-0000-000049390000}"/>
    <cellStyle name="Dane wyjściowe 2 2 11 2" xfId="14687" xr:uid="{00000000-0005-0000-0000-00004A390000}"/>
    <cellStyle name="Dane wyjściowe 2 2 11 3" xfId="14688" xr:uid="{00000000-0005-0000-0000-00004B390000}"/>
    <cellStyle name="Dane wyjściowe 2 2 11 4" xfId="14689" xr:uid="{00000000-0005-0000-0000-00004C390000}"/>
    <cellStyle name="Dane wyjściowe 2 2 12" xfId="14690" xr:uid="{00000000-0005-0000-0000-00004D390000}"/>
    <cellStyle name="Dane wyjściowe 2 2 12 2" xfId="14691" xr:uid="{00000000-0005-0000-0000-00004E390000}"/>
    <cellStyle name="Dane wyjściowe 2 2 12 3" xfId="14692" xr:uid="{00000000-0005-0000-0000-00004F390000}"/>
    <cellStyle name="Dane wyjściowe 2 2 12 4" xfId="14693" xr:uid="{00000000-0005-0000-0000-000050390000}"/>
    <cellStyle name="Dane wyjściowe 2 2 13" xfId="14694" xr:uid="{00000000-0005-0000-0000-000051390000}"/>
    <cellStyle name="Dane wyjściowe 2 2 13 2" xfId="14695" xr:uid="{00000000-0005-0000-0000-000052390000}"/>
    <cellStyle name="Dane wyjściowe 2 2 13 3" xfId="14696" xr:uid="{00000000-0005-0000-0000-000053390000}"/>
    <cellStyle name="Dane wyjściowe 2 2 13 4" xfId="14697" xr:uid="{00000000-0005-0000-0000-000054390000}"/>
    <cellStyle name="Dane wyjściowe 2 2 14" xfId="14698" xr:uid="{00000000-0005-0000-0000-000055390000}"/>
    <cellStyle name="Dane wyjściowe 2 2 14 2" xfId="14699" xr:uid="{00000000-0005-0000-0000-000056390000}"/>
    <cellStyle name="Dane wyjściowe 2 2 14 3" xfId="14700" xr:uid="{00000000-0005-0000-0000-000057390000}"/>
    <cellStyle name="Dane wyjściowe 2 2 14 4" xfId="14701" xr:uid="{00000000-0005-0000-0000-000058390000}"/>
    <cellStyle name="Dane wyjściowe 2 2 15" xfId="14702" xr:uid="{00000000-0005-0000-0000-000059390000}"/>
    <cellStyle name="Dane wyjściowe 2 2 15 2" xfId="14703" xr:uid="{00000000-0005-0000-0000-00005A390000}"/>
    <cellStyle name="Dane wyjściowe 2 2 15 3" xfId="14704" xr:uid="{00000000-0005-0000-0000-00005B390000}"/>
    <cellStyle name="Dane wyjściowe 2 2 15 4" xfId="14705" xr:uid="{00000000-0005-0000-0000-00005C390000}"/>
    <cellStyle name="Dane wyjściowe 2 2 16" xfId="14706" xr:uid="{00000000-0005-0000-0000-00005D390000}"/>
    <cellStyle name="Dane wyjściowe 2 2 16 2" xfId="14707" xr:uid="{00000000-0005-0000-0000-00005E390000}"/>
    <cellStyle name="Dane wyjściowe 2 2 16 3" xfId="14708" xr:uid="{00000000-0005-0000-0000-00005F390000}"/>
    <cellStyle name="Dane wyjściowe 2 2 16 4" xfId="14709" xr:uid="{00000000-0005-0000-0000-000060390000}"/>
    <cellStyle name="Dane wyjściowe 2 2 17" xfId="14710" xr:uid="{00000000-0005-0000-0000-000061390000}"/>
    <cellStyle name="Dane wyjściowe 2 2 17 2" xfId="14711" xr:uid="{00000000-0005-0000-0000-000062390000}"/>
    <cellStyle name="Dane wyjściowe 2 2 17 3" xfId="14712" xr:uid="{00000000-0005-0000-0000-000063390000}"/>
    <cellStyle name="Dane wyjściowe 2 2 17 4" xfId="14713" xr:uid="{00000000-0005-0000-0000-000064390000}"/>
    <cellStyle name="Dane wyjściowe 2 2 18" xfId="14714" xr:uid="{00000000-0005-0000-0000-000065390000}"/>
    <cellStyle name="Dane wyjściowe 2 2 18 2" xfId="14715" xr:uid="{00000000-0005-0000-0000-000066390000}"/>
    <cellStyle name="Dane wyjściowe 2 2 18 3" xfId="14716" xr:uid="{00000000-0005-0000-0000-000067390000}"/>
    <cellStyle name="Dane wyjściowe 2 2 18 4" xfId="14717" xr:uid="{00000000-0005-0000-0000-000068390000}"/>
    <cellStyle name="Dane wyjściowe 2 2 19" xfId="14718" xr:uid="{00000000-0005-0000-0000-000069390000}"/>
    <cellStyle name="Dane wyjściowe 2 2 19 2" xfId="14719" xr:uid="{00000000-0005-0000-0000-00006A390000}"/>
    <cellStyle name="Dane wyjściowe 2 2 19 3" xfId="14720" xr:uid="{00000000-0005-0000-0000-00006B390000}"/>
    <cellStyle name="Dane wyjściowe 2 2 19 4" xfId="14721" xr:uid="{00000000-0005-0000-0000-00006C390000}"/>
    <cellStyle name="Dane wyjściowe 2 2 2" xfId="14722" xr:uid="{00000000-0005-0000-0000-00006D390000}"/>
    <cellStyle name="Dane wyjściowe 2 2 2 2" xfId="14723" xr:uid="{00000000-0005-0000-0000-00006E390000}"/>
    <cellStyle name="Dane wyjściowe 2 2 2 3" xfId="14724" xr:uid="{00000000-0005-0000-0000-00006F390000}"/>
    <cellStyle name="Dane wyjściowe 2 2 2 4" xfId="14725" xr:uid="{00000000-0005-0000-0000-000070390000}"/>
    <cellStyle name="Dane wyjściowe 2 2 20" xfId="14726" xr:uid="{00000000-0005-0000-0000-000071390000}"/>
    <cellStyle name="Dane wyjściowe 2 2 20 2" xfId="14727" xr:uid="{00000000-0005-0000-0000-000072390000}"/>
    <cellStyle name="Dane wyjściowe 2 2 20 3" xfId="14728" xr:uid="{00000000-0005-0000-0000-000073390000}"/>
    <cellStyle name="Dane wyjściowe 2 2 20 4" xfId="14729" xr:uid="{00000000-0005-0000-0000-000074390000}"/>
    <cellStyle name="Dane wyjściowe 2 2 21" xfId="14730" xr:uid="{00000000-0005-0000-0000-000075390000}"/>
    <cellStyle name="Dane wyjściowe 2 2 21 2" xfId="14731" xr:uid="{00000000-0005-0000-0000-000076390000}"/>
    <cellStyle name="Dane wyjściowe 2 2 21 3" xfId="14732" xr:uid="{00000000-0005-0000-0000-000077390000}"/>
    <cellStyle name="Dane wyjściowe 2 2 22" xfId="14733" xr:uid="{00000000-0005-0000-0000-000078390000}"/>
    <cellStyle name="Dane wyjściowe 2 2 22 2" xfId="14734" xr:uid="{00000000-0005-0000-0000-000079390000}"/>
    <cellStyle name="Dane wyjściowe 2 2 22 3" xfId="14735" xr:uid="{00000000-0005-0000-0000-00007A390000}"/>
    <cellStyle name="Dane wyjściowe 2 2 23" xfId="14736" xr:uid="{00000000-0005-0000-0000-00007B390000}"/>
    <cellStyle name="Dane wyjściowe 2 2 23 2" xfId="14737" xr:uid="{00000000-0005-0000-0000-00007C390000}"/>
    <cellStyle name="Dane wyjściowe 2 2 23 3" xfId="14738" xr:uid="{00000000-0005-0000-0000-00007D390000}"/>
    <cellStyle name="Dane wyjściowe 2 2 24" xfId="14739" xr:uid="{00000000-0005-0000-0000-00007E390000}"/>
    <cellStyle name="Dane wyjściowe 2 2 24 2" xfId="14740" xr:uid="{00000000-0005-0000-0000-00007F390000}"/>
    <cellStyle name="Dane wyjściowe 2 2 24 3" xfId="14741" xr:uid="{00000000-0005-0000-0000-000080390000}"/>
    <cellStyle name="Dane wyjściowe 2 2 25" xfId="14742" xr:uid="{00000000-0005-0000-0000-000081390000}"/>
    <cellStyle name="Dane wyjściowe 2 2 25 2" xfId="14743" xr:uid="{00000000-0005-0000-0000-000082390000}"/>
    <cellStyle name="Dane wyjściowe 2 2 25 3" xfId="14744" xr:uid="{00000000-0005-0000-0000-000083390000}"/>
    <cellStyle name="Dane wyjściowe 2 2 26" xfId="14745" xr:uid="{00000000-0005-0000-0000-000084390000}"/>
    <cellStyle name="Dane wyjściowe 2 2 26 2" xfId="14746" xr:uid="{00000000-0005-0000-0000-000085390000}"/>
    <cellStyle name="Dane wyjściowe 2 2 26 3" xfId="14747" xr:uid="{00000000-0005-0000-0000-000086390000}"/>
    <cellStyle name="Dane wyjściowe 2 2 27" xfId="14748" xr:uid="{00000000-0005-0000-0000-000087390000}"/>
    <cellStyle name="Dane wyjściowe 2 2 27 2" xfId="14749" xr:uid="{00000000-0005-0000-0000-000088390000}"/>
    <cellStyle name="Dane wyjściowe 2 2 27 3" xfId="14750" xr:uid="{00000000-0005-0000-0000-000089390000}"/>
    <cellStyle name="Dane wyjściowe 2 2 28" xfId="14751" xr:uid="{00000000-0005-0000-0000-00008A390000}"/>
    <cellStyle name="Dane wyjściowe 2 2 28 2" xfId="14752" xr:uid="{00000000-0005-0000-0000-00008B390000}"/>
    <cellStyle name="Dane wyjściowe 2 2 28 3" xfId="14753" xr:uid="{00000000-0005-0000-0000-00008C390000}"/>
    <cellStyle name="Dane wyjściowe 2 2 29" xfId="14754" xr:uid="{00000000-0005-0000-0000-00008D390000}"/>
    <cellStyle name="Dane wyjściowe 2 2 29 2" xfId="14755" xr:uid="{00000000-0005-0000-0000-00008E390000}"/>
    <cellStyle name="Dane wyjściowe 2 2 29 3" xfId="14756" xr:uid="{00000000-0005-0000-0000-00008F390000}"/>
    <cellStyle name="Dane wyjściowe 2 2 3" xfId="14757" xr:uid="{00000000-0005-0000-0000-000090390000}"/>
    <cellStyle name="Dane wyjściowe 2 2 3 2" xfId="14758" xr:uid="{00000000-0005-0000-0000-000091390000}"/>
    <cellStyle name="Dane wyjściowe 2 2 3 3" xfId="14759" xr:uid="{00000000-0005-0000-0000-000092390000}"/>
    <cellStyle name="Dane wyjściowe 2 2 3 4" xfId="14760" xr:uid="{00000000-0005-0000-0000-000093390000}"/>
    <cellStyle name="Dane wyjściowe 2 2 30" xfId="14761" xr:uid="{00000000-0005-0000-0000-000094390000}"/>
    <cellStyle name="Dane wyjściowe 2 2 30 2" xfId="14762" xr:uid="{00000000-0005-0000-0000-000095390000}"/>
    <cellStyle name="Dane wyjściowe 2 2 30 3" xfId="14763" xr:uid="{00000000-0005-0000-0000-000096390000}"/>
    <cellStyle name="Dane wyjściowe 2 2 31" xfId="14764" xr:uid="{00000000-0005-0000-0000-000097390000}"/>
    <cellStyle name="Dane wyjściowe 2 2 31 2" xfId="14765" xr:uid="{00000000-0005-0000-0000-000098390000}"/>
    <cellStyle name="Dane wyjściowe 2 2 31 3" xfId="14766" xr:uid="{00000000-0005-0000-0000-000099390000}"/>
    <cellStyle name="Dane wyjściowe 2 2 32" xfId="14767" xr:uid="{00000000-0005-0000-0000-00009A390000}"/>
    <cellStyle name="Dane wyjściowe 2 2 32 2" xfId="14768" xr:uid="{00000000-0005-0000-0000-00009B390000}"/>
    <cellStyle name="Dane wyjściowe 2 2 32 3" xfId="14769" xr:uid="{00000000-0005-0000-0000-00009C390000}"/>
    <cellStyle name="Dane wyjściowe 2 2 33" xfId="14770" xr:uid="{00000000-0005-0000-0000-00009D390000}"/>
    <cellStyle name="Dane wyjściowe 2 2 33 2" xfId="14771" xr:uid="{00000000-0005-0000-0000-00009E390000}"/>
    <cellStyle name="Dane wyjściowe 2 2 33 3" xfId="14772" xr:uid="{00000000-0005-0000-0000-00009F390000}"/>
    <cellStyle name="Dane wyjściowe 2 2 34" xfId="14773" xr:uid="{00000000-0005-0000-0000-0000A0390000}"/>
    <cellStyle name="Dane wyjściowe 2 2 34 2" xfId="14774" xr:uid="{00000000-0005-0000-0000-0000A1390000}"/>
    <cellStyle name="Dane wyjściowe 2 2 34 3" xfId="14775" xr:uid="{00000000-0005-0000-0000-0000A2390000}"/>
    <cellStyle name="Dane wyjściowe 2 2 35" xfId="14776" xr:uid="{00000000-0005-0000-0000-0000A3390000}"/>
    <cellStyle name="Dane wyjściowe 2 2 35 2" xfId="14777" xr:uid="{00000000-0005-0000-0000-0000A4390000}"/>
    <cellStyle name="Dane wyjściowe 2 2 35 3" xfId="14778" xr:uid="{00000000-0005-0000-0000-0000A5390000}"/>
    <cellStyle name="Dane wyjściowe 2 2 36" xfId="14779" xr:uid="{00000000-0005-0000-0000-0000A6390000}"/>
    <cellStyle name="Dane wyjściowe 2 2 36 2" xfId="14780" xr:uid="{00000000-0005-0000-0000-0000A7390000}"/>
    <cellStyle name="Dane wyjściowe 2 2 36 3" xfId="14781" xr:uid="{00000000-0005-0000-0000-0000A8390000}"/>
    <cellStyle name="Dane wyjściowe 2 2 37" xfId="14782" xr:uid="{00000000-0005-0000-0000-0000A9390000}"/>
    <cellStyle name="Dane wyjściowe 2 2 37 2" xfId="14783" xr:uid="{00000000-0005-0000-0000-0000AA390000}"/>
    <cellStyle name="Dane wyjściowe 2 2 37 3" xfId="14784" xr:uid="{00000000-0005-0000-0000-0000AB390000}"/>
    <cellStyle name="Dane wyjściowe 2 2 38" xfId="14785" xr:uid="{00000000-0005-0000-0000-0000AC390000}"/>
    <cellStyle name="Dane wyjściowe 2 2 38 2" xfId="14786" xr:uid="{00000000-0005-0000-0000-0000AD390000}"/>
    <cellStyle name="Dane wyjściowe 2 2 38 3" xfId="14787" xr:uid="{00000000-0005-0000-0000-0000AE390000}"/>
    <cellStyle name="Dane wyjściowe 2 2 39" xfId="14788" xr:uid="{00000000-0005-0000-0000-0000AF390000}"/>
    <cellStyle name="Dane wyjściowe 2 2 39 2" xfId="14789" xr:uid="{00000000-0005-0000-0000-0000B0390000}"/>
    <cellStyle name="Dane wyjściowe 2 2 39 3" xfId="14790" xr:uid="{00000000-0005-0000-0000-0000B1390000}"/>
    <cellStyle name="Dane wyjściowe 2 2 4" xfId="14791" xr:uid="{00000000-0005-0000-0000-0000B2390000}"/>
    <cellStyle name="Dane wyjściowe 2 2 4 2" xfId="14792" xr:uid="{00000000-0005-0000-0000-0000B3390000}"/>
    <cellStyle name="Dane wyjściowe 2 2 4 3" xfId="14793" xr:uid="{00000000-0005-0000-0000-0000B4390000}"/>
    <cellStyle name="Dane wyjściowe 2 2 4 4" xfId="14794" xr:uid="{00000000-0005-0000-0000-0000B5390000}"/>
    <cellStyle name="Dane wyjściowe 2 2 40" xfId="14795" xr:uid="{00000000-0005-0000-0000-0000B6390000}"/>
    <cellStyle name="Dane wyjściowe 2 2 40 2" xfId="14796" xr:uid="{00000000-0005-0000-0000-0000B7390000}"/>
    <cellStyle name="Dane wyjściowe 2 2 40 3" xfId="14797" xr:uid="{00000000-0005-0000-0000-0000B8390000}"/>
    <cellStyle name="Dane wyjściowe 2 2 41" xfId="14798" xr:uid="{00000000-0005-0000-0000-0000B9390000}"/>
    <cellStyle name="Dane wyjściowe 2 2 41 2" xfId="14799" xr:uid="{00000000-0005-0000-0000-0000BA390000}"/>
    <cellStyle name="Dane wyjściowe 2 2 41 3" xfId="14800" xr:uid="{00000000-0005-0000-0000-0000BB390000}"/>
    <cellStyle name="Dane wyjściowe 2 2 42" xfId="14801" xr:uid="{00000000-0005-0000-0000-0000BC390000}"/>
    <cellStyle name="Dane wyjściowe 2 2 42 2" xfId="14802" xr:uid="{00000000-0005-0000-0000-0000BD390000}"/>
    <cellStyle name="Dane wyjściowe 2 2 42 3" xfId="14803" xr:uid="{00000000-0005-0000-0000-0000BE390000}"/>
    <cellStyle name="Dane wyjściowe 2 2 43" xfId="14804" xr:uid="{00000000-0005-0000-0000-0000BF390000}"/>
    <cellStyle name="Dane wyjściowe 2 2 43 2" xfId="14805" xr:uid="{00000000-0005-0000-0000-0000C0390000}"/>
    <cellStyle name="Dane wyjściowe 2 2 43 3" xfId="14806" xr:uid="{00000000-0005-0000-0000-0000C1390000}"/>
    <cellStyle name="Dane wyjściowe 2 2 44" xfId="14807" xr:uid="{00000000-0005-0000-0000-0000C2390000}"/>
    <cellStyle name="Dane wyjściowe 2 2 44 2" xfId="14808" xr:uid="{00000000-0005-0000-0000-0000C3390000}"/>
    <cellStyle name="Dane wyjściowe 2 2 44 3" xfId="14809" xr:uid="{00000000-0005-0000-0000-0000C4390000}"/>
    <cellStyle name="Dane wyjściowe 2 2 45" xfId="14810" xr:uid="{00000000-0005-0000-0000-0000C5390000}"/>
    <cellStyle name="Dane wyjściowe 2 2 45 2" xfId="14811" xr:uid="{00000000-0005-0000-0000-0000C6390000}"/>
    <cellStyle name="Dane wyjściowe 2 2 45 3" xfId="14812" xr:uid="{00000000-0005-0000-0000-0000C7390000}"/>
    <cellStyle name="Dane wyjściowe 2 2 46" xfId="14813" xr:uid="{00000000-0005-0000-0000-0000C8390000}"/>
    <cellStyle name="Dane wyjściowe 2 2 46 2" xfId="14814" xr:uid="{00000000-0005-0000-0000-0000C9390000}"/>
    <cellStyle name="Dane wyjściowe 2 2 46 3" xfId="14815" xr:uid="{00000000-0005-0000-0000-0000CA390000}"/>
    <cellStyle name="Dane wyjściowe 2 2 47" xfId="14816" xr:uid="{00000000-0005-0000-0000-0000CB390000}"/>
    <cellStyle name="Dane wyjściowe 2 2 47 2" xfId="14817" xr:uid="{00000000-0005-0000-0000-0000CC390000}"/>
    <cellStyle name="Dane wyjściowe 2 2 47 3" xfId="14818" xr:uid="{00000000-0005-0000-0000-0000CD390000}"/>
    <cellStyle name="Dane wyjściowe 2 2 48" xfId="14819" xr:uid="{00000000-0005-0000-0000-0000CE390000}"/>
    <cellStyle name="Dane wyjściowe 2 2 48 2" xfId="14820" xr:uid="{00000000-0005-0000-0000-0000CF390000}"/>
    <cellStyle name="Dane wyjściowe 2 2 48 3" xfId="14821" xr:uid="{00000000-0005-0000-0000-0000D0390000}"/>
    <cellStyle name="Dane wyjściowe 2 2 49" xfId="14822" xr:uid="{00000000-0005-0000-0000-0000D1390000}"/>
    <cellStyle name="Dane wyjściowe 2 2 49 2" xfId="14823" xr:uid="{00000000-0005-0000-0000-0000D2390000}"/>
    <cellStyle name="Dane wyjściowe 2 2 49 3" xfId="14824" xr:uid="{00000000-0005-0000-0000-0000D3390000}"/>
    <cellStyle name="Dane wyjściowe 2 2 5" xfId="14825" xr:uid="{00000000-0005-0000-0000-0000D4390000}"/>
    <cellStyle name="Dane wyjściowe 2 2 5 2" xfId="14826" xr:uid="{00000000-0005-0000-0000-0000D5390000}"/>
    <cellStyle name="Dane wyjściowe 2 2 5 3" xfId="14827" xr:uid="{00000000-0005-0000-0000-0000D6390000}"/>
    <cellStyle name="Dane wyjściowe 2 2 5 4" xfId="14828" xr:uid="{00000000-0005-0000-0000-0000D7390000}"/>
    <cellStyle name="Dane wyjściowe 2 2 50" xfId="14829" xr:uid="{00000000-0005-0000-0000-0000D8390000}"/>
    <cellStyle name="Dane wyjściowe 2 2 50 2" xfId="14830" xr:uid="{00000000-0005-0000-0000-0000D9390000}"/>
    <cellStyle name="Dane wyjściowe 2 2 50 3" xfId="14831" xr:uid="{00000000-0005-0000-0000-0000DA390000}"/>
    <cellStyle name="Dane wyjściowe 2 2 51" xfId="14832" xr:uid="{00000000-0005-0000-0000-0000DB390000}"/>
    <cellStyle name="Dane wyjściowe 2 2 51 2" xfId="14833" xr:uid="{00000000-0005-0000-0000-0000DC390000}"/>
    <cellStyle name="Dane wyjściowe 2 2 51 3" xfId="14834" xr:uid="{00000000-0005-0000-0000-0000DD390000}"/>
    <cellStyle name="Dane wyjściowe 2 2 52" xfId="14835" xr:uid="{00000000-0005-0000-0000-0000DE390000}"/>
    <cellStyle name="Dane wyjściowe 2 2 52 2" xfId="14836" xr:uid="{00000000-0005-0000-0000-0000DF390000}"/>
    <cellStyle name="Dane wyjściowe 2 2 52 3" xfId="14837" xr:uid="{00000000-0005-0000-0000-0000E0390000}"/>
    <cellStyle name="Dane wyjściowe 2 2 53" xfId="14838" xr:uid="{00000000-0005-0000-0000-0000E1390000}"/>
    <cellStyle name="Dane wyjściowe 2 2 53 2" xfId="14839" xr:uid="{00000000-0005-0000-0000-0000E2390000}"/>
    <cellStyle name="Dane wyjściowe 2 2 53 3" xfId="14840" xr:uid="{00000000-0005-0000-0000-0000E3390000}"/>
    <cellStyle name="Dane wyjściowe 2 2 54" xfId="14841" xr:uid="{00000000-0005-0000-0000-0000E4390000}"/>
    <cellStyle name="Dane wyjściowe 2 2 54 2" xfId="14842" xr:uid="{00000000-0005-0000-0000-0000E5390000}"/>
    <cellStyle name="Dane wyjściowe 2 2 54 3" xfId="14843" xr:uid="{00000000-0005-0000-0000-0000E6390000}"/>
    <cellStyle name="Dane wyjściowe 2 2 55" xfId="14844" xr:uid="{00000000-0005-0000-0000-0000E7390000}"/>
    <cellStyle name="Dane wyjściowe 2 2 55 2" xfId="14845" xr:uid="{00000000-0005-0000-0000-0000E8390000}"/>
    <cellStyle name="Dane wyjściowe 2 2 55 3" xfId="14846" xr:uid="{00000000-0005-0000-0000-0000E9390000}"/>
    <cellStyle name="Dane wyjściowe 2 2 56" xfId="14847" xr:uid="{00000000-0005-0000-0000-0000EA390000}"/>
    <cellStyle name="Dane wyjściowe 2 2 56 2" xfId="14848" xr:uid="{00000000-0005-0000-0000-0000EB390000}"/>
    <cellStyle name="Dane wyjściowe 2 2 56 3" xfId="14849" xr:uid="{00000000-0005-0000-0000-0000EC390000}"/>
    <cellStyle name="Dane wyjściowe 2 2 57" xfId="14850" xr:uid="{00000000-0005-0000-0000-0000ED390000}"/>
    <cellStyle name="Dane wyjściowe 2 2 58" xfId="14851" xr:uid="{00000000-0005-0000-0000-0000EE390000}"/>
    <cellStyle name="Dane wyjściowe 2 2 59" xfId="14852" xr:uid="{00000000-0005-0000-0000-0000EF390000}"/>
    <cellStyle name="Dane wyjściowe 2 2 6" xfId="14853" xr:uid="{00000000-0005-0000-0000-0000F0390000}"/>
    <cellStyle name="Dane wyjściowe 2 2 6 2" xfId="14854" xr:uid="{00000000-0005-0000-0000-0000F1390000}"/>
    <cellStyle name="Dane wyjściowe 2 2 6 3" xfId="14855" xr:uid="{00000000-0005-0000-0000-0000F2390000}"/>
    <cellStyle name="Dane wyjściowe 2 2 6 4" xfId="14856" xr:uid="{00000000-0005-0000-0000-0000F3390000}"/>
    <cellStyle name="Dane wyjściowe 2 2 7" xfId="14857" xr:uid="{00000000-0005-0000-0000-0000F4390000}"/>
    <cellStyle name="Dane wyjściowe 2 2 7 2" xfId="14858" xr:uid="{00000000-0005-0000-0000-0000F5390000}"/>
    <cellStyle name="Dane wyjściowe 2 2 7 3" xfId="14859" xr:uid="{00000000-0005-0000-0000-0000F6390000}"/>
    <cellStyle name="Dane wyjściowe 2 2 7 4" xfId="14860" xr:uid="{00000000-0005-0000-0000-0000F7390000}"/>
    <cellStyle name="Dane wyjściowe 2 2 8" xfId="14861" xr:uid="{00000000-0005-0000-0000-0000F8390000}"/>
    <cellStyle name="Dane wyjściowe 2 2 8 2" xfId="14862" xr:uid="{00000000-0005-0000-0000-0000F9390000}"/>
    <cellStyle name="Dane wyjściowe 2 2 8 3" xfId="14863" xr:uid="{00000000-0005-0000-0000-0000FA390000}"/>
    <cellStyle name="Dane wyjściowe 2 2 8 4" xfId="14864" xr:uid="{00000000-0005-0000-0000-0000FB390000}"/>
    <cellStyle name="Dane wyjściowe 2 2 9" xfId="14865" xr:uid="{00000000-0005-0000-0000-0000FC390000}"/>
    <cellStyle name="Dane wyjściowe 2 2 9 2" xfId="14866" xr:uid="{00000000-0005-0000-0000-0000FD390000}"/>
    <cellStyle name="Dane wyjściowe 2 2 9 3" xfId="14867" xr:uid="{00000000-0005-0000-0000-0000FE390000}"/>
    <cellStyle name="Dane wyjściowe 2 2 9 4" xfId="14868" xr:uid="{00000000-0005-0000-0000-0000FF390000}"/>
    <cellStyle name="Dane wyjściowe 2 20" xfId="14869" xr:uid="{00000000-0005-0000-0000-0000003A0000}"/>
    <cellStyle name="Dane wyjściowe 2 20 10" xfId="14870" xr:uid="{00000000-0005-0000-0000-0000013A0000}"/>
    <cellStyle name="Dane wyjściowe 2 20 10 2" xfId="14871" xr:uid="{00000000-0005-0000-0000-0000023A0000}"/>
    <cellStyle name="Dane wyjściowe 2 20 10 3" xfId="14872" xr:uid="{00000000-0005-0000-0000-0000033A0000}"/>
    <cellStyle name="Dane wyjściowe 2 20 10 4" xfId="14873" xr:uid="{00000000-0005-0000-0000-0000043A0000}"/>
    <cellStyle name="Dane wyjściowe 2 20 11" xfId="14874" xr:uid="{00000000-0005-0000-0000-0000053A0000}"/>
    <cellStyle name="Dane wyjściowe 2 20 11 2" xfId="14875" xr:uid="{00000000-0005-0000-0000-0000063A0000}"/>
    <cellStyle name="Dane wyjściowe 2 20 11 3" xfId="14876" xr:uid="{00000000-0005-0000-0000-0000073A0000}"/>
    <cellStyle name="Dane wyjściowe 2 20 11 4" xfId="14877" xr:uid="{00000000-0005-0000-0000-0000083A0000}"/>
    <cellStyle name="Dane wyjściowe 2 20 12" xfId="14878" xr:uid="{00000000-0005-0000-0000-0000093A0000}"/>
    <cellStyle name="Dane wyjściowe 2 20 12 2" xfId="14879" xr:uid="{00000000-0005-0000-0000-00000A3A0000}"/>
    <cellStyle name="Dane wyjściowe 2 20 12 3" xfId="14880" xr:uid="{00000000-0005-0000-0000-00000B3A0000}"/>
    <cellStyle name="Dane wyjściowe 2 20 12 4" xfId="14881" xr:uid="{00000000-0005-0000-0000-00000C3A0000}"/>
    <cellStyle name="Dane wyjściowe 2 20 13" xfId="14882" xr:uid="{00000000-0005-0000-0000-00000D3A0000}"/>
    <cellStyle name="Dane wyjściowe 2 20 13 2" xfId="14883" xr:uid="{00000000-0005-0000-0000-00000E3A0000}"/>
    <cellStyle name="Dane wyjściowe 2 20 13 3" xfId="14884" xr:uid="{00000000-0005-0000-0000-00000F3A0000}"/>
    <cellStyle name="Dane wyjściowe 2 20 13 4" xfId="14885" xr:uid="{00000000-0005-0000-0000-0000103A0000}"/>
    <cellStyle name="Dane wyjściowe 2 20 14" xfId="14886" xr:uid="{00000000-0005-0000-0000-0000113A0000}"/>
    <cellStyle name="Dane wyjściowe 2 20 14 2" xfId="14887" xr:uid="{00000000-0005-0000-0000-0000123A0000}"/>
    <cellStyle name="Dane wyjściowe 2 20 14 3" xfId="14888" xr:uid="{00000000-0005-0000-0000-0000133A0000}"/>
    <cellStyle name="Dane wyjściowe 2 20 14 4" xfId="14889" xr:uid="{00000000-0005-0000-0000-0000143A0000}"/>
    <cellStyle name="Dane wyjściowe 2 20 15" xfId="14890" xr:uid="{00000000-0005-0000-0000-0000153A0000}"/>
    <cellStyle name="Dane wyjściowe 2 20 15 2" xfId="14891" xr:uid="{00000000-0005-0000-0000-0000163A0000}"/>
    <cellStyle name="Dane wyjściowe 2 20 15 3" xfId="14892" xr:uid="{00000000-0005-0000-0000-0000173A0000}"/>
    <cellStyle name="Dane wyjściowe 2 20 15 4" xfId="14893" xr:uid="{00000000-0005-0000-0000-0000183A0000}"/>
    <cellStyle name="Dane wyjściowe 2 20 16" xfId="14894" xr:uid="{00000000-0005-0000-0000-0000193A0000}"/>
    <cellStyle name="Dane wyjściowe 2 20 16 2" xfId="14895" xr:uid="{00000000-0005-0000-0000-00001A3A0000}"/>
    <cellStyle name="Dane wyjściowe 2 20 16 3" xfId="14896" xr:uid="{00000000-0005-0000-0000-00001B3A0000}"/>
    <cellStyle name="Dane wyjściowe 2 20 16 4" xfId="14897" xr:uid="{00000000-0005-0000-0000-00001C3A0000}"/>
    <cellStyle name="Dane wyjściowe 2 20 17" xfId="14898" xr:uid="{00000000-0005-0000-0000-00001D3A0000}"/>
    <cellStyle name="Dane wyjściowe 2 20 17 2" xfId="14899" xr:uid="{00000000-0005-0000-0000-00001E3A0000}"/>
    <cellStyle name="Dane wyjściowe 2 20 17 3" xfId="14900" xr:uid="{00000000-0005-0000-0000-00001F3A0000}"/>
    <cellStyle name="Dane wyjściowe 2 20 17 4" xfId="14901" xr:uid="{00000000-0005-0000-0000-0000203A0000}"/>
    <cellStyle name="Dane wyjściowe 2 20 18" xfId="14902" xr:uid="{00000000-0005-0000-0000-0000213A0000}"/>
    <cellStyle name="Dane wyjściowe 2 20 18 2" xfId="14903" xr:uid="{00000000-0005-0000-0000-0000223A0000}"/>
    <cellStyle name="Dane wyjściowe 2 20 18 3" xfId="14904" xr:uid="{00000000-0005-0000-0000-0000233A0000}"/>
    <cellStyle name="Dane wyjściowe 2 20 18 4" xfId="14905" xr:uid="{00000000-0005-0000-0000-0000243A0000}"/>
    <cellStyle name="Dane wyjściowe 2 20 19" xfId="14906" xr:uid="{00000000-0005-0000-0000-0000253A0000}"/>
    <cellStyle name="Dane wyjściowe 2 20 19 2" xfId="14907" xr:uid="{00000000-0005-0000-0000-0000263A0000}"/>
    <cellStyle name="Dane wyjściowe 2 20 19 3" xfId="14908" xr:uid="{00000000-0005-0000-0000-0000273A0000}"/>
    <cellStyle name="Dane wyjściowe 2 20 19 4" xfId="14909" xr:uid="{00000000-0005-0000-0000-0000283A0000}"/>
    <cellStyle name="Dane wyjściowe 2 20 2" xfId="14910" xr:uid="{00000000-0005-0000-0000-0000293A0000}"/>
    <cellStyle name="Dane wyjściowe 2 20 2 2" xfId="14911" xr:uid="{00000000-0005-0000-0000-00002A3A0000}"/>
    <cellStyle name="Dane wyjściowe 2 20 2 3" xfId="14912" xr:uid="{00000000-0005-0000-0000-00002B3A0000}"/>
    <cellStyle name="Dane wyjściowe 2 20 2 4" xfId="14913" xr:uid="{00000000-0005-0000-0000-00002C3A0000}"/>
    <cellStyle name="Dane wyjściowe 2 20 20" xfId="14914" xr:uid="{00000000-0005-0000-0000-00002D3A0000}"/>
    <cellStyle name="Dane wyjściowe 2 20 20 2" xfId="14915" xr:uid="{00000000-0005-0000-0000-00002E3A0000}"/>
    <cellStyle name="Dane wyjściowe 2 20 20 3" xfId="14916" xr:uid="{00000000-0005-0000-0000-00002F3A0000}"/>
    <cellStyle name="Dane wyjściowe 2 20 20 4" xfId="14917" xr:uid="{00000000-0005-0000-0000-0000303A0000}"/>
    <cellStyle name="Dane wyjściowe 2 20 21" xfId="14918" xr:uid="{00000000-0005-0000-0000-0000313A0000}"/>
    <cellStyle name="Dane wyjściowe 2 20 21 2" xfId="14919" xr:uid="{00000000-0005-0000-0000-0000323A0000}"/>
    <cellStyle name="Dane wyjściowe 2 20 21 3" xfId="14920" xr:uid="{00000000-0005-0000-0000-0000333A0000}"/>
    <cellStyle name="Dane wyjściowe 2 20 22" xfId="14921" xr:uid="{00000000-0005-0000-0000-0000343A0000}"/>
    <cellStyle name="Dane wyjściowe 2 20 22 2" xfId="14922" xr:uid="{00000000-0005-0000-0000-0000353A0000}"/>
    <cellStyle name="Dane wyjściowe 2 20 22 3" xfId="14923" xr:uid="{00000000-0005-0000-0000-0000363A0000}"/>
    <cellStyle name="Dane wyjściowe 2 20 23" xfId="14924" xr:uid="{00000000-0005-0000-0000-0000373A0000}"/>
    <cellStyle name="Dane wyjściowe 2 20 23 2" xfId="14925" xr:uid="{00000000-0005-0000-0000-0000383A0000}"/>
    <cellStyle name="Dane wyjściowe 2 20 23 3" xfId="14926" xr:uid="{00000000-0005-0000-0000-0000393A0000}"/>
    <cellStyle name="Dane wyjściowe 2 20 24" xfId="14927" xr:uid="{00000000-0005-0000-0000-00003A3A0000}"/>
    <cellStyle name="Dane wyjściowe 2 20 24 2" xfId="14928" xr:uid="{00000000-0005-0000-0000-00003B3A0000}"/>
    <cellStyle name="Dane wyjściowe 2 20 24 3" xfId="14929" xr:uid="{00000000-0005-0000-0000-00003C3A0000}"/>
    <cellStyle name="Dane wyjściowe 2 20 25" xfId="14930" xr:uid="{00000000-0005-0000-0000-00003D3A0000}"/>
    <cellStyle name="Dane wyjściowe 2 20 25 2" xfId="14931" xr:uid="{00000000-0005-0000-0000-00003E3A0000}"/>
    <cellStyle name="Dane wyjściowe 2 20 25 3" xfId="14932" xr:uid="{00000000-0005-0000-0000-00003F3A0000}"/>
    <cellStyle name="Dane wyjściowe 2 20 26" xfId="14933" xr:uid="{00000000-0005-0000-0000-0000403A0000}"/>
    <cellStyle name="Dane wyjściowe 2 20 26 2" xfId="14934" xr:uid="{00000000-0005-0000-0000-0000413A0000}"/>
    <cellStyle name="Dane wyjściowe 2 20 26 3" xfId="14935" xr:uid="{00000000-0005-0000-0000-0000423A0000}"/>
    <cellStyle name="Dane wyjściowe 2 20 27" xfId="14936" xr:uid="{00000000-0005-0000-0000-0000433A0000}"/>
    <cellStyle name="Dane wyjściowe 2 20 27 2" xfId="14937" xr:uid="{00000000-0005-0000-0000-0000443A0000}"/>
    <cellStyle name="Dane wyjściowe 2 20 27 3" xfId="14938" xr:uid="{00000000-0005-0000-0000-0000453A0000}"/>
    <cellStyle name="Dane wyjściowe 2 20 28" xfId="14939" xr:uid="{00000000-0005-0000-0000-0000463A0000}"/>
    <cellStyle name="Dane wyjściowe 2 20 28 2" xfId="14940" xr:uid="{00000000-0005-0000-0000-0000473A0000}"/>
    <cellStyle name="Dane wyjściowe 2 20 28 3" xfId="14941" xr:uid="{00000000-0005-0000-0000-0000483A0000}"/>
    <cellStyle name="Dane wyjściowe 2 20 29" xfId="14942" xr:uid="{00000000-0005-0000-0000-0000493A0000}"/>
    <cellStyle name="Dane wyjściowe 2 20 29 2" xfId="14943" xr:uid="{00000000-0005-0000-0000-00004A3A0000}"/>
    <cellStyle name="Dane wyjściowe 2 20 29 3" xfId="14944" xr:uid="{00000000-0005-0000-0000-00004B3A0000}"/>
    <cellStyle name="Dane wyjściowe 2 20 3" xfId="14945" xr:uid="{00000000-0005-0000-0000-00004C3A0000}"/>
    <cellStyle name="Dane wyjściowe 2 20 3 2" xfId="14946" xr:uid="{00000000-0005-0000-0000-00004D3A0000}"/>
    <cellStyle name="Dane wyjściowe 2 20 3 3" xfId="14947" xr:uid="{00000000-0005-0000-0000-00004E3A0000}"/>
    <cellStyle name="Dane wyjściowe 2 20 3 4" xfId="14948" xr:uid="{00000000-0005-0000-0000-00004F3A0000}"/>
    <cellStyle name="Dane wyjściowe 2 20 30" xfId="14949" xr:uid="{00000000-0005-0000-0000-0000503A0000}"/>
    <cellStyle name="Dane wyjściowe 2 20 30 2" xfId="14950" xr:uid="{00000000-0005-0000-0000-0000513A0000}"/>
    <cellStyle name="Dane wyjściowe 2 20 30 3" xfId="14951" xr:uid="{00000000-0005-0000-0000-0000523A0000}"/>
    <cellStyle name="Dane wyjściowe 2 20 31" xfId="14952" xr:uid="{00000000-0005-0000-0000-0000533A0000}"/>
    <cellStyle name="Dane wyjściowe 2 20 31 2" xfId="14953" xr:uid="{00000000-0005-0000-0000-0000543A0000}"/>
    <cellStyle name="Dane wyjściowe 2 20 31 3" xfId="14954" xr:uid="{00000000-0005-0000-0000-0000553A0000}"/>
    <cellStyle name="Dane wyjściowe 2 20 32" xfId="14955" xr:uid="{00000000-0005-0000-0000-0000563A0000}"/>
    <cellStyle name="Dane wyjściowe 2 20 32 2" xfId="14956" xr:uid="{00000000-0005-0000-0000-0000573A0000}"/>
    <cellStyle name="Dane wyjściowe 2 20 32 3" xfId="14957" xr:uid="{00000000-0005-0000-0000-0000583A0000}"/>
    <cellStyle name="Dane wyjściowe 2 20 33" xfId="14958" xr:uid="{00000000-0005-0000-0000-0000593A0000}"/>
    <cellStyle name="Dane wyjściowe 2 20 33 2" xfId="14959" xr:uid="{00000000-0005-0000-0000-00005A3A0000}"/>
    <cellStyle name="Dane wyjściowe 2 20 33 3" xfId="14960" xr:uid="{00000000-0005-0000-0000-00005B3A0000}"/>
    <cellStyle name="Dane wyjściowe 2 20 34" xfId="14961" xr:uid="{00000000-0005-0000-0000-00005C3A0000}"/>
    <cellStyle name="Dane wyjściowe 2 20 34 2" xfId="14962" xr:uid="{00000000-0005-0000-0000-00005D3A0000}"/>
    <cellStyle name="Dane wyjściowe 2 20 34 3" xfId="14963" xr:uid="{00000000-0005-0000-0000-00005E3A0000}"/>
    <cellStyle name="Dane wyjściowe 2 20 35" xfId="14964" xr:uid="{00000000-0005-0000-0000-00005F3A0000}"/>
    <cellStyle name="Dane wyjściowe 2 20 35 2" xfId="14965" xr:uid="{00000000-0005-0000-0000-0000603A0000}"/>
    <cellStyle name="Dane wyjściowe 2 20 35 3" xfId="14966" xr:uid="{00000000-0005-0000-0000-0000613A0000}"/>
    <cellStyle name="Dane wyjściowe 2 20 36" xfId="14967" xr:uid="{00000000-0005-0000-0000-0000623A0000}"/>
    <cellStyle name="Dane wyjściowe 2 20 36 2" xfId="14968" xr:uid="{00000000-0005-0000-0000-0000633A0000}"/>
    <cellStyle name="Dane wyjściowe 2 20 36 3" xfId="14969" xr:uid="{00000000-0005-0000-0000-0000643A0000}"/>
    <cellStyle name="Dane wyjściowe 2 20 37" xfId="14970" xr:uid="{00000000-0005-0000-0000-0000653A0000}"/>
    <cellStyle name="Dane wyjściowe 2 20 37 2" xfId="14971" xr:uid="{00000000-0005-0000-0000-0000663A0000}"/>
    <cellStyle name="Dane wyjściowe 2 20 37 3" xfId="14972" xr:uid="{00000000-0005-0000-0000-0000673A0000}"/>
    <cellStyle name="Dane wyjściowe 2 20 38" xfId="14973" xr:uid="{00000000-0005-0000-0000-0000683A0000}"/>
    <cellStyle name="Dane wyjściowe 2 20 38 2" xfId="14974" xr:uid="{00000000-0005-0000-0000-0000693A0000}"/>
    <cellStyle name="Dane wyjściowe 2 20 38 3" xfId="14975" xr:uid="{00000000-0005-0000-0000-00006A3A0000}"/>
    <cellStyle name="Dane wyjściowe 2 20 39" xfId="14976" xr:uid="{00000000-0005-0000-0000-00006B3A0000}"/>
    <cellStyle name="Dane wyjściowe 2 20 39 2" xfId="14977" xr:uid="{00000000-0005-0000-0000-00006C3A0000}"/>
    <cellStyle name="Dane wyjściowe 2 20 39 3" xfId="14978" xr:uid="{00000000-0005-0000-0000-00006D3A0000}"/>
    <cellStyle name="Dane wyjściowe 2 20 4" xfId="14979" xr:uid="{00000000-0005-0000-0000-00006E3A0000}"/>
    <cellStyle name="Dane wyjściowe 2 20 4 2" xfId="14980" xr:uid="{00000000-0005-0000-0000-00006F3A0000}"/>
    <cellStyle name="Dane wyjściowe 2 20 4 3" xfId="14981" xr:uid="{00000000-0005-0000-0000-0000703A0000}"/>
    <cellStyle name="Dane wyjściowe 2 20 4 4" xfId="14982" xr:uid="{00000000-0005-0000-0000-0000713A0000}"/>
    <cellStyle name="Dane wyjściowe 2 20 40" xfId="14983" xr:uid="{00000000-0005-0000-0000-0000723A0000}"/>
    <cellStyle name="Dane wyjściowe 2 20 40 2" xfId="14984" xr:uid="{00000000-0005-0000-0000-0000733A0000}"/>
    <cellStyle name="Dane wyjściowe 2 20 40 3" xfId="14985" xr:uid="{00000000-0005-0000-0000-0000743A0000}"/>
    <cellStyle name="Dane wyjściowe 2 20 41" xfId="14986" xr:uid="{00000000-0005-0000-0000-0000753A0000}"/>
    <cellStyle name="Dane wyjściowe 2 20 41 2" xfId="14987" xr:uid="{00000000-0005-0000-0000-0000763A0000}"/>
    <cellStyle name="Dane wyjściowe 2 20 41 3" xfId="14988" xr:uid="{00000000-0005-0000-0000-0000773A0000}"/>
    <cellStyle name="Dane wyjściowe 2 20 42" xfId="14989" xr:uid="{00000000-0005-0000-0000-0000783A0000}"/>
    <cellStyle name="Dane wyjściowe 2 20 42 2" xfId="14990" xr:uid="{00000000-0005-0000-0000-0000793A0000}"/>
    <cellStyle name="Dane wyjściowe 2 20 42 3" xfId="14991" xr:uid="{00000000-0005-0000-0000-00007A3A0000}"/>
    <cellStyle name="Dane wyjściowe 2 20 43" xfId="14992" xr:uid="{00000000-0005-0000-0000-00007B3A0000}"/>
    <cellStyle name="Dane wyjściowe 2 20 43 2" xfId="14993" xr:uid="{00000000-0005-0000-0000-00007C3A0000}"/>
    <cellStyle name="Dane wyjściowe 2 20 43 3" xfId="14994" xr:uid="{00000000-0005-0000-0000-00007D3A0000}"/>
    <cellStyle name="Dane wyjściowe 2 20 44" xfId="14995" xr:uid="{00000000-0005-0000-0000-00007E3A0000}"/>
    <cellStyle name="Dane wyjściowe 2 20 44 2" xfId="14996" xr:uid="{00000000-0005-0000-0000-00007F3A0000}"/>
    <cellStyle name="Dane wyjściowe 2 20 44 3" xfId="14997" xr:uid="{00000000-0005-0000-0000-0000803A0000}"/>
    <cellStyle name="Dane wyjściowe 2 20 45" xfId="14998" xr:uid="{00000000-0005-0000-0000-0000813A0000}"/>
    <cellStyle name="Dane wyjściowe 2 20 45 2" xfId="14999" xr:uid="{00000000-0005-0000-0000-0000823A0000}"/>
    <cellStyle name="Dane wyjściowe 2 20 45 3" xfId="15000" xr:uid="{00000000-0005-0000-0000-0000833A0000}"/>
    <cellStyle name="Dane wyjściowe 2 20 46" xfId="15001" xr:uid="{00000000-0005-0000-0000-0000843A0000}"/>
    <cellStyle name="Dane wyjściowe 2 20 46 2" xfId="15002" xr:uid="{00000000-0005-0000-0000-0000853A0000}"/>
    <cellStyle name="Dane wyjściowe 2 20 46 3" xfId="15003" xr:uid="{00000000-0005-0000-0000-0000863A0000}"/>
    <cellStyle name="Dane wyjściowe 2 20 47" xfId="15004" xr:uid="{00000000-0005-0000-0000-0000873A0000}"/>
    <cellStyle name="Dane wyjściowe 2 20 47 2" xfId="15005" xr:uid="{00000000-0005-0000-0000-0000883A0000}"/>
    <cellStyle name="Dane wyjściowe 2 20 47 3" xfId="15006" xr:uid="{00000000-0005-0000-0000-0000893A0000}"/>
    <cellStyle name="Dane wyjściowe 2 20 48" xfId="15007" xr:uid="{00000000-0005-0000-0000-00008A3A0000}"/>
    <cellStyle name="Dane wyjściowe 2 20 48 2" xfId="15008" xr:uid="{00000000-0005-0000-0000-00008B3A0000}"/>
    <cellStyle name="Dane wyjściowe 2 20 48 3" xfId="15009" xr:uid="{00000000-0005-0000-0000-00008C3A0000}"/>
    <cellStyle name="Dane wyjściowe 2 20 49" xfId="15010" xr:uid="{00000000-0005-0000-0000-00008D3A0000}"/>
    <cellStyle name="Dane wyjściowe 2 20 49 2" xfId="15011" xr:uid="{00000000-0005-0000-0000-00008E3A0000}"/>
    <cellStyle name="Dane wyjściowe 2 20 49 3" xfId="15012" xr:uid="{00000000-0005-0000-0000-00008F3A0000}"/>
    <cellStyle name="Dane wyjściowe 2 20 5" xfId="15013" xr:uid="{00000000-0005-0000-0000-0000903A0000}"/>
    <cellStyle name="Dane wyjściowe 2 20 5 2" xfId="15014" xr:uid="{00000000-0005-0000-0000-0000913A0000}"/>
    <cellStyle name="Dane wyjściowe 2 20 5 3" xfId="15015" xr:uid="{00000000-0005-0000-0000-0000923A0000}"/>
    <cellStyle name="Dane wyjściowe 2 20 5 4" xfId="15016" xr:uid="{00000000-0005-0000-0000-0000933A0000}"/>
    <cellStyle name="Dane wyjściowe 2 20 50" xfId="15017" xr:uid="{00000000-0005-0000-0000-0000943A0000}"/>
    <cellStyle name="Dane wyjściowe 2 20 50 2" xfId="15018" xr:uid="{00000000-0005-0000-0000-0000953A0000}"/>
    <cellStyle name="Dane wyjściowe 2 20 50 3" xfId="15019" xr:uid="{00000000-0005-0000-0000-0000963A0000}"/>
    <cellStyle name="Dane wyjściowe 2 20 51" xfId="15020" xr:uid="{00000000-0005-0000-0000-0000973A0000}"/>
    <cellStyle name="Dane wyjściowe 2 20 51 2" xfId="15021" xr:uid="{00000000-0005-0000-0000-0000983A0000}"/>
    <cellStyle name="Dane wyjściowe 2 20 51 3" xfId="15022" xr:uid="{00000000-0005-0000-0000-0000993A0000}"/>
    <cellStyle name="Dane wyjściowe 2 20 52" xfId="15023" xr:uid="{00000000-0005-0000-0000-00009A3A0000}"/>
    <cellStyle name="Dane wyjściowe 2 20 52 2" xfId="15024" xr:uid="{00000000-0005-0000-0000-00009B3A0000}"/>
    <cellStyle name="Dane wyjściowe 2 20 52 3" xfId="15025" xr:uid="{00000000-0005-0000-0000-00009C3A0000}"/>
    <cellStyle name="Dane wyjściowe 2 20 53" xfId="15026" xr:uid="{00000000-0005-0000-0000-00009D3A0000}"/>
    <cellStyle name="Dane wyjściowe 2 20 53 2" xfId="15027" xr:uid="{00000000-0005-0000-0000-00009E3A0000}"/>
    <cellStyle name="Dane wyjściowe 2 20 53 3" xfId="15028" xr:uid="{00000000-0005-0000-0000-00009F3A0000}"/>
    <cellStyle name="Dane wyjściowe 2 20 54" xfId="15029" xr:uid="{00000000-0005-0000-0000-0000A03A0000}"/>
    <cellStyle name="Dane wyjściowe 2 20 54 2" xfId="15030" xr:uid="{00000000-0005-0000-0000-0000A13A0000}"/>
    <cellStyle name="Dane wyjściowe 2 20 54 3" xfId="15031" xr:uid="{00000000-0005-0000-0000-0000A23A0000}"/>
    <cellStyle name="Dane wyjściowe 2 20 55" xfId="15032" xr:uid="{00000000-0005-0000-0000-0000A33A0000}"/>
    <cellStyle name="Dane wyjściowe 2 20 55 2" xfId="15033" xr:uid="{00000000-0005-0000-0000-0000A43A0000}"/>
    <cellStyle name="Dane wyjściowe 2 20 55 3" xfId="15034" xr:uid="{00000000-0005-0000-0000-0000A53A0000}"/>
    <cellStyle name="Dane wyjściowe 2 20 56" xfId="15035" xr:uid="{00000000-0005-0000-0000-0000A63A0000}"/>
    <cellStyle name="Dane wyjściowe 2 20 56 2" xfId="15036" xr:uid="{00000000-0005-0000-0000-0000A73A0000}"/>
    <cellStyle name="Dane wyjściowe 2 20 56 3" xfId="15037" xr:uid="{00000000-0005-0000-0000-0000A83A0000}"/>
    <cellStyle name="Dane wyjściowe 2 20 57" xfId="15038" xr:uid="{00000000-0005-0000-0000-0000A93A0000}"/>
    <cellStyle name="Dane wyjściowe 2 20 58" xfId="15039" xr:uid="{00000000-0005-0000-0000-0000AA3A0000}"/>
    <cellStyle name="Dane wyjściowe 2 20 6" xfId="15040" xr:uid="{00000000-0005-0000-0000-0000AB3A0000}"/>
    <cellStyle name="Dane wyjściowe 2 20 6 2" xfId="15041" xr:uid="{00000000-0005-0000-0000-0000AC3A0000}"/>
    <cellStyle name="Dane wyjściowe 2 20 6 3" xfId="15042" xr:uid="{00000000-0005-0000-0000-0000AD3A0000}"/>
    <cellStyle name="Dane wyjściowe 2 20 6 4" xfId="15043" xr:uid="{00000000-0005-0000-0000-0000AE3A0000}"/>
    <cellStyle name="Dane wyjściowe 2 20 7" xfId="15044" xr:uid="{00000000-0005-0000-0000-0000AF3A0000}"/>
    <cellStyle name="Dane wyjściowe 2 20 7 2" xfId="15045" xr:uid="{00000000-0005-0000-0000-0000B03A0000}"/>
    <cellStyle name="Dane wyjściowe 2 20 7 3" xfId="15046" xr:uid="{00000000-0005-0000-0000-0000B13A0000}"/>
    <cellStyle name="Dane wyjściowe 2 20 7 4" xfId="15047" xr:uid="{00000000-0005-0000-0000-0000B23A0000}"/>
    <cellStyle name="Dane wyjściowe 2 20 8" xfId="15048" xr:uid="{00000000-0005-0000-0000-0000B33A0000}"/>
    <cellStyle name="Dane wyjściowe 2 20 8 2" xfId="15049" xr:uid="{00000000-0005-0000-0000-0000B43A0000}"/>
    <cellStyle name="Dane wyjściowe 2 20 8 3" xfId="15050" xr:uid="{00000000-0005-0000-0000-0000B53A0000}"/>
    <cellStyle name="Dane wyjściowe 2 20 8 4" xfId="15051" xr:uid="{00000000-0005-0000-0000-0000B63A0000}"/>
    <cellStyle name="Dane wyjściowe 2 20 9" xfId="15052" xr:uid="{00000000-0005-0000-0000-0000B73A0000}"/>
    <cellStyle name="Dane wyjściowe 2 20 9 2" xfId="15053" xr:uid="{00000000-0005-0000-0000-0000B83A0000}"/>
    <cellStyle name="Dane wyjściowe 2 20 9 3" xfId="15054" xr:uid="{00000000-0005-0000-0000-0000B93A0000}"/>
    <cellStyle name="Dane wyjściowe 2 20 9 4" xfId="15055" xr:uid="{00000000-0005-0000-0000-0000BA3A0000}"/>
    <cellStyle name="Dane wyjściowe 2 21" xfId="15056" xr:uid="{00000000-0005-0000-0000-0000BB3A0000}"/>
    <cellStyle name="Dane wyjściowe 2 21 10" xfId="15057" xr:uid="{00000000-0005-0000-0000-0000BC3A0000}"/>
    <cellStyle name="Dane wyjściowe 2 21 10 2" xfId="15058" xr:uid="{00000000-0005-0000-0000-0000BD3A0000}"/>
    <cellStyle name="Dane wyjściowe 2 21 10 3" xfId="15059" xr:uid="{00000000-0005-0000-0000-0000BE3A0000}"/>
    <cellStyle name="Dane wyjściowe 2 21 10 4" xfId="15060" xr:uid="{00000000-0005-0000-0000-0000BF3A0000}"/>
    <cellStyle name="Dane wyjściowe 2 21 11" xfId="15061" xr:uid="{00000000-0005-0000-0000-0000C03A0000}"/>
    <cellStyle name="Dane wyjściowe 2 21 11 2" xfId="15062" xr:uid="{00000000-0005-0000-0000-0000C13A0000}"/>
    <cellStyle name="Dane wyjściowe 2 21 11 3" xfId="15063" xr:uid="{00000000-0005-0000-0000-0000C23A0000}"/>
    <cellStyle name="Dane wyjściowe 2 21 11 4" xfId="15064" xr:uid="{00000000-0005-0000-0000-0000C33A0000}"/>
    <cellStyle name="Dane wyjściowe 2 21 12" xfId="15065" xr:uid="{00000000-0005-0000-0000-0000C43A0000}"/>
    <cellStyle name="Dane wyjściowe 2 21 12 2" xfId="15066" xr:uid="{00000000-0005-0000-0000-0000C53A0000}"/>
    <cellStyle name="Dane wyjściowe 2 21 12 3" xfId="15067" xr:uid="{00000000-0005-0000-0000-0000C63A0000}"/>
    <cellStyle name="Dane wyjściowe 2 21 12 4" xfId="15068" xr:uid="{00000000-0005-0000-0000-0000C73A0000}"/>
    <cellStyle name="Dane wyjściowe 2 21 13" xfId="15069" xr:uid="{00000000-0005-0000-0000-0000C83A0000}"/>
    <cellStyle name="Dane wyjściowe 2 21 13 2" xfId="15070" xr:uid="{00000000-0005-0000-0000-0000C93A0000}"/>
    <cellStyle name="Dane wyjściowe 2 21 13 3" xfId="15071" xr:uid="{00000000-0005-0000-0000-0000CA3A0000}"/>
    <cellStyle name="Dane wyjściowe 2 21 13 4" xfId="15072" xr:uid="{00000000-0005-0000-0000-0000CB3A0000}"/>
    <cellStyle name="Dane wyjściowe 2 21 14" xfId="15073" xr:uid="{00000000-0005-0000-0000-0000CC3A0000}"/>
    <cellStyle name="Dane wyjściowe 2 21 14 2" xfId="15074" xr:uid="{00000000-0005-0000-0000-0000CD3A0000}"/>
    <cellStyle name="Dane wyjściowe 2 21 14 3" xfId="15075" xr:uid="{00000000-0005-0000-0000-0000CE3A0000}"/>
    <cellStyle name="Dane wyjściowe 2 21 14 4" xfId="15076" xr:uid="{00000000-0005-0000-0000-0000CF3A0000}"/>
    <cellStyle name="Dane wyjściowe 2 21 15" xfId="15077" xr:uid="{00000000-0005-0000-0000-0000D03A0000}"/>
    <cellStyle name="Dane wyjściowe 2 21 15 2" xfId="15078" xr:uid="{00000000-0005-0000-0000-0000D13A0000}"/>
    <cellStyle name="Dane wyjściowe 2 21 15 3" xfId="15079" xr:uid="{00000000-0005-0000-0000-0000D23A0000}"/>
    <cellStyle name="Dane wyjściowe 2 21 15 4" xfId="15080" xr:uid="{00000000-0005-0000-0000-0000D33A0000}"/>
    <cellStyle name="Dane wyjściowe 2 21 16" xfId="15081" xr:uid="{00000000-0005-0000-0000-0000D43A0000}"/>
    <cellStyle name="Dane wyjściowe 2 21 16 2" xfId="15082" xr:uid="{00000000-0005-0000-0000-0000D53A0000}"/>
    <cellStyle name="Dane wyjściowe 2 21 16 3" xfId="15083" xr:uid="{00000000-0005-0000-0000-0000D63A0000}"/>
    <cellStyle name="Dane wyjściowe 2 21 16 4" xfId="15084" xr:uid="{00000000-0005-0000-0000-0000D73A0000}"/>
    <cellStyle name="Dane wyjściowe 2 21 17" xfId="15085" xr:uid="{00000000-0005-0000-0000-0000D83A0000}"/>
    <cellStyle name="Dane wyjściowe 2 21 17 2" xfId="15086" xr:uid="{00000000-0005-0000-0000-0000D93A0000}"/>
    <cellStyle name="Dane wyjściowe 2 21 17 3" xfId="15087" xr:uid="{00000000-0005-0000-0000-0000DA3A0000}"/>
    <cellStyle name="Dane wyjściowe 2 21 17 4" xfId="15088" xr:uid="{00000000-0005-0000-0000-0000DB3A0000}"/>
    <cellStyle name="Dane wyjściowe 2 21 18" xfId="15089" xr:uid="{00000000-0005-0000-0000-0000DC3A0000}"/>
    <cellStyle name="Dane wyjściowe 2 21 18 2" xfId="15090" xr:uid="{00000000-0005-0000-0000-0000DD3A0000}"/>
    <cellStyle name="Dane wyjściowe 2 21 18 3" xfId="15091" xr:uid="{00000000-0005-0000-0000-0000DE3A0000}"/>
    <cellStyle name="Dane wyjściowe 2 21 18 4" xfId="15092" xr:uid="{00000000-0005-0000-0000-0000DF3A0000}"/>
    <cellStyle name="Dane wyjściowe 2 21 19" xfId="15093" xr:uid="{00000000-0005-0000-0000-0000E03A0000}"/>
    <cellStyle name="Dane wyjściowe 2 21 19 2" xfId="15094" xr:uid="{00000000-0005-0000-0000-0000E13A0000}"/>
    <cellStyle name="Dane wyjściowe 2 21 19 3" xfId="15095" xr:uid="{00000000-0005-0000-0000-0000E23A0000}"/>
    <cellStyle name="Dane wyjściowe 2 21 19 4" xfId="15096" xr:uid="{00000000-0005-0000-0000-0000E33A0000}"/>
    <cellStyle name="Dane wyjściowe 2 21 2" xfId="15097" xr:uid="{00000000-0005-0000-0000-0000E43A0000}"/>
    <cellStyle name="Dane wyjściowe 2 21 2 2" xfId="15098" xr:uid="{00000000-0005-0000-0000-0000E53A0000}"/>
    <cellStyle name="Dane wyjściowe 2 21 2 3" xfId="15099" xr:uid="{00000000-0005-0000-0000-0000E63A0000}"/>
    <cellStyle name="Dane wyjściowe 2 21 2 4" xfId="15100" xr:uid="{00000000-0005-0000-0000-0000E73A0000}"/>
    <cellStyle name="Dane wyjściowe 2 21 20" xfId="15101" xr:uid="{00000000-0005-0000-0000-0000E83A0000}"/>
    <cellStyle name="Dane wyjściowe 2 21 20 2" xfId="15102" xr:uid="{00000000-0005-0000-0000-0000E93A0000}"/>
    <cellStyle name="Dane wyjściowe 2 21 20 3" xfId="15103" xr:uid="{00000000-0005-0000-0000-0000EA3A0000}"/>
    <cellStyle name="Dane wyjściowe 2 21 20 4" xfId="15104" xr:uid="{00000000-0005-0000-0000-0000EB3A0000}"/>
    <cellStyle name="Dane wyjściowe 2 21 21" xfId="15105" xr:uid="{00000000-0005-0000-0000-0000EC3A0000}"/>
    <cellStyle name="Dane wyjściowe 2 21 21 2" xfId="15106" xr:uid="{00000000-0005-0000-0000-0000ED3A0000}"/>
    <cellStyle name="Dane wyjściowe 2 21 21 3" xfId="15107" xr:uid="{00000000-0005-0000-0000-0000EE3A0000}"/>
    <cellStyle name="Dane wyjściowe 2 21 22" xfId="15108" xr:uid="{00000000-0005-0000-0000-0000EF3A0000}"/>
    <cellStyle name="Dane wyjściowe 2 21 22 2" xfId="15109" xr:uid="{00000000-0005-0000-0000-0000F03A0000}"/>
    <cellStyle name="Dane wyjściowe 2 21 22 3" xfId="15110" xr:uid="{00000000-0005-0000-0000-0000F13A0000}"/>
    <cellStyle name="Dane wyjściowe 2 21 23" xfId="15111" xr:uid="{00000000-0005-0000-0000-0000F23A0000}"/>
    <cellStyle name="Dane wyjściowe 2 21 23 2" xfId="15112" xr:uid="{00000000-0005-0000-0000-0000F33A0000}"/>
    <cellStyle name="Dane wyjściowe 2 21 23 3" xfId="15113" xr:uid="{00000000-0005-0000-0000-0000F43A0000}"/>
    <cellStyle name="Dane wyjściowe 2 21 24" xfId="15114" xr:uid="{00000000-0005-0000-0000-0000F53A0000}"/>
    <cellStyle name="Dane wyjściowe 2 21 24 2" xfId="15115" xr:uid="{00000000-0005-0000-0000-0000F63A0000}"/>
    <cellStyle name="Dane wyjściowe 2 21 24 3" xfId="15116" xr:uid="{00000000-0005-0000-0000-0000F73A0000}"/>
    <cellStyle name="Dane wyjściowe 2 21 25" xfId="15117" xr:uid="{00000000-0005-0000-0000-0000F83A0000}"/>
    <cellStyle name="Dane wyjściowe 2 21 25 2" xfId="15118" xr:uid="{00000000-0005-0000-0000-0000F93A0000}"/>
    <cellStyle name="Dane wyjściowe 2 21 25 3" xfId="15119" xr:uid="{00000000-0005-0000-0000-0000FA3A0000}"/>
    <cellStyle name="Dane wyjściowe 2 21 26" xfId="15120" xr:uid="{00000000-0005-0000-0000-0000FB3A0000}"/>
    <cellStyle name="Dane wyjściowe 2 21 26 2" xfId="15121" xr:uid="{00000000-0005-0000-0000-0000FC3A0000}"/>
    <cellStyle name="Dane wyjściowe 2 21 26 3" xfId="15122" xr:uid="{00000000-0005-0000-0000-0000FD3A0000}"/>
    <cellStyle name="Dane wyjściowe 2 21 27" xfId="15123" xr:uid="{00000000-0005-0000-0000-0000FE3A0000}"/>
    <cellStyle name="Dane wyjściowe 2 21 27 2" xfId="15124" xr:uid="{00000000-0005-0000-0000-0000FF3A0000}"/>
    <cellStyle name="Dane wyjściowe 2 21 27 3" xfId="15125" xr:uid="{00000000-0005-0000-0000-0000003B0000}"/>
    <cellStyle name="Dane wyjściowe 2 21 28" xfId="15126" xr:uid="{00000000-0005-0000-0000-0000013B0000}"/>
    <cellStyle name="Dane wyjściowe 2 21 28 2" xfId="15127" xr:uid="{00000000-0005-0000-0000-0000023B0000}"/>
    <cellStyle name="Dane wyjściowe 2 21 28 3" xfId="15128" xr:uid="{00000000-0005-0000-0000-0000033B0000}"/>
    <cellStyle name="Dane wyjściowe 2 21 29" xfId="15129" xr:uid="{00000000-0005-0000-0000-0000043B0000}"/>
    <cellStyle name="Dane wyjściowe 2 21 29 2" xfId="15130" xr:uid="{00000000-0005-0000-0000-0000053B0000}"/>
    <cellStyle name="Dane wyjściowe 2 21 29 3" xfId="15131" xr:uid="{00000000-0005-0000-0000-0000063B0000}"/>
    <cellStyle name="Dane wyjściowe 2 21 3" xfId="15132" xr:uid="{00000000-0005-0000-0000-0000073B0000}"/>
    <cellStyle name="Dane wyjściowe 2 21 3 2" xfId="15133" xr:uid="{00000000-0005-0000-0000-0000083B0000}"/>
    <cellStyle name="Dane wyjściowe 2 21 3 3" xfId="15134" xr:uid="{00000000-0005-0000-0000-0000093B0000}"/>
    <cellStyle name="Dane wyjściowe 2 21 3 4" xfId="15135" xr:uid="{00000000-0005-0000-0000-00000A3B0000}"/>
    <cellStyle name="Dane wyjściowe 2 21 30" xfId="15136" xr:uid="{00000000-0005-0000-0000-00000B3B0000}"/>
    <cellStyle name="Dane wyjściowe 2 21 30 2" xfId="15137" xr:uid="{00000000-0005-0000-0000-00000C3B0000}"/>
    <cellStyle name="Dane wyjściowe 2 21 30 3" xfId="15138" xr:uid="{00000000-0005-0000-0000-00000D3B0000}"/>
    <cellStyle name="Dane wyjściowe 2 21 31" xfId="15139" xr:uid="{00000000-0005-0000-0000-00000E3B0000}"/>
    <cellStyle name="Dane wyjściowe 2 21 31 2" xfId="15140" xr:uid="{00000000-0005-0000-0000-00000F3B0000}"/>
    <cellStyle name="Dane wyjściowe 2 21 31 3" xfId="15141" xr:uid="{00000000-0005-0000-0000-0000103B0000}"/>
    <cellStyle name="Dane wyjściowe 2 21 32" xfId="15142" xr:uid="{00000000-0005-0000-0000-0000113B0000}"/>
    <cellStyle name="Dane wyjściowe 2 21 32 2" xfId="15143" xr:uid="{00000000-0005-0000-0000-0000123B0000}"/>
    <cellStyle name="Dane wyjściowe 2 21 32 3" xfId="15144" xr:uid="{00000000-0005-0000-0000-0000133B0000}"/>
    <cellStyle name="Dane wyjściowe 2 21 33" xfId="15145" xr:uid="{00000000-0005-0000-0000-0000143B0000}"/>
    <cellStyle name="Dane wyjściowe 2 21 33 2" xfId="15146" xr:uid="{00000000-0005-0000-0000-0000153B0000}"/>
    <cellStyle name="Dane wyjściowe 2 21 33 3" xfId="15147" xr:uid="{00000000-0005-0000-0000-0000163B0000}"/>
    <cellStyle name="Dane wyjściowe 2 21 34" xfId="15148" xr:uid="{00000000-0005-0000-0000-0000173B0000}"/>
    <cellStyle name="Dane wyjściowe 2 21 34 2" xfId="15149" xr:uid="{00000000-0005-0000-0000-0000183B0000}"/>
    <cellStyle name="Dane wyjściowe 2 21 34 3" xfId="15150" xr:uid="{00000000-0005-0000-0000-0000193B0000}"/>
    <cellStyle name="Dane wyjściowe 2 21 35" xfId="15151" xr:uid="{00000000-0005-0000-0000-00001A3B0000}"/>
    <cellStyle name="Dane wyjściowe 2 21 35 2" xfId="15152" xr:uid="{00000000-0005-0000-0000-00001B3B0000}"/>
    <cellStyle name="Dane wyjściowe 2 21 35 3" xfId="15153" xr:uid="{00000000-0005-0000-0000-00001C3B0000}"/>
    <cellStyle name="Dane wyjściowe 2 21 36" xfId="15154" xr:uid="{00000000-0005-0000-0000-00001D3B0000}"/>
    <cellStyle name="Dane wyjściowe 2 21 36 2" xfId="15155" xr:uid="{00000000-0005-0000-0000-00001E3B0000}"/>
    <cellStyle name="Dane wyjściowe 2 21 36 3" xfId="15156" xr:uid="{00000000-0005-0000-0000-00001F3B0000}"/>
    <cellStyle name="Dane wyjściowe 2 21 37" xfId="15157" xr:uid="{00000000-0005-0000-0000-0000203B0000}"/>
    <cellStyle name="Dane wyjściowe 2 21 37 2" xfId="15158" xr:uid="{00000000-0005-0000-0000-0000213B0000}"/>
    <cellStyle name="Dane wyjściowe 2 21 37 3" xfId="15159" xr:uid="{00000000-0005-0000-0000-0000223B0000}"/>
    <cellStyle name="Dane wyjściowe 2 21 38" xfId="15160" xr:uid="{00000000-0005-0000-0000-0000233B0000}"/>
    <cellStyle name="Dane wyjściowe 2 21 38 2" xfId="15161" xr:uid="{00000000-0005-0000-0000-0000243B0000}"/>
    <cellStyle name="Dane wyjściowe 2 21 38 3" xfId="15162" xr:uid="{00000000-0005-0000-0000-0000253B0000}"/>
    <cellStyle name="Dane wyjściowe 2 21 39" xfId="15163" xr:uid="{00000000-0005-0000-0000-0000263B0000}"/>
    <cellStyle name="Dane wyjściowe 2 21 39 2" xfId="15164" xr:uid="{00000000-0005-0000-0000-0000273B0000}"/>
    <cellStyle name="Dane wyjściowe 2 21 39 3" xfId="15165" xr:uid="{00000000-0005-0000-0000-0000283B0000}"/>
    <cellStyle name="Dane wyjściowe 2 21 4" xfId="15166" xr:uid="{00000000-0005-0000-0000-0000293B0000}"/>
    <cellStyle name="Dane wyjściowe 2 21 4 2" xfId="15167" xr:uid="{00000000-0005-0000-0000-00002A3B0000}"/>
    <cellStyle name="Dane wyjściowe 2 21 4 3" xfId="15168" xr:uid="{00000000-0005-0000-0000-00002B3B0000}"/>
    <cellStyle name="Dane wyjściowe 2 21 4 4" xfId="15169" xr:uid="{00000000-0005-0000-0000-00002C3B0000}"/>
    <cellStyle name="Dane wyjściowe 2 21 40" xfId="15170" xr:uid="{00000000-0005-0000-0000-00002D3B0000}"/>
    <cellStyle name="Dane wyjściowe 2 21 40 2" xfId="15171" xr:uid="{00000000-0005-0000-0000-00002E3B0000}"/>
    <cellStyle name="Dane wyjściowe 2 21 40 3" xfId="15172" xr:uid="{00000000-0005-0000-0000-00002F3B0000}"/>
    <cellStyle name="Dane wyjściowe 2 21 41" xfId="15173" xr:uid="{00000000-0005-0000-0000-0000303B0000}"/>
    <cellStyle name="Dane wyjściowe 2 21 41 2" xfId="15174" xr:uid="{00000000-0005-0000-0000-0000313B0000}"/>
    <cellStyle name="Dane wyjściowe 2 21 41 3" xfId="15175" xr:uid="{00000000-0005-0000-0000-0000323B0000}"/>
    <cellStyle name="Dane wyjściowe 2 21 42" xfId="15176" xr:uid="{00000000-0005-0000-0000-0000333B0000}"/>
    <cellStyle name="Dane wyjściowe 2 21 42 2" xfId="15177" xr:uid="{00000000-0005-0000-0000-0000343B0000}"/>
    <cellStyle name="Dane wyjściowe 2 21 42 3" xfId="15178" xr:uid="{00000000-0005-0000-0000-0000353B0000}"/>
    <cellStyle name="Dane wyjściowe 2 21 43" xfId="15179" xr:uid="{00000000-0005-0000-0000-0000363B0000}"/>
    <cellStyle name="Dane wyjściowe 2 21 43 2" xfId="15180" xr:uid="{00000000-0005-0000-0000-0000373B0000}"/>
    <cellStyle name="Dane wyjściowe 2 21 43 3" xfId="15181" xr:uid="{00000000-0005-0000-0000-0000383B0000}"/>
    <cellStyle name="Dane wyjściowe 2 21 44" xfId="15182" xr:uid="{00000000-0005-0000-0000-0000393B0000}"/>
    <cellStyle name="Dane wyjściowe 2 21 44 2" xfId="15183" xr:uid="{00000000-0005-0000-0000-00003A3B0000}"/>
    <cellStyle name="Dane wyjściowe 2 21 44 3" xfId="15184" xr:uid="{00000000-0005-0000-0000-00003B3B0000}"/>
    <cellStyle name="Dane wyjściowe 2 21 45" xfId="15185" xr:uid="{00000000-0005-0000-0000-00003C3B0000}"/>
    <cellStyle name="Dane wyjściowe 2 21 45 2" xfId="15186" xr:uid="{00000000-0005-0000-0000-00003D3B0000}"/>
    <cellStyle name="Dane wyjściowe 2 21 45 3" xfId="15187" xr:uid="{00000000-0005-0000-0000-00003E3B0000}"/>
    <cellStyle name="Dane wyjściowe 2 21 46" xfId="15188" xr:uid="{00000000-0005-0000-0000-00003F3B0000}"/>
    <cellStyle name="Dane wyjściowe 2 21 46 2" xfId="15189" xr:uid="{00000000-0005-0000-0000-0000403B0000}"/>
    <cellStyle name="Dane wyjściowe 2 21 46 3" xfId="15190" xr:uid="{00000000-0005-0000-0000-0000413B0000}"/>
    <cellStyle name="Dane wyjściowe 2 21 47" xfId="15191" xr:uid="{00000000-0005-0000-0000-0000423B0000}"/>
    <cellStyle name="Dane wyjściowe 2 21 47 2" xfId="15192" xr:uid="{00000000-0005-0000-0000-0000433B0000}"/>
    <cellStyle name="Dane wyjściowe 2 21 47 3" xfId="15193" xr:uid="{00000000-0005-0000-0000-0000443B0000}"/>
    <cellStyle name="Dane wyjściowe 2 21 48" xfId="15194" xr:uid="{00000000-0005-0000-0000-0000453B0000}"/>
    <cellStyle name="Dane wyjściowe 2 21 48 2" xfId="15195" xr:uid="{00000000-0005-0000-0000-0000463B0000}"/>
    <cellStyle name="Dane wyjściowe 2 21 48 3" xfId="15196" xr:uid="{00000000-0005-0000-0000-0000473B0000}"/>
    <cellStyle name="Dane wyjściowe 2 21 49" xfId="15197" xr:uid="{00000000-0005-0000-0000-0000483B0000}"/>
    <cellStyle name="Dane wyjściowe 2 21 49 2" xfId="15198" xr:uid="{00000000-0005-0000-0000-0000493B0000}"/>
    <cellStyle name="Dane wyjściowe 2 21 49 3" xfId="15199" xr:uid="{00000000-0005-0000-0000-00004A3B0000}"/>
    <cellStyle name="Dane wyjściowe 2 21 5" xfId="15200" xr:uid="{00000000-0005-0000-0000-00004B3B0000}"/>
    <cellStyle name="Dane wyjściowe 2 21 5 2" xfId="15201" xr:uid="{00000000-0005-0000-0000-00004C3B0000}"/>
    <cellStyle name="Dane wyjściowe 2 21 5 3" xfId="15202" xr:uid="{00000000-0005-0000-0000-00004D3B0000}"/>
    <cellStyle name="Dane wyjściowe 2 21 5 4" xfId="15203" xr:uid="{00000000-0005-0000-0000-00004E3B0000}"/>
    <cellStyle name="Dane wyjściowe 2 21 50" xfId="15204" xr:uid="{00000000-0005-0000-0000-00004F3B0000}"/>
    <cellStyle name="Dane wyjściowe 2 21 50 2" xfId="15205" xr:uid="{00000000-0005-0000-0000-0000503B0000}"/>
    <cellStyle name="Dane wyjściowe 2 21 50 3" xfId="15206" xr:uid="{00000000-0005-0000-0000-0000513B0000}"/>
    <cellStyle name="Dane wyjściowe 2 21 51" xfId="15207" xr:uid="{00000000-0005-0000-0000-0000523B0000}"/>
    <cellStyle name="Dane wyjściowe 2 21 51 2" xfId="15208" xr:uid="{00000000-0005-0000-0000-0000533B0000}"/>
    <cellStyle name="Dane wyjściowe 2 21 51 3" xfId="15209" xr:uid="{00000000-0005-0000-0000-0000543B0000}"/>
    <cellStyle name="Dane wyjściowe 2 21 52" xfId="15210" xr:uid="{00000000-0005-0000-0000-0000553B0000}"/>
    <cellStyle name="Dane wyjściowe 2 21 52 2" xfId="15211" xr:uid="{00000000-0005-0000-0000-0000563B0000}"/>
    <cellStyle name="Dane wyjściowe 2 21 52 3" xfId="15212" xr:uid="{00000000-0005-0000-0000-0000573B0000}"/>
    <cellStyle name="Dane wyjściowe 2 21 53" xfId="15213" xr:uid="{00000000-0005-0000-0000-0000583B0000}"/>
    <cellStyle name="Dane wyjściowe 2 21 53 2" xfId="15214" xr:uid="{00000000-0005-0000-0000-0000593B0000}"/>
    <cellStyle name="Dane wyjściowe 2 21 53 3" xfId="15215" xr:uid="{00000000-0005-0000-0000-00005A3B0000}"/>
    <cellStyle name="Dane wyjściowe 2 21 54" xfId="15216" xr:uid="{00000000-0005-0000-0000-00005B3B0000}"/>
    <cellStyle name="Dane wyjściowe 2 21 54 2" xfId="15217" xr:uid="{00000000-0005-0000-0000-00005C3B0000}"/>
    <cellStyle name="Dane wyjściowe 2 21 54 3" xfId="15218" xr:uid="{00000000-0005-0000-0000-00005D3B0000}"/>
    <cellStyle name="Dane wyjściowe 2 21 55" xfId="15219" xr:uid="{00000000-0005-0000-0000-00005E3B0000}"/>
    <cellStyle name="Dane wyjściowe 2 21 55 2" xfId="15220" xr:uid="{00000000-0005-0000-0000-00005F3B0000}"/>
    <cellStyle name="Dane wyjściowe 2 21 55 3" xfId="15221" xr:uid="{00000000-0005-0000-0000-0000603B0000}"/>
    <cellStyle name="Dane wyjściowe 2 21 56" xfId="15222" xr:uid="{00000000-0005-0000-0000-0000613B0000}"/>
    <cellStyle name="Dane wyjściowe 2 21 56 2" xfId="15223" xr:uid="{00000000-0005-0000-0000-0000623B0000}"/>
    <cellStyle name="Dane wyjściowe 2 21 56 3" xfId="15224" xr:uid="{00000000-0005-0000-0000-0000633B0000}"/>
    <cellStyle name="Dane wyjściowe 2 21 57" xfId="15225" xr:uid="{00000000-0005-0000-0000-0000643B0000}"/>
    <cellStyle name="Dane wyjściowe 2 21 58" xfId="15226" xr:uid="{00000000-0005-0000-0000-0000653B0000}"/>
    <cellStyle name="Dane wyjściowe 2 21 6" xfId="15227" xr:uid="{00000000-0005-0000-0000-0000663B0000}"/>
    <cellStyle name="Dane wyjściowe 2 21 6 2" xfId="15228" xr:uid="{00000000-0005-0000-0000-0000673B0000}"/>
    <cellStyle name="Dane wyjściowe 2 21 6 3" xfId="15229" xr:uid="{00000000-0005-0000-0000-0000683B0000}"/>
    <cellStyle name="Dane wyjściowe 2 21 6 4" xfId="15230" xr:uid="{00000000-0005-0000-0000-0000693B0000}"/>
    <cellStyle name="Dane wyjściowe 2 21 7" xfId="15231" xr:uid="{00000000-0005-0000-0000-00006A3B0000}"/>
    <cellStyle name="Dane wyjściowe 2 21 7 2" xfId="15232" xr:uid="{00000000-0005-0000-0000-00006B3B0000}"/>
    <cellStyle name="Dane wyjściowe 2 21 7 3" xfId="15233" xr:uid="{00000000-0005-0000-0000-00006C3B0000}"/>
    <cellStyle name="Dane wyjściowe 2 21 7 4" xfId="15234" xr:uid="{00000000-0005-0000-0000-00006D3B0000}"/>
    <cellStyle name="Dane wyjściowe 2 21 8" xfId="15235" xr:uid="{00000000-0005-0000-0000-00006E3B0000}"/>
    <cellStyle name="Dane wyjściowe 2 21 8 2" xfId="15236" xr:uid="{00000000-0005-0000-0000-00006F3B0000}"/>
    <cellStyle name="Dane wyjściowe 2 21 8 3" xfId="15237" xr:uid="{00000000-0005-0000-0000-0000703B0000}"/>
    <cellStyle name="Dane wyjściowe 2 21 8 4" xfId="15238" xr:uid="{00000000-0005-0000-0000-0000713B0000}"/>
    <cellStyle name="Dane wyjściowe 2 21 9" xfId="15239" xr:uid="{00000000-0005-0000-0000-0000723B0000}"/>
    <cellStyle name="Dane wyjściowe 2 21 9 2" xfId="15240" xr:uid="{00000000-0005-0000-0000-0000733B0000}"/>
    <cellStyle name="Dane wyjściowe 2 21 9 3" xfId="15241" xr:uid="{00000000-0005-0000-0000-0000743B0000}"/>
    <cellStyle name="Dane wyjściowe 2 21 9 4" xfId="15242" xr:uid="{00000000-0005-0000-0000-0000753B0000}"/>
    <cellStyle name="Dane wyjściowe 2 22" xfId="15243" xr:uid="{00000000-0005-0000-0000-0000763B0000}"/>
    <cellStyle name="Dane wyjściowe 2 22 10" xfId="15244" xr:uid="{00000000-0005-0000-0000-0000773B0000}"/>
    <cellStyle name="Dane wyjściowe 2 22 10 2" xfId="15245" xr:uid="{00000000-0005-0000-0000-0000783B0000}"/>
    <cellStyle name="Dane wyjściowe 2 22 10 3" xfId="15246" xr:uid="{00000000-0005-0000-0000-0000793B0000}"/>
    <cellStyle name="Dane wyjściowe 2 22 10 4" xfId="15247" xr:uid="{00000000-0005-0000-0000-00007A3B0000}"/>
    <cellStyle name="Dane wyjściowe 2 22 11" xfId="15248" xr:uid="{00000000-0005-0000-0000-00007B3B0000}"/>
    <cellStyle name="Dane wyjściowe 2 22 11 2" xfId="15249" xr:uid="{00000000-0005-0000-0000-00007C3B0000}"/>
    <cellStyle name="Dane wyjściowe 2 22 11 3" xfId="15250" xr:uid="{00000000-0005-0000-0000-00007D3B0000}"/>
    <cellStyle name="Dane wyjściowe 2 22 11 4" xfId="15251" xr:uid="{00000000-0005-0000-0000-00007E3B0000}"/>
    <cellStyle name="Dane wyjściowe 2 22 12" xfId="15252" xr:uid="{00000000-0005-0000-0000-00007F3B0000}"/>
    <cellStyle name="Dane wyjściowe 2 22 12 2" xfId="15253" xr:uid="{00000000-0005-0000-0000-0000803B0000}"/>
    <cellStyle name="Dane wyjściowe 2 22 12 3" xfId="15254" xr:uid="{00000000-0005-0000-0000-0000813B0000}"/>
    <cellStyle name="Dane wyjściowe 2 22 12 4" xfId="15255" xr:uid="{00000000-0005-0000-0000-0000823B0000}"/>
    <cellStyle name="Dane wyjściowe 2 22 13" xfId="15256" xr:uid="{00000000-0005-0000-0000-0000833B0000}"/>
    <cellStyle name="Dane wyjściowe 2 22 13 2" xfId="15257" xr:uid="{00000000-0005-0000-0000-0000843B0000}"/>
    <cellStyle name="Dane wyjściowe 2 22 13 3" xfId="15258" xr:uid="{00000000-0005-0000-0000-0000853B0000}"/>
    <cellStyle name="Dane wyjściowe 2 22 13 4" xfId="15259" xr:uid="{00000000-0005-0000-0000-0000863B0000}"/>
    <cellStyle name="Dane wyjściowe 2 22 14" xfId="15260" xr:uid="{00000000-0005-0000-0000-0000873B0000}"/>
    <cellStyle name="Dane wyjściowe 2 22 14 2" xfId="15261" xr:uid="{00000000-0005-0000-0000-0000883B0000}"/>
    <cellStyle name="Dane wyjściowe 2 22 14 3" xfId="15262" xr:uid="{00000000-0005-0000-0000-0000893B0000}"/>
    <cellStyle name="Dane wyjściowe 2 22 14 4" xfId="15263" xr:uid="{00000000-0005-0000-0000-00008A3B0000}"/>
    <cellStyle name="Dane wyjściowe 2 22 15" xfId="15264" xr:uid="{00000000-0005-0000-0000-00008B3B0000}"/>
    <cellStyle name="Dane wyjściowe 2 22 15 2" xfId="15265" xr:uid="{00000000-0005-0000-0000-00008C3B0000}"/>
    <cellStyle name="Dane wyjściowe 2 22 15 3" xfId="15266" xr:uid="{00000000-0005-0000-0000-00008D3B0000}"/>
    <cellStyle name="Dane wyjściowe 2 22 15 4" xfId="15267" xr:uid="{00000000-0005-0000-0000-00008E3B0000}"/>
    <cellStyle name="Dane wyjściowe 2 22 16" xfId="15268" xr:uid="{00000000-0005-0000-0000-00008F3B0000}"/>
    <cellStyle name="Dane wyjściowe 2 22 16 2" xfId="15269" xr:uid="{00000000-0005-0000-0000-0000903B0000}"/>
    <cellStyle name="Dane wyjściowe 2 22 16 3" xfId="15270" xr:uid="{00000000-0005-0000-0000-0000913B0000}"/>
    <cellStyle name="Dane wyjściowe 2 22 16 4" xfId="15271" xr:uid="{00000000-0005-0000-0000-0000923B0000}"/>
    <cellStyle name="Dane wyjściowe 2 22 17" xfId="15272" xr:uid="{00000000-0005-0000-0000-0000933B0000}"/>
    <cellStyle name="Dane wyjściowe 2 22 17 2" xfId="15273" xr:uid="{00000000-0005-0000-0000-0000943B0000}"/>
    <cellStyle name="Dane wyjściowe 2 22 17 3" xfId="15274" xr:uid="{00000000-0005-0000-0000-0000953B0000}"/>
    <cellStyle name="Dane wyjściowe 2 22 17 4" xfId="15275" xr:uid="{00000000-0005-0000-0000-0000963B0000}"/>
    <cellStyle name="Dane wyjściowe 2 22 18" xfId="15276" xr:uid="{00000000-0005-0000-0000-0000973B0000}"/>
    <cellStyle name="Dane wyjściowe 2 22 18 2" xfId="15277" xr:uid="{00000000-0005-0000-0000-0000983B0000}"/>
    <cellStyle name="Dane wyjściowe 2 22 18 3" xfId="15278" xr:uid="{00000000-0005-0000-0000-0000993B0000}"/>
    <cellStyle name="Dane wyjściowe 2 22 18 4" xfId="15279" xr:uid="{00000000-0005-0000-0000-00009A3B0000}"/>
    <cellStyle name="Dane wyjściowe 2 22 19" xfId="15280" xr:uid="{00000000-0005-0000-0000-00009B3B0000}"/>
    <cellStyle name="Dane wyjściowe 2 22 19 2" xfId="15281" xr:uid="{00000000-0005-0000-0000-00009C3B0000}"/>
    <cellStyle name="Dane wyjściowe 2 22 19 3" xfId="15282" xr:uid="{00000000-0005-0000-0000-00009D3B0000}"/>
    <cellStyle name="Dane wyjściowe 2 22 19 4" xfId="15283" xr:uid="{00000000-0005-0000-0000-00009E3B0000}"/>
    <cellStyle name="Dane wyjściowe 2 22 2" xfId="15284" xr:uid="{00000000-0005-0000-0000-00009F3B0000}"/>
    <cellStyle name="Dane wyjściowe 2 22 2 2" xfId="15285" xr:uid="{00000000-0005-0000-0000-0000A03B0000}"/>
    <cellStyle name="Dane wyjściowe 2 22 2 3" xfId="15286" xr:uid="{00000000-0005-0000-0000-0000A13B0000}"/>
    <cellStyle name="Dane wyjściowe 2 22 2 4" xfId="15287" xr:uid="{00000000-0005-0000-0000-0000A23B0000}"/>
    <cellStyle name="Dane wyjściowe 2 22 20" xfId="15288" xr:uid="{00000000-0005-0000-0000-0000A33B0000}"/>
    <cellStyle name="Dane wyjściowe 2 22 20 2" xfId="15289" xr:uid="{00000000-0005-0000-0000-0000A43B0000}"/>
    <cellStyle name="Dane wyjściowe 2 22 20 3" xfId="15290" xr:uid="{00000000-0005-0000-0000-0000A53B0000}"/>
    <cellStyle name="Dane wyjściowe 2 22 20 4" xfId="15291" xr:uid="{00000000-0005-0000-0000-0000A63B0000}"/>
    <cellStyle name="Dane wyjściowe 2 22 21" xfId="15292" xr:uid="{00000000-0005-0000-0000-0000A73B0000}"/>
    <cellStyle name="Dane wyjściowe 2 22 21 2" xfId="15293" xr:uid="{00000000-0005-0000-0000-0000A83B0000}"/>
    <cellStyle name="Dane wyjściowe 2 22 21 3" xfId="15294" xr:uid="{00000000-0005-0000-0000-0000A93B0000}"/>
    <cellStyle name="Dane wyjściowe 2 22 22" xfId="15295" xr:uid="{00000000-0005-0000-0000-0000AA3B0000}"/>
    <cellStyle name="Dane wyjściowe 2 22 22 2" xfId="15296" xr:uid="{00000000-0005-0000-0000-0000AB3B0000}"/>
    <cellStyle name="Dane wyjściowe 2 22 22 3" xfId="15297" xr:uid="{00000000-0005-0000-0000-0000AC3B0000}"/>
    <cellStyle name="Dane wyjściowe 2 22 23" xfId="15298" xr:uid="{00000000-0005-0000-0000-0000AD3B0000}"/>
    <cellStyle name="Dane wyjściowe 2 22 23 2" xfId="15299" xr:uid="{00000000-0005-0000-0000-0000AE3B0000}"/>
    <cellStyle name="Dane wyjściowe 2 22 23 3" xfId="15300" xr:uid="{00000000-0005-0000-0000-0000AF3B0000}"/>
    <cellStyle name="Dane wyjściowe 2 22 24" xfId="15301" xr:uid="{00000000-0005-0000-0000-0000B03B0000}"/>
    <cellStyle name="Dane wyjściowe 2 22 24 2" xfId="15302" xr:uid="{00000000-0005-0000-0000-0000B13B0000}"/>
    <cellStyle name="Dane wyjściowe 2 22 24 3" xfId="15303" xr:uid="{00000000-0005-0000-0000-0000B23B0000}"/>
    <cellStyle name="Dane wyjściowe 2 22 25" xfId="15304" xr:uid="{00000000-0005-0000-0000-0000B33B0000}"/>
    <cellStyle name="Dane wyjściowe 2 22 25 2" xfId="15305" xr:uid="{00000000-0005-0000-0000-0000B43B0000}"/>
    <cellStyle name="Dane wyjściowe 2 22 25 3" xfId="15306" xr:uid="{00000000-0005-0000-0000-0000B53B0000}"/>
    <cellStyle name="Dane wyjściowe 2 22 26" xfId="15307" xr:uid="{00000000-0005-0000-0000-0000B63B0000}"/>
    <cellStyle name="Dane wyjściowe 2 22 26 2" xfId="15308" xr:uid="{00000000-0005-0000-0000-0000B73B0000}"/>
    <cellStyle name="Dane wyjściowe 2 22 26 3" xfId="15309" xr:uid="{00000000-0005-0000-0000-0000B83B0000}"/>
    <cellStyle name="Dane wyjściowe 2 22 27" xfId="15310" xr:uid="{00000000-0005-0000-0000-0000B93B0000}"/>
    <cellStyle name="Dane wyjściowe 2 22 27 2" xfId="15311" xr:uid="{00000000-0005-0000-0000-0000BA3B0000}"/>
    <cellStyle name="Dane wyjściowe 2 22 27 3" xfId="15312" xr:uid="{00000000-0005-0000-0000-0000BB3B0000}"/>
    <cellStyle name="Dane wyjściowe 2 22 28" xfId="15313" xr:uid="{00000000-0005-0000-0000-0000BC3B0000}"/>
    <cellStyle name="Dane wyjściowe 2 22 28 2" xfId="15314" xr:uid="{00000000-0005-0000-0000-0000BD3B0000}"/>
    <cellStyle name="Dane wyjściowe 2 22 28 3" xfId="15315" xr:uid="{00000000-0005-0000-0000-0000BE3B0000}"/>
    <cellStyle name="Dane wyjściowe 2 22 29" xfId="15316" xr:uid="{00000000-0005-0000-0000-0000BF3B0000}"/>
    <cellStyle name="Dane wyjściowe 2 22 29 2" xfId="15317" xr:uid="{00000000-0005-0000-0000-0000C03B0000}"/>
    <cellStyle name="Dane wyjściowe 2 22 29 3" xfId="15318" xr:uid="{00000000-0005-0000-0000-0000C13B0000}"/>
    <cellStyle name="Dane wyjściowe 2 22 3" xfId="15319" xr:uid="{00000000-0005-0000-0000-0000C23B0000}"/>
    <cellStyle name="Dane wyjściowe 2 22 3 2" xfId="15320" xr:uid="{00000000-0005-0000-0000-0000C33B0000}"/>
    <cellStyle name="Dane wyjściowe 2 22 3 3" xfId="15321" xr:uid="{00000000-0005-0000-0000-0000C43B0000}"/>
    <cellStyle name="Dane wyjściowe 2 22 3 4" xfId="15322" xr:uid="{00000000-0005-0000-0000-0000C53B0000}"/>
    <cellStyle name="Dane wyjściowe 2 22 30" xfId="15323" xr:uid="{00000000-0005-0000-0000-0000C63B0000}"/>
    <cellStyle name="Dane wyjściowe 2 22 30 2" xfId="15324" xr:uid="{00000000-0005-0000-0000-0000C73B0000}"/>
    <cellStyle name="Dane wyjściowe 2 22 30 3" xfId="15325" xr:uid="{00000000-0005-0000-0000-0000C83B0000}"/>
    <cellStyle name="Dane wyjściowe 2 22 31" xfId="15326" xr:uid="{00000000-0005-0000-0000-0000C93B0000}"/>
    <cellStyle name="Dane wyjściowe 2 22 31 2" xfId="15327" xr:uid="{00000000-0005-0000-0000-0000CA3B0000}"/>
    <cellStyle name="Dane wyjściowe 2 22 31 3" xfId="15328" xr:uid="{00000000-0005-0000-0000-0000CB3B0000}"/>
    <cellStyle name="Dane wyjściowe 2 22 32" xfId="15329" xr:uid="{00000000-0005-0000-0000-0000CC3B0000}"/>
    <cellStyle name="Dane wyjściowe 2 22 32 2" xfId="15330" xr:uid="{00000000-0005-0000-0000-0000CD3B0000}"/>
    <cellStyle name="Dane wyjściowe 2 22 32 3" xfId="15331" xr:uid="{00000000-0005-0000-0000-0000CE3B0000}"/>
    <cellStyle name="Dane wyjściowe 2 22 33" xfId="15332" xr:uid="{00000000-0005-0000-0000-0000CF3B0000}"/>
    <cellStyle name="Dane wyjściowe 2 22 33 2" xfId="15333" xr:uid="{00000000-0005-0000-0000-0000D03B0000}"/>
    <cellStyle name="Dane wyjściowe 2 22 33 3" xfId="15334" xr:uid="{00000000-0005-0000-0000-0000D13B0000}"/>
    <cellStyle name="Dane wyjściowe 2 22 34" xfId="15335" xr:uid="{00000000-0005-0000-0000-0000D23B0000}"/>
    <cellStyle name="Dane wyjściowe 2 22 34 2" xfId="15336" xr:uid="{00000000-0005-0000-0000-0000D33B0000}"/>
    <cellStyle name="Dane wyjściowe 2 22 34 3" xfId="15337" xr:uid="{00000000-0005-0000-0000-0000D43B0000}"/>
    <cellStyle name="Dane wyjściowe 2 22 35" xfId="15338" xr:uid="{00000000-0005-0000-0000-0000D53B0000}"/>
    <cellStyle name="Dane wyjściowe 2 22 35 2" xfId="15339" xr:uid="{00000000-0005-0000-0000-0000D63B0000}"/>
    <cellStyle name="Dane wyjściowe 2 22 35 3" xfId="15340" xr:uid="{00000000-0005-0000-0000-0000D73B0000}"/>
    <cellStyle name="Dane wyjściowe 2 22 36" xfId="15341" xr:uid="{00000000-0005-0000-0000-0000D83B0000}"/>
    <cellStyle name="Dane wyjściowe 2 22 36 2" xfId="15342" xr:uid="{00000000-0005-0000-0000-0000D93B0000}"/>
    <cellStyle name="Dane wyjściowe 2 22 36 3" xfId="15343" xr:uid="{00000000-0005-0000-0000-0000DA3B0000}"/>
    <cellStyle name="Dane wyjściowe 2 22 37" xfId="15344" xr:uid="{00000000-0005-0000-0000-0000DB3B0000}"/>
    <cellStyle name="Dane wyjściowe 2 22 37 2" xfId="15345" xr:uid="{00000000-0005-0000-0000-0000DC3B0000}"/>
    <cellStyle name="Dane wyjściowe 2 22 37 3" xfId="15346" xr:uid="{00000000-0005-0000-0000-0000DD3B0000}"/>
    <cellStyle name="Dane wyjściowe 2 22 38" xfId="15347" xr:uid="{00000000-0005-0000-0000-0000DE3B0000}"/>
    <cellStyle name="Dane wyjściowe 2 22 38 2" xfId="15348" xr:uid="{00000000-0005-0000-0000-0000DF3B0000}"/>
    <cellStyle name="Dane wyjściowe 2 22 38 3" xfId="15349" xr:uid="{00000000-0005-0000-0000-0000E03B0000}"/>
    <cellStyle name="Dane wyjściowe 2 22 39" xfId="15350" xr:uid="{00000000-0005-0000-0000-0000E13B0000}"/>
    <cellStyle name="Dane wyjściowe 2 22 39 2" xfId="15351" xr:uid="{00000000-0005-0000-0000-0000E23B0000}"/>
    <cellStyle name="Dane wyjściowe 2 22 39 3" xfId="15352" xr:uid="{00000000-0005-0000-0000-0000E33B0000}"/>
    <cellStyle name="Dane wyjściowe 2 22 4" xfId="15353" xr:uid="{00000000-0005-0000-0000-0000E43B0000}"/>
    <cellStyle name="Dane wyjściowe 2 22 4 2" xfId="15354" xr:uid="{00000000-0005-0000-0000-0000E53B0000}"/>
    <cellStyle name="Dane wyjściowe 2 22 4 3" xfId="15355" xr:uid="{00000000-0005-0000-0000-0000E63B0000}"/>
    <cellStyle name="Dane wyjściowe 2 22 4 4" xfId="15356" xr:uid="{00000000-0005-0000-0000-0000E73B0000}"/>
    <cellStyle name="Dane wyjściowe 2 22 40" xfId="15357" xr:uid="{00000000-0005-0000-0000-0000E83B0000}"/>
    <cellStyle name="Dane wyjściowe 2 22 40 2" xfId="15358" xr:uid="{00000000-0005-0000-0000-0000E93B0000}"/>
    <cellStyle name="Dane wyjściowe 2 22 40 3" xfId="15359" xr:uid="{00000000-0005-0000-0000-0000EA3B0000}"/>
    <cellStyle name="Dane wyjściowe 2 22 41" xfId="15360" xr:uid="{00000000-0005-0000-0000-0000EB3B0000}"/>
    <cellStyle name="Dane wyjściowe 2 22 41 2" xfId="15361" xr:uid="{00000000-0005-0000-0000-0000EC3B0000}"/>
    <cellStyle name="Dane wyjściowe 2 22 41 3" xfId="15362" xr:uid="{00000000-0005-0000-0000-0000ED3B0000}"/>
    <cellStyle name="Dane wyjściowe 2 22 42" xfId="15363" xr:uid="{00000000-0005-0000-0000-0000EE3B0000}"/>
    <cellStyle name="Dane wyjściowe 2 22 42 2" xfId="15364" xr:uid="{00000000-0005-0000-0000-0000EF3B0000}"/>
    <cellStyle name="Dane wyjściowe 2 22 42 3" xfId="15365" xr:uid="{00000000-0005-0000-0000-0000F03B0000}"/>
    <cellStyle name="Dane wyjściowe 2 22 43" xfId="15366" xr:uid="{00000000-0005-0000-0000-0000F13B0000}"/>
    <cellStyle name="Dane wyjściowe 2 22 43 2" xfId="15367" xr:uid="{00000000-0005-0000-0000-0000F23B0000}"/>
    <cellStyle name="Dane wyjściowe 2 22 43 3" xfId="15368" xr:uid="{00000000-0005-0000-0000-0000F33B0000}"/>
    <cellStyle name="Dane wyjściowe 2 22 44" xfId="15369" xr:uid="{00000000-0005-0000-0000-0000F43B0000}"/>
    <cellStyle name="Dane wyjściowe 2 22 44 2" xfId="15370" xr:uid="{00000000-0005-0000-0000-0000F53B0000}"/>
    <cellStyle name="Dane wyjściowe 2 22 44 3" xfId="15371" xr:uid="{00000000-0005-0000-0000-0000F63B0000}"/>
    <cellStyle name="Dane wyjściowe 2 22 45" xfId="15372" xr:uid="{00000000-0005-0000-0000-0000F73B0000}"/>
    <cellStyle name="Dane wyjściowe 2 22 45 2" xfId="15373" xr:uid="{00000000-0005-0000-0000-0000F83B0000}"/>
    <cellStyle name="Dane wyjściowe 2 22 45 3" xfId="15374" xr:uid="{00000000-0005-0000-0000-0000F93B0000}"/>
    <cellStyle name="Dane wyjściowe 2 22 46" xfId="15375" xr:uid="{00000000-0005-0000-0000-0000FA3B0000}"/>
    <cellStyle name="Dane wyjściowe 2 22 46 2" xfId="15376" xr:uid="{00000000-0005-0000-0000-0000FB3B0000}"/>
    <cellStyle name="Dane wyjściowe 2 22 46 3" xfId="15377" xr:uid="{00000000-0005-0000-0000-0000FC3B0000}"/>
    <cellStyle name="Dane wyjściowe 2 22 47" xfId="15378" xr:uid="{00000000-0005-0000-0000-0000FD3B0000}"/>
    <cellStyle name="Dane wyjściowe 2 22 47 2" xfId="15379" xr:uid="{00000000-0005-0000-0000-0000FE3B0000}"/>
    <cellStyle name="Dane wyjściowe 2 22 47 3" xfId="15380" xr:uid="{00000000-0005-0000-0000-0000FF3B0000}"/>
    <cellStyle name="Dane wyjściowe 2 22 48" xfId="15381" xr:uid="{00000000-0005-0000-0000-0000003C0000}"/>
    <cellStyle name="Dane wyjściowe 2 22 48 2" xfId="15382" xr:uid="{00000000-0005-0000-0000-0000013C0000}"/>
    <cellStyle name="Dane wyjściowe 2 22 48 3" xfId="15383" xr:uid="{00000000-0005-0000-0000-0000023C0000}"/>
    <cellStyle name="Dane wyjściowe 2 22 49" xfId="15384" xr:uid="{00000000-0005-0000-0000-0000033C0000}"/>
    <cellStyle name="Dane wyjściowe 2 22 49 2" xfId="15385" xr:uid="{00000000-0005-0000-0000-0000043C0000}"/>
    <cellStyle name="Dane wyjściowe 2 22 49 3" xfId="15386" xr:uid="{00000000-0005-0000-0000-0000053C0000}"/>
    <cellStyle name="Dane wyjściowe 2 22 5" xfId="15387" xr:uid="{00000000-0005-0000-0000-0000063C0000}"/>
    <cellStyle name="Dane wyjściowe 2 22 5 2" xfId="15388" xr:uid="{00000000-0005-0000-0000-0000073C0000}"/>
    <cellStyle name="Dane wyjściowe 2 22 5 3" xfId="15389" xr:uid="{00000000-0005-0000-0000-0000083C0000}"/>
    <cellStyle name="Dane wyjściowe 2 22 5 4" xfId="15390" xr:uid="{00000000-0005-0000-0000-0000093C0000}"/>
    <cellStyle name="Dane wyjściowe 2 22 50" xfId="15391" xr:uid="{00000000-0005-0000-0000-00000A3C0000}"/>
    <cellStyle name="Dane wyjściowe 2 22 50 2" xfId="15392" xr:uid="{00000000-0005-0000-0000-00000B3C0000}"/>
    <cellStyle name="Dane wyjściowe 2 22 50 3" xfId="15393" xr:uid="{00000000-0005-0000-0000-00000C3C0000}"/>
    <cellStyle name="Dane wyjściowe 2 22 51" xfId="15394" xr:uid="{00000000-0005-0000-0000-00000D3C0000}"/>
    <cellStyle name="Dane wyjściowe 2 22 51 2" xfId="15395" xr:uid="{00000000-0005-0000-0000-00000E3C0000}"/>
    <cellStyle name="Dane wyjściowe 2 22 51 3" xfId="15396" xr:uid="{00000000-0005-0000-0000-00000F3C0000}"/>
    <cellStyle name="Dane wyjściowe 2 22 52" xfId="15397" xr:uid="{00000000-0005-0000-0000-0000103C0000}"/>
    <cellStyle name="Dane wyjściowe 2 22 52 2" xfId="15398" xr:uid="{00000000-0005-0000-0000-0000113C0000}"/>
    <cellStyle name="Dane wyjściowe 2 22 52 3" xfId="15399" xr:uid="{00000000-0005-0000-0000-0000123C0000}"/>
    <cellStyle name="Dane wyjściowe 2 22 53" xfId="15400" xr:uid="{00000000-0005-0000-0000-0000133C0000}"/>
    <cellStyle name="Dane wyjściowe 2 22 53 2" xfId="15401" xr:uid="{00000000-0005-0000-0000-0000143C0000}"/>
    <cellStyle name="Dane wyjściowe 2 22 53 3" xfId="15402" xr:uid="{00000000-0005-0000-0000-0000153C0000}"/>
    <cellStyle name="Dane wyjściowe 2 22 54" xfId="15403" xr:uid="{00000000-0005-0000-0000-0000163C0000}"/>
    <cellStyle name="Dane wyjściowe 2 22 54 2" xfId="15404" xr:uid="{00000000-0005-0000-0000-0000173C0000}"/>
    <cellStyle name="Dane wyjściowe 2 22 54 3" xfId="15405" xr:uid="{00000000-0005-0000-0000-0000183C0000}"/>
    <cellStyle name="Dane wyjściowe 2 22 55" xfId="15406" xr:uid="{00000000-0005-0000-0000-0000193C0000}"/>
    <cellStyle name="Dane wyjściowe 2 22 55 2" xfId="15407" xr:uid="{00000000-0005-0000-0000-00001A3C0000}"/>
    <cellStyle name="Dane wyjściowe 2 22 55 3" xfId="15408" xr:uid="{00000000-0005-0000-0000-00001B3C0000}"/>
    <cellStyle name="Dane wyjściowe 2 22 56" xfId="15409" xr:uid="{00000000-0005-0000-0000-00001C3C0000}"/>
    <cellStyle name="Dane wyjściowe 2 22 56 2" xfId="15410" xr:uid="{00000000-0005-0000-0000-00001D3C0000}"/>
    <cellStyle name="Dane wyjściowe 2 22 56 3" xfId="15411" xr:uid="{00000000-0005-0000-0000-00001E3C0000}"/>
    <cellStyle name="Dane wyjściowe 2 22 57" xfId="15412" xr:uid="{00000000-0005-0000-0000-00001F3C0000}"/>
    <cellStyle name="Dane wyjściowe 2 22 58" xfId="15413" xr:uid="{00000000-0005-0000-0000-0000203C0000}"/>
    <cellStyle name="Dane wyjściowe 2 22 6" xfId="15414" xr:uid="{00000000-0005-0000-0000-0000213C0000}"/>
    <cellStyle name="Dane wyjściowe 2 22 6 2" xfId="15415" xr:uid="{00000000-0005-0000-0000-0000223C0000}"/>
    <cellStyle name="Dane wyjściowe 2 22 6 3" xfId="15416" xr:uid="{00000000-0005-0000-0000-0000233C0000}"/>
    <cellStyle name="Dane wyjściowe 2 22 6 4" xfId="15417" xr:uid="{00000000-0005-0000-0000-0000243C0000}"/>
    <cellStyle name="Dane wyjściowe 2 22 7" xfId="15418" xr:uid="{00000000-0005-0000-0000-0000253C0000}"/>
    <cellStyle name="Dane wyjściowe 2 22 7 2" xfId="15419" xr:uid="{00000000-0005-0000-0000-0000263C0000}"/>
    <cellStyle name="Dane wyjściowe 2 22 7 3" xfId="15420" xr:uid="{00000000-0005-0000-0000-0000273C0000}"/>
    <cellStyle name="Dane wyjściowe 2 22 7 4" xfId="15421" xr:uid="{00000000-0005-0000-0000-0000283C0000}"/>
    <cellStyle name="Dane wyjściowe 2 22 8" xfId="15422" xr:uid="{00000000-0005-0000-0000-0000293C0000}"/>
    <cellStyle name="Dane wyjściowe 2 22 8 2" xfId="15423" xr:uid="{00000000-0005-0000-0000-00002A3C0000}"/>
    <cellStyle name="Dane wyjściowe 2 22 8 3" xfId="15424" xr:uid="{00000000-0005-0000-0000-00002B3C0000}"/>
    <cellStyle name="Dane wyjściowe 2 22 8 4" xfId="15425" xr:uid="{00000000-0005-0000-0000-00002C3C0000}"/>
    <cellStyle name="Dane wyjściowe 2 22 9" xfId="15426" xr:uid="{00000000-0005-0000-0000-00002D3C0000}"/>
    <cellStyle name="Dane wyjściowe 2 22 9 2" xfId="15427" xr:uid="{00000000-0005-0000-0000-00002E3C0000}"/>
    <cellStyle name="Dane wyjściowe 2 22 9 3" xfId="15428" xr:uid="{00000000-0005-0000-0000-00002F3C0000}"/>
    <cellStyle name="Dane wyjściowe 2 22 9 4" xfId="15429" xr:uid="{00000000-0005-0000-0000-0000303C0000}"/>
    <cellStyle name="Dane wyjściowe 2 23" xfId="15430" xr:uid="{00000000-0005-0000-0000-0000313C0000}"/>
    <cellStyle name="Dane wyjściowe 2 23 10" xfId="15431" xr:uid="{00000000-0005-0000-0000-0000323C0000}"/>
    <cellStyle name="Dane wyjściowe 2 23 10 2" xfId="15432" xr:uid="{00000000-0005-0000-0000-0000333C0000}"/>
    <cellStyle name="Dane wyjściowe 2 23 10 3" xfId="15433" xr:uid="{00000000-0005-0000-0000-0000343C0000}"/>
    <cellStyle name="Dane wyjściowe 2 23 10 4" xfId="15434" xr:uid="{00000000-0005-0000-0000-0000353C0000}"/>
    <cellStyle name="Dane wyjściowe 2 23 11" xfId="15435" xr:uid="{00000000-0005-0000-0000-0000363C0000}"/>
    <cellStyle name="Dane wyjściowe 2 23 11 2" xfId="15436" xr:uid="{00000000-0005-0000-0000-0000373C0000}"/>
    <cellStyle name="Dane wyjściowe 2 23 11 3" xfId="15437" xr:uid="{00000000-0005-0000-0000-0000383C0000}"/>
    <cellStyle name="Dane wyjściowe 2 23 11 4" xfId="15438" xr:uid="{00000000-0005-0000-0000-0000393C0000}"/>
    <cellStyle name="Dane wyjściowe 2 23 12" xfId="15439" xr:uid="{00000000-0005-0000-0000-00003A3C0000}"/>
    <cellStyle name="Dane wyjściowe 2 23 12 2" xfId="15440" xr:uid="{00000000-0005-0000-0000-00003B3C0000}"/>
    <cellStyle name="Dane wyjściowe 2 23 12 3" xfId="15441" xr:uid="{00000000-0005-0000-0000-00003C3C0000}"/>
    <cellStyle name="Dane wyjściowe 2 23 12 4" xfId="15442" xr:uid="{00000000-0005-0000-0000-00003D3C0000}"/>
    <cellStyle name="Dane wyjściowe 2 23 13" xfId="15443" xr:uid="{00000000-0005-0000-0000-00003E3C0000}"/>
    <cellStyle name="Dane wyjściowe 2 23 13 2" xfId="15444" xr:uid="{00000000-0005-0000-0000-00003F3C0000}"/>
    <cellStyle name="Dane wyjściowe 2 23 13 3" xfId="15445" xr:uid="{00000000-0005-0000-0000-0000403C0000}"/>
    <cellStyle name="Dane wyjściowe 2 23 13 4" xfId="15446" xr:uid="{00000000-0005-0000-0000-0000413C0000}"/>
    <cellStyle name="Dane wyjściowe 2 23 14" xfId="15447" xr:uid="{00000000-0005-0000-0000-0000423C0000}"/>
    <cellStyle name="Dane wyjściowe 2 23 14 2" xfId="15448" xr:uid="{00000000-0005-0000-0000-0000433C0000}"/>
    <cellStyle name="Dane wyjściowe 2 23 14 3" xfId="15449" xr:uid="{00000000-0005-0000-0000-0000443C0000}"/>
    <cellStyle name="Dane wyjściowe 2 23 14 4" xfId="15450" xr:uid="{00000000-0005-0000-0000-0000453C0000}"/>
    <cellStyle name="Dane wyjściowe 2 23 15" xfId="15451" xr:uid="{00000000-0005-0000-0000-0000463C0000}"/>
    <cellStyle name="Dane wyjściowe 2 23 15 2" xfId="15452" xr:uid="{00000000-0005-0000-0000-0000473C0000}"/>
    <cellStyle name="Dane wyjściowe 2 23 15 3" xfId="15453" xr:uid="{00000000-0005-0000-0000-0000483C0000}"/>
    <cellStyle name="Dane wyjściowe 2 23 15 4" xfId="15454" xr:uid="{00000000-0005-0000-0000-0000493C0000}"/>
    <cellStyle name="Dane wyjściowe 2 23 16" xfId="15455" xr:uid="{00000000-0005-0000-0000-00004A3C0000}"/>
    <cellStyle name="Dane wyjściowe 2 23 16 2" xfId="15456" xr:uid="{00000000-0005-0000-0000-00004B3C0000}"/>
    <cellStyle name="Dane wyjściowe 2 23 16 3" xfId="15457" xr:uid="{00000000-0005-0000-0000-00004C3C0000}"/>
    <cellStyle name="Dane wyjściowe 2 23 16 4" xfId="15458" xr:uid="{00000000-0005-0000-0000-00004D3C0000}"/>
    <cellStyle name="Dane wyjściowe 2 23 17" xfId="15459" xr:uid="{00000000-0005-0000-0000-00004E3C0000}"/>
    <cellStyle name="Dane wyjściowe 2 23 17 2" xfId="15460" xr:uid="{00000000-0005-0000-0000-00004F3C0000}"/>
    <cellStyle name="Dane wyjściowe 2 23 17 3" xfId="15461" xr:uid="{00000000-0005-0000-0000-0000503C0000}"/>
    <cellStyle name="Dane wyjściowe 2 23 17 4" xfId="15462" xr:uid="{00000000-0005-0000-0000-0000513C0000}"/>
    <cellStyle name="Dane wyjściowe 2 23 18" xfId="15463" xr:uid="{00000000-0005-0000-0000-0000523C0000}"/>
    <cellStyle name="Dane wyjściowe 2 23 18 2" xfId="15464" xr:uid="{00000000-0005-0000-0000-0000533C0000}"/>
    <cellStyle name="Dane wyjściowe 2 23 18 3" xfId="15465" xr:uid="{00000000-0005-0000-0000-0000543C0000}"/>
    <cellStyle name="Dane wyjściowe 2 23 18 4" xfId="15466" xr:uid="{00000000-0005-0000-0000-0000553C0000}"/>
    <cellStyle name="Dane wyjściowe 2 23 19" xfId="15467" xr:uid="{00000000-0005-0000-0000-0000563C0000}"/>
    <cellStyle name="Dane wyjściowe 2 23 19 2" xfId="15468" xr:uid="{00000000-0005-0000-0000-0000573C0000}"/>
    <cellStyle name="Dane wyjściowe 2 23 19 3" xfId="15469" xr:uid="{00000000-0005-0000-0000-0000583C0000}"/>
    <cellStyle name="Dane wyjściowe 2 23 19 4" xfId="15470" xr:uid="{00000000-0005-0000-0000-0000593C0000}"/>
    <cellStyle name="Dane wyjściowe 2 23 2" xfId="15471" xr:uid="{00000000-0005-0000-0000-00005A3C0000}"/>
    <cellStyle name="Dane wyjściowe 2 23 2 2" xfId="15472" xr:uid="{00000000-0005-0000-0000-00005B3C0000}"/>
    <cellStyle name="Dane wyjściowe 2 23 2 3" xfId="15473" xr:uid="{00000000-0005-0000-0000-00005C3C0000}"/>
    <cellStyle name="Dane wyjściowe 2 23 2 4" xfId="15474" xr:uid="{00000000-0005-0000-0000-00005D3C0000}"/>
    <cellStyle name="Dane wyjściowe 2 23 20" xfId="15475" xr:uid="{00000000-0005-0000-0000-00005E3C0000}"/>
    <cellStyle name="Dane wyjściowe 2 23 20 2" xfId="15476" xr:uid="{00000000-0005-0000-0000-00005F3C0000}"/>
    <cellStyle name="Dane wyjściowe 2 23 20 3" xfId="15477" xr:uid="{00000000-0005-0000-0000-0000603C0000}"/>
    <cellStyle name="Dane wyjściowe 2 23 20 4" xfId="15478" xr:uid="{00000000-0005-0000-0000-0000613C0000}"/>
    <cellStyle name="Dane wyjściowe 2 23 21" xfId="15479" xr:uid="{00000000-0005-0000-0000-0000623C0000}"/>
    <cellStyle name="Dane wyjściowe 2 23 21 2" xfId="15480" xr:uid="{00000000-0005-0000-0000-0000633C0000}"/>
    <cellStyle name="Dane wyjściowe 2 23 21 3" xfId="15481" xr:uid="{00000000-0005-0000-0000-0000643C0000}"/>
    <cellStyle name="Dane wyjściowe 2 23 22" xfId="15482" xr:uid="{00000000-0005-0000-0000-0000653C0000}"/>
    <cellStyle name="Dane wyjściowe 2 23 22 2" xfId="15483" xr:uid="{00000000-0005-0000-0000-0000663C0000}"/>
    <cellStyle name="Dane wyjściowe 2 23 22 3" xfId="15484" xr:uid="{00000000-0005-0000-0000-0000673C0000}"/>
    <cellStyle name="Dane wyjściowe 2 23 23" xfId="15485" xr:uid="{00000000-0005-0000-0000-0000683C0000}"/>
    <cellStyle name="Dane wyjściowe 2 23 23 2" xfId="15486" xr:uid="{00000000-0005-0000-0000-0000693C0000}"/>
    <cellStyle name="Dane wyjściowe 2 23 23 3" xfId="15487" xr:uid="{00000000-0005-0000-0000-00006A3C0000}"/>
    <cellStyle name="Dane wyjściowe 2 23 24" xfId="15488" xr:uid="{00000000-0005-0000-0000-00006B3C0000}"/>
    <cellStyle name="Dane wyjściowe 2 23 24 2" xfId="15489" xr:uid="{00000000-0005-0000-0000-00006C3C0000}"/>
    <cellStyle name="Dane wyjściowe 2 23 24 3" xfId="15490" xr:uid="{00000000-0005-0000-0000-00006D3C0000}"/>
    <cellStyle name="Dane wyjściowe 2 23 25" xfId="15491" xr:uid="{00000000-0005-0000-0000-00006E3C0000}"/>
    <cellStyle name="Dane wyjściowe 2 23 25 2" xfId="15492" xr:uid="{00000000-0005-0000-0000-00006F3C0000}"/>
    <cellStyle name="Dane wyjściowe 2 23 25 3" xfId="15493" xr:uid="{00000000-0005-0000-0000-0000703C0000}"/>
    <cellStyle name="Dane wyjściowe 2 23 26" xfId="15494" xr:uid="{00000000-0005-0000-0000-0000713C0000}"/>
    <cellStyle name="Dane wyjściowe 2 23 26 2" xfId="15495" xr:uid="{00000000-0005-0000-0000-0000723C0000}"/>
    <cellStyle name="Dane wyjściowe 2 23 26 3" xfId="15496" xr:uid="{00000000-0005-0000-0000-0000733C0000}"/>
    <cellStyle name="Dane wyjściowe 2 23 27" xfId="15497" xr:uid="{00000000-0005-0000-0000-0000743C0000}"/>
    <cellStyle name="Dane wyjściowe 2 23 27 2" xfId="15498" xr:uid="{00000000-0005-0000-0000-0000753C0000}"/>
    <cellStyle name="Dane wyjściowe 2 23 27 3" xfId="15499" xr:uid="{00000000-0005-0000-0000-0000763C0000}"/>
    <cellStyle name="Dane wyjściowe 2 23 28" xfId="15500" xr:uid="{00000000-0005-0000-0000-0000773C0000}"/>
    <cellStyle name="Dane wyjściowe 2 23 28 2" xfId="15501" xr:uid="{00000000-0005-0000-0000-0000783C0000}"/>
    <cellStyle name="Dane wyjściowe 2 23 28 3" xfId="15502" xr:uid="{00000000-0005-0000-0000-0000793C0000}"/>
    <cellStyle name="Dane wyjściowe 2 23 29" xfId="15503" xr:uid="{00000000-0005-0000-0000-00007A3C0000}"/>
    <cellStyle name="Dane wyjściowe 2 23 29 2" xfId="15504" xr:uid="{00000000-0005-0000-0000-00007B3C0000}"/>
    <cellStyle name="Dane wyjściowe 2 23 29 3" xfId="15505" xr:uid="{00000000-0005-0000-0000-00007C3C0000}"/>
    <cellStyle name="Dane wyjściowe 2 23 3" xfId="15506" xr:uid="{00000000-0005-0000-0000-00007D3C0000}"/>
    <cellStyle name="Dane wyjściowe 2 23 3 2" xfId="15507" xr:uid="{00000000-0005-0000-0000-00007E3C0000}"/>
    <cellStyle name="Dane wyjściowe 2 23 3 3" xfId="15508" xr:uid="{00000000-0005-0000-0000-00007F3C0000}"/>
    <cellStyle name="Dane wyjściowe 2 23 3 4" xfId="15509" xr:uid="{00000000-0005-0000-0000-0000803C0000}"/>
    <cellStyle name="Dane wyjściowe 2 23 30" xfId="15510" xr:uid="{00000000-0005-0000-0000-0000813C0000}"/>
    <cellStyle name="Dane wyjściowe 2 23 30 2" xfId="15511" xr:uid="{00000000-0005-0000-0000-0000823C0000}"/>
    <cellStyle name="Dane wyjściowe 2 23 30 3" xfId="15512" xr:uid="{00000000-0005-0000-0000-0000833C0000}"/>
    <cellStyle name="Dane wyjściowe 2 23 31" xfId="15513" xr:uid="{00000000-0005-0000-0000-0000843C0000}"/>
    <cellStyle name="Dane wyjściowe 2 23 31 2" xfId="15514" xr:uid="{00000000-0005-0000-0000-0000853C0000}"/>
    <cellStyle name="Dane wyjściowe 2 23 31 3" xfId="15515" xr:uid="{00000000-0005-0000-0000-0000863C0000}"/>
    <cellStyle name="Dane wyjściowe 2 23 32" xfId="15516" xr:uid="{00000000-0005-0000-0000-0000873C0000}"/>
    <cellStyle name="Dane wyjściowe 2 23 32 2" xfId="15517" xr:uid="{00000000-0005-0000-0000-0000883C0000}"/>
    <cellStyle name="Dane wyjściowe 2 23 32 3" xfId="15518" xr:uid="{00000000-0005-0000-0000-0000893C0000}"/>
    <cellStyle name="Dane wyjściowe 2 23 33" xfId="15519" xr:uid="{00000000-0005-0000-0000-00008A3C0000}"/>
    <cellStyle name="Dane wyjściowe 2 23 33 2" xfId="15520" xr:uid="{00000000-0005-0000-0000-00008B3C0000}"/>
    <cellStyle name="Dane wyjściowe 2 23 33 3" xfId="15521" xr:uid="{00000000-0005-0000-0000-00008C3C0000}"/>
    <cellStyle name="Dane wyjściowe 2 23 34" xfId="15522" xr:uid="{00000000-0005-0000-0000-00008D3C0000}"/>
    <cellStyle name="Dane wyjściowe 2 23 34 2" xfId="15523" xr:uid="{00000000-0005-0000-0000-00008E3C0000}"/>
    <cellStyle name="Dane wyjściowe 2 23 34 3" xfId="15524" xr:uid="{00000000-0005-0000-0000-00008F3C0000}"/>
    <cellStyle name="Dane wyjściowe 2 23 35" xfId="15525" xr:uid="{00000000-0005-0000-0000-0000903C0000}"/>
    <cellStyle name="Dane wyjściowe 2 23 35 2" xfId="15526" xr:uid="{00000000-0005-0000-0000-0000913C0000}"/>
    <cellStyle name="Dane wyjściowe 2 23 35 3" xfId="15527" xr:uid="{00000000-0005-0000-0000-0000923C0000}"/>
    <cellStyle name="Dane wyjściowe 2 23 36" xfId="15528" xr:uid="{00000000-0005-0000-0000-0000933C0000}"/>
    <cellStyle name="Dane wyjściowe 2 23 36 2" xfId="15529" xr:uid="{00000000-0005-0000-0000-0000943C0000}"/>
    <cellStyle name="Dane wyjściowe 2 23 36 3" xfId="15530" xr:uid="{00000000-0005-0000-0000-0000953C0000}"/>
    <cellStyle name="Dane wyjściowe 2 23 37" xfId="15531" xr:uid="{00000000-0005-0000-0000-0000963C0000}"/>
    <cellStyle name="Dane wyjściowe 2 23 37 2" xfId="15532" xr:uid="{00000000-0005-0000-0000-0000973C0000}"/>
    <cellStyle name="Dane wyjściowe 2 23 37 3" xfId="15533" xr:uid="{00000000-0005-0000-0000-0000983C0000}"/>
    <cellStyle name="Dane wyjściowe 2 23 38" xfId="15534" xr:uid="{00000000-0005-0000-0000-0000993C0000}"/>
    <cellStyle name="Dane wyjściowe 2 23 38 2" xfId="15535" xr:uid="{00000000-0005-0000-0000-00009A3C0000}"/>
    <cellStyle name="Dane wyjściowe 2 23 38 3" xfId="15536" xr:uid="{00000000-0005-0000-0000-00009B3C0000}"/>
    <cellStyle name="Dane wyjściowe 2 23 39" xfId="15537" xr:uid="{00000000-0005-0000-0000-00009C3C0000}"/>
    <cellStyle name="Dane wyjściowe 2 23 39 2" xfId="15538" xr:uid="{00000000-0005-0000-0000-00009D3C0000}"/>
    <cellStyle name="Dane wyjściowe 2 23 39 3" xfId="15539" xr:uid="{00000000-0005-0000-0000-00009E3C0000}"/>
    <cellStyle name="Dane wyjściowe 2 23 4" xfId="15540" xr:uid="{00000000-0005-0000-0000-00009F3C0000}"/>
    <cellStyle name="Dane wyjściowe 2 23 4 2" xfId="15541" xr:uid="{00000000-0005-0000-0000-0000A03C0000}"/>
    <cellStyle name="Dane wyjściowe 2 23 4 3" xfId="15542" xr:uid="{00000000-0005-0000-0000-0000A13C0000}"/>
    <cellStyle name="Dane wyjściowe 2 23 4 4" xfId="15543" xr:uid="{00000000-0005-0000-0000-0000A23C0000}"/>
    <cellStyle name="Dane wyjściowe 2 23 40" xfId="15544" xr:uid="{00000000-0005-0000-0000-0000A33C0000}"/>
    <cellStyle name="Dane wyjściowe 2 23 40 2" xfId="15545" xr:uid="{00000000-0005-0000-0000-0000A43C0000}"/>
    <cellStyle name="Dane wyjściowe 2 23 40 3" xfId="15546" xr:uid="{00000000-0005-0000-0000-0000A53C0000}"/>
    <cellStyle name="Dane wyjściowe 2 23 41" xfId="15547" xr:uid="{00000000-0005-0000-0000-0000A63C0000}"/>
    <cellStyle name="Dane wyjściowe 2 23 41 2" xfId="15548" xr:uid="{00000000-0005-0000-0000-0000A73C0000}"/>
    <cellStyle name="Dane wyjściowe 2 23 41 3" xfId="15549" xr:uid="{00000000-0005-0000-0000-0000A83C0000}"/>
    <cellStyle name="Dane wyjściowe 2 23 42" xfId="15550" xr:uid="{00000000-0005-0000-0000-0000A93C0000}"/>
    <cellStyle name="Dane wyjściowe 2 23 42 2" xfId="15551" xr:uid="{00000000-0005-0000-0000-0000AA3C0000}"/>
    <cellStyle name="Dane wyjściowe 2 23 42 3" xfId="15552" xr:uid="{00000000-0005-0000-0000-0000AB3C0000}"/>
    <cellStyle name="Dane wyjściowe 2 23 43" xfId="15553" xr:uid="{00000000-0005-0000-0000-0000AC3C0000}"/>
    <cellStyle name="Dane wyjściowe 2 23 43 2" xfId="15554" xr:uid="{00000000-0005-0000-0000-0000AD3C0000}"/>
    <cellStyle name="Dane wyjściowe 2 23 43 3" xfId="15555" xr:uid="{00000000-0005-0000-0000-0000AE3C0000}"/>
    <cellStyle name="Dane wyjściowe 2 23 44" xfId="15556" xr:uid="{00000000-0005-0000-0000-0000AF3C0000}"/>
    <cellStyle name="Dane wyjściowe 2 23 44 2" xfId="15557" xr:uid="{00000000-0005-0000-0000-0000B03C0000}"/>
    <cellStyle name="Dane wyjściowe 2 23 44 3" xfId="15558" xr:uid="{00000000-0005-0000-0000-0000B13C0000}"/>
    <cellStyle name="Dane wyjściowe 2 23 45" xfId="15559" xr:uid="{00000000-0005-0000-0000-0000B23C0000}"/>
    <cellStyle name="Dane wyjściowe 2 23 45 2" xfId="15560" xr:uid="{00000000-0005-0000-0000-0000B33C0000}"/>
    <cellStyle name="Dane wyjściowe 2 23 45 3" xfId="15561" xr:uid="{00000000-0005-0000-0000-0000B43C0000}"/>
    <cellStyle name="Dane wyjściowe 2 23 46" xfId="15562" xr:uid="{00000000-0005-0000-0000-0000B53C0000}"/>
    <cellStyle name="Dane wyjściowe 2 23 46 2" xfId="15563" xr:uid="{00000000-0005-0000-0000-0000B63C0000}"/>
    <cellStyle name="Dane wyjściowe 2 23 46 3" xfId="15564" xr:uid="{00000000-0005-0000-0000-0000B73C0000}"/>
    <cellStyle name="Dane wyjściowe 2 23 47" xfId="15565" xr:uid="{00000000-0005-0000-0000-0000B83C0000}"/>
    <cellStyle name="Dane wyjściowe 2 23 47 2" xfId="15566" xr:uid="{00000000-0005-0000-0000-0000B93C0000}"/>
    <cellStyle name="Dane wyjściowe 2 23 47 3" xfId="15567" xr:uid="{00000000-0005-0000-0000-0000BA3C0000}"/>
    <cellStyle name="Dane wyjściowe 2 23 48" xfId="15568" xr:uid="{00000000-0005-0000-0000-0000BB3C0000}"/>
    <cellStyle name="Dane wyjściowe 2 23 48 2" xfId="15569" xr:uid="{00000000-0005-0000-0000-0000BC3C0000}"/>
    <cellStyle name="Dane wyjściowe 2 23 48 3" xfId="15570" xr:uid="{00000000-0005-0000-0000-0000BD3C0000}"/>
    <cellStyle name="Dane wyjściowe 2 23 49" xfId="15571" xr:uid="{00000000-0005-0000-0000-0000BE3C0000}"/>
    <cellStyle name="Dane wyjściowe 2 23 49 2" xfId="15572" xr:uid="{00000000-0005-0000-0000-0000BF3C0000}"/>
    <cellStyle name="Dane wyjściowe 2 23 49 3" xfId="15573" xr:uid="{00000000-0005-0000-0000-0000C03C0000}"/>
    <cellStyle name="Dane wyjściowe 2 23 5" xfId="15574" xr:uid="{00000000-0005-0000-0000-0000C13C0000}"/>
    <cellStyle name="Dane wyjściowe 2 23 5 2" xfId="15575" xr:uid="{00000000-0005-0000-0000-0000C23C0000}"/>
    <cellStyle name="Dane wyjściowe 2 23 5 3" xfId="15576" xr:uid="{00000000-0005-0000-0000-0000C33C0000}"/>
    <cellStyle name="Dane wyjściowe 2 23 5 4" xfId="15577" xr:uid="{00000000-0005-0000-0000-0000C43C0000}"/>
    <cellStyle name="Dane wyjściowe 2 23 50" xfId="15578" xr:uid="{00000000-0005-0000-0000-0000C53C0000}"/>
    <cellStyle name="Dane wyjściowe 2 23 50 2" xfId="15579" xr:uid="{00000000-0005-0000-0000-0000C63C0000}"/>
    <cellStyle name="Dane wyjściowe 2 23 50 3" xfId="15580" xr:uid="{00000000-0005-0000-0000-0000C73C0000}"/>
    <cellStyle name="Dane wyjściowe 2 23 51" xfId="15581" xr:uid="{00000000-0005-0000-0000-0000C83C0000}"/>
    <cellStyle name="Dane wyjściowe 2 23 51 2" xfId="15582" xr:uid="{00000000-0005-0000-0000-0000C93C0000}"/>
    <cellStyle name="Dane wyjściowe 2 23 51 3" xfId="15583" xr:uid="{00000000-0005-0000-0000-0000CA3C0000}"/>
    <cellStyle name="Dane wyjściowe 2 23 52" xfId="15584" xr:uid="{00000000-0005-0000-0000-0000CB3C0000}"/>
    <cellStyle name="Dane wyjściowe 2 23 52 2" xfId="15585" xr:uid="{00000000-0005-0000-0000-0000CC3C0000}"/>
    <cellStyle name="Dane wyjściowe 2 23 52 3" xfId="15586" xr:uid="{00000000-0005-0000-0000-0000CD3C0000}"/>
    <cellStyle name="Dane wyjściowe 2 23 53" xfId="15587" xr:uid="{00000000-0005-0000-0000-0000CE3C0000}"/>
    <cellStyle name="Dane wyjściowe 2 23 53 2" xfId="15588" xr:uid="{00000000-0005-0000-0000-0000CF3C0000}"/>
    <cellStyle name="Dane wyjściowe 2 23 53 3" xfId="15589" xr:uid="{00000000-0005-0000-0000-0000D03C0000}"/>
    <cellStyle name="Dane wyjściowe 2 23 54" xfId="15590" xr:uid="{00000000-0005-0000-0000-0000D13C0000}"/>
    <cellStyle name="Dane wyjściowe 2 23 54 2" xfId="15591" xr:uid="{00000000-0005-0000-0000-0000D23C0000}"/>
    <cellStyle name="Dane wyjściowe 2 23 54 3" xfId="15592" xr:uid="{00000000-0005-0000-0000-0000D33C0000}"/>
    <cellStyle name="Dane wyjściowe 2 23 55" xfId="15593" xr:uid="{00000000-0005-0000-0000-0000D43C0000}"/>
    <cellStyle name="Dane wyjściowe 2 23 55 2" xfId="15594" xr:uid="{00000000-0005-0000-0000-0000D53C0000}"/>
    <cellStyle name="Dane wyjściowe 2 23 55 3" xfId="15595" xr:uid="{00000000-0005-0000-0000-0000D63C0000}"/>
    <cellStyle name="Dane wyjściowe 2 23 56" xfId="15596" xr:uid="{00000000-0005-0000-0000-0000D73C0000}"/>
    <cellStyle name="Dane wyjściowe 2 23 56 2" xfId="15597" xr:uid="{00000000-0005-0000-0000-0000D83C0000}"/>
    <cellStyle name="Dane wyjściowe 2 23 56 3" xfId="15598" xr:uid="{00000000-0005-0000-0000-0000D93C0000}"/>
    <cellStyle name="Dane wyjściowe 2 23 57" xfId="15599" xr:uid="{00000000-0005-0000-0000-0000DA3C0000}"/>
    <cellStyle name="Dane wyjściowe 2 23 58" xfId="15600" xr:uid="{00000000-0005-0000-0000-0000DB3C0000}"/>
    <cellStyle name="Dane wyjściowe 2 23 6" xfId="15601" xr:uid="{00000000-0005-0000-0000-0000DC3C0000}"/>
    <cellStyle name="Dane wyjściowe 2 23 6 2" xfId="15602" xr:uid="{00000000-0005-0000-0000-0000DD3C0000}"/>
    <cellStyle name="Dane wyjściowe 2 23 6 3" xfId="15603" xr:uid="{00000000-0005-0000-0000-0000DE3C0000}"/>
    <cellStyle name="Dane wyjściowe 2 23 6 4" xfId="15604" xr:uid="{00000000-0005-0000-0000-0000DF3C0000}"/>
    <cellStyle name="Dane wyjściowe 2 23 7" xfId="15605" xr:uid="{00000000-0005-0000-0000-0000E03C0000}"/>
    <cellStyle name="Dane wyjściowe 2 23 7 2" xfId="15606" xr:uid="{00000000-0005-0000-0000-0000E13C0000}"/>
    <cellStyle name="Dane wyjściowe 2 23 7 3" xfId="15607" xr:uid="{00000000-0005-0000-0000-0000E23C0000}"/>
    <cellStyle name="Dane wyjściowe 2 23 7 4" xfId="15608" xr:uid="{00000000-0005-0000-0000-0000E33C0000}"/>
    <cellStyle name="Dane wyjściowe 2 23 8" xfId="15609" xr:uid="{00000000-0005-0000-0000-0000E43C0000}"/>
    <cellStyle name="Dane wyjściowe 2 23 8 2" xfId="15610" xr:uid="{00000000-0005-0000-0000-0000E53C0000}"/>
    <cellStyle name="Dane wyjściowe 2 23 8 3" xfId="15611" xr:uid="{00000000-0005-0000-0000-0000E63C0000}"/>
    <cellStyle name="Dane wyjściowe 2 23 8 4" xfId="15612" xr:uid="{00000000-0005-0000-0000-0000E73C0000}"/>
    <cellStyle name="Dane wyjściowe 2 23 9" xfId="15613" xr:uid="{00000000-0005-0000-0000-0000E83C0000}"/>
    <cellStyle name="Dane wyjściowe 2 23 9 2" xfId="15614" xr:uid="{00000000-0005-0000-0000-0000E93C0000}"/>
    <cellStyle name="Dane wyjściowe 2 23 9 3" xfId="15615" xr:uid="{00000000-0005-0000-0000-0000EA3C0000}"/>
    <cellStyle name="Dane wyjściowe 2 23 9 4" xfId="15616" xr:uid="{00000000-0005-0000-0000-0000EB3C0000}"/>
    <cellStyle name="Dane wyjściowe 2 24" xfId="15617" xr:uid="{00000000-0005-0000-0000-0000EC3C0000}"/>
    <cellStyle name="Dane wyjściowe 2 24 10" xfId="15618" xr:uid="{00000000-0005-0000-0000-0000ED3C0000}"/>
    <cellStyle name="Dane wyjściowe 2 24 10 2" xfId="15619" xr:uid="{00000000-0005-0000-0000-0000EE3C0000}"/>
    <cellStyle name="Dane wyjściowe 2 24 10 3" xfId="15620" xr:uid="{00000000-0005-0000-0000-0000EF3C0000}"/>
    <cellStyle name="Dane wyjściowe 2 24 10 4" xfId="15621" xr:uid="{00000000-0005-0000-0000-0000F03C0000}"/>
    <cellStyle name="Dane wyjściowe 2 24 11" xfId="15622" xr:uid="{00000000-0005-0000-0000-0000F13C0000}"/>
    <cellStyle name="Dane wyjściowe 2 24 11 2" xfId="15623" xr:uid="{00000000-0005-0000-0000-0000F23C0000}"/>
    <cellStyle name="Dane wyjściowe 2 24 11 3" xfId="15624" xr:uid="{00000000-0005-0000-0000-0000F33C0000}"/>
    <cellStyle name="Dane wyjściowe 2 24 11 4" xfId="15625" xr:uid="{00000000-0005-0000-0000-0000F43C0000}"/>
    <cellStyle name="Dane wyjściowe 2 24 12" xfId="15626" xr:uid="{00000000-0005-0000-0000-0000F53C0000}"/>
    <cellStyle name="Dane wyjściowe 2 24 12 2" xfId="15627" xr:uid="{00000000-0005-0000-0000-0000F63C0000}"/>
    <cellStyle name="Dane wyjściowe 2 24 12 3" xfId="15628" xr:uid="{00000000-0005-0000-0000-0000F73C0000}"/>
    <cellStyle name="Dane wyjściowe 2 24 12 4" xfId="15629" xr:uid="{00000000-0005-0000-0000-0000F83C0000}"/>
    <cellStyle name="Dane wyjściowe 2 24 13" xfId="15630" xr:uid="{00000000-0005-0000-0000-0000F93C0000}"/>
    <cellStyle name="Dane wyjściowe 2 24 13 2" xfId="15631" xr:uid="{00000000-0005-0000-0000-0000FA3C0000}"/>
    <cellStyle name="Dane wyjściowe 2 24 13 3" xfId="15632" xr:uid="{00000000-0005-0000-0000-0000FB3C0000}"/>
    <cellStyle name="Dane wyjściowe 2 24 13 4" xfId="15633" xr:uid="{00000000-0005-0000-0000-0000FC3C0000}"/>
    <cellStyle name="Dane wyjściowe 2 24 14" xfId="15634" xr:uid="{00000000-0005-0000-0000-0000FD3C0000}"/>
    <cellStyle name="Dane wyjściowe 2 24 14 2" xfId="15635" xr:uid="{00000000-0005-0000-0000-0000FE3C0000}"/>
    <cellStyle name="Dane wyjściowe 2 24 14 3" xfId="15636" xr:uid="{00000000-0005-0000-0000-0000FF3C0000}"/>
    <cellStyle name="Dane wyjściowe 2 24 14 4" xfId="15637" xr:uid="{00000000-0005-0000-0000-0000003D0000}"/>
    <cellStyle name="Dane wyjściowe 2 24 15" xfId="15638" xr:uid="{00000000-0005-0000-0000-0000013D0000}"/>
    <cellStyle name="Dane wyjściowe 2 24 15 2" xfId="15639" xr:uid="{00000000-0005-0000-0000-0000023D0000}"/>
    <cellStyle name="Dane wyjściowe 2 24 15 3" xfId="15640" xr:uid="{00000000-0005-0000-0000-0000033D0000}"/>
    <cellStyle name="Dane wyjściowe 2 24 15 4" xfId="15641" xr:uid="{00000000-0005-0000-0000-0000043D0000}"/>
    <cellStyle name="Dane wyjściowe 2 24 16" xfId="15642" xr:uid="{00000000-0005-0000-0000-0000053D0000}"/>
    <cellStyle name="Dane wyjściowe 2 24 16 2" xfId="15643" xr:uid="{00000000-0005-0000-0000-0000063D0000}"/>
    <cellStyle name="Dane wyjściowe 2 24 16 3" xfId="15644" xr:uid="{00000000-0005-0000-0000-0000073D0000}"/>
    <cellStyle name="Dane wyjściowe 2 24 16 4" xfId="15645" xr:uid="{00000000-0005-0000-0000-0000083D0000}"/>
    <cellStyle name="Dane wyjściowe 2 24 17" xfId="15646" xr:uid="{00000000-0005-0000-0000-0000093D0000}"/>
    <cellStyle name="Dane wyjściowe 2 24 17 2" xfId="15647" xr:uid="{00000000-0005-0000-0000-00000A3D0000}"/>
    <cellStyle name="Dane wyjściowe 2 24 17 3" xfId="15648" xr:uid="{00000000-0005-0000-0000-00000B3D0000}"/>
    <cellStyle name="Dane wyjściowe 2 24 17 4" xfId="15649" xr:uid="{00000000-0005-0000-0000-00000C3D0000}"/>
    <cellStyle name="Dane wyjściowe 2 24 18" xfId="15650" xr:uid="{00000000-0005-0000-0000-00000D3D0000}"/>
    <cellStyle name="Dane wyjściowe 2 24 18 2" xfId="15651" xr:uid="{00000000-0005-0000-0000-00000E3D0000}"/>
    <cellStyle name="Dane wyjściowe 2 24 18 3" xfId="15652" xr:uid="{00000000-0005-0000-0000-00000F3D0000}"/>
    <cellStyle name="Dane wyjściowe 2 24 18 4" xfId="15653" xr:uid="{00000000-0005-0000-0000-0000103D0000}"/>
    <cellStyle name="Dane wyjściowe 2 24 19" xfId="15654" xr:uid="{00000000-0005-0000-0000-0000113D0000}"/>
    <cellStyle name="Dane wyjściowe 2 24 19 2" xfId="15655" xr:uid="{00000000-0005-0000-0000-0000123D0000}"/>
    <cellStyle name="Dane wyjściowe 2 24 19 3" xfId="15656" xr:uid="{00000000-0005-0000-0000-0000133D0000}"/>
    <cellStyle name="Dane wyjściowe 2 24 19 4" xfId="15657" xr:uid="{00000000-0005-0000-0000-0000143D0000}"/>
    <cellStyle name="Dane wyjściowe 2 24 2" xfId="15658" xr:uid="{00000000-0005-0000-0000-0000153D0000}"/>
    <cellStyle name="Dane wyjściowe 2 24 2 2" xfId="15659" xr:uid="{00000000-0005-0000-0000-0000163D0000}"/>
    <cellStyle name="Dane wyjściowe 2 24 2 3" xfId="15660" xr:uid="{00000000-0005-0000-0000-0000173D0000}"/>
    <cellStyle name="Dane wyjściowe 2 24 2 4" xfId="15661" xr:uid="{00000000-0005-0000-0000-0000183D0000}"/>
    <cellStyle name="Dane wyjściowe 2 24 20" xfId="15662" xr:uid="{00000000-0005-0000-0000-0000193D0000}"/>
    <cellStyle name="Dane wyjściowe 2 24 20 2" xfId="15663" xr:uid="{00000000-0005-0000-0000-00001A3D0000}"/>
    <cellStyle name="Dane wyjściowe 2 24 20 3" xfId="15664" xr:uid="{00000000-0005-0000-0000-00001B3D0000}"/>
    <cellStyle name="Dane wyjściowe 2 24 20 4" xfId="15665" xr:uid="{00000000-0005-0000-0000-00001C3D0000}"/>
    <cellStyle name="Dane wyjściowe 2 24 21" xfId="15666" xr:uid="{00000000-0005-0000-0000-00001D3D0000}"/>
    <cellStyle name="Dane wyjściowe 2 24 21 2" xfId="15667" xr:uid="{00000000-0005-0000-0000-00001E3D0000}"/>
    <cellStyle name="Dane wyjściowe 2 24 21 3" xfId="15668" xr:uid="{00000000-0005-0000-0000-00001F3D0000}"/>
    <cellStyle name="Dane wyjściowe 2 24 22" xfId="15669" xr:uid="{00000000-0005-0000-0000-0000203D0000}"/>
    <cellStyle name="Dane wyjściowe 2 24 22 2" xfId="15670" xr:uid="{00000000-0005-0000-0000-0000213D0000}"/>
    <cellStyle name="Dane wyjściowe 2 24 22 3" xfId="15671" xr:uid="{00000000-0005-0000-0000-0000223D0000}"/>
    <cellStyle name="Dane wyjściowe 2 24 23" xfId="15672" xr:uid="{00000000-0005-0000-0000-0000233D0000}"/>
    <cellStyle name="Dane wyjściowe 2 24 23 2" xfId="15673" xr:uid="{00000000-0005-0000-0000-0000243D0000}"/>
    <cellStyle name="Dane wyjściowe 2 24 23 3" xfId="15674" xr:uid="{00000000-0005-0000-0000-0000253D0000}"/>
    <cellStyle name="Dane wyjściowe 2 24 24" xfId="15675" xr:uid="{00000000-0005-0000-0000-0000263D0000}"/>
    <cellStyle name="Dane wyjściowe 2 24 24 2" xfId="15676" xr:uid="{00000000-0005-0000-0000-0000273D0000}"/>
    <cellStyle name="Dane wyjściowe 2 24 24 3" xfId="15677" xr:uid="{00000000-0005-0000-0000-0000283D0000}"/>
    <cellStyle name="Dane wyjściowe 2 24 25" xfId="15678" xr:uid="{00000000-0005-0000-0000-0000293D0000}"/>
    <cellStyle name="Dane wyjściowe 2 24 25 2" xfId="15679" xr:uid="{00000000-0005-0000-0000-00002A3D0000}"/>
    <cellStyle name="Dane wyjściowe 2 24 25 3" xfId="15680" xr:uid="{00000000-0005-0000-0000-00002B3D0000}"/>
    <cellStyle name="Dane wyjściowe 2 24 26" xfId="15681" xr:uid="{00000000-0005-0000-0000-00002C3D0000}"/>
    <cellStyle name="Dane wyjściowe 2 24 26 2" xfId="15682" xr:uid="{00000000-0005-0000-0000-00002D3D0000}"/>
    <cellStyle name="Dane wyjściowe 2 24 26 3" xfId="15683" xr:uid="{00000000-0005-0000-0000-00002E3D0000}"/>
    <cellStyle name="Dane wyjściowe 2 24 27" xfId="15684" xr:uid="{00000000-0005-0000-0000-00002F3D0000}"/>
    <cellStyle name="Dane wyjściowe 2 24 27 2" xfId="15685" xr:uid="{00000000-0005-0000-0000-0000303D0000}"/>
    <cellStyle name="Dane wyjściowe 2 24 27 3" xfId="15686" xr:uid="{00000000-0005-0000-0000-0000313D0000}"/>
    <cellStyle name="Dane wyjściowe 2 24 28" xfId="15687" xr:uid="{00000000-0005-0000-0000-0000323D0000}"/>
    <cellStyle name="Dane wyjściowe 2 24 28 2" xfId="15688" xr:uid="{00000000-0005-0000-0000-0000333D0000}"/>
    <cellStyle name="Dane wyjściowe 2 24 28 3" xfId="15689" xr:uid="{00000000-0005-0000-0000-0000343D0000}"/>
    <cellStyle name="Dane wyjściowe 2 24 29" xfId="15690" xr:uid="{00000000-0005-0000-0000-0000353D0000}"/>
    <cellStyle name="Dane wyjściowe 2 24 29 2" xfId="15691" xr:uid="{00000000-0005-0000-0000-0000363D0000}"/>
    <cellStyle name="Dane wyjściowe 2 24 29 3" xfId="15692" xr:uid="{00000000-0005-0000-0000-0000373D0000}"/>
    <cellStyle name="Dane wyjściowe 2 24 3" xfId="15693" xr:uid="{00000000-0005-0000-0000-0000383D0000}"/>
    <cellStyle name="Dane wyjściowe 2 24 3 2" xfId="15694" xr:uid="{00000000-0005-0000-0000-0000393D0000}"/>
    <cellStyle name="Dane wyjściowe 2 24 3 3" xfId="15695" xr:uid="{00000000-0005-0000-0000-00003A3D0000}"/>
    <cellStyle name="Dane wyjściowe 2 24 3 4" xfId="15696" xr:uid="{00000000-0005-0000-0000-00003B3D0000}"/>
    <cellStyle name="Dane wyjściowe 2 24 30" xfId="15697" xr:uid="{00000000-0005-0000-0000-00003C3D0000}"/>
    <cellStyle name="Dane wyjściowe 2 24 30 2" xfId="15698" xr:uid="{00000000-0005-0000-0000-00003D3D0000}"/>
    <cellStyle name="Dane wyjściowe 2 24 30 3" xfId="15699" xr:uid="{00000000-0005-0000-0000-00003E3D0000}"/>
    <cellStyle name="Dane wyjściowe 2 24 31" xfId="15700" xr:uid="{00000000-0005-0000-0000-00003F3D0000}"/>
    <cellStyle name="Dane wyjściowe 2 24 31 2" xfId="15701" xr:uid="{00000000-0005-0000-0000-0000403D0000}"/>
    <cellStyle name="Dane wyjściowe 2 24 31 3" xfId="15702" xr:uid="{00000000-0005-0000-0000-0000413D0000}"/>
    <cellStyle name="Dane wyjściowe 2 24 32" xfId="15703" xr:uid="{00000000-0005-0000-0000-0000423D0000}"/>
    <cellStyle name="Dane wyjściowe 2 24 32 2" xfId="15704" xr:uid="{00000000-0005-0000-0000-0000433D0000}"/>
    <cellStyle name="Dane wyjściowe 2 24 32 3" xfId="15705" xr:uid="{00000000-0005-0000-0000-0000443D0000}"/>
    <cellStyle name="Dane wyjściowe 2 24 33" xfId="15706" xr:uid="{00000000-0005-0000-0000-0000453D0000}"/>
    <cellStyle name="Dane wyjściowe 2 24 33 2" xfId="15707" xr:uid="{00000000-0005-0000-0000-0000463D0000}"/>
    <cellStyle name="Dane wyjściowe 2 24 33 3" xfId="15708" xr:uid="{00000000-0005-0000-0000-0000473D0000}"/>
    <cellStyle name="Dane wyjściowe 2 24 34" xfId="15709" xr:uid="{00000000-0005-0000-0000-0000483D0000}"/>
    <cellStyle name="Dane wyjściowe 2 24 34 2" xfId="15710" xr:uid="{00000000-0005-0000-0000-0000493D0000}"/>
    <cellStyle name="Dane wyjściowe 2 24 34 3" xfId="15711" xr:uid="{00000000-0005-0000-0000-00004A3D0000}"/>
    <cellStyle name="Dane wyjściowe 2 24 35" xfId="15712" xr:uid="{00000000-0005-0000-0000-00004B3D0000}"/>
    <cellStyle name="Dane wyjściowe 2 24 35 2" xfId="15713" xr:uid="{00000000-0005-0000-0000-00004C3D0000}"/>
    <cellStyle name="Dane wyjściowe 2 24 35 3" xfId="15714" xr:uid="{00000000-0005-0000-0000-00004D3D0000}"/>
    <cellStyle name="Dane wyjściowe 2 24 36" xfId="15715" xr:uid="{00000000-0005-0000-0000-00004E3D0000}"/>
    <cellStyle name="Dane wyjściowe 2 24 36 2" xfId="15716" xr:uid="{00000000-0005-0000-0000-00004F3D0000}"/>
    <cellStyle name="Dane wyjściowe 2 24 36 3" xfId="15717" xr:uid="{00000000-0005-0000-0000-0000503D0000}"/>
    <cellStyle name="Dane wyjściowe 2 24 37" xfId="15718" xr:uid="{00000000-0005-0000-0000-0000513D0000}"/>
    <cellStyle name="Dane wyjściowe 2 24 37 2" xfId="15719" xr:uid="{00000000-0005-0000-0000-0000523D0000}"/>
    <cellStyle name="Dane wyjściowe 2 24 37 3" xfId="15720" xr:uid="{00000000-0005-0000-0000-0000533D0000}"/>
    <cellStyle name="Dane wyjściowe 2 24 38" xfId="15721" xr:uid="{00000000-0005-0000-0000-0000543D0000}"/>
    <cellStyle name="Dane wyjściowe 2 24 38 2" xfId="15722" xr:uid="{00000000-0005-0000-0000-0000553D0000}"/>
    <cellStyle name="Dane wyjściowe 2 24 38 3" xfId="15723" xr:uid="{00000000-0005-0000-0000-0000563D0000}"/>
    <cellStyle name="Dane wyjściowe 2 24 39" xfId="15724" xr:uid="{00000000-0005-0000-0000-0000573D0000}"/>
    <cellStyle name="Dane wyjściowe 2 24 39 2" xfId="15725" xr:uid="{00000000-0005-0000-0000-0000583D0000}"/>
    <cellStyle name="Dane wyjściowe 2 24 39 3" xfId="15726" xr:uid="{00000000-0005-0000-0000-0000593D0000}"/>
    <cellStyle name="Dane wyjściowe 2 24 4" xfId="15727" xr:uid="{00000000-0005-0000-0000-00005A3D0000}"/>
    <cellStyle name="Dane wyjściowe 2 24 4 2" xfId="15728" xr:uid="{00000000-0005-0000-0000-00005B3D0000}"/>
    <cellStyle name="Dane wyjściowe 2 24 4 3" xfId="15729" xr:uid="{00000000-0005-0000-0000-00005C3D0000}"/>
    <cellStyle name="Dane wyjściowe 2 24 4 4" xfId="15730" xr:uid="{00000000-0005-0000-0000-00005D3D0000}"/>
    <cellStyle name="Dane wyjściowe 2 24 40" xfId="15731" xr:uid="{00000000-0005-0000-0000-00005E3D0000}"/>
    <cellStyle name="Dane wyjściowe 2 24 40 2" xfId="15732" xr:uid="{00000000-0005-0000-0000-00005F3D0000}"/>
    <cellStyle name="Dane wyjściowe 2 24 40 3" xfId="15733" xr:uid="{00000000-0005-0000-0000-0000603D0000}"/>
    <cellStyle name="Dane wyjściowe 2 24 41" xfId="15734" xr:uid="{00000000-0005-0000-0000-0000613D0000}"/>
    <cellStyle name="Dane wyjściowe 2 24 41 2" xfId="15735" xr:uid="{00000000-0005-0000-0000-0000623D0000}"/>
    <cellStyle name="Dane wyjściowe 2 24 41 3" xfId="15736" xr:uid="{00000000-0005-0000-0000-0000633D0000}"/>
    <cellStyle name="Dane wyjściowe 2 24 42" xfId="15737" xr:uid="{00000000-0005-0000-0000-0000643D0000}"/>
    <cellStyle name="Dane wyjściowe 2 24 42 2" xfId="15738" xr:uid="{00000000-0005-0000-0000-0000653D0000}"/>
    <cellStyle name="Dane wyjściowe 2 24 42 3" xfId="15739" xr:uid="{00000000-0005-0000-0000-0000663D0000}"/>
    <cellStyle name="Dane wyjściowe 2 24 43" xfId="15740" xr:uid="{00000000-0005-0000-0000-0000673D0000}"/>
    <cellStyle name="Dane wyjściowe 2 24 43 2" xfId="15741" xr:uid="{00000000-0005-0000-0000-0000683D0000}"/>
    <cellStyle name="Dane wyjściowe 2 24 43 3" xfId="15742" xr:uid="{00000000-0005-0000-0000-0000693D0000}"/>
    <cellStyle name="Dane wyjściowe 2 24 44" xfId="15743" xr:uid="{00000000-0005-0000-0000-00006A3D0000}"/>
    <cellStyle name="Dane wyjściowe 2 24 44 2" xfId="15744" xr:uid="{00000000-0005-0000-0000-00006B3D0000}"/>
    <cellStyle name="Dane wyjściowe 2 24 44 3" xfId="15745" xr:uid="{00000000-0005-0000-0000-00006C3D0000}"/>
    <cellStyle name="Dane wyjściowe 2 24 45" xfId="15746" xr:uid="{00000000-0005-0000-0000-00006D3D0000}"/>
    <cellStyle name="Dane wyjściowe 2 24 45 2" xfId="15747" xr:uid="{00000000-0005-0000-0000-00006E3D0000}"/>
    <cellStyle name="Dane wyjściowe 2 24 45 3" xfId="15748" xr:uid="{00000000-0005-0000-0000-00006F3D0000}"/>
    <cellStyle name="Dane wyjściowe 2 24 46" xfId="15749" xr:uid="{00000000-0005-0000-0000-0000703D0000}"/>
    <cellStyle name="Dane wyjściowe 2 24 46 2" xfId="15750" xr:uid="{00000000-0005-0000-0000-0000713D0000}"/>
    <cellStyle name="Dane wyjściowe 2 24 46 3" xfId="15751" xr:uid="{00000000-0005-0000-0000-0000723D0000}"/>
    <cellStyle name="Dane wyjściowe 2 24 47" xfId="15752" xr:uid="{00000000-0005-0000-0000-0000733D0000}"/>
    <cellStyle name="Dane wyjściowe 2 24 47 2" xfId="15753" xr:uid="{00000000-0005-0000-0000-0000743D0000}"/>
    <cellStyle name="Dane wyjściowe 2 24 47 3" xfId="15754" xr:uid="{00000000-0005-0000-0000-0000753D0000}"/>
    <cellStyle name="Dane wyjściowe 2 24 48" xfId="15755" xr:uid="{00000000-0005-0000-0000-0000763D0000}"/>
    <cellStyle name="Dane wyjściowe 2 24 48 2" xfId="15756" xr:uid="{00000000-0005-0000-0000-0000773D0000}"/>
    <cellStyle name="Dane wyjściowe 2 24 48 3" xfId="15757" xr:uid="{00000000-0005-0000-0000-0000783D0000}"/>
    <cellStyle name="Dane wyjściowe 2 24 49" xfId="15758" xr:uid="{00000000-0005-0000-0000-0000793D0000}"/>
    <cellStyle name="Dane wyjściowe 2 24 49 2" xfId="15759" xr:uid="{00000000-0005-0000-0000-00007A3D0000}"/>
    <cellStyle name="Dane wyjściowe 2 24 49 3" xfId="15760" xr:uid="{00000000-0005-0000-0000-00007B3D0000}"/>
    <cellStyle name="Dane wyjściowe 2 24 5" xfId="15761" xr:uid="{00000000-0005-0000-0000-00007C3D0000}"/>
    <cellStyle name="Dane wyjściowe 2 24 5 2" xfId="15762" xr:uid="{00000000-0005-0000-0000-00007D3D0000}"/>
    <cellStyle name="Dane wyjściowe 2 24 5 3" xfId="15763" xr:uid="{00000000-0005-0000-0000-00007E3D0000}"/>
    <cellStyle name="Dane wyjściowe 2 24 5 4" xfId="15764" xr:uid="{00000000-0005-0000-0000-00007F3D0000}"/>
    <cellStyle name="Dane wyjściowe 2 24 50" xfId="15765" xr:uid="{00000000-0005-0000-0000-0000803D0000}"/>
    <cellStyle name="Dane wyjściowe 2 24 50 2" xfId="15766" xr:uid="{00000000-0005-0000-0000-0000813D0000}"/>
    <cellStyle name="Dane wyjściowe 2 24 50 3" xfId="15767" xr:uid="{00000000-0005-0000-0000-0000823D0000}"/>
    <cellStyle name="Dane wyjściowe 2 24 51" xfId="15768" xr:uid="{00000000-0005-0000-0000-0000833D0000}"/>
    <cellStyle name="Dane wyjściowe 2 24 51 2" xfId="15769" xr:uid="{00000000-0005-0000-0000-0000843D0000}"/>
    <cellStyle name="Dane wyjściowe 2 24 51 3" xfId="15770" xr:uid="{00000000-0005-0000-0000-0000853D0000}"/>
    <cellStyle name="Dane wyjściowe 2 24 52" xfId="15771" xr:uid="{00000000-0005-0000-0000-0000863D0000}"/>
    <cellStyle name="Dane wyjściowe 2 24 52 2" xfId="15772" xr:uid="{00000000-0005-0000-0000-0000873D0000}"/>
    <cellStyle name="Dane wyjściowe 2 24 52 3" xfId="15773" xr:uid="{00000000-0005-0000-0000-0000883D0000}"/>
    <cellStyle name="Dane wyjściowe 2 24 53" xfId="15774" xr:uid="{00000000-0005-0000-0000-0000893D0000}"/>
    <cellStyle name="Dane wyjściowe 2 24 53 2" xfId="15775" xr:uid="{00000000-0005-0000-0000-00008A3D0000}"/>
    <cellStyle name="Dane wyjściowe 2 24 53 3" xfId="15776" xr:uid="{00000000-0005-0000-0000-00008B3D0000}"/>
    <cellStyle name="Dane wyjściowe 2 24 54" xfId="15777" xr:uid="{00000000-0005-0000-0000-00008C3D0000}"/>
    <cellStyle name="Dane wyjściowe 2 24 54 2" xfId="15778" xr:uid="{00000000-0005-0000-0000-00008D3D0000}"/>
    <cellStyle name="Dane wyjściowe 2 24 54 3" xfId="15779" xr:uid="{00000000-0005-0000-0000-00008E3D0000}"/>
    <cellStyle name="Dane wyjściowe 2 24 55" xfId="15780" xr:uid="{00000000-0005-0000-0000-00008F3D0000}"/>
    <cellStyle name="Dane wyjściowe 2 24 55 2" xfId="15781" xr:uid="{00000000-0005-0000-0000-0000903D0000}"/>
    <cellStyle name="Dane wyjściowe 2 24 55 3" xfId="15782" xr:uid="{00000000-0005-0000-0000-0000913D0000}"/>
    <cellStyle name="Dane wyjściowe 2 24 56" xfId="15783" xr:uid="{00000000-0005-0000-0000-0000923D0000}"/>
    <cellStyle name="Dane wyjściowe 2 24 56 2" xfId="15784" xr:uid="{00000000-0005-0000-0000-0000933D0000}"/>
    <cellStyle name="Dane wyjściowe 2 24 56 3" xfId="15785" xr:uid="{00000000-0005-0000-0000-0000943D0000}"/>
    <cellStyle name="Dane wyjściowe 2 24 57" xfId="15786" xr:uid="{00000000-0005-0000-0000-0000953D0000}"/>
    <cellStyle name="Dane wyjściowe 2 24 58" xfId="15787" xr:uid="{00000000-0005-0000-0000-0000963D0000}"/>
    <cellStyle name="Dane wyjściowe 2 24 6" xfId="15788" xr:uid="{00000000-0005-0000-0000-0000973D0000}"/>
    <cellStyle name="Dane wyjściowe 2 24 6 2" xfId="15789" xr:uid="{00000000-0005-0000-0000-0000983D0000}"/>
    <cellStyle name="Dane wyjściowe 2 24 6 3" xfId="15790" xr:uid="{00000000-0005-0000-0000-0000993D0000}"/>
    <cellStyle name="Dane wyjściowe 2 24 6 4" xfId="15791" xr:uid="{00000000-0005-0000-0000-00009A3D0000}"/>
    <cellStyle name="Dane wyjściowe 2 24 7" xfId="15792" xr:uid="{00000000-0005-0000-0000-00009B3D0000}"/>
    <cellStyle name="Dane wyjściowe 2 24 7 2" xfId="15793" xr:uid="{00000000-0005-0000-0000-00009C3D0000}"/>
    <cellStyle name="Dane wyjściowe 2 24 7 3" xfId="15794" xr:uid="{00000000-0005-0000-0000-00009D3D0000}"/>
    <cellStyle name="Dane wyjściowe 2 24 7 4" xfId="15795" xr:uid="{00000000-0005-0000-0000-00009E3D0000}"/>
    <cellStyle name="Dane wyjściowe 2 24 8" xfId="15796" xr:uid="{00000000-0005-0000-0000-00009F3D0000}"/>
    <cellStyle name="Dane wyjściowe 2 24 8 2" xfId="15797" xr:uid="{00000000-0005-0000-0000-0000A03D0000}"/>
    <cellStyle name="Dane wyjściowe 2 24 8 3" xfId="15798" xr:uid="{00000000-0005-0000-0000-0000A13D0000}"/>
    <cellStyle name="Dane wyjściowe 2 24 8 4" xfId="15799" xr:uid="{00000000-0005-0000-0000-0000A23D0000}"/>
    <cellStyle name="Dane wyjściowe 2 24 9" xfId="15800" xr:uid="{00000000-0005-0000-0000-0000A33D0000}"/>
    <cellStyle name="Dane wyjściowe 2 24 9 2" xfId="15801" xr:uid="{00000000-0005-0000-0000-0000A43D0000}"/>
    <cellStyle name="Dane wyjściowe 2 24 9 3" xfId="15802" xr:uid="{00000000-0005-0000-0000-0000A53D0000}"/>
    <cellStyle name="Dane wyjściowe 2 24 9 4" xfId="15803" xr:uid="{00000000-0005-0000-0000-0000A63D0000}"/>
    <cellStyle name="Dane wyjściowe 2 25" xfId="15804" xr:uid="{00000000-0005-0000-0000-0000A73D0000}"/>
    <cellStyle name="Dane wyjściowe 2 25 10" xfId="15805" xr:uid="{00000000-0005-0000-0000-0000A83D0000}"/>
    <cellStyle name="Dane wyjściowe 2 25 10 2" xfId="15806" xr:uid="{00000000-0005-0000-0000-0000A93D0000}"/>
    <cellStyle name="Dane wyjściowe 2 25 10 3" xfId="15807" xr:uid="{00000000-0005-0000-0000-0000AA3D0000}"/>
    <cellStyle name="Dane wyjściowe 2 25 10 4" xfId="15808" xr:uid="{00000000-0005-0000-0000-0000AB3D0000}"/>
    <cellStyle name="Dane wyjściowe 2 25 11" xfId="15809" xr:uid="{00000000-0005-0000-0000-0000AC3D0000}"/>
    <cellStyle name="Dane wyjściowe 2 25 11 2" xfId="15810" xr:uid="{00000000-0005-0000-0000-0000AD3D0000}"/>
    <cellStyle name="Dane wyjściowe 2 25 11 3" xfId="15811" xr:uid="{00000000-0005-0000-0000-0000AE3D0000}"/>
    <cellStyle name="Dane wyjściowe 2 25 11 4" xfId="15812" xr:uid="{00000000-0005-0000-0000-0000AF3D0000}"/>
    <cellStyle name="Dane wyjściowe 2 25 12" xfId="15813" xr:uid="{00000000-0005-0000-0000-0000B03D0000}"/>
    <cellStyle name="Dane wyjściowe 2 25 12 2" xfId="15814" xr:uid="{00000000-0005-0000-0000-0000B13D0000}"/>
    <cellStyle name="Dane wyjściowe 2 25 12 3" xfId="15815" xr:uid="{00000000-0005-0000-0000-0000B23D0000}"/>
    <cellStyle name="Dane wyjściowe 2 25 12 4" xfId="15816" xr:uid="{00000000-0005-0000-0000-0000B33D0000}"/>
    <cellStyle name="Dane wyjściowe 2 25 13" xfId="15817" xr:uid="{00000000-0005-0000-0000-0000B43D0000}"/>
    <cellStyle name="Dane wyjściowe 2 25 13 2" xfId="15818" xr:uid="{00000000-0005-0000-0000-0000B53D0000}"/>
    <cellStyle name="Dane wyjściowe 2 25 13 3" xfId="15819" xr:uid="{00000000-0005-0000-0000-0000B63D0000}"/>
    <cellStyle name="Dane wyjściowe 2 25 13 4" xfId="15820" xr:uid="{00000000-0005-0000-0000-0000B73D0000}"/>
    <cellStyle name="Dane wyjściowe 2 25 14" xfId="15821" xr:uid="{00000000-0005-0000-0000-0000B83D0000}"/>
    <cellStyle name="Dane wyjściowe 2 25 14 2" xfId="15822" xr:uid="{00000000-0005-0000-0000-0000B93D0000}"/>
    <cellStyle name="Dane wyjściowe 2 25 14 3" xfId="15823" xr:uid="{00000000-0005-0000-0000-0000BA3D0000}"/>
    <cellStyle name="Dane wyjściowe 2 25 14 4" xfId="15824" xr:uid="{00000000-0005-0000-0000-0000BB3D0000}"/>
    <cellStyle name="Dane wyjściowe 2 25 15" xfId="15825" xr:uid="{00000000-0005-0000-0000-0000BC3D0000}"/>
    <cellStyle name="Dane wyjściowe 2 25 15 2" xfId="15826" xr:uid="{00000000-0005-0000-0000-0000BD3D0000}"/>
    <cellStyle name="Dane wyjściowe 2 25 15 3" xfId="15827" xr:uid="{00000000-0005-0000-0000-0000BE3D0000}"/>
    <cellStyle name="Dane wyjściowe 2 25 15 4" xfId="15828" xr:uid="{00000000-0005-0000-0000-0000BF3D0000}"/>
    <cellStyle name="Dane wyjściowe 2 25 16" xfId="15829" xr:uid="{00000000-0005-0000-0000-0000C03D0000}"/>
    <cellStyle name="Dane wyjściowe 2 25 16 2" xfId="15830" xr:uid="{00000000-0005-0000-0000-0000C13D0000}"/>
    <cellStyle name="Dane wyjściowe 2 25 16 3" xfId="15831" xr:uid="{00000000-0005-0000-0000-0000C23D0000}"/>
    <cellStyle name="Dane wyjściowe 2 25 16 4" xfId="15832" xr:uid="{00000000-0005-0000-0000-0000C33D0000}"/>
    <cellStyle name="Dane wyjściowe 2 25 17" xfId="15833" xr:uid="{00000000-0005-0000-0000-0000C43D0000}"/>
    <cellStyle name="Dane wyjściowe 2 25 17 2" xfId="15834" xr:uid="{00000000-0005-0000-0000-0000C53D0000}"/>
    <cellStyle name="Dane wyjściowe 2 25 17 3" xfId="15835" xr:uid="{00000000-0005-0000-0000-0000C63D0000}"/>
    <cellStyle name="Dane wyjściowe 2 25 17 4" xfId="15836" xr:uid="{00000000-0005-0000-0000-0000C73D0000}"/>
    <cellStyle name="Dane wyjściowe 2 25 18" xfId="15837" xr:uid="{00000000-0005-0000-0000-0000C83D0000}"/>
    <cellStyle name="Dane wyjściowe 2 25 18 2" xfId="15838" xr:uid="{00000000-0005-0000-0000-0000C93D0000}"/>
    <cellStyle name="Dane wyjściowe 2 25 18 3" xfId="15839" xr:uid="{00000000-0005-0000-0000-0000CA3D0000}"/>
    <cellStyle name="Dane wyjściowe 2 25 18 4" xfId="15840" xr:uid="{00000000-0005-0000-0000-0000CB3D0000}"/>
    <cellStyle name="Dane wyjściowe 2 25 19" xfId="15841" xr:uid="{00000000-0005-0000-0000-0000CC3D0000}"/>
    <cellStyle name="Dane wyjściowe 2 25 19 2" xfId="15842" xr:uid="{00000000-0005-0000-0000-0000CD3D0000}"/>
    <cellStyle name="Dane wyjściowe 2 25 19 3" xfId="15843" xr:uid="{00000000-0005-0000-0000-0000CE3D0000}"/>
    <cellStyle name="Dane wyjściowe 2 25 19 4" xfId="15844" xr:uid="{00000000-0005-0000-0000-0000CF3D0000}"/>
    <cellStyle name="Dane wyjściowe 2 25 2" xfId="15845" xr:uid="{00000000-0005-0000-0000-0000D03D0000}"/>
    <cellStyle name="Dane wyjściowe 2 25 2 2" xfId="15846" xr:uid="{00000000-0005-0000-0000-0000D13D0000}"/>
    <cellStyle name="Dane wyjściowe 2 25 2 3" xfId="15847" xr:uid="{00000000-0005-0000-0000-0000D23D0000}"/>
    <cellStyle name="Dane wyjściowe 2 25 2 4" xfId="15848" xr:uid="{00000000-0005-0000-0000-0000D33D0000}"/>
    <cellStyle name="Dane wyjściowe 2 25 20" xfId="15849" xr:uid="{00000000-0005-0000-0000-0000D43D0000}"/>
    <cellStyle name="Dane wyjściowe 2 25 20 2" xfId="15850" xr:uid="{00000000-0005-0000-0000-0000D53D0000}"/>
    <cellStyle name="Dane wyjściowe 2 25 20 3" xfId="15851" xr:uid="{00000000-0005-0000-0000-0000D63D0000}"/>
    <cellStyle name="Dane wyjściowe 2 25 20 4" xfId="15852" xr:uid="{00000000-0005-0000-0000-0000D73D0000}"/>
    <cellStyle name="Dane wyjściowe 2 25 21" xfId="15853" xr:uid="{00000000-0005-0000-0000-0000D83D0000}"/>
    <cellStyle name="Dane wyjściowe 2 25 21 2" xfId="15854" xr:uid="{00000000-0005-0000-0000-0000D93D0000}"/>
    <cellStyle name="Dane wyjściowe 2 25 21 3" xfId="15855" xr:uid="{00000000-0005-0000-0000-0000DA3D0000}"/>
    <cellStyle name="Dane wyjściowe 2 25 22" xfId="15856" xr:uid="{00000000-0005-0000-0000-0000DB3D0000}"/>
    <cellStyle name="Dane wyjściowe 2 25 22 2" xfId="15857" xr:uid="{00000000-0005-0000-0000-0000DC3D0000}"/>
    <cellStyle name="Dane wyjściowe 2 25 22 3" xfId="15858" xr:uid="{00000000-0005-0000-0000-0000DD3D0000}"/>
    <cellStyle name="Dane wyjściowe 2 25 23" xfId="15859" xr:uid="{00000000-0005-0000-0000-0000DE3D0000}"/>
    <cellStyle name="Dane wyjściowe 2 25 23 2" xfId="15860" xr:uid="{00000000-0005-0000-0000-0000DF3D0000}"/>
    <cellStyle name="Dane wyjściowe 2 25 23 3" xfId="15861" xr:uid="{00000000-0005-0000-0000-0000E03D0000}"/>
    <cellStyle name="Dane wyjściowe 2 25 24" xfId="15862" xr:uid="{00000000-0005-0000-0000-0000E13D0000}"/>
    <cellStyle name="Dane wyjściowe 2 25 24 2" xfId="15863" xr:uid="{00000000-0005-0000-0000-0000E23D0000}"/>
    <cellStyle name="Dane wyjściowe 2 25 24 3" xfId="15864" xr:uid="{00000000-0005-0000-0000-0000E33D0000}"/>
    <cellStyle name="Dane wyjściowe 2 25 25" xfId="15865" xr:uid="{00000000-0005-0000-0000-0000E43D0000}"/>
    <cellStyle name="Dane wyjściowe 2 25 25 2" xfId="15866" xr:uid="{00000000-0005-0000-0000-0000E53D0000}"/>
    <cellStyle name="Dane wyjściowe 2 25 25 3" xfId="15867" xr:uid="{00000000-0005-0000-0000-0000E63D0000}"/>
    <cellStyle name="Dane wyjściowe 2 25 26" xfId="15868" xr:uid="{00000000-0005-0000-0000-0000E73D0000}"/>
    <cellStyle name="Dane wyjściowe 2 25 26 2" xfId="15869" xr:uid="{00000000-0005-0000-0000-0000E83D0000}"/>
    <cellStyle name="Dane wyjściowe 2 25 26 3" xfId="15870" xr:uid="{00000000-0005-0000-0000-0000E93D0000}"/>
    <cellStyle name="Dane wyjściowe 2 25 27" xfId="15871" xr:uid="{00000000-0005-0000-0000-0000EA3D0000}"/>
    <cellStyle name="Dane wyjściowe 2 25 27 2" xfId="15872" xr:uid="{00000000-0005-0000-0000-0000EB3D0000}"/>
    <cellStyle name="Dane wyjściowe 2 25 27 3" xfId="15873" xr:uid="{00000000-0005-0000-0000-0000EC3D0000}"/>
    <cellStyle name="Dane wyjściowe 2 25 28" xfId="15874" xr:uid="{00000000-0005-0000-0000-0000ED3D0000}"/>
    <cellStyle name="Dane wyjściowe 2 25 28 2" xfId="15875" xr:uid="{00000000-0005-0000-0000-0000EE3D0000}"/>
    <cellStyle name="Dane wyjściowe 2 25 28 3" xfId="15876" xr:uid="{00000000-0005-0000-0000-0000EF3D0000}"/>
    <cellStyle name="Dane wyjściowe 2 25 29" xfId="15877" xr:uid="{00000000-0005-0000-0000-0000F03D0000}"/>
    <cellStyle name="Dane wyjściowe 2 25 29 2" xfId="15878" xr:uid="{00000000-0005-0000-0000-0000F13D0000}"/>
    <cellStyle name="Dane wyjściowe 2 25 29 3" xfId="15879" xr:uid="{00000000-0005-0000-0000-0000F23D0000}"/>
    <cellStyle name="Dane wyjściowe 2 25 3" xfId="15880" xr:uid="{00000000-0005-0000-0000-0000F33D0000}"/>
    <cellStyle name="Dane wyjściowe 2 25 3 2" xfId="15881" xr:uid="{00000000-0005-0000-0000-0000F43D0000}"/>
    <cellStyle name="Dane wyjściowe 2 25 3 3" xfId="15882" xr:uid="{00000000-0005-0000-0000-0000F53D0000}"/>
    <cellStyle name="Dane wyjściowe 2 25 3 4" xfId="15883" xr:uid="{00000000-0005-0000-0000-0000F63D0000}"/>
    <cellStyle name="Dane wyjściowe 2 25 30" xfId="15884" xr:uid="{00000000-0005-0000-0000-0000F73D0000}"/>
    <cellStyle name="Dane wyjściowe 2 25 30 2" xfId="15885" xr:uid="{00000000-0005-0000-0000-0000F83D0000}"/>
    <cellStyle name="Dane wyjściowe 2 25 30 3" xfId="15886" xr:uid="{00000000-0005-0000-0000-0000F93D0000}"/>
    <cellStyle name="Dane wyjściowe 2 25 31" xfId="15887" xr:uid="{00000000-0005-0000-0000-0000FA3D0000}"/>
    <cellStyle name="Dane wyjściowe 2 25 31 2" xfId="15888" xr:uid="{00000000-0005-0000-0000-0000FB3D0000}"/>
    <cellStyle name="Dane wyjściowe 2 25 31 3" xfId="15889" xr:uid="{00000000-0005-0000-0000-0000FC3D0000}"/>
    <cellStyle name="Dane wyjściowe 2 25 32" xfId="15890" xr:uid="{00000000-0005-0000-0000-0000FD3D0000}"/>
    <cellStyle name="Dane wyjściowe 2 25 32 2" xfId="15891" xr:uid="{00000000-0005-0000-0000-0000FE3D0000}"/>
    <cellStyle name="Dane wyjściowe 2 25 32 3" xfId="15892" xr:uid="{00000000-0005-0000-0000-0000FF3D0000}"/>
    <cellStyle name="Dane wyjściowe 2 25 33" xfId="15893" xr:uid="{00000000-0005-0000-0000-0000003E0000}"/>
    <cellStyle name="Dane wyjściowe 2 25 33 2" xfId="15894" xr:uid="{00000000-0005-0000-0000-0000013E0000}"/>
    <cellStyle name="Dane wyjściowe 2 25 33 3" xfId="15895" xr:uid="{00000000-0005-0000-0000-0000023E0000}"/>
    <cellStyle name="Dane wyjściowe 2 25 34" xfId="15896" xr:uid="{00000000-0005-0000-0000-0000033E0000}"/>
    <cellStyle name="Dane wyjściowe 2 25 34 2" xfId="15897" xr:uid="{00000000-0005-0000-0000-0000043E0000}"/>
    <cellStyle name="Dane wyjściowe 2 25 34 3" xfId="15898" xr:uid="{00000000-0005-0000-0000-0000053E0000}"/>
    <cellStyle name="Dane wyjściowe 2 25 35" xfId="15899" xr:uid="{00000000-0005-0000-0000-0000063E0000}"/>
    <cellStyle name="Dane wyjściowe 2 25 35 2" xfId="15900" xr:uid="{00000000-0005-0000-0000-0000073E0000}"/>
    <cellStyle name="Dane wyjściowe 2 25 35 3" xfId="15901" xr:uid="{00000000-0005-0000-0000-0000083E0000}"/>
    <cellStyle name="Dane wyjściowe 2 25 36" xfId="15902" xr:uid="{00000000-0005-0000-0000-0000093E0000}"/>
    <cellStyle name="Dane wyjściowe 2 25 36 2" xfId="15903" xr:uid="{00000000-0005-0000-0000-00000A3E0000}"/>
    <cellStyle name="Dane wyjściowe 2 25 36 3" xfId="15904" xr:uid="{00000000-0005-0000-0000-00000B3E0000}"/>
    <cellStyle name="Dane wyjściowe 2 25 37" xfId="15905" xr:uid="{00000000-0005-0000-0000-00000C3E0000}"/>
    <cellStyle name="Dane wyjściowe 2 25 37 2" xfId="15906" xr:uid="{00000000-0005-0000-0000-00000D3E0000}"/>
    <cellStyle name="Dane wyjściowe 2 25 37 3" xfId="15907" xr:uid="{00000000-0005-0000-0000-00000E3E0000}"/>
    <cellStyle name="Dane wyjściowe 2 25 38" xfId="15908" xr:uid="{00000000-0005-0000-0000-00000F3E0000}"/>
    <cellStyle name="Dane wyjściowe 2 25 38 2" xfId="15909" xr:uid="{00000000-0005-0000-0000-0000103E0000}"/>
    <cellStyle name="Dane wyjściowe 2 25 38 3" xfId="15910" xr:uid="{00000000-0005-0000-0000-0000113E0000}"/>
    <cellStyle name="Dane wyjściowe 2 25 39" xfId="15911" xr:uid="{00000000-0005-0000-0000-0000123E0000}"/>
    <cellStyle name="Dane wyjściowe 2 25 39 2" xfId="15912" xr:uid="{00000000-0005-0000-0000-0000133E0000}"/>
    <cellStyle name="Dane wyjściowe 2 25 39 3" xfId="15913" xr:uid="{00000000-0005-0000-0000-0000143E0000}"/>
    <cellStyle name="Dane wyjściowe 2 25 4" xfId="15914" xr:uid="{00000000-0005-0000-0000-0000153E0000}"/>
    <cellStyle name="Dane wyjściowe 2 25 4 2" xfId="15915" xr:uid="{00000000-0005-0000-0000-0000163E0000}"/>
    <cellStyle name="Dane wyjściowe 2 25 4 3" xfId="15916" xr:uid="{00000000-0005-0000-0000-0000173E0000}"/>
    <cellStyle name="Dane wyjściowe 2 25 4 4" xfId="15917" xr:uid="{00000000-0005-0000-0000-0000183E0000}"/>
    <cellStyle name="Dane wyjściowe 2 25 40" xfId="15918" xr:uid="{00000000-0005-0000-0000-0000193E0000}"/>
    <cellStyle name="Dane wyjściowe 2 25 40 2" xfId="15919" xr:uid="{00000000-0005-0000-0000-00001A3E0000}"/>
    <cellStyle name="Dane wyjściowe 2 25 40 3" xfId="15920" xr:uid="{00000000-0005-0000-0000-00001B3E0000}"/>
    <cellStyle name="Dane wyjściowe 2 25 41" xfId="15921" xr:uid="{00000000-0005-0000-0000-00001C3E0000}"/>
    <cellStyle name="Dane wyjściowe 2 25 41 2" xfId="15922" xr:uid="{00000000-0005-0000-0000-00001D3E0000}"/>
    <cellStyle name="Dane wyjściowe 2 25 41 3" xfId="15923" xr:uid="{00000000-0005-0000-0000-00001E3E0000}"/>
    <cellStyle name="Dane wyjściowe 2 25 42" xfId="15924" xr:uid="{00000000-0005-0000-0000-00001F3E0000}"/>
    <cellStyle name="Dane wyjściowe 2 25 42 2" xfId="15925" xr:uid="{00000000-0005-0000-0000-0000203E0000}"/>
    <cellStyle name="Dane wyjściowe 2 25 42 3" xfId="15926" xr:uid="{00000000-0005-0000-0000-0000213E0000}"/>
    <cellStyle name="Dane wyjściowe 2 25 43" xfId="15927" xr:uid="{00000000-0005-0000-0000-0000223E0000}"/>
    <cellStyle name="Dane wyjściowe 2 25 43 2" xfId="15928" xr:uid="{00000000-0005-0000-0000-0000233E0000}"/>
    <cellStyle name="Dane wyjściowe 2 25 43 3" xfId="15929" xr:uid="{00000000-0005-0000-0000-0000243E0000}"/>
    <cellStyle name="Dane wyjściowe 2 25 44" xfId="15930" xr:uid="{00000000-0005-0000-0000-0000253E0000}"/>
    <cellStyle name="Dane wyjściowe 2 25 44 2" xfId="15931" xr:uid="{00000000-0005-0000-0000-0000263E0000}"/>
    <cellStyle name="Dane wyjściowe 2 25 44 3" xfId="15932" xr:uid="{00000000-0005-0000-0000-0000273E0000}"/>
    <cellStyle name="Dane wyjściowe 2 25 45" xfId="15933" xr:uid="{00000000-0005-0000-0000-0000283E0000}"/>
    <cellStyle name="Dane wyjściowe 2 25 45 2" xfId="15934" xr:uid="{00000000-0005-0000-0000-0000293E0000}"/>
    <cellStyle name="Dane wyjściowe 2 25 45 3" xfId="15935" xr:uid="{00000000-0005-0000-0000-00002A3E0000}"/>
    <cellStyle name="Dane wyjściowe 2 25 46" xfId="15936" xr:uid="{00000000-0005-0000-0000-00002B3E0000}"/>
    <cellStyle name="Dane wyjściowe 2 25 46 2" xfId="15937" xr:uid="{00000000-0005-0000-0000-00002C3E0000}"/>
    <cellStyle name="Dane wyjściowe 2 25 46 3" xfId="15938" xr:uid="{00000000-0005-0000-0000-00002D3E0000}"/>
    <cellStyle name="Dane wyjściowe 2 25 47" xfId="15939" xr:uid="{00000000-0005-0000-0000-00002E3E0000}"/>
    <cellStyle name="Dane wyjściowe 2 25 47 2" xfId="15940" xr:uid="{00000000-0005-0000-0000-00002F3E0000}"/>
    <cellStyle name="Dane wyjściowe 2 25 47 3" xfId="15941" xr:uid="{00000000-0005-0000-0000-0000303E0000}"/>
    <cellStyle name="Dane wyjściowe 2 25 48" xfId="15942" xr:uid="{00000000-0005-0000-0000-0000313E0000}"/>
    <cellStyle name="Dane wyjściowe 2 25 48 2" xfId="15943" xr:uid="{00000000-0005-0000-0000-0000323E0000}"/>
    <cellStyle name="Dane wyjściowe 2 25 48 3" xfId="15944" xr:uid="{00000000-0005-0000-0000-0000333E0000}"/>
    <cellStyle name="Dane wyjściowe 2 25 49" xfId="15945" xr:uid="{00000000-0005-0000-0000-0000343E0000}"/>
    <cellStyle name="Dane wyjściowe 2 25 49 2" xfId="15946" xr:uid="{00000000-0005-0000-0000-0000353E0000}"/>
    <cellStyle name="Dane wyjściowe 2 25 49 3" xfId="15947" xr:uid="{00000000-0005-0000-0000-0000363E0000}"/>
    <cellStyle name="Dane wyjściowe 2 25 5" xfId="15948" xr:uid="{00000000-0005-0000-0000-0000373E0000}"/>
    <cellStyle name="Dane wyjściowe 2 25 5 2" xfId="15949" xr:uid="{00000000-0005-0000-0000-0000383E0000}"/>
    <cellStyle name="Dane wyjściowe 2 25 5 3" xfId="15950" xr:uid="{00000000-0005-0000-0000-0000393E0000}"/>
    <cellStyle name="Dane wyjściowe 2 25 5 4" xfId="15951" xr:uid="{00000000-0005-0000-0000-00003A3E0000}"/>
    <cellStyle name="Dane wyjściowe 2 25 50" xfId="15952" xr:uid="{00000000-0005-0000-0000-00003B3E0000}"/>
    <cellStyle name="Dane wyjściowe 2 25 50 2" xfId="15953" xr:uid="{00000000-0005-0000-0000-00003C3E0000}"/>
    <cellStyle name="Dane wyjściowe 2 25 50 3" xfId="15954" xr:uid="{00000000-0005-0000-0000-00003D3E0000}"/>
    <cellStyle name="Dane wyjściowe 2 25 51" xfId="15955" xr:uid="{00000000-0005-0000-0000-00003E3E0000}"/>
    <cellStyle name="Dane wyjściowe 2 25 51 2" xfId="15956" xr:uid="{00000000-0005-0000-0000-00003F3E0000}"/>
    <cellStyle name="Dane wyjściowe 2 25 51 3" xfId="15957" xr:uid="{00000000-0005-0000-0000-0000403E0000}"/>
    <cellStyle name="Dane wyjściowe 2 25 52" xfId="15958" xr:uid="{00000000-0005-0000-0000-0000413E0000}"/>
    <cellStyle name="Dane wyjściowe 2 25 52 2" xfId="15959" xr:uid="{00000000-0005-0000-0000-0000423E0000}"/>
    <cellStyle name="Dane wyjściowe 2 25 52 3" xfId="15960" xr:uid="{00000000-0005-0000-0000-0000433E0000}"/>
    <cellStyle name="Dane wyjściowe 2 25 53" xfId="15961" xr:uid="{00000000-0005-0000-0000-0000443E0000}"/>
    <cellStyle name="Dane wyjściowe 2 25 53 2" xfId="15962" xr:uid="{00000000-0005-0000-0000-0000453E0000}"/>
    <cellStyle name="Dane wyjściowe 2 25 53 3" xfId="15963" xr:uid="{00000000-0005-0000-0000-0000463E0000}"/>
    <cellStyle name="Dane wyjściowe 2 25 54" xfId="15964" xr:uid="{00000000-0005-0000-0000-0000473E0000}"/>
    <cellStyle name="Dane wyjściowe 2 25 54 2" xfId="15965" xr:uid="{00000000-0005-0000-0000-0000483E0000}"/>
    <cellStyle name="Dane wyjściowe 2 25 54 3" xfId="15966" xr:uid="{00000000-0005-0000-0000-0000493E0000}"/>
    <cellStyle name="Dane wyjściowe 2 25 55" xfId="15967" xr:uid="{00000000-0005-0000-0000-00004A3E0000}"/>
    <cellStyle name="Dane wyjściowe 2 25 55 2" xfId="15968" xr:uid="{00000000-0005-0000-0000-00004B3E0000}"/>
    <cellStyle name="Dane wyjściowe 2 25 55 3" xfId="15969" xr:uid="{00000000-0005-0000-0000-00004C3E0000}"/>
    <cellStyle name="Dane wyjściowe 2 25 56" xfId="15970" xr:uid="{00000000-0005-0000-0000-00004D3E0000}"/>
    <cellStyle name="Dane wyjściowe 2 25 56 2" xfId="15971" xr:uid="{00000000-0005-0000-0000-00004E3E0000}"/>
    <cellStyle name="Dane wyjściowe 2 25 56 3" xfId="15972" xr:uid="{00000000-0005-0000-0000-00004F3E0000}"/>
    <cellStyle name="Dane wyjściowe 2 25 57" xfId="15973" xr:uid="{00000000-0005-0000-0000-0000503E0000}"/>
    <cellStyle name="Dane wyjściowe 2 25 58" xfId="15974" xr:uid="{00000000-0005-0000-0000-0000513E0000}"/>
    <cellStyle name="Dane wyjściowe 2 25 6" xfId="15975" xr:uid="{00000000-0005-0000-0000-0000523E0000}"/>
    <cellStyle name="Dane wyjściowe 2 25 6 2" xfId="15976" xr:uid="{00000000-0005-0000-0000-0000533E0000}"/>
    <cellStyle name="Dane wyjściowe 2 25 6 3" xfId="15977" xr:uid="{00000000-0005-0000-0000-0000543E0000}"/>
    <cellStyle name="Dane wyjściowe 2 25 6 4" xfId="15978" xr:uid="{00000000-0005-0000-0000-0000553E0000}"/>
    <cellStyle name="Dane wyjściowe 2 25 7" xfId="15979" xr:uid="{00000000-0005-0000-0000-0000563E0000}"/>
    <cellStyle name="Dane wyjściowe 2 25 7 2" xfId="15980" xr:uid="{00000000-0005-0000-0000-0000573E0000}"/>
    <cellStyle name="Dane wyjściowe 2 25 7 3" xfId="15981" xr:uid="{00000000-0005-0000-0000-0000583E0000}"/>
    <cellStyle name="Dane wyjściowe 2 25 7 4" xfId="15982" xr:uid="{00000000-0005-0000-0000-0000593E0000}"/>
    <cellStyle name="Dane wyjściowe 2 25 8" xfId="15983" xr:uid="{00000000-0005-0000-0000-00005A3E0000}"/>
    <cellStyle name="Dane wyjściowe 2 25 8 2" xfId="15984" xr:uid="{00000000-0005-0000-0000-00005B3E0000}"/>
    <cellStyle name="Dane wyjściowe 2 25 8 3" xfId="15985" xr:uid="{00000000-0005-0000-0000-00005C3E0000}"/>
    <cellStyle name="Dane wyjściowe 2 25 8 4" xfId="15986" xr:uid="{00000000-0005-0000-0000-00005D3E0000}"/>
    <cellStyle name="Dane wyjściowe 2 25 9" xfId="15987" xr:uid="{00000000-0005-0000-0000-00005E3E0000}"/>
    <cellStyle name="Dane wyjściowe 2 25 9 2" xfId="15988" xr:uid="{00000000-0005-0000-0000-00005F3E0000}"/>
    <cellStyle name="Dane wyjściowe 2 25 9 3" xfId="15989" xr:uid="{00000000-0005-0000-0000-0000603E0000}"/>
    <cellStyle name="Dane wyjściowe 2 25 9 4" xfId="15990" xr:uid="{00000000-0005-0000-0000-0000613E0000}"/>
    <cellStyle name="Dane wyjściowe 2 26" xfId="15991" xr:uid="{00000000-0005-0000-0000-0000623E0000}"/>
    <cellStyle name="Dane wyjściowe 2 26 10" xfId="15992" xr:uid="{00000000-0005-0000-0000-0000633E0000}"/>
    <cellStyle name="Dane wyjściowe 2 26 10 2" xfId="15993" xr:uid="{00000000-0005-0000-0000-0000643E0000}"/>
    <cellStyle name="Dane wyjściowe 2 26 10 3" xfId="15994" xr:uid="{00000000-0005-0000-0000-0000653E0000}"/>
    <cellStyle name="Dane wyjściowe 2 26 10 4" xfId="15995" xr:uid="{00000000-0005-0000-0000-0000663E0000}"/>
    <cellStyle name="Dane wyjściowe 2 26 11" xfId="15996" xr:uid="{00000000-0005-0000-0000-0000673E0000}"/>
    <cellStyle name="Dane wyjściowe 2 26 11 2" xfId="15997" xr:uid="{00000000-0005-0000-0000-0000683E0000}"/>
    <cellStyle name="Dane wyjściowe 2 26 11 3" xfId="15998" xr:uid="{00000000-0005-0000-0000-0000693E0000}"/>
    <cellStyle name="Dane wyjściowe 2 26 11 4" xfId="15999" xr:uid="{00000000-0005-0000-0000-00006A3E0000}"/>
    <cellStyle name="Dane wyjściowe 2 26 12" xfId="16000" xr:uid="{00000000-0005-0000-0000-00006B3E0000}"/>
    <cellStyle name="Dane wyjściowe 2 26 12 2" xfId="16001" xr:uid="{00000000-0005-0000-0000-00006C3E0000}"/>
    <cellStyle name="Dane wyjściowe 2 26 12 3" xfId="16002" xr:uid="{00000000-0005-0000-0000-00006D3E0000}"/>
    <cellStyle name="Dane wyjściowe 2 26 12 4" xfId="16003" xr:uid="{00000000-0005-0000-0000-00006E3E0000}"/>
    <cellStyle name="Dane wyjściowe 2 26 13" xfId="16004" xr:uid="{00000000-0005-0000-0000-00006F3E0000}"/>
    <cellStyle name="Dane wyjściowe 2 26 13 2" xfId="16005" xr:uid="{00000000-0005-0000-0000-0000703E0000}"/>
    <cellStyle name="Dane wyjściowe 2 26 13 3" xfId="16006" xr:uid="{00000000-0005-0000-0000-0000713E0000}"/>
    <cellStyle name="Dane wyjściowe 2 26 13 4" xfId="16007" xr:uid="{00000000-0005-0000-0000-0000723E0000}"/>
    <cellStyle name="Dane wyjściowe 2 26 14" xfId="16008" xr:uid="{00000000-0005-0000-0000-0000733E0000}"/>
    <cellStyle name="Dane wyjściowe 2 26 14 2" xfId="16009" xr:uid="{00000000-0005-0000-0000-0000743E0000}"/>
    <cellStyle name="Dane wyjściowe 2 26 14 3" xfId="16010" xr:uid="{00000000-0005-0000-0000-0000753E0000}"/>
    <cellStyle name="Dane wyjściowe 2 26 14 4" xfId="16011" xr:uid="{00000000-0005-0000-0000-0000763E0000}"/>
    <cellStyle name="Dane wyjściowe 2 26 15" xfId="16012" xr:uid="{00000000-0005-0000-0000-0000773E0000}"/>
    <cellStyle name="Dane wyjściowe 2 26 15 2" xfId="16013" xr:uid="{00000000-0005-0000-0000-0000783E0000}"/>
    <cellStyle name="Dane wyjściowe 2 26 15 3" xfId="16014" xr:uid="{00000000-0005-0000-0000-0000793E0000}"/>
    <cellStyle name="Dane wyjściowe 2 26 15 4" xfId="16015" xr:uid="{00000000-0005-0000-0000-00007A3E0000}"/>
    <cellStyle name="Dane wyjściowe 2 26 16" xfId="16016" xr:uid="{00000000-0005-0000-0000-00007B3E0000}"/>
    <cellStyle name="Dane wyjściowe 2 26 16 2" xfId="16017" xr:uid="{00000000-0005-0000-0000-00007C3E0000}"/>
    <cellStyle name="Dane wyjściowe 2 26 16 3" xfId="16018" xr:uid="{00000000-0005-0000-0000-00007D3E0000}"/>
    <cellStyle name="Dane wyjściowe 2 26 16 4" xfId="16019" xr:uid="{00000000-0005-0000-0000-00007E3E0000}"/>
    <cellStyle name="Dane wyjściowe 2 26 17" xfId="16020" xr:uid="{00000000-0005-0000-0000-00007F3E0000}"/>
    <cellStyle name="Dane wyjściowe 2 26 17 2" xfId="16021" xr:uid="{00000000-0005-0000-0000-0000803E0000}"/>
    <cellStyle name="Dane wyjściowe 2 26 17 3" xfId="16022" xr:uid="{00000000-0005-0000-0000-0000813E0000}"/>
    <cellStyle name="Dane wyjściowe 2 26 17 4" xfId="16023" xr:uid="{00000000-0005-0000-0000-0000823E0000}"/>
    <cellStyle name="Dane wyjściowe 2 26 18" xfId="16024" xr:uid="{00000000-0005-0000-0000-0000833E0000}"/>
    <cellStyle name="Dane wyjściowe 2 26 18 2" xfId="16025" xr:uid="{00000000-0005-0000-0000-0000843E0000}"/>
    <cellStyle name="Dane wyjściowe 2 26 18 3" xfId="16026" xr:uid="{00000000-0005-0000-0000-0000853E0000}"/>
    <cellStyle name="Dane wyjściowe 2 26 18 4" xfId="16027" xr:uid="{00000000-0005-0000-0000-0000863E0000}"/>
    <cellStyle name="Dane wyjściowe 2 26 19" xfId="16028" xr:uid="{00000000-0005-0000-0000-0000873E0000}"/>
    <cellStyle name="Dane wyjściowe 2 26 19 2" xfId="16029" xr:uid="{00000000-0005-0000-0000-0000883E0000}"/>
    <cellStyle name="Dane wyjściowe 2 26 19 3" xfId="16030" xr:uid="{00000000-0005-0000-0000-0000893E0000}"/>
    <cellStyle name="Dane wyjściowe 2 26 19 4" xfId="16031" xr:uid="{00000000-0005-0000-0000-00008A3E0000}"/>
    <cellStyle name="Dane wyjściowe 2 26 2" xfId="16032" xr:uid="{00000000-0005-0000-0000-00008B3E0000}"/>
    <cellStyle name="Dane wyjściowe 2 26 2 2" xfId="16033" xr:uid="{00000000-0005-0000-0000-00008C3E0000}"/>
    <cellStyle name="Dane wyjściowe 2 26 2 3" xfId="16034" xr:uid="{00000000-0005-0000-0000-00008D3E0000}"/>
    <cellStyle name="Dane wyjściowe 2 26 2 4" xfId="16035" xr:uid="{00000000-0005-0000-0000-00008E3E0000}"/>
    <cellStyle name="Dane wyjściowe 2 26 20" xfId="16036" xr:uid="{00000000-0005-0000-0000-00008F3E0000}"/>
    <cellStyle name="Dane wyjściowe 2 26 20 2" xfId="16037" xr:uid="{00000000-0005-0000-0000-0000903E0000}"/>
    <cellStyle name="Dane wyjściowe 2 26 20 3" xfId="16038" xr:uid="{00000000-0005-0000-0000-0000913E0000}"/>
    <cellStyle name="Dane wyjściowe 2 26 20 4" xfId="16039" xr:uid="{00000000-0005-0000-0000-0000923E0000}"/>
    <cellStyle name="Dane wyjściowe 2 26 21" xfId="16040" xr:uid="{00000000-0005-0000-0000-0000933E0000}"/>
    <cellStyle name="Dane wyjściowe 2 26 21 2" xfId="16041" xr:uid="{00000000-0005-0000-0000-0000943E0000}"/>
    <cellStyle name="Dane wyjściowe 2 26 21 3" xfId="16042" xr:uid="{00000000-0005-0000-0000-0000953E0000}"/>
    <cellStyle name="Dane wyjściowe 2 26 22" xfId="16043" xr:uid="{00000000-0005-0000-0000-0000963E0000}"/>
    <cellStyle name="Dane wyjściowe 2 26 22 2" xfId="16044" xr:uid="{00000000-0005-0000-0000-0000973E0000}"/>
    <cellStyle name="Dane wyjściowe 2 26 22 3" xfId="16045" xr:uid="{00000000-0005-0000-0000-0000983E0000}"/>
    <cellStyle name="Dane wyjściowe 2 26 23" xfId="16046" xr:uid="{00000000-0005-0000-0000-0000993E0000}"/>
    <cellStyle name="Dane wyjściowe 2 26 23 2" xfId="16047" xr:uid="{00000000-0005-0000-0000-00009A3E0000}"/>
    <cellStyle name="Dane wyjściowe 2 26 23 3" xfId="16048" xr:uid="{00000000-0005-0000-0000-00009B3E0000}"/>
    <cellStyle name="Dane wyjściowe 2 26 24" xfId="16049" xr:uid="{00000000-0005-0000-0000-00009C3E0000}"/>
    <cellStyle name="Dane wyjściowe 2 26 24 2" xfId="16050" xr:uid="{00000000-0005-0000-0000-00009D3E0000}"/>
    <cellStyle name="Dane wyjściowe 2 26 24 3" xfId="16051" xr:uid="{00000000-0005-0000-0000-00009E3E0000}"/>
    <cellStyle name="Dane wyjściowe 2 26 25" xfId="16052" xr:uid="{00000000-0005-0000-0000-00009F3E0000}"/>
    <cellStyle name="Dane wyjściowe 2 26 25 2" xfId="16053" xr:uid="{00000000-0005-0000-0000-0000A03E0000}"/>
    <cellStyle name="Dane wyjściowe 2 26 25 3" xfId="16054" xr:uid="{00000000-0005-0000-0000-0000A13E0000}"/>
    <cellStyle name="Dane wyjściowe 2 26 26" xfId="16055" xr:uid="{00000000-0005-0000-0000-0000A23E0000}"/>
    <cellStyle name="Dane wyjściowe 2 26 26 2" xfId="16056" xr:uid="{00000000-0005-0000-0000-0000A33E0000}"/>
    <cellStyle name="Dane wyjściowe 2 26 26 3" xfId="16057" xr:uid="{00000000-0005-0000-0000-0000A43E0000}"/>
    <cellStyle name="Dane wyjściowe 2 26 27" xfId="16058" xr:uid="{00000000-0005-0000-0000-0000A53E0000}"/>
    <cellStyle name="Dane wyjściowe 2 26 27 2" xfId="16059" xr:uid="{00000000-0005-0000-0000-0000A63E0000}"/>
    <cellStyle name="Dane wyjściowe 2 26 27 3" xfId="16060" xr:uid="{00000000-0005-0000-0000-0000A73E0000}"/>
    <cellStyle name="Dane wyjściowe 2 26 28" xfId="16061" xr:uid="{00000000-0005-0000-0000-0000A83E0000}"/>
    <cellStyle name="Dane wyjściowe 2 26 28 2" xfId="16062" xr:uid="{00000000-0005-0000-0000-0000A93E0000}"/>
    <cellStyle name="Dane wyjściowe 2 26 28 3" xfId="16063" xr:uid="{00000000-0005-0000-0000-0000AA3E0000}"/>
    <cellStyle name="Dane wyjściowe 2 26 29" xfId="16064" xr:uid="{00000000-0005-0000-0000-0000AB3E0000}"/>
    <cellStyle name="Dane wyjściowe 2 26 29 2" xfId="16065" xr:uid="{00000000-0005-0000-0000-0000AC3E0000}"/>
    <cellStyle name="Dane wyjściowe 2 26 29 3" xfId="16066" xr:uid="{00000000-0005-0000-0000-0000AD3E0000}"/>
    <cellStyle name="Dane wyjściowe 2 26 3" xfId="16067" xr:uid="{00000000-0005-0000-0000-0000AE3E0000}"/>
    <cellStyle name="Dane wyjściowe 2 26 3 2" xfId="16068" xr:uid="{00000000-0005-0000-0000-0000AF3E0000}"/>
    <cellStyle name="Dane wyjściowe 2 26 3 3" xfId="16069" xr:uid="{00000000-0005-0000-0000-0000B03E0000}"/>
    <cellStyle name="Dane wyjściowe 2 26 3 4" xfId="16070" xr:uid="{00000000-0005-0000-0000-0000B13E0000}"/>
    <cellStyle name="Dane wyjściowe 2 26 30" xfId="16071" xr:uid="{00000000-0005-0000-0000-0000B23E0000}"/>
    <cellStyle name="Dane wyjściowe 2 26 30 2" xfId="16072" xr:uid="{00000000-0005-0000-0000-0000B33E0000}"/>
    <cellStyle name="Dane wyjściowe 2 26 30 3" xfId="16073" xr:uid="{00000000-0005-0000-0000-0000B43E0000}"/>
    <cellStyle name="Dane wyjściowe 2 26 31" xfId="16074" xr:uid="{00000000-0005-0000-0000-0000B53E0000}"/>
    <cellStyle name="Dane wyjściowe 2 26 31 2" xfId="16075" xr:uid="{00000000-0005-0000-0000-0000B63E0000}"/>
    <cellStyle name="Dane wyjściowe 2 26 31 3" xfId="16076" xr:uid="{00000000-0005-0000-0000-0000B73E0000}"/>
    <cellStyle name="Dane wyjściowe 2 26 32" xfId="16077" xr:uid="{00000000-0005-0000-0000-0000B83E0000}"/>
    <cellStyle name="Dane wyjściowe 2 26 32 2" xfId="16078" xr:uid="{00000000-0005-0000-0000-0000B93E0000}"/>
    <cellStyle name="Dane wyjściowe 2 26 32 3" xfId="16079" xr:uid="{00000000-0005-0000-0000-0000BA3E0000}"/>
    <cellStyle name="Dane wyjściowe 2 26 33" xfId="16080" xr:uid="{00000000-0005-0000-0000-0000BB3E0000}"/>
    <cellStyle name="Dane wyjściowe 2 26 33 2" xfId="16081" xr:uid="{00000000-0005-0000-0000-0000BC3E0000}"/>
    <cellStyle name="Dane wyjściowe 2 26 33 3" xfId="16082" xr:uid="{00000000-0005-0000-0000-0000BD3E0000}"/>
    <cellStyle name="Dane wyjściowe 2 26 34" xfId="16083" xr:uid="{00000000-0005-0000-0000-0000BE3E0000}"/>
    <cellStyle name="Dane wyjściowe 2 26 34 2" xfId="16084" xr:uid="{00000000-0005-0000-0000-0000BF3E0000}"/>
    <cellStyle name="Dane wyjściowe 2 26 34 3" xfId="16085" xr:uid="{00000000-0005-0000-0000-0000C03E0000}"/>
    <cellStyle name="Dane wyjściowe 2 26 35" xfId="16086" xr:uid="{00000000-0005-0000-0000-0000C13E0000}"/>
    <cellStyle name="Dane wyjściowe 2 26 35 2" xfId="16087" xr:uid="{00000000-0005-0000-0000-0000C23E0000}"/>
    <cellStyle name="Dane wyjściowe 2 26 35 3" xfId="16088" xr:uid="{00000000-0005-0000-0000-0000C33E0000}"/>
    <cellStyle name="Dane wyjściowe 2 26 36" xfId="16089" xr:uid="{00000000-0005-0000-0000-0000C43E0000}"/>
    <cellStyle name="Dane wyjściowe 2 26 36 2" xfId="16090" xr:uid="{00000000-0005-0000-0000-0000C53E0000}"/>
    <cellStyle name="Dane wyjściowe 2 26 36 3" xfId="16091" xr:uid="{00000000-0005-0000-0000-0000C63E0000}"/>
    <cellStyle name="Dane wyjściowe 2 26 37" xfId="16092" xr:uid="{00000000-0005-0000-0000-0000C73E0000}"/>
    <cellStyle name="Dane wyjściowe 2 26 37 2" xfId="16093" xr:uid="{00000000-0005-0000-0000-0000C83E0000}"/>
    <cellStyle name="Dane wyjściowe 2 26 37 3" xfId="16094" xr:uid="{00000000-0005-0000-0000-0000C93E0000}"/>
    <cellStyle name="Dane wyjściowe 2 26 38" xfId="16095" xr:uid="{00000000-0005-0000-0000-0000CA3E0000}"/>
    <cellStyle name="Dane wyjściowe 2 26 38 2" xfId="16096" xr:uid="{00000000-0005-0000-0000-0000CB3E0000}"/>
    <cellStyle name="Dane wyjściowe 2 26 38 3" xfId="16097" xr:uid="{00000000-0005-0000-0000-0000CC3E0000}"/>
    <cellStyle name="Dane wyjściowe 2 26 39" xfId="16098" xr:uid="{00000000-0005-0000-0000-0000CD3E0000}"/>
    <cellStyle name="Dane wyjściowe 2 26 39 2" xfId="16099" xr:uid="{00000000-0005-0000-0000-0000CE3E0000}"/>
    <cellStyle name="Dane wyjściowe 2 26 39 3" xfId="16100" xr:uid="{00000000-0005-0000-0000-0000CF3E0000}"/>
    <cellStyle name="Dane wyjściowe 2 26 4" xfId="16101" xr:uid="{00000000-0005-0000-0000-0000D03E0000}"/>
    <cellStyle name="Dane wyjściowe 2 26 4 2" xfId="16102" xr:uid="{00000000-0005-0000-0000-0000D13E0000}"/>
    <cellStyle name="Dane wyjściowe 2 26 4 3" xfId="16103" xr:uid="{00000000-0005-0000-0000-0000D23E0000}"/>
    <cellStyle name="Dane wyjściowe 2 26 4 4" xfId="16104" xr:uid="{00000000-0005-0000-0000-0000D33E0000}"/>
    <cellStyle name="Dane wyjściowe 2 26 40" xfId="16105" xr:uid="{00000000-0005-0000-0000-0000D43E0000}"/>
    <cellStyle name="Dane wyjściowe 2 26 40 2" xfId="16106" xr:uid="{00000000-0005-0000-0000-0000D53E0000}"/>
    <cellStyle name="Dane wyjściowe 2 26 40 3" xfId="16107" xr:uid="{00000000-0005-0000-0000-0000D63E0000}"/>
    <cellStyle name="Dane wyjściowe 2 26 41" xfId="16108" xr:uid="{00000000-0005-0000-0000-0000D73E0000}"/>
    <cellStyle name="Dane wyjściowe 2 26 41 2" xfId="16109" xr:uid="{00000000-0005-0000-0000-0000D83E0000}"/>
    <cellStyle name="Dane wyjściowe 2 26 41 3" xfId="16110" xr:uid="{00000000-0005-0000-0000-0000D93E0000}"/>
    <cellStyle name="Dane wyjściowe 2 26 42" xfId="16111" xr:uid="{00000000-0005-0000-0000-0000DA3E0000}"/>
    <cellStyle name="Dane wyjściowe 2 26 42 2" xfId="16112" xr:uid="{00000000-0005-0000-0000-0000DB3E0000}"/>
    <cellStyle name="Dane wyjściowe 2 26 42 3" xfId="16113" xr:uid="{00000000-0005-0000-0000-0000DC3E0000}"/>
    <cellStyle name="Dane wyjściowe 2 26 43" xfId="16114" xr:uid="{00000000-0005-0000-0000-0000DD3E0000}"/>
    <cellStyle name="Dane wyjściowe 2 26 43 2" xfId="16115" xr:uid="{00000000-0005-0000-0000-0000DE3E0000}"/>
    <cellStyle name="Dane wyjściowe 2 26 43 3" xfId="16116" xr:uid="{00000000-0005-0000-0000-0000DF3E0000}"/>
    <cellStyle name="Dane wyjściowe 2 26 44" xfId="16117" xr:uid="{00000000-0005-0000-0000-0000E03E0000}"/>
    <cellStyle name="Dane wyjściowe 2 26 44 2" xfId="16118" xr:uid="{00000000-0005-0000-0000-0000E13E0000}"/>
    <cellStyle name="Dane wyjściowe 2 26 44 3" xfId="16119" xr:uid="{00000000-0005-0000-0000-0000E23E0000}"/>
    <cellStyle name="Dane wyjściowe 2 26 45" xfId="16120" xr:uid="{00000000-0005-0000-0000-0000E33E0000}"/>
    <cellStyle name="Dane wyjściowe 2 26 45 2" xfId="16121" xr:uid="{00000000-0005-0000-0000-0000E43E0000}"/>
    <cellStyle name="Dane wyjściowe 2 26 45 3" xfId="16122" xr:uid="{00000000-0005-0000-0000-0000E53E0000}"/>
    <cellStyle name="Dane wyjściowe 2 26 46" xfId="16123" xr:uid="{00000000-0005-0000-0000-0000E63E0000}"/>
    <cellStyle name="Dane wyjściowe 2 26 46 2" xfId="16124" xr:uid="{00000000-0005-0000-0000-0000E73E0000}"/>
    <cellStyle name="Dane wyjściowe 2 26 46 3" xfId="16125" xr:uid="{00000000-0005-0000-0000-0000E83E0000}"/>
    <cellStyle name="Dane wyjściowe 2 26 47" xfId="16126" xr:uid="{00000000-0005-0000-0000-0000E93E0000}"/>
    <cellStyle name="Dane wyjściowe 2 26 47 2" xfId="16127" xr:uid="{00000000-0005-0000-0000-0000EA3E0000}"/>
    <cellStyle name="Dane wyjściowe 2 26 47 3" xfId="16128" xr:uid="{00000000-0005-0000-0000-0000EB3E0000}"/>
    <cellStyle name="Dane wyjściowe 2 26 48" xfId="16129" xr:uid="{00000000-0005-0000-0000-0000EC3E0000}"/>
    <cellStyle name="Dane wyjściowe 2 26 48 2" xfId="16130" xr:uid="{00000000-0005-0000-0000-0000ED3E0000}"/>
    <cellStyle name="Dane wyjściowe 2 26 48 3" xfId="16131" xr:uid="{00000000-0005-0000-0000-0000EE3E0000}"/>
    <cellStyle name="Dane wyjściowe 2 26 49" xfId="16132" xr:uid="{00000000-0005-0000-0000-0000EF3E0000}"/>
    <cellStyle name="Dane wyjściowe 2 26 49 2" xfId="16133" xr:uid="{00000000-0005-0000-0000-0000F03E0000}"/>
    <cellStyle name="Dane wyjściowe 2 26 49 3" xfId="16134" xr:uid="{00000000-0005-0000-0000-0000F13E0000}"/>
    <cellStyle name="Dane wyjściowe 2 26 5" xfId="16135" xr:uid="{00000000-0005-0000-0000-0000F23E0000}"/>
    <cellStyle name="Dane wyjściowe 2 26 5 2" xfId="16136" xr:uid="{00000000-0005-0000-0000-0000F33E0000}"/>
    <cellStyle name="Dane wyjściowe 2 26 5 3" xfId="16137" xr:uid="{00000000-0005-0000-0000-0000F43E0000}"/>
    <cellStyle name="Dane wyjściowe 2 26 5 4" xfId="16138" xr:uid="{00000000-0005-0000-0000-0000F53E0000}"/>
    <cellStyle name="Dane wyjściowe 2 26 50" xfId="16139" xr:uid="{00000000-0005-0000-0000-0000F63E0000}"/>
    <cellStyle name="Dane wyjściowe 2 26 50 2" xfId="16140" xr:uid="{00000000-0005-0000-0000-0000F73E0000}"/>
    <cellStyle name="Dane wyjściowe 2 26 50 3" xfId="16141" xr:uid="{00000000-0005-0000-0000-0000F83E0000}"/>
    <cellStyle name="Dane wyjściowe 2 26 51" xfId="16142" xr:uid="{00000000-0005-0000-0000-0000F93E0000}"/>
    <cellStyle name="Dane wyjściowe 2 26 51 2" xfId="16143" xr:uid="{00000000-0005-0000-0000-0000FA3E0000}"/>
    <cellStyle name="Dane wyjściowe 2 26 51 3" xfId="16144" xr:uid="{00000000-0005-0000-0000-0000FB3E0000}"/>
    <cellStyle name="Dane wyjściowe 2 26 52" xfId="16145" xr:uid="{00000000-0005-0000-0000-0000FC3E0000}"/>
    <cellStyle name="Dane wyjściowe 2 26 52 2" xfId="16146" xr:uid="{00000000-0005-0000-0000-0000FD3E0000}"/>
    <cellStyle name="Dane wyjściowe 2 26 52 3" xfId="16147" xr:uid="{00000000-0005-0000-0000-0000FE3E0000}"/>
    <cellStyle name="Dane wyjściowe 2 26 53" xfId="16148" xr:uid="{00000000-0005-0000-0000-0000FF3E0000}"/>
    <cellStyle name="Dane wyjściowe 2 26 53 2" xfId="16149" xr:uid="{00000000-0005-0000-0000-0000003F0000}"/>
    <cellStyle name="Dane wyjściowe 2 26 53 3" xfId="16150" xr:uid="{00000000-0005-0000-0000-0000013F0000}"/>
    <cellStyle name="Dane wyjściowe 2 26 54" xfId="16151" xr:uid="{00000000-0005-0000-0000-0000023F0000}"/>
    <cellStyle name="Dane wyjściowe 2 26 54 2" xfId="16152" xr:uid="{00000000-0005-0000-0000-0000033F0000}"/>
    <cellStyle name="Dane wyjściowe 2 26 54 3" xfId="16153" xr:uid="{00000000-0005-0000-0000-0000043F0000}"/>
    <cellStyle name="Dane wyjściowe 2 26 55" xfId="16154" xr:uid="{00000000-0005-0000-0000-0000053F0000}"/>
    <cellStyle name="Dane wyjściowe 2 26 55 2" xfId="16155" xr:uid="{00000000-0005-0000-0000-0000063F0000}"/>
    <cellStyle name="Dane wyjściowe 2 26 55 3" xfId="16156" xr:uid="{00000000-0005-0000-0000-0000073F0000}"/>
    <cellStyle name="Dane wyjściowe 2 26 56" xfId="16157" xr:uid="{00000000-0005-0000-0000-0000083F0000}"/>
    <cellStyle name="Dane wyjściowe 2 26 56 2" xfId="16158" xr:uid="{00000000-0005-0000-0000-0000093F0000}"/>
    <cellStyle name="Dane wyjściowe 2 26 56 3" xfId="16159" xr:uid="{00000000-0005-0000-0000-00000A3F0000}"/>
    <cellStyle name="Dane wyjściowe 2 26 57" xfId="16160" xr:uid="{00000000-0005-0000-0000-00000B3F0000}"/>
    <cellStyle name="Dane wyjściowe 2 26 58" xfId="16161" xr:uid="{00000000-0005-0000-0000-00000C3F0000}"/>
    <cellStyle name="Dane wyjściowe 2 26 6" xfId="16162" xr:uid="{00000000-0005-0000-0000-00000D3F0000}"/>
    <cellStyle name="Dane wyjściowe 2 26 6 2" xfId="16163" xr:uid="{00000000-0005-0000-0000-00000E3F0000}"/>
    <cellStyle name="Dane wyjściowe 2 26 6 3" xfId="16164" xr:uid="{00000000-0005-0000-0000-00000F3F0000}"/>
    <cellStyle name="Dane wyjściowe 2 26 6 4" xfId="16165" xr:uid="{00000000-0005-0000-0000-0000103F0000}"/>
    <cellStyle name="Dane wyjściowe 2 26 7" xfId="16166" xr:uid="{00000000-0005-0000-0000-0000113F0000}"/>
    <cellStyle name="Dane wyjściowe 2 26 7 2" xfId="16167" xr:uid="{00000000-0005-0000-0000-0000123F0000}"/>
    <cellStyle name="Dane wyjściowe 2 26 7 3" xfId="16168" xr:uid="{00000000-0005-0000-0000-0000133F0000}"/>
    <cellStyle name="Dane wyjściowe 2 26 7 4" xfId="16169" xr:uid="{00000000-0005-0000-0000-0000143F0000}"/>
    <cellStyle name="Dane wyjściowe 2 26 8" xfId="16170" xr:uid="{00000000-0005-0000-0000-0000153F0000}"/>
    <cellStyle name="Dane wyjściowe 2 26 8 2" xfId="16171" xr:uid="{00000000-0005-0000-0000-0000163F0000}"/>
    <cellStyle name="Dane wyjściowe 2 26 8 3" xfId="16172" xr:uid="{00000000-0005-0000-0000-0000173F0000}"/>
    <cellStyle name="Dane wyjściowe 2 26 8 4" xfId="16173" xr:uid="{00000000-0005-0000-0000-0000183F0000}"/>
    <cellStyle name="Dane wyjściowe 2 26 9" xfId="16174" xr:uid="{00000000-0005-0000-0000-0000193F0000}"/>
    <cellStyle name="Dane wyjściowe 2 26 9 2" xfId="16175" xr:uid="{00000000-0005-0000-0000-00001A3F0000}"/>
    <cellStyle name="Dane wyjściowe 2 26 9 3" xfId="16176" xr:uid="{00000000-0005-0000-0000-00001B3F0000}"/>
    <cellStyle name="Dane wyjściowe 2 26 9 4" xfId="16177" xr:uid="{00000000-0005-0000-0000-00001C3F0000}"/>
    <cellStyle name="Dane wyjściowe 2 27" xfId="16178" xr:uid="{00000000-0005-0000-0000-00001D3F0000}"/>
    <cellStyle name="Dane wyjściowe 2 27 10" xfId="16179" xr:uid="{00000000-0005-0000-0000-00001E3F0000}"/>
    <cellStyle name="Dane wyjściowe 2 27 10 2" xfId="16180" xr:uid="{00000000-0005-0000-0000-00001F3F0000}"/>
    <cellStyle name="Dane wyjściowe 2 27 10 3" xfId="16181" xr:uid="{00000000-0005-0000-0000-0000203F0000}"/>
    <cellStyle name="Dane wyjściowe 2 27 10 4" xfId="16182" xr:uid="{00000000-0005-0000-0000-0000213F0000}"/>
    <cellStyle name="Dane wyjściowe 2 27 11" xfId="16183" xr:uid="{00000000-0005-0000-0000-0000223F0000}"/>
    <cellStyle name="Dane wyjściowe 2 27 11 2" xfId="16184" xr:uid="{00000000-0005-0000-0000-0000233F0000}"/>
    <cellStyle name="Dane wyjściowe 2 27 11 3" xfId="16185" xr:uid="{00000000-0005-0000-0000-0000243F0000}"/>
    <cellStyle name="Dane wyjściowe 2 27 11 4" xfId="16186" xr:uid="{00000000-0005-0000-0000-0000253F0000}"/>
    <cellStyle name="Dane wyjściowe 2 27 12" xfId="16187" xr:uid="{00000000-0005-0000-0000-0000263F0000}"/>
    <cellStyle name="Dane wyjściowe 2 27 12 2" xfId="16188" xr:uid="{00000000-0005-0000-0000-0000273F0000}"/>
    <cellStyle name="Dane wyjściowe 2 27 12 3" xfId="16189" xr:uid="{00000000-0005-0000-0000-0000283F0000}"/>
    <cellStyle name="Dane wyjściowe 2 27 12 4" xfId="16190" xr:uid="{00000000-0005-0000-0000-0000293F0000}"/>
    <cellStyle name="Dane wyjściowe 2 27 13" xfId="16191" xr:uid="{00000000-0005-0000-0000-00002A3F0000}"/>
    <cellStyle name="Dane wyjściowe 2 27 13 2" xfId="16192" xr:uid="{00000000-0005-0000-0000-00002B3F0000}"/>
    <cellStyle name="Dane wyjściowe 2 27 13 3" xfId="16193" xr:uid="{00000000-0005-0000-0000-00002C3F0000}"/>
    <cellStyle name="Dane wyjściowe 2 27 13 4" xfId="16194" xr:uid="{00000000-0005-0000-0000-00002D3F0000}"/>
    <cellStyle name="Dane wyjściowe 2 27 14" xfId="16195" xr:uid="{00000000-0005-0000-0000-00002E3F0000}"/>
    <cellStyle name="Dane wyjściowe 2 27 14 2" xfId="16196" xr:uid="{00000000-0005-0000-0000-00002F3F0000}"/>
    <cellStyle name="Dane wyjściowe 2 27 14 3" xfId="16197" xr:uid="{00000000-0005-0000-0000-0000303F0000}"/>
    <cellStyle name="Dane wyjściowe 2 27 14 4" xfId="16198" xr:uid="{00000000-0005-0000-0000-0000313F0000}"/>
    <cellStyle name="Dane wyjściowe 2 27 15" xfId="16199" xr:uid="{00000000-0005-0000-0000-0000323F0000}"/>
    <cellStyle name="Dane wyjściowe 2 27 15 2" xfId="16200" xr:uid="{00000000-0005-0000-0000-0000333F0000}"/>
    <cellStyle name="Dane wyjściowe 2 27 15 3" xfId="16201" xr:uid="{00000000-0005-0000-0000-0000343F0000}"/>
    <cellStyle name="Dane wyjściowe 2 27 15 4" xfId="16202" xr:uid="{00000000-0005-0000-0000-0000353F0000}"/>
    <cellStyle name="Dane wyjściowe 2 27 16" xfId="16203" xr:uid="{00000000-0005-0000-0000-0000363F0000}"/>
    <cellStyle name="Dane wyjściowe 2 27 16 2" xfId="16204" xr:uid="{00000000-0005-0000-0000-0000373F0000}"/>
    <cellStyle name="Dane wyjściowe 2 27 16 3" xfId="16205" xr:uid="{00000000-0005-0000-0000-0000383F0000}"/>
    <cellStyle name="Dane wyjściowe 2 27 16 4" xfId="16206" xr:uid="{00000000-0005-0000-0000-0000393F0000}"/>
    <cellStyle name="Dane wyjściowe 2 27 17" xfId="16207" xr:uid="{00000000-0005-0000-0000-00003A3F0000}"/>
    <cellStyle name="Dane wyjściowe 2 27 17 2" xfId="16208" xr:uid="{00000000-0005-0000-0000-00003B3F0000}"/>
    <cellStyle name="Dane wyjściowe 2 27 17 3" xfId="16209" xr:uid="{00000000-0005-0000-0000-00003C3F0000}"/>
    <cellStyle name="Dane wyjściowe 2 27 17 4" xfId="16210" xr:uid="{00000000-0005-0000-0000-00003D3F0000}"/>
    <cellStyle name="Dane wyjściowe 2 27 18" xfId="16211" xr:uid="{00000000-0005-0000-0000-00003E3F0000}"/>
    <cellStyle name="Dane wyjściowe 2 27 18 2" xfId="16212" xr:uid="{00000000-0005-0000-0000-00003F3F0000}"/>
    <cellStyle name="Dane wyjściowe 2 27 18 3" xfId="16213" xr:uid="{00000000-0005-0000-0000-0000403F0000}"/>
    <cellStyle name="Dane wyjściowe 2 27 18 4" xfId="16214" xr:uid="{00000000-0005-0000-0000-0000413F0000}"/>
    <cellStyle name="Dane wyjściowe 2 27 19" xfId="16215" xr:uid="{00000000-0005-0000-0000-0000423F0000}"/>
    <cellStyle name="Dane wyjściowe 2 27 19 2" xfId="16216" xr:uid="{00000000-0005-0000-0000-0000433F0000}"/>
    <cellStyle name="Dane wyjściowe 2 27 19 3" xfId="16217" xr:uid="{00000000-0005-0000-0000-0000443F0000}"/>
    <cellStyle name="Dane wyjściowe 2 27 19 4" xfId="16218" xr:uid="{00000000-0005-0000-0000-0000453F0000}"/>
    <cellStyle name="Dane wyjściowe 2 27 2" xfId="16219" xr:uid="{00000000-0005-0000-0000-0000463F0000}"/>
    <cellStyle name="Dane wyjściowe 2 27 2 2" xfId="16220" xr:uid="{00000000-0005-0000-0000-0000473F0000}"/>
    <cellStyle name="Dane wyjściowe 2 27 2 3" xfId="16221" xr:uid="{00000000-0005-0000-0000-0000483F0000}"/>
    <cellStyle name="Dane wyjściowe 2 27 2 4" xfId="16222" xr:uid="{00000000-0005-0000-0000-0000493F0000}"/>
    <cellStyle name="Dane wyjściowe 2 27 20" xfId="16223" xr:uid="{00000000-0005-0000-0000-00004A3F0000}"/>
    <cellStyle name="Dane wyjściowe 2 27 20 2" xfId="16224" xr:uid="{00000000-0005-0000-0000-00004B3F0000}"/>
    <cellStyle name="Dane wyjściowe 2 27 20 3" xfId="16225" xr:uid="{00000000-0005-0000-0000-00004C3F0000}"/>
    <cellStyle name="Dane wyjściowe 2 27 20 4" xfId="16226" xr:uid="{00000000-0005-0000-0000-00004D3F0000}"/>
    <cellStyle name="Dane wyjściowe 2 27 21" xfId="16227" xr:uid="{00000000-0005-0000-0000-00004E3F0000}"/>
    <cellStyle name="Dane wyjściowe 2 27 21 2" xfId="16228" xr:uid="{00000000-0005-0000-0000-00004F3F0000}"/>
    <cellStyle name="Dane wyjściowe 2 27 21 3" xfId="16229" xr:uid="{00000000-0005-0000-0000-0000503F0000}"/>
    <cellStyle name="Dane wyjściowe 2 27 22" xfId="16230" xr:uid="{00000000-0005-0000-0000-0000513F0000}"/>
    <cellStyle name="Dane wyjściowe 2 27 22 2" xfId="16231" xr:uid="{00000000-0005-0000-0000-0000523F0000}"/>
    <cellStyle name="Dane wyjściowe 2 27 22 3" xfId="16232" xr:uid="{00000000-0005-0000-0000-0000533F0000}"/>
    <cellStyle name="Dane wyjściowe 2 27 23" xfId="16233" xr:uid="{00000000-0005-0000-0000-0000543F0000}"/>
    <cellStyle name="Dane wyjściowe 2 27 23 2" xfId="16234" xr:uid="{00000000-0005-0000-0000-0000553F0000}"/>
    <cellStyle name="Dane wyjściowe 2 27 23 3" xfId="16235" xr:uid="{00000000-0005-0000-0000-0000563F0000}"/>
    <cellStyle name="Dane wyjściowe 2 27 24" xfId="16236" xr:uid="{00000000-0005-0000-0000-0000573F0000}"/>
    <cellStyle name="Dane wyjściowe 2 27 24 2" xfId="16237" xr:uid="{00000000-0005-0000-0000-0000583F0000}"/>
    <cellStyle name="Dane wyjściowe 2 27 24 3" xfId="16238" xr:uid="{00000000-0005-0000-0000-0000593F0000}"/>
    <cellStyle name="Dane wyjściowe 2 27 25" xfId="16239" xr:uid="{00000000-0005-0000-0000-00005A3F0000}"/>
    <cellStyle name="Dane wyjściowe 2 27 25 2" xfId="16240" xr:uid="{00000000-0005-0000-0000-00005B3F0000}"/>
    <cellStyle name="Dane wyjściowe 2 27 25 3" xfId="16241" xr:uid="{00000000-0005-0000-0000-00005C3F0000}"/>
    <cellStyle name="Dane wyjściowe 2 27 26" xfId="16242" xr:uid="{00000000-0005-0000-0000-00005D3F0000}"/>
    <cellStyle name="Dane wyjściowe 2 27 26 2" xfId="16243" xr:uid="{00000000-0005-0000-0000-00005E3F0000}"/>
    <cellStyle name="Dane wyjściowe 2 27 26 3" xfId="16244" xr:uid="{00000000-0005-0000-0000-00005F3F0000}"/>
    <cellStyle name="Dane wyjściowe 2 27 27" xfId="16245" xr:uid="{00000000-0005-0000-0000-0000603F0000}"/>
    <cellStyle name="Dane wyjściowe 2 27 27 2" xfId="16246" xr:uid="{00000000-0005-0000-0000-0000613F0000}"/>
    <cellStyle name="Dane wyjściowe 2 27 27 3" xfId="16247" xr:uid="{00000000-0005-0000-0000-0000623F0000}"/>
    <cellStyle name="Dane wyjściowe 2 27 28" xfId="16248" xr:uid="{00000000-0005-0000-0000-0000633F0000}"/>
    <cellStyle name="Dane wyjściowe 2 27 28 2" xfId="16249" xr:uid="{00000000-0005-0000-0000-0000643F0000}"/>
    <cellStyle name="Dane wyjściowe 2 27 28 3" xfId="16250" xr:uid="{00000000-0005-0000-0000-0000653F0000}"/>
    <cellStyle name="Dane wyjściowe 2 27 29" xfId="16251" xr:uid="{00000000-0005-0000-0000-0000663F0000}"/>
    <cellStyle name="Dane wyjściowe 2 27 29 2" xfId="16252" xr:uid="{00000000-0005-0000-0000-0000673F0000}"/>
    <cellStyle name="Dane wyjściowe 2 27 29 3" xfId="16253" xr:uid="{00000000-0005-0000-0000-0000683F0000}"/>
    <cellStyle name="Dane wyjściowe 2 27 3" xfId="16254" xr:uid="{00000000-0005-0000-0000-0000693F0000}"/>
    <cellStyle name="Dane wyjściowe 2 27 3 2" xfId="16255" xr:uid="{00000000-0005-0000-0000-00006A3F0000}"/>
    <cellStyle name="Dane wyjściowe 2 27 3 3" xfId="16256" xr:uid="{00000000-0005-0000-0000-00006B3F0000}"/>
    <cellStyle name="Dane wyjściowe 2 27 3 4" xfId="16257" xr:uid="{00000000-0005-0000-0000-00006C3F0000}"/>
    <cellStyle name="Dane wyjściowe 2 27 30" xfId="16258" xr:uid="{00000000-0005-0000-0000-00006D3F0000}"/>
    <cellStyle name="Dane wyjściowe 2 27 30 2" xfId="16259" xr:uid="{00000000-0005-0000-0000-00006E3F0000}"/>
    <cellStyle name="Dane wyjściowe 2 27 30 3" xfId="16260" xr:uid="{00000000-0005-0000-0000-00006F3F0000}"/>
    <cellStyle name="Dane wyjściowe 2 27 31" xfId="16261" xr:uid="{00000000-0005-0000-0000-0000703F0000}"/>
    <cellStyle name="Dane wyjściowe 2 27 31 2" xfId="16262" xr:uid="{00000000-0005-0000-0000-0000713F0000}"/>
    <cellStyle name="Dane wyjściowe 2 27 31 3" xfId="16263" xr:uid="{00000000-0005-0000-0000-0000723F0000}"/>
    <cellStyle name="Dane wyjściowe 2 27 32" xfId="16264" xr:uid="{00000000-0005-0000-0000-0000733F0000}"/>
    <cellStyle name="Dane wyjściowe 2 27 32 2" xfId="16265" xr:uid="{00000000-0005-0000-0000-0000743F0000}"/>
    <cellStyle name="Dane wyjściowe 2 27 32 3" xfId="16266" xr:uid="{00000000-0005-0000-0000-0000753F0000}"/>
    <cellStyle name="Dane wyjściowe 2 27 33" xfId="16267" xr:uid="{00000000-0005-0000-0000-0000763F0000}"/>
    <cellStyle name="Dane wyjściowe 2 27 33 2" xfId="16268" xr:uid="{00000000-0005-0000-0000-0000773F0000}"/>
    <cellStyle name="Dane wyjściowe 2 27 33 3" xfId="16269" xr:uid="{00000000-0005-0000-0000-0000783F0000}"/>
    <cellStyle name="Dane wyjściowe 2 27 34" xfId="16270" xr:uid="{00000000-0005-0000-0000-0000793F0000}"/>
    <cellStyle name="Dane wyjściowe 2 27 34 2" xfId="16271" xr:uid="{00000000-0005-0000-0000-00007A3F0000}"/>
    <cellStyle name="Dane wyjściowe 2 27 34 3" xfId="16272" xr:uid="{00000000-0005-0000-0000-00007B3F0000}"/>
    <cellStyle name="Dane wyjściowe 2 27 35" xfId="16273" xr:uid="{00000000-0005-0000-0000-00007C3F0000}"/>
    <cellStyle name="Dane wyjściowe 2 27 35 2" xfId="16274" xr:uid="{00000000-0005-0000-0000-00007D3F0000}"/>
    <cellStyle name="Dane wyjściowe 2 27 35 3" xfId="16275" xr:uid="{00000000-0005-0000-0000-00007E3F0000}"/>
    <cellStyle name="Dane wyjściowe 2 27 36" xfId="16276" xr:uid="{00000000-0005-0000-0000-00007F3F0000}"/>
    <cellStyle name="Dane wyjściowe 2 27 36 2" xfId="16277" xr:uid="{00000000-0005-0000-0000-0000803F0000}"/>
    <cellStyle name="Dane wyjściowe 2 27 36 3" xfId="16278" xr:uid="{00000000-0005-0000-0000-0000813F0000}"/>
    <cellStyle name="Dane wyjściowe 2 27 37" xfId="16279" xr:uid="{00000000-0005-0000-0000-0000823F0000}"/>
    <cellStyle name="Dane wyjściowe 2 27 37 2" xfId="16280" xr:uid="{00000000-0005-0000-0000-0000833F0000}"/>
    <cellStyle name="Dane wyjściowe 2 27 37 3" xfId="16281" xr:uid="{00000000-0005-0000-0000-0000843F0000}"/>
    <cellStyle name="Dane wyjściowe 2 27 38" xfId="16282" xr:uid="{00000000-0005-0000-0000-0000853F0000}"/>
    <cellStyle name="Dane wyjściowe 2 27 38 2" xfId="16283" xr:uid="{00000000-0005-0000-0000-0000863F0000}"/>
    <cellStyle name="Dane wyjściowe 2 27 38 3" xfId="16284" xr:uid="{00000000-0005-0000-0000-0000873F0000}"/>
    <cellStyle name="Dane wyjściowe 2 27 39" xfId="16285" xr:uid="{00000000-0005-0000-0000-0000883F0000}"/>
    <cellStyle name="Dane wyjściowe 2 27 39 2" xfId="16286" xr:uid="{00000000-0005-0000-0000-0000893F0000}"/>
    <cellStyle name="Dane wyjściowe 2 27 39 3" xfId="16287" xr:uid="{00000000-0005-0000-0000-00008A3F0000}"/>
    <cellStyle name="Dane wyjściowe 2 27 4" xfId="16288" xr:uid="{00000000-0005-0000-0000-00008B3F0000}"/>
    <cellStyle name="Dane wyjściowe 2 27 4 2" xfId="16289" xr:uid="{00000000-0005-0000-0000-00008C3F0000}"/>
    <cellStyle name="Dane wyjściowe 2 27 4 3" xfId="16290" xr:uid="{00000000-0005-0000-0000-00008D3F0000}"/>
    <cellStyle name="Dane wyjściowe 2 27 4 4" xfId="16291" xr:uid="{00000000-0005-0000-0000-00008E3F0000}"/>
    <cellStyle name="Dane wyjściowe 2 27 40" xfId="16292" xr:uid="{00000000-0005-0000-0000-00008F3F0000}"/>
    <cellStyle name="Dane wyjściowe 2 27 40 2" xfId="16293" xr:uid="{00000000-0005-0000-0000-0000903F0000}"/>
    <cellStyle name="Dane wyjściowe 2 27 40 3" xfId="16294" xr:uid="{00000000-0005-0000-0000-0000913F0000}"/>
    <cellStyle name="Dane wyjściowe 2 27 41" xfId="16295" xr:uid="{00000000-0005-0000-0000-0000923F0000}"/>
    <cellStyle name="Dane wyjściowe 2 27 41 2" xfId="16296" xr:uid="{00000000-0005-0000-0000-0000933F0000}"/>
    <cellStyle name="Dane wyjściowe 2 27 41 3" xfId="16297" xr:uid="{00000000-0005-0000-0000-0000943F0000}"/>
    <cellStyle name="Dane wyjściowe 2 27 42" xfId="16298" xr:uid="{00000000-0005-0000-0000-0000953F0000}"/>
    <cellStyle name="Dane wyjściowe 2 27 42 2" xfId="16299" xr:uid="{00000000-0005-0000-0000-0000963F0000}"/>
    <cellStyle name="Dane wyjściowe 2 27 42 3" xfId="16300" xr:uid="{00000000-0005-0000-0000-0000973F0000}"/>
    <cellStyle name="Dane wyjściowe 2 27 43" xfId="16301" xr:uid="{00000000-0005-0000-0000-0000983F0000}"/>
    <cellStyle name="Dane wyjściowe 2 27 43 2" xfId="16302" xr:uid="{00000000-0005-0000-0000-0000993F0000}"/>
    <cellStyle name="Dane wyjściowe 2 27 43 3" xfId="16303" xr:uid="{00000000-0005-0000-0000-00009A3F0000}"/>
    <cellStyle name="Dane wyjściowe 2 27 44" xfId="16304" xr:uid="{00000000-0005-0000-0000-00009B3F0000}"/>
    <cellStyle name="Dane wyjściowe 2 27 44 2" xfId="16305" xr:uid="{00000000-0005-0000-0000-00009C3F0000}"/>
    <cellStyle name="Dane wyjściowe 2 27 44 3" xfId="16306" xr:uid="{00000000-0005-0000-0000-00009D3F0000}"/>
    <cellStyle name="Dane wyjściowe 2 27 45" xfId="16307" xr:uid="{00000000-0005-0000-0000-00009E3F0000}"/>
    <cellStyle name="Dane wyjściowe 2 27 45 2" xfId="16308" xr:uid="{00000000-0005-0000-0000-00009F3F0000}"/>
    <cellStyle name="Dane wyjściowe 2 27 45 3" xfId="16309" xr:uid="{00000000-0005-0000-0000-0000A03F0000}"/>
    <cellStyle name="Dane wyjściowe 2 27 46" xfId="16310" xr:uid="{00000000-0005-0000-0000-0000A13F0000}"/>
    <cellStyle name="Dane wyjściowe 2 27 46 2" xfId="16311" xr:uid="{00000000-0005-0000-0000-0000A23F0000}"/>
    <cellStyle name="Dane wyjściowe 2 27 46 3" xfId="16312" xr:uid="{00000000-0005-0000-0000-0000A33F0000}"/>
    <cellStyle name="Dane wyjściowe 2 27 47" xfId="16313" xr:uid="{00000000-0005-0000-0000-0000A43F0000}"/>
    <cellStyle name="Dane wyjściowe 2 27 47 2" xfId="16314" xr:uid="{00000000-0005-0000-0000-0000A53F0000}"/>
    <cellStyle name="Dane wyjściowe 2 27 47 3" xfId="16315" xr:uid="{00000000-0005-0000-0000-0000A63F0000}"/>
    <cellStyle name="Dane wyjściowe 2 27 48" xfId="16316" xr:uid="{00000000-0005-0000-0000-0000A73F0000}"/>
    <cellStyle name="Dane wyjściowe 2 27 48 2" xfId="16317" xr:uid="{00000000-0005-0000-0000-0000A83F0000}"/>
    <cellStyle name="Dane wyjściowe 2 27 48 3" xfId="16318" xr:uid="{00000000-0005-0000-0000-0000A93F0000}"/>
    <cellStyle name="Dane wyjściowe 2 27 49" xfId="16319" xr:uid="{00000000-0005-0000-0000-0000AA3F0000}"/>
    <cellStyle name="Dane wyjściowe 2 27 49 2" xfId="16320" xr:uid="{00000000-0005-0000-0000-0000AB3F0000}"/>
    <cellStyle name="Dane wyjściowe 2 27 49 3" xfId="16321" xr:uid="{00000000-0005-0000-0000-0000AC3F0000}"/>
    <cellStyle name="Dane wyjściowe 2 27 5" xfId="16322" xr:uid="{00000000-0005-0000-0000-0000AD3F0000}"/>
    <cellStyle name="Dane wyjściowe 2 27 5 2" xfId="16323" xr:uid="{00000000-0005-0000-0000-0000AE3F0000}"/>
    <cellStyle name="Dane wyjściowe 2 27 5 3" xfId="16324" xr:uid="{00000000-0005-0000-0000-0000AF3F0000}"/>
    <cellStyle name="Dane wyjściowe 2 27 5 4" xfId="16325" xr:uid="{00000000-0005-0000-0000-0000B03F0000}"/>
    <cellStyle name="Dane wyjściowe 2 27 50" xfId="16326" xr:uid="{00000000-0005-0000-0000-0000B13F0000}"/>
    <cellStyle name="Dane wyjściowe 2 27 50 2" xfId="16327" xr:uid="{00000000-0005-0000-0000-0000B23F0000}"/>
    <cellStyle name="Dane wyjściowe 2 27 50 3" xfId="16328" xr:uid="{00000000-0005-0000-0000-0000B33F0000}"/>
    <cellStyle name="Dane wyjściowe 2 27 51" xfId="16329" xr:uid="{00000000-0005-0000-0000-0000B43F0000}"/>
    <cellStyle name="Dane wyjściowe 2 27 51 2" xfId="16330" xr:uid="{00000000-0005-0000-0000-0000B53F0000}"/>
    <cellStyle name="Dane wyjściowe 2 27 51 3" xfId="16331" xr:uid="{00000000-0005-0000-0000-0000B63F0000}"/>
    <cellStyle name="Dane wyjściowe 2 27 52" xfId="16332" xr:uid="{00000000-0005-0000-0000-0000B73F0000}"/>
    <cellStyle name="Dane wyjściowe 2 27 52 2" xfId="16333" xr:uid="{00000000-0005-0000-0000-0000B83F0000}"/>
    <cellStyle name="Dane wyjściowe 2 27 52 3" xfId="16334" xr:uid="{00000000-0005-0000-0000-0000B93F0000}"/>
    <cellStyle name="Dane wyjściowe 2 27 53" xfId="16335" xr:uid="{00000000-0005-0000-0000-0000BA3F0000}"/>
    <cellStyle name="Dane wyjściowe 2 27 53 2" xfId="16336" xr:uid="{00000000-0005-0000-0000-0000BB3F0000}"/>
    <cellStyle name="Dane wyjściowe 2 27 53 3" xfId="16337" xr:uid="{00000000-0005-0000-0000-0000BC3F0000}"/>
    <cellStyle name="Dane wyjściowe 2 27 54" xfId="16338" xr:uid="{00000000-0005-0000-0000-0000BD3F0000}"/>
    <cellStyle name="Dane wyjściowe 2 27 54 2" xfId="16339" xr:uid="{00000000-0005-0000-0000-0000BE3F0000}"/>
    <cellStyle name="Dane wyjściowe 2 27 54 3" xfId="16340" xr:uid="{00000000-0005-0000-0000-0000BF3F0000}"/>
    <cellStyle name="Dane wyjściowe 2 27 55" xfId="16341" xr:uid="{00000000-0005-0000-0000-0000C03F0000}"/>
    <cellStyle name="Dane wyjściowe 2 27 55 2" xfId="16342" xr:uid="{00000000-0005-0000-0000-0000C13F0000}"/>
    <cellStyle name="Dane wyjściowe 2 27 55 3" xfId="16343" xr:uid="{00000000-0005-0000-0000-0000C23F0000}"/>
    <cellStyle name="Dane wyjściowe 2 27 56" xfId="16344" xr:uid="{00000000-0005-0000-0000-0000C33F0000}"/>
    <cellStyle name="Dane wyjściowe 2 27 56 2" xfId="16345" xr:uid="{00000000-0005-0000-0000-0000C43F0000}"/>
    <cellStyle name="Dane wyjściowe 2 27 56 3" xfId="16346" xr:uid="{00000000-0005-0000-0000-0000C53F0000}"/>
    <cellStyle name="Dane wyjściowe 2 27 57" xfId="16347" xr:uid="{00000000-0005-0000-0000-0000C63F0000}"/>
    <cellStyle name="Dane wyjściowe 2 27 58" xfId="16348" xr:uid="{00000000-0005-0000-0000-0000C73F0000}"/>
    <cellStyle name="Dane wyjściowe 2 27 6" xfId="16349" xr:uid="{00000000-0005-0000-0000-0000C83F0000}"/>
    <cellStyle name="Dane wyjściowe 2 27 6 2" xfId="16350" xr:uid="{00000000-0005-0000-0000-0000C93F0000}"/>
    <cellStyle name="Dane wyjściowe 2 27 6 3" xfId="16351" xr:uid="{00000000-0005-0000-0000-0000CA3F0000}"/>
    <cellStyle name="Dane wyjściowe 2 27 6 4" xfId="16352" xr:uid="{00000000-0005-0000-0000-0000CB3F0000}"/>
    <cellStyle name="Dane wyjściowe 2 27 7" xfId="16353" xr:uid="{00000000-0005-0000-0000-0000CC3F0000}"/>
    <cellStyle name="Dane wyjściowe 2 27 7 2" xfId="16354" xr:uid="{00000000-0005-0000-0000-0000CD3F0000}"/>
    <cellStyle name="Dane wyjściowe 2 27 7 3" xfId="16355" xr:uid="{00000000-0005-0000-0000-0000CE3F0000}"/>
    <cellStyle name="Dane wyjściowe 2 27 7 4" xfId="16356" xr:uid="{00000000-0005-0000-0000-0000CF3F0000}"/>
    <cellStyle name="Dane wyjściowe 2 27 8" xfId="16357" xr:uid="{00000000-0005-0000-0000-0000D03F0000}"/>
    <cellStyle name="Dane wyjściowe 2 27 8 2" xfId="16358" xr:uid="{00000000-0005-0000-0000-0000D13F0000}"/>
    <cellStyle name="Dane wyjściowe 2 27 8 3" xfId="16359" xr:uid="{00000000-0005-0000-0000-0000D23F0000}"/>
    <cellStyle name="Dane wyjściowe 2 27 8 4" xfId="16360" xr:uid="{00000000-0005-0000-0000-0000D33F0000}"/>
    <cellStyle name="Dane wyjściowe 2 27 9" xfId="16361" xr:uid="{00000000-0005-0000-0000-0000D43F0000}"/>
    <cellStyle name="Dane wyjściowe 2 27 9 2" xfId="16362" xr:uid="{00000000-0005-0000-0000-0000D53F0000}"/>
    <cellStyle name="Dane wyjściowe 2 27 9 3" xfId="16363" xr:uid="{00000000-0005-0000-0000-0000D63F0000}"/>
    <cellStyle name="Dane wyjściowe 2 27 9 4" xfId="16364" xr:uid="{00000000-0005-0000-0000-0000D73F0000}"/>
    <cellStyle name="Dane wyjściowe 2 28" xfId="16365" xr:uid="{00000000-0005-0000-0000-0000D83F0000}"/>
    <cellStyle name="Dane wyjściowe 2 28 10" xfId="16366" xr:uid="{00000000-0005-0000-0000-0000D93F0000}"/>
    <cellStyle name="Dane wyjściowe 2 28 10 2" xfId="16367" xr:uid="{00000000-0005-0000-0000-0000DA3F0000}"/>
    <cellStyle name="Dane wyjściowe 2 28 10 3" xfId="16368" xr:uid="{00000000-0005-0000-0000-0000DB3F0000}"/>
    <cellStyle name="Dane wyjściowe 2 28 10 4" xfId="16369" xr:uid="{00000000-0005-0000-0000-0000DC3F0000}"/>
    <cellStyle name="Dane wyjściowe 2 28 11" xfId="16370" xr:uid="{00000000-0005-0000-0000-0000DD3F0000}"/>
    <cellStyle name="Dane wyjściowe 2 28 11 2" xfId="16371" xr:uid="{00000000-0005-0000-0000-0000DE3F0000}"/>
    <cellStyle name="Dane wyjściowe 2 28 11 3" xfId="16372" xr:uid="{00000000-0005-0000-0000-0000DF3F0000}"/>
    <cellStyle name="Dane wyjściowe 2 28 11 4" xfId="16373" xr:uid="{00000000-0005-0000-0000-0000E03F0000}"/>
    <cellStyle name="Dane wyjściowe 2 28 12" xfId="16374" xr:uid="{00000000-0005-0000-0000-0000E13F0000}"/>
    <cellStyle name="Dane wyjściowe 2 28 12 2" xfId="16375" xr:uid="{00000000-0005-0000-0000-0000E23F0000}"/>
    <cellStyle name="Dane wyjściowe 2 28 12 3" xfId="16376" xr:uid="{00000000-0005-0000-0000-0000E33F0000}"/>
    <cellStyle name="Dane wyjściowe 2 28 12 4" xfId="16377" xr:uid="{00000000-0005-0000-0000-0000E43F0000}"/>
    <cellStyle name="Dane wyjściowe 2 28 13" xfId="16378" xr:uid="{00000000-0005-0000-0000-0000E53F0000}"/>
    <cellStyle name="Dane wyjściowe 2 28 13 2" xfId="16379" xr:uid="{00000000-0005-0000-0000-0000E63F0000}"/>
    <cellStyle name="Dane wyjściowe 2 28 13 3" xfId="16380" xr:uid="{00000000-0005-0000-0000-0000E73F0000}"/>
    <cellStyle name="Dane wyjściowe 2 28 13 4" xfId="16381" xr:uid="{00000000-0005-0000-0000-0000E83F0000}"/>
    <cellStyle name="Dane wyjściowe 2 28 14" xfId="16382" xr:uid="{00000000-0005-0000-0000-0000E93F0000}"/>
    <cellStyle name="Dane wyjściowe 2 28 14 2" xfId="16383" xr:uid="{00000000-0005-0000-0000-0000EA3F0000}"/>
    <cellStyle name="Dane wyjściowe 2 28 14 3" xfId="16384" xr:uid="{00000000-0005-0000-0000-0000EB3F0000}"/>
    <cellStyle name="Dane wyjściowe 2 28 14 4" xfId="16385" xr:uid="{00000000-0005-0000-0000-0000EC3F0000}"/>
    <cellStyle name="Dane wyjściowe 2 28 15" xfId="16386" xr:uid="{00000000-0005-0000-0000-0000ED3F0000}"/>
    <cellStyle name="Dane wyjściowe 2 28 15 2" xfId="16387" xr:uid="{00000000-0005-0000-0000-0000EE3F0000}"/>
    <cellStyle name="Dane wyjściowe 2 28 15 3" xfId="16388" xr:uid="{00000000-0005-0000-0000-0000EF3F0000}"/>
    <cellStyle name="Dane wyjściowe 2 28 15 4" xfId="16389" xr:uid="{00000000-0005-0000-0000-0000F03F0000}"/>
    <cellStyle name="Dane wyjściowe 2 28 16" xfId="16390" xr:uid="{00000000-0005-0000-0000-0000F13F0000}"/>
    <cellStyle name="Dane wyjściowe 2 28 16 2" xfId="16391" xr:uid="{00000000-0005-0000-0000-0000F23F0000}"/>
    <cellStyle name="Dane wyjściowe 2 28 16 3" xfId="16392" xr:uid="{00000000-0005-0000-0000-0000F33F0000}"/>
    <cellStyle name="Dane wyjściowe 2 28 16 4" xfId="16393" xr:uid="{00000000-0005-0000-0000-0000F43F0000}"/>
    <cellStyle name="Dane wyjściowe 2 28 17" xfId="16394" xr:uid="{00000000-0005-0000-0000-0000F53F0000}"/>
    <cellStyle name="Dane wyjściowe 2 28 17 2" xfId="16395" xr:uid="{00000000-0005-0000-0000-0000F63F0000}"/>
    <cellStyle name="Dane wyjściowe 2 28 17 3" xfId="16396" xr:uid="{00000000-0005-0000-0000-0000F73F0000}"/>
    <cellStyle name="Dane wyjściowe 2 28 17 4" xfId="16397" xr:uid="{00000000-0005-0000-0000-0000F83F0000}"/>
    <cellStyle name="Dane wyjściowe 2 28 18" xfId="16398" xr:uid="{00000000-0005-0000-0000-0000F93F0000}"/>
    <cellStyle name="Dane wyjściowe 2 28 18 2" xfId="16399" xr:uid="{00000000-0005-0000-0000-0000FA3F0000}"/>
    <cellStyle name="Dane wyjściowe 2 28 18 3" xfId="16400" xr:uid="{00000000-0005-0000-0000-0000FB3F0000}"/>
    <cellStyle name="Dane wyjściowe 2 28 18 4" xfId="16401" xr:uid="{00000000-0005-0000-0000-0000FC3F0000}"/>
    <cellStyle name="Dane wyjściowe 2 28 19" xfId="16402" xr:uid="{00000000-0005-0000-0000-0000FD3F0000}"/>
    <cellStyle name="Dane wyjściowe 2 28 19 2" xfId="16403" xr:uid="{00000000-0005-0000-0000-0000FE3F0000}"/>
    <cellStyle name="Dane wyjściowe 2 28 19 3" xfId="16404" xr:uid="{00000000-0005-0000-0000-0000FF3F0000}"/>
    <cellStyle name="Dane wyjściowe 2 28 19 4" xfId="16405" xr:uid="{00000000-0005-0000-0000-000000400000}"/>
    <cellStyle name="Dane wyjściowe 2 28 2" xfId="16406" xr:uid="{00000000-0005-0000-0000-000001400000}"/>
    <cellStyle name="Dane wyjściowe 2 28 2 2" xfId="16407" xr:uid="{00000000-0005-0000-0000-000002400000}"/>
    <cellStyle name="Dane wyjściowe 2 28 2 3" xfId="16408" xr:uid="{00000000-0005-0000-0000-000003400000}"/>
    <cellStyle name="Dane wyjściowe 2 28 2 4" xfId="16409" xr:uid="{00000000-0005-0000-0000-000004400000}"/>
    <cellStyle name="Dane wyjściowe 2 28 20" xfId="16410" xr:uid="{00000000-0005-0000-0000-000005400000}"/>
    <cellStyle name="Dane wyjściowe 2 28 20 2" xfId="16411" xr:uid="{00000000-0005-0000-0000-000006400000}"/>
    <cellStyle name="Dane wyjściowe 2 28 20 3" xfId="16412" xr:uid="{00000000-0005-0000-0000-000007400000}"/>
    <cellStyle name="Dane wyjściowe 2 28 20 4" xfId="16413" xr:uid="{00000000-0005-0000-0000-000008400000}"/>
    <cellStyle name="Dane wyjściowe 2 28 21" xfId="16414" xr:uid="{00000000-0005-0000-0000-000009400000}"/>
    <cellStyle name="Dane wyjściowe 2 28 21 2" xfId="16415" xr:uid="{00000000-0005-0000-0000-00000A400000}"/>
    <cellStyle name="Dane wyjściowe 2 28 21 3" xfId="16416" xr:uid="{00000000-0005-0000-0000-00000B400000}"/>
    <cellStyle name="Dane wyjściowe 2 28 22" xfId="16417" xr:uid="{00000000-0005-0000-0000-00000C400000}"/>
    <cellStyle name="Dane wyjściowe 2 28 22 2" xfId="16418" xr:uid="{00000000-0005-0000-0000-00000D400000}"/>
    <cellStyle name="Dane wyjściowe 2 28 22 3" xfId="16419" xr:uid="{00000000-0005-0000-0000-00000E400000}"/>
    <cellStyle name="Dane wyjściowe 2 28 23" xfId="16420" xr:uid="{00000000-0005-0000-0000-00000F400000}"/>
    <cellStyle name="Dane wyjściowe 2 28 23 2" xfId="16421" xr:uid="{00000000-0005-0000-0000-000010400000}"/>
    <cellStyle name="Dane wyjściowe 2 28 23 3" xfId="16422" xr:uid="{00000000-0005-0000-0000-000011400000}"/>
    <cellStyle name="Dane wyjściowe 2 28 24" xfId="16423" xr:uid="{00000000-0005-0000-0000-000012400000}"/>
    <cellStyle name="Dane wyjściowe 2 28 24 2" xfId="16424" xr:uid="{00000000-0005-0000-0000-000013400000}"/>
    <cellStyle name="Dane wyjściowe 2 28 24 3" xfId="16425" xr:uid="{00000000-0005-0000-0000-000014400000}"/>
    <cellStyle name="Dane wyjściowe 2 28 25" xfId="16426" xr:uid="{00000000-0005-0000-0000-000015400000}"/>
    <cellStyle name="Dane wyjściowe 2 28 25 2" xfId="16427" xr:uid="{00000000-0005-0000-0000-000016400000}"/>
    <cellStyle name="Dane wyjściowe 2 28 25 3" xfId="16428" xr:uid="{00000000-0005-0000-0000-000017400000}"/>
    <cellStyle name="Dane wyjściowe 2 28 26" xfId="16429" xr:uid="{00000000-0005-0000-0000-000018400000}"/>
    <cellStyle name="Dane wyjściowe 2 28 26 2" xfId="16430" xr:uid="{00000000-0005-0000-0000-000019400000}"/>
    <cellStyle name="Dane wyjściowe 2 28 26 3" xfId="16431" xr:uid="{00000000-0005-0000-0000-00001A400000}"/>
    <cellStyle name="Dane wyjściowe 2 28 27" xfId="16432" xr:uid="{00000000-0005-0000-0000-00001B400000}"/>
    <cellStyle name="Dane wyjściowe 2 28 27 2" xfId="16433" xr:uid="{00000000-0005-0000-0000-00001C400000}"/>
    <cellStyle name="Dane wyjściowe 2 28 27 3" xfId="16434" xr:uid="{00000000-0005-0000-0000-00001D400000}"/>
    <cellStyle name="Dane wyjściowe 2 28 28" xfId="16435" xr:uid="{00000000-0005-0000-0000-00001E400000}"/>
    <cellStyle name="Dane wyjściowe 2 28 28 2" xfId="16436" xr:uid="{00000000-0005-0000-0000-00001F400000}"/>
    <cellStyle name="Dane wyjściowe 2 28 28 3" xfId="16437" xr:uid="{00000000-0005-0000-0000-000020400000}"/>
    <cellStyle name="Dane wyjściowe 2 28 29" xfId="16438" xr:uid="{00000000-0005-0000-0000-000021400000}"/>
    <cellStyle name="Dane wyjściowe 2 28 29 2" xfId="16439" xr:uid="{00000000-0005-0000-0000-000022400000}"/>
    <cellStyle name="Dane wyjściowe 2 28 29 3" xfId="16440" xr:uid="{00000000-0005-0000-0000-000023400000}"/>
    <cellStyle name="Dane wyjściowe 2 28 3" xfId="16441" xr:uid="{00000000-0005-0000-0000-000024400000}"/>
    <cellStyle name="Dane wyjściowe 2 28 3 2" xfId="16442" xr:uid="{00000000-0005-0000-0000-000025400000}"/>
    <cellStyle name="Dane wyjściowe 2 28 3 3" xfId="16443" xr:uid="{00000000-0005-0000-0000-000026400000}"/>
    <cellStyle name="Dane wyjściowe 2 28 3 4" xfId="16444" xr:uid="{00000000-0005-0000-0000-000027400000}"/>
    <cellStyle name="Dane wyjściowe 2 28 30" xfId="16445" xr:uid="{00000000-0005-0000-0000-000028400000}"/>
    <cellStyle name="Dane wyjściowe 2 28 30 2" xfId="16446" xr:uid="{00000000-0005-0000-0000-000029400000}"/>
    <cellStyle name="Dane wyjściowe 2 28 30 3" xfId="16447" xr:uid="{00000000-0005-0000-0000-00002A400000}"/>
    <cellStyle name="Dane wyjściowe 2 28 31" xfId="16448" xr:uid="{00000000-0005-0000-0000-00002B400000}"/>
    <cellStyle name="Dane wyjściowe 2 28 31 2" xfId="16449" xr:uid="{00000000-0005-0000-0000-00002C400000}"/>
    <cellStyle name="Dane wyjściowe 2 28 31 3" xfId="16450" xr:uid="{00000000-0005-0000-0000-00002D400000}"/>
    <cellStyle name="Dane wyjściowe 2 28 32" xfId="16451" xr:uid="{00000000-0005-0000-0000-00002E400000}"/>
    <cellStyle name="Dane wyjściowe 2 28 32 2" xfId="16452" xr:uid="{00000000-0005-0000-0000-00002F400000}"/>
    <cellStyle name="Dane wyjściowe 2 28 32 3" xfId="16453" xr:uid="{00000000-0005-0000-0000-000030400000}"/>
    <cellStyle name="Dane wyjściowe 2 28 33" xfId="16454" xr:uid="{00000000-0005-0000-0000-000031400000}"/>
    <cellStyle name="Dane wyjściowe 2 28 33 2" xfId="16455" xr:uid="{00000000-0005-0000-0000-000032400000}"/>
    <cellStyle name="Dane wyjściowe 2 28 33 3" xfId="16456" xr:uid="{00000000-0005-0000-0000-000033400000}"/>
    <cellStyle name="Dane wyjściowe 2 28 34" xfId="16457" xr:uid="{00000000-0005-0000-0000-000034400000}"/>
    <cellStyle name="Dane wyjściowe 2 28 34 2" xfId="16458" xr:uid="{00000000-0005-0000-0000-000035400000}"/>
    <cellStyle name="Dane wyjściowe 2 28 34 3" xfId="16459" xr:uid="{00000000-0005-0000-0000-000036400000}"/>
    <cellStyle name="Dane wyjściowe 2 28 35" xfId="16460" xr:uid="{00000000-0005-0000-0000-000037400000}"/>
    <cellStyle name="Dane wyjściowe 2 28 35 2" xfId="16461" xr:uid="{00000000-0005-0000-0000-000038400000}"/>
    <cellStyle name="Dane wyjściowe 2 28 35 3" xfId="16462" xr:uid="{00000000-0005-0000-0000-000039400000}"/>
    <cellStyle name="Dane wyjściowe 2 28 36" xfId="16463" xr:uid="{00000000-0005-0000-0000-00003A400000}"/>
    <cellStyle name="Dane wyjściowe 2 28 36 2" xfId="16464" xr:uid="{00000000-0005-0000-0000-00003B400000}"/>
    <cellStyle name="Dane wyjściowe 2 28 36 3" xfId="16465" xr:uid="{00000000-0005-0000-0000-00003C400000}"/>
    <cellStyle name="Dane wyjściowe 2 28 37" xfId="16466" xr:uid="{00000000-0005-0000-0000-00003D400000}"/>
    <cellStyle name="Dane wyjściowe 2 28 37 2" xfId="16467" xr:uid="{00000000-0005-0000-0000-00003E400000}"/>
    <cellStyle name="Dane wyjściowe 2 28 37 3" xfId="16468" xr:uid="{00000000-0005-0000-0000-00003F400000}"/>
    <cellStyle name="Dane wyjściowe 2 28 38" xfId="16469" xr:uid="{00000000-0005-0000-0000-000040400000}"/>
    <cellStyle name="Dane wyjściowe 2 28 38 2" xfId="16470" xr:uid="{00000000-0005-0000-0000-000041400000}"/>
    <cellStyle name="Dane wyjściowe 2 28 38 3" xfId="16471" xr:uid="{00000000-0005-0000-0000-000042400000}"/>
    <cellStyle name="Dane wyjściowe 2 28 39" xfId="16472" xr:uid="{00000000-0005-0000-0000-000043400000}"/>
    <cellStyle name="Dane wyjściowe 2 28 39 2" xfId="16473" xr:uid="{00000000-0005-0000-0000-000044400000}"/>
    <cellStyle name="Dane wyjściowe 2 28 39 3" xfId="16474" xr:uid="{00000000-0005-0000-0000-000045400000}"/>
    <cellStyle name="Dane wyjściowe 2 28 4" xfId="16475" xr:uid="{00000000-0005-0000-0000-000046400000}"/>
    <cellStyle name="Dane wyjściowe 2 28 4 2" xfId="16476" xr:uid="{00000000-0005-0000-0000-000047400000}"/>
    <cellStyle name="Dane wyjściowe 2 28 4 3" xfId="16477" xr:uid="{00000000-0005-0000-0000-000048400000}"/>
    <cellStyle name="Dane wyjściowe 2 28 4 4" xfId="16478" xr:uid="{00000000-0005-0000-0000-000049400000}"/>
    <cellStyle name="Dane wyjściowe 2 28 40" xfId="16479" xr:uid="{00000000-0005-0000-0000-00004A400000}"/>
    <cellStyle name="Dane wyjściowe 2 28 40 2" xfId="16480" xr:uid="{00000000-0005-0000-0000-00004B400000}"/>
    <cellStyle name="Dane wyjściowe 2 28 40 3" xfId="16481" xr:uid="{00000000-0005-0000-0000-00004C400000}"/>
    <cellStyle name="Dane wyjściowe 2 28 41" xfId="16482" xr:uid="{00000000-0005-0000-0000-00004D400000}"/>
    <cellStyle name="Dane wyjściowe 2 28 41 2" xfId="16483" xr:uid="{00000000-0005-0000-0000-00004E400000}"/>
    <cellStyle name="Dane wyjściowe 2 28 41 3" xfId="16484" xr:uid="{00000000-0005-0000-0000-00004F400000}"/>
    <cellStyle name="Dane wyjściowe 2 28 42" xfId="16485" xr:uid="{00000000-0005-0000-0000-000050400000}"/>
    <cellStyle name="Dane wyjściowe 2 28 42 2" xfId="16486" xr:uid="{00000000-0005-0000-0000-000051400000}"/>
    <cellStyle name="Dane wyjściowe 2 28 42 3" xfId="16487" xr:uid="{00000000-0005-0000-0000-000052400000}"/>
    <cellStyle name="Dane wyjściowe 2 28 43" xfId="16488" xr:uid="{00000000-0005-0000-0000-000053400000}"/>
    <cellStyle name="Dane wyjściowe 2 28 43 2" xfId="16489" xr:uid="{00000000-0005-0000-0000-000054400000}"/>
    <cellStyle name="Dane wyjściowe 2 28 43 3" xfId="16490" xr:uid="{00000000-0005-0000-0000-000055400000}"/>
    <cellStyle name="Dane wyjściowe 2 28 44" xfId="16491" xr:uid="{00000000-0005-0000-0000-000056400000}"/>
    <cellStyle name="Dane wyjściowe 2 28 44 2" xfId="16492" xr:uid="{00000000-0005-0000-0000-000057400000}"/>
    <cellStyle name="Dane wyjściowe 2 28 44 3" xfId="16493" xr:uid="{00000000-0005-0000-0000-000058400000}"/>
    <cellStyle name="Dane wyjściowe 2 28 45" xfId="16494" xr:uid="{00000000-0005-0000-0000-000059400000}"/>
    <cellStyle name="Dane wyjściowe 2 28 45 2" xfId="16495" xr:uid="{00000000-0005-0000-0000-00005A400000}"/>
    <cellStyle name="Dane wyjściowe 2 28 45 3" xfId="16496" xr:uid="{00000000-0005-0000-0000-00005B400000}"/>
    <cellStyle name="Dane wyjściowe 2 28 46" xfId="16497" xr:uid="{00000000-0005-0000-0000-00005C400000}"/>
    <cellStyle name="Dane wyjściowe 2 28 46 2" xfId="16498" xr:uid="{00000000-0005-0000-0000-00005D400000}"/>
    <cellStyle name="Dane wyjściowe 2 28 46 3" xfId="16499" xr:uid="{00000000-0005-0000-0000-00005E400000}"/>
    <cellStyle name="Dane wyjściowe 2 28 47" xfId="16500" xr:uid="{00000000-0005-0000-0000-00005F400000}"/>
    <cellStyle name="Dane wyjściowe 2 28 47 2" xfId="16501" xr:uid="{00000000-0005-0000-0000-000060400000}"/>
    <cellStyle name="Dane wyjściowe 2 28 47 3" xfId="16502" xr:uid="{00000000-0005-0000-0000-000061400000}"/>
    <cellStyle name="Dane wyjściowe 2 28 48" xfId="16503" xr:uid="{00000000-0005-0000-0000-000062400000}"/>
    <cellStyle name="Dane wyjściowe 2 28 48 2" xfId="16504" xr:uid="{00000000-0005-0000-0000-000063400000}"/>
    <cellStyle name="Dane wyjściowe 2 28 48 3" xfId="16505" xr:uid="{00000000-0005-0000-0000-000064400000}"/>
    <cellStyle name="Dane wyjściowe 2 28 49" xfId="16506" xr:uid="{00000000-0005-0000-0000-000065400000}"/>
    <cellStyle name="Dane wyjściowe 2 28 49 2" xfId="16507" xr:uid="{00000000-0005-0000-0000-000066400000}"/>
    <cellStyle name="Dane wyjściowe 2 28 49 3" xfId="16508" xr:uid="{00000000-0005-0000-0000-000067400000}"/>
    <cellStyle name="Dane wyjściowe 2 28 5" xfId="16509" xr:uid="{00000000-0005-0000-0000-000068400000}"/>
    <cellStyle name="Dane wyjściowe 2 28 5 2" xfId="16510" xr:uid="{00000000-0005-0000-0000-000069400000}"/>
    <cellStyle name="Dane wyjściowe 2 28 5 3" xfId="16511" xr:uid="{00000000-0005-0000-0000-00006A400000}"/>
    <cellStyle name="Dane wyjściowe 2 28 5 4" xfId="16512" xr:uid="{00000000-0005-0000-0000-00006B400000}"/>
    <cellStyle name="Dane wyjściowe 2 28 50" xfId="16513" xr:uid="{00000000-0005-0000-0000-00006C400000}"/>
    <cellStyle name="Dane wyjściowe 2 28 50 2" xfId="16514" xr:uid="{00000000-0005-0000-0000-00006D400000}"/>
    <cellStyle name="Dane wyjściowe 2 28 50 3" xfId="16515" xr:uid="{00000000-0005-0000-0000-00006E400000}"/>
    <cellStyle name="Dane wyjściowe 2 28 51" xfId="16516" xr:uid="{00000000-0005-0000-0000-00006F400000}"/>
    <cellStyle name="Dane wyjściowe 2 28 51 2" xfId="16517" xr:uid="{00000000-0005-0000-0000-000070400000}"/>
    <cellStyle name="Dane wyjściowe 2 28 51 3" xfId="16518" xr:uid="{00000000-0005-0000-0000-000071400000}"/>
    <cellStyle name="Dane wyjściowe 2 28 52" xfId="16519" xr:uid="{00000000-0005-0000-0000-000072400000}"/>
    <cellStyle name="Dane wyjściowe 2 28 52 2" xfId="16520" xr:uid="{00000000-0005-0000-0000-000073400000}"/>
    <cellStyle name="Dane wyjściowe 2 28 52 3" xfId="16521" xr:uid="{00000000-0005-0000-0000-000074400000}"/>
    <cellStyle name="Dane wyjściowe 2 28 53" xfId="16522" xr:uid="{00000000-0005-0000-0000-000075400000}"/>
    <cellStyle name="Dane wyjściowe 2 28 53 2" xfId="16523" xr:uid="{00000000-0005-0000-0000-000076400000}"/>
    <cellStyle name="Dane wyjściowe 2 28 53 3" xfId="16524" xr:uid="{00000000-0005-0000-0000-000077400000}"/>
    <cellStyle name="Dane wyjściowe 2 28 54" xfId="16525" xr:uid="{00000000-0005-0000-0000-000078400000}"/>
    <cellStyle name="Dane wyjściowe 2 28 54 2" xfId="16526" xr:uid="{00000000-0005-0000-0000-000079400000}"/>
    <cellStyle name="Dane wyjściowe 2 28 54 3" xfId="16527" xr:uid="{00000000-0005-0000-0000-00007A400000}"/>
    <cellStyle name="Dane wyjściowe 2 28 55" xfId="16528" xr:uid="{00000000-0005-0000-0000-00007B400000}"/>
    <cellStyle name="Dane wyjściowe 2 28 55 2" xfId="16529" xr:uid="{00000000-0005-0000-0000-00007C400000}"/>
    <cellStyle name="Dane wyjściowe 2 28 55 3" xfId="16530" xr:uid="{00000000-0005-0000-0000-00007D400000}"/>
    <cellStyle name="Dane wyjściowe 2 28 56" xfId="16531" xr:uid="{00000000-0005-0000-0000-00007E400000}"/>
    <cellStyle name="Dane wyjściowe 2 28 56 2" xfId="16532" xr:uid="{00000000-0005-0000-0000-00007F400000}"/>
    <cellStyle name="Dane wyjściowe 2 28 56 3" xfId="16533" xr:uid="{00000000-0005-0000-0000-000080400000}"/>
    <cellStyle name="Dane wyjściowe 2 28 57" xfId="16534" xr:uid="{00000000-0005-0000-0000-000081400000}"/>
    <cellStyle name="Dane wyjściowe 2 28 58" xfId="16535" xr:uid="{00000000-0005-0000-0000-000082400000}"/>
    <cellStyle name="Dane wyjściowe 2 28 6" xfId="16536" xr:uid="{00000000-0005-0000-0000-000083400000}"/>
    <cellStyle name="Dane wyjściowe 2 28 6 2" xfId="16537" xr:uid="{00000000-0005-0000-0000-000084400000}"/>
    <cellStyle name="Dane wyjściowe 2 28 6 3" xfId="16538" xr:uid="{00000000-0005-0000-0000-000085400000}"/>
    <cellStyle name="Dane wyjściowe 2 28 6 4" xfId="16539" xr:uid="{00000000-0005-0000-0000-000086400000}"/>
    <cellStyle name="Dane wyjściowe 2 28 7" xfId="16540" xr:uid="{00000000-0005-0000-0000-000087400000}"/>
    <cellStyle name="Dane wyjściowe 2 28 7 2" xfId="16541" xr:uid="{00000000-0005-0000-0000-000088400000}"/>
    <cellStyle name="Dane wyjściowe 2 28 7 3" xfId="16542" xr:uid="{00000000-0005-0000-0000-000089400000}"/>
    <cellStyle name="Dane wyjściowe 2 28 7 4" xfId="16543" xr:uid="{00000000-0005-0000-0000-00008A400000}"/>
    <cellStyle name="Dane wyjściowe 2 28 8" xfId="16544" xr:uid="{00000000-0005-0000-0000-00008B400000}"/>
    <cellStyle name="Dane wyjściowe 2 28 8 2" xfId="16545" xr:uid="{00000000-0005-0000-0000-00008C400000}"/>
    <cellStyle name="Dane wyjściowe 2 28 8 3" xfId="16546" xr:uid="{00000000-0005-0000-0000-00008D400000}"/>
    <cellStyle name="Dane wyjściowe 2 28 8 4" xfId="16547" xr:uid="{00000000-0005-0000-0000-00008E400000}"/>
    <cellStyle name="Dane wyjściowe 2 28 9" xfId="16548" xr:uid="{00000000-0005-0000-0000-00008F400000}"/>
    <cellStyle name="Dane wyjściowe 2 28 9 2" xfId="16549" xr:uid="{00000000-0005-0000-0000-000090400000}"/>
    <cellStyle name="Dane wyjściowe 2 28 9 3" xfId="16550" xr:uid="{00000000-0005-0000-0000-000091400000}"/>
    <cellStyle name="Dane wyjściowe 2 28 9 4" xfId="16551" xr:uid="{00000000-0005-0000-0000-000092400000}"/>
    <cellStyle name="Dane wyjściowe 2 29" xfId="16552" xr:uid="{00000000-0005-0000-0000-000093400000}"/>
    <cellStyle name="Dane wyjściowe 2 29 2" xfId="16553" xr:uid="{00000000-0005-0000-0000-000094400000}"/>
    <cellStyle name="Dane wyjściowe 2 29 3" xfId="16554" xr:uid="{00000000-0005-0000-0000-000095400000}"/>
    <cellStyle name="Dane wyjściowe 2 29 4" xfId="16555" xr:uid="{00000000-0005-0000-0000-000096400000}"/>
    <cellStyle name="Dane wyjściowe 2 3" xfId="16556" xr:uid="{00000000-0005-0000-0000-000097400000}"/>
    <cellStyle name="Dane wyjściowe 2 3 10" xfId="16557" xr:uid="{00000000-0005-0000-0000-000098400000}"/>
    <cellStyle name="Dane wyjściowe 2 3 10 2" xfId="16558" xr:uid="{00000000-0005-0000-0000-000099400000}"/>
    <cellStyle name="Dane wyjściowe 2 3 10 3" xfId="16559" xr:uid="{00000000-0005-0000-0000-00009A400000}"/>
    <cellStyle name="Dane wyjściowe 2 3 10 4" xfId="16560" xr:uid="{00000000-0005-0000-0000-00009B400000}"/>
    <cellStyle name="Dane wyjściowe 2 3 11" xfId="16561" xr:uid="{00000000-0005-0000-0000-00009C400000}"/>
    <cellStyle name="Dane wyjściowe 2 3 11 2" xfId="16562" xr:uid="{00000000-0005-0000-0000-00009D400000}"/>
    <cellStyle name="Dane wyjściowe 2 3 11 3" xfId="16563" xr:uid="{00000000-0005-0000-0000-00009E400000}"/>
    <cellStyle name="Dane wyjściowe 2 3 11 4" xfId="16564" xr:uid="{00000000-0005-0000-0000-00009F400000}"/>
    <cellStyle name="Dane wyjściowe 2 3 12" xfId="16565" xr:uid="{00000000-0005-0000-0000-0000A0400000}"/>
    <cellStyle name="Dane wyjściowe 2 3 12 2" xfId="16566" xr:uid="{00000000-0005-0000-0000-0000A1400000}"/>
    <cellStyle name="Dane wyjściowe 2 3 12 3" xfId="16567" xr:uid="{00000000-0005-0000-0000-0000A2400000}"/>
    <cellStyle name="Dane wyjściowe 2 3 12 4" xfId="16568" xr:uid="{00000000-0005-0000-0000-0000A3400000}"/>
    <cellStyle name="Dane wyjściowe 2 3 13" xfId="16569" xr:uid="{00000000-0005-0000-0000-0000A4400000}"/>
    <cellStyle name="Dane wyjściowe 2 3 13 2" xfId="16570" xr:uid="{00000000-0005-0000-0000-0000A5400000}"/>
    <cellStyle name="Dane wyjściowe 2 3 13 3" xfId="16571" xr:uid="{00000000-0005-0000-0000-0000A6400000}"/>
    <cellStyle name="Dane wyjściowe 2 3 13 4" xfId="16572" xr:uid="{00000000-0005-0000-0000-0000A7400000}"/>
    <cellStyle name="Dane wyjściowe 2 3 14" xfId="16573" xr:uid="{00000000-0005-0000-0000-0000A8400000}"/>
    <cellStyle name="Dane wyjściowe 2 3 14 2" xfId="16574" xr:uid="{00000000-0005-0000-0000-0000A9400000}"/>
    <cellStyle name="Dane wyjściowe 2 3 14 3" xfId="16575" xr:uid="{00000000-0005-0000-0000-0000AA400000}"/>
    <cellStyle name="Dane wyjściowe 2 3 14 4" xfId="16576" xr:uid="{00000000-0005-0000-0000-0000AB400000}"/>
    <cellStyle name="Dane wyjściowe 2 3 15" xfId="16577" xr:uid="{00000000-0005-0000-0000-0000AC400000}"/>
    <cellStyle name="Dane wyjściowe 2 3 15 2" xfId="16578" xr:uid="{00000000-0005-0000-0000-0000AD400000}"/>
    <cellStyle name="Dane wyjściowe 2 3 15 3" xfId="16579" xr:uid="{00000000-0005-0000-0000-0000AE400000}"/>
    <cellStyle name="Dane wyjściowe 2 3 15 4" xfId="16580" xr:uid="{00000000-0005-0000-0000-0000AF400000}"/>
    <cellStyle name="Dane wyjściowe 2 3 16" xfId="16581" xr:uid="{00000000-0005-0000-0000-0000B0400000}"/>
    <cellStyle name="Dane wyjściowe 2 3 16 2" xfId="16582" xr:uid="{00000000-0005-0000-0000-0000B1400000}"/>
    <cellStyle name="Dane wyjściowe 2 3 16 3" xfId="16583" xr:uid="{00000000-0005-0000-0000-0000B2400000}"/>
    <cellStyle name="Dane wyjściowe 2 3 16 4" xfId="16584" xr:uid="{00000000-0005-0000-0000-0000B3400000}"/>
    <cellStyle name="Dane wyjściowe 2 3 17" xfId="16585" xr:uid="{00000000-0005-0000-0000-0000B4400000}"/>
    <cellStyle name="Dane wyjściowe 2 3 17 2" xfId="16586" xr:uid="{00000000-0005-0000-0000-0000B5400000}"/>
    <cellStyle name="Dane wyjściowe 2 3 17 3" xfId="16587" xr:uid="{00000000-0005-0000-0000-0000B6400000}"/>
    <cellStyle name="Dane wyjściowe 2 3 17 4" xfId="16588" xr:uid="{00000000-0005-0000-0000-0000B7400000}"/>
    <cellStyle name="Dane wyjściowe 2 3 18" xfId="16589" xr:uid="{00000000-0005-0000-0000-0000B8400000}"/>
    <cellStyle name="Dane wyjściowe 2 3 18 2" xfId="16590" xr:uid="{00000000-0005-0000-0000-0000B9400000}"/>
    <cellStyle name="Dane wyjściowe 2 3 18 3" xfId="16591" xr:uid="{00000000-0005-0000-0000-0000BA400000}"/>
    <cellStyle name="Dane wyjściowe 2 3 18 4" xfId="16592" xr:uid="{00000000-0005-0000-0000-0000BB400000}"/>
    <cellStyle name="Dane wyjściowe 2 3 19" xfId="16593" xr:uid="{00000000-0005-0000-0000-0000BC400000}"/>
    <cellStyle name="Dane wyjściowe 2 3 19 2" xfId="16594" xr:uid="{00000000-0005-0000-0000-0000BD400000}"/>
    <cellStyle name="Dane wyjściowe 2 3 19 3" xfId="16595" xr:uid="{00000000-0005-0000-0000-0000BE400000}"/>
    <cellStyle name="Dane wyjściowe 2 3 19 4" xfId="16596" xr:uid="{00000000-0005-0000-0000-0000BF400000}"/>
    <cellStyle name="Dane wyjściowe 2 3 2" xfId="16597" xr:uid="{00000000-0005-0000-0000-0000C0400000}"/>
    <cellStyle name="Dane wyjściowe 2 3 2 2" xfId="16598" xr:uid="{00000000-0005-0000-0000-0000C1400000}"/>
    <cellStyle name="Dane wyjściowe 2 3 2 3" xfId="16599" xr:uid="{00000000-0005-0000-0000-0000C2400000}"/>
    <cellStyle name="Dane wyjściowe 2 3 2 4" xfId="16600" xr:uid="{00000000-0005-0000-0000-0000C3400000}"/>
    <cellStyle name="Dane wyjściowe 2 3 20" xfId="16601" xr:uid="{00000000-0005-0000-0000-0000C4400000}"/>
    <cellStyle name="Dane wyjściowe 2 3 20 2" xfId="16602" xr:uid="{00000000-0005-0000-0000-0000C5400000}"/>
    <cellStyle name="Dane wyjściowe 2 3 20 3" xfId="16603" xr:uid="{00000000-0005-0000-0000-0000C6400000}"/>
    <cellStyle name="Dane wyjściowe 2 3 20 4" xfId="16604" xr:uid="{00000000-0005-0000-0000-0000C7400000}"/>
    <cellStyle name="Dane wyjściowe 2 3 21" xfId="16605" xr:uid="{00000000-0005-0000-0000-0000C8400000}"/>
    <cellStyle name="Dane wyjściowe 2 3 21 2" xfId="16606" xr:uid="{00000000-0005-0000-0000-0000C9400000}"/>
    <cellStyle name="Dane wyjściowe 2 3 21 3" xfId="16607" xr:uid="{00000000-0005-0000-0000-0000CA400000}"/>
    <cellStyle name="Dane wyjściowe 2 3 22" xfId="16608" xr:uid="{00000000-0005-0000-0000-0000CB400000}"/>
    <cellStyle name="Dane wyjściowe 2 3 22 2" xfId="16609" xr:uid="{00000000-0005-0000-0000-0000CC400000}"/>
    <cellStyle name="Dane wyjściowe 2 3 22 3" xfId="16610" xr:uid="{00000000-0005-0000-0000-0000CD400000}"/>
    <cellStyle name="Dane wyjściowe 2 3 23" xfId="16611" xr:uid="{00000000-0005-0000-0000-0000CE400000}"/>
    <cellStyle name="Dane wyjściowe 2 3 23 2" xfId="16612" xr:uid="{00000000-0005-0000-0000-0000CF400000}"/>
    <cellStyle name="Dane wyjściowe 2 3 23 3" xfId="16613" xr:uid="{00000000-0005-0000-0000-0000D0400000}"/>
    <cellStyle name="Dane wyjściowe 2 3 24" xfId="16614" xr:uid="{00000000-0005-0000-0000-0000D1400000}"/>
    <cellStyle name="Dane wyjściowe 2 3 24 2" xfId="16615" xr:uid="{00000000-0005-0000-0000-0000D2400000}"/>
    <cellStyle name="Dane wyjściowe 2 3 24 3" xfId="16616" xr:uid="{00000000-0005-0000-0000-0000D3400000}"/>
    <cellStyle name="Dane wyjściowe 2 3 25" xfId="16617" xr:uid="{00000000-0005-0000-0000-0000D4400000}"/>
    <cellStyle name="Dane wyjściowe 2 3 25 2" xfId="16618" xr:uid="{00000000-0005-0000-0000-0000D5400000}"/>
    <cellStyle name="Dane wyjściowe 2 3 25 3" xfId="16619" xr:uid="{00000000-0005-0000-0000-0000D6400000}"/>
    <cellStyle name="Dane wyjściowe 2 3 26" xfId="16620" xr:uid="{00000000-0005-0000-0000-0000D7400000}"/>
    <cellStyle name="Dane wyjściowe 2 3 26 2" xfId="16621" xr:uid="{00000000-0005-0000-0000-0000D8400000}"/>
    <cellStyle name="Dane wyjściowe 2 3 26 3" xfId="16622" xr:uid="{00000000-0005-0000-0000-0000D9400000}"/>
    <cellStyle name="Dane wyjściowe 2 3 27" xfId="16623" xr:uid="{00000000-0005-0000-0000-0000DA400000}"/>
    <cellStyle name="Dane wyjściowe 2 3 27 2" xfId="16624" xr:uid="{00000000-0005-0000-0000-0000DB400000}"/>
    <cellStyle name="Dane wyjściowe 2 3 27 3" xfId="16625" xr:uid="{00000000-0005-0000-0000-0000DC400000}"/>
    <cellStyle name="Dane wyjściowe 2 3 28" xfId="16626" xr:uid="{00000000-0005-0000-0000-0000DD400000}"/>
    <cellStyle name="Dane wyjściowe 2 3 28 2" xfId="16627" xr:uid="{00000000-0005-0000-0000-0000DE400000}"/>
    <cellStyle name="Dane wyjściowe 2 3 28 3" xfId="16628" xr:uid="{00000000-0005-0000-0000-0000DF400000}"/>
    <cellStyle name="Dane wyjściowe 2 3 29" xfId="16629" xr:uid="{00000000-0005-0000-0000-0000E0400000}"/>
    <cellStyle name="Dane wyjściowe 2 3 29 2" xfId="16630" xr:uid="{00000000-0005-0000-0000-0000E1400000}"/>
    <cellStyle name="Dane wyjściowe 2 3 29 3" xfId="16631" xr:uid="{00000000-0005-0000-0000-0000E2400000}"/>
    <cellStyle name="Dane wyjściowe 2 3 3" xfId="16632" xr:uid="{00000000-0005-0000-0000-0000E3400000}"/>
    <cellStyle name="Dane wyjściowe 2 3 3 2" xfId="16633" xr:uid="{00000000-0005-0000-0000-0000E4400000}"/>
    <cellStyle name="Dane wyjściowe 2 3 3 3" xfId="16634" xr:uid="{00000000-0005-0000-0000-0000E5400000}"/>
    <cellStyle name="Dane wyjściowe 2 3 3 4" xfId="16635" xr:uid="{00000000-0005-0000-0000-0000E6400000}"/>
    <cellStyle name="Dane wyjściowe 2 3 30" xfId="16636" xr:uid="{00000000-0005-0000-0000-0000E7400000}"/>
    <cellStyle name="Dane wyjściowe 2 3 30 2" xfId="16637" xr:uid="{00000000-0005-0000-0000-0000E8400000}"/>
    <cellStyle name="Dane wyjściowe 2 3 30 3" xfId="16638" xr:uid="{00000000-0005-0000-0000-0000E9400000}"/>
    <cellStyle name="Dane wyjściowe 2 3 31" xfId="16639" xr:uid="{00000000-0005-0000-0000-0000EA400000}"/>
    <cellStyle name="Dane wyjściowe 2 3 31 2" xfId="16640" xr:uid="{00000000-0005-0000-0000-0000EB400000}"/>
    <cellStyle name="Dane wyjściowe 2 3 31 3" xfId="16641" xr:uid="{00000000-0005-0000-0000-0000EC400000}"/>
    <cellStyle name="Dane wyjściowe 2 3 32" xfId="16642" xr:uid="{00000000-0005-0000-0000-0000ED400000}"/>
    <cellStyle name="Dane wyjściowe 2 3 32 2" xfId="16643" xr:uid="{00000000-0005-0000-0000-0000EE400000}"/>
    <cellStyle name="Dane wyjściowe 2 3 32 3" xfId="16644" xr:uid="{00000000-0005-0000-0000-0000EF400000}"/>
    <cellStyle name="Dane wyjściowe 2 3 33" xfId="16645" xr:uid="{00000000-0005-0000-0000-0000F0400000}"/>
    <cellStyle name="Dane wyjściowe 2 3 33 2" xfId="16646" xr:uid="{00000000-0005-0000-0000-0000F1400000}"/>
    <cellStyle name="Dane wyjściowe 2 3 33 3" xfId="16647" xr:uid="{00000000-0005-0000-0000-0000F2400000}"/>
    <cellStyle name="Dane wyjściowe 2 3 34" xfId="16648" xr:uid="{00000000-0005-0000-0000-0000F3400000}"/>
    <cellStyle name="Dane wyjściowe 2 3 34 2" xfId="16649" xr:uid="{00000000-0005-0000-0000-0000F4400000}"/>
    <cellStyle name="Dane wyjściowe 2 3 34 3" xfId="16650" xr:uid="{00000000-0005-0000-0000-0000F5400000}"/>
    <cellStyle name="Dane wyjściowe 2 3 35" xfId="16651" xr:uid="{00000000-0005-0000-0000-0000F6400000}"/>
    <cellStyle name="Dane wyjściowe 2 3 35 2" xfId="16652" xr:uid="{00000000-0005-0000-0000-0000F7400000}"/>
    <cellStyle name="Dane wyjściowe 2 3 35 3" xfId="16653" xr:uid="{00000000-0005-0000-0000-0000F8400000}"/>
    <cellStyle name="Dane wyjściowe 2 3 36" xfId="16654" xr:uid="{00000000-0005-0000-0000-0000F9400000}"/>
    <cellStyle name="Dane wyjściowe 2 3 36 2" xfId="16655" xr:uid="{00000000-0005-0000-0000-0000FA400000}"/>
    <cellStyle name="Dane wyjściowe 2 3 36 3" xfId="16656" xr:uid="{00000000-0005-0000-0000-0000FB400000}"/>
    <cellStyle name="Dane wyjściowe 2 3 37" xfId="16657" xr:uid="{00000000-0005-0000-0000-0000FC400000}"/>
    <cellStyle name="Dane wyjściowe 2 3 37 2" xfId="16658" xr:uid="{00000000-0005-0000-0000-0000FD400000}"/>
    <cellStyle name="Dane wyjściowe 2 3 37 3" xfId="16659" xr:uid="{00000000-0005-0000-0000-0000FE400000}"/>
    <cellStyle name="Dane wyjściowe 2 3 38" xfId="16660" xr:uid="{00000000-0005-0000-0000-0000FF400000}"/>
    <cellStyle name="Dane wyjściowe 2 3 38 2" xfId="16661" xr:uid="{00000000-0005-0000-0000-000000410000}"/>
    <cellStyle name="Dane wyjściowe 2 3 38 3" xfId="16662" xr:uid="{00000000-0005-0000-0000-000001410000}"/>
    <cellStyle name="Dane wyjściowe 2 3 39" xfId="16663" xr:uid="{00000000-0005-0000-0000-000002410000}"/>
    <cellStyle name="Dane wyjściowe 2 3 39 2" xfId="16664" xr:uid="{00000000-0005-0000-0000-000003410000}"/>
    <cellStyle name="Dane wyjściowe 2 3 39 3" xfId="16665" xr:uid="{00000000-0005-0000-0000-000004410000}"/>
    <cellStyle name="Dane wyjściowe 2 3 4" xfId="16666" xr:uid="{00000000-0005-0000-0000-000005410000}"/>
    <cellStyle name="Dane wyjściowe 2 3 4 2" xfId="16667" xr:uid="{00000000-0005-0000-0000-000006410000}"/>
    <cellStyle name="Dane wyjściowe 2 3 4 3" xfId="16668" xr:uid="{00000000-0005-0000-0000-000007410000}"/>
    <cellStyle name="Dane wyjściowe 2 3 4 4" xfId="16669" xr:uid="{00000000-0005-0000-0000-000008410000}"/>
    <cellStyle name="Dane wyjściowe 2 3 40" xfId="16670" xr:uid="{00000000-0005-0000-0000-000009410000}"/>
    <cellStyle name="Dane wyjściowe 2 3 40 2" xfId="16671" xr:uid="{00000000-0005-0000-0000-00000A410000}"/>
    <cellStyle name="Dane wyjściowe 2 3 40 3" xfId="16672" xr:uid="{00000000-0005-0000-0000-00000B410000}"/>
    <cellStyle name="Dane wyjściowe 2 3 41" xfId="16673" xr:uid="{00000000-0005-0000-0000-00000C410000}"/>
    <cellStyle name="Dane wyjściowe 2 3 41 2" xfId="16674" xr:uid="{00000000-0005-0000-0000-00000D410000}"/>
    <cellStyle name="Dane wyjściowe 2 3 41 3" xfId="16675" xr:uid="{00000000-0005-0000-0000-00000E410000}"/>
    <cellStyle name="Dane wyjściowe 2 3 42" xfId="16676" xr:uid="{00000000-0005-0000-0000-00000F410000}"/>
    <cellStyle name="Dane wyjściowe 2 3 42 2" xfId="16677" xr:uid="{00000000-0005-0000-0000-000010410000}"/>
    <cellStyle name="Dane wyjściowe 2 3 42 3" xfId="16678" xr:uid="{00000000-0005-0000-0000-000011410000}"/>
    <cellStyle name="Dane wyjściowe 2 3 43" xfId="16679" xr:uid="{00000000-0005-0000-0000-000012410000}"/>
    <cellStyle name="Dane wyjściowe 2 3 43 2" xfId="16680" xr:uid="{00000000-0005-0000-0000-000013410000}"/>
    <cellStyle name="Dane wyjściowe 2 3 43 3" xfId="16681" xr:uid="{00000000-0005-0000-0000-000014410000}"/>
    <cellStyle name="Dane wyjściowe 2 3 44" xfId="16682" xr:uid="{00000000-0005-0000-0000-000015410000}"/>
    <cellStyle name="Dane wyjściowe 2 3 44 2" xfId="16683" xr:uid="{00000000-0005-0000-0000-000016410000}"/>
    <cellStyle name="Dane wyjściowe 2 3 44 3" xfId="16684" xr:uid="{00000000-0005-0000-0000-000017410000}"/>
    <cellStyle name="Dane wyjściowe 2 3 45" xfId="16685" xr:uid="{00000000-0005-0000-0000-000018410000}"/>
    <cellStyle name="Dane wyjściowe 2 3 45 2" xfId="16686" xr:uid="{00000000-0005-0000-0000-000019410000}"/>
    <cellStyle name="Dane wyjściowe 2 3 45 3" xfId="16687" xr:uid="{00000000-0005-0000-0000-00001A410000}"/>
    <cellStyle name="Dane wyjściowe 2 3 46" xfId="16688" xr:uid="{00000000-0005-0000-0000-00001B410000}"/>
    <cellStyle name="Dane wyjściowe 2 3 46 2" xfId="16689" xr:uid="{00000000-0005-0000-0000-00001C410000}"/>
    <cellStyle name="Dane wyjściowe 2 3 46 3" xfId="16690" xr:uid="{00000000-0005-0000-0000-00001D410000}"/>
    <cellStyle name="Dane wyjściowe 2 3 47" xfId="16691" xr:uid="{00000000-0005-0000-0000-00001E410000}"/>
    <cellStyle name="Dane wyjściowe 2 3 47 2" xfId="16692" xr:uid="{00000000-0005-0000-0000-00001F410000}"/>
    <cellStyle name="Dane wyjściowe 2 3 47 3" xfId="16693" xr:uid="{00000000-0005-0000-0000-000020410000}"/>
    <cellStyle name="Dane wyjściowe 2 3 48" xfId="16694" xr:uid="{00000000-0005-0000-0000-000021410000}"/>
    <cellStyle name="Dane wyjściowe 2 3 48 2" xfId="16695" xr:uid="{00000000-0005-0000-0000-000022410000}"/>
    <cellStyle name="Dane wyjściowe 2 3 48 3" xfId="16696" xr:uid="{00000000-0005-0000-0000-000023410000}"/>
    <cellStyle name="Dane wyjściowe 2 3 49" xfId="16697" xr:uid="{00000000-0005-0000-0000-000024410000}"/>
    <cellStyle name="Dane wyjściowe 2 3 49 2" xfId="16698" xr:uid="{00000000-0005-0000-0000-000025410000}"/>
    <cellStyle name="Dane wyjściowe 2 3 49 3" xfId="16699" xr:uid="{00000000-0005-0000-0000-000026410000}"/>
    <cellStyle name="Dane wyjściowe 2 3 5" xfId="16700" xr:uid="{00000000-0005-0000-0000-000027410000}"/>
    <cellStyle name="Dane wyjściowe 2 3 5 2" xfId="16701" xr:uid="{00000000-0005-0000-0000-000028410000}"/>
    <cellStyle name="Dane wyjściowe 2 3 5 3" xfId="16702" xr:uid="{00000000-0005-0000-0000-000029410000}"/>
    <cellStyle name="Dane wyjściowe 2 3 5 4" xfId="16703" xr:uid="{00000000-0005-0000-0000-00002A410000}"/>
    <cellStyle name="Dane wyjściowe 2 3 50" xfId="16704" xr:uid="{00000000-0005-0000-0000-00002B410000}"/>
    <cellStyle name="Dane wyjściowe 2 3 50 2" xfId="16705" xr:uid="{00000000-0005-0000-0000-00002C410000}"/>
    <cellStyle name="Dane wyjściowe 2 3 50 3" xfId="16706" xr:uid="{00000000-0005-0000-0000-00002D410000}"/>
    <cellStyle name="Dane wyjściowe 2 3 51" xfId="16707" xr:uid="{00000000-0005-0000-0000-00002E410000}"/>
    <cellStyle name="Dane wyjściowe 2 3 51 2" xfId="16708" xr:uid="{00000000-0005-0000-0000-00002F410000}"/>
    <cellStyle name="Dane wyjściowe 2 3 51 3" xfId="16709" xr:uid="{00000000-0005-0000-0000-000030410000}"/>
    <cellStyle name="Dane wyjściowe 2 3 52" xfId="16710" xr:uid="{00000000-0005-0000-0000-000031410000}"/>
    <cellStyle name="Dane wyjściowe 2 3 52 2" xfId="16711" xr:uid="{00000000-0005-0000-0000-000032410000}"/>
    <cellStyle name="Dane wyjściowe 2 3 52 3" xfId="16712" xr:uid="{00000000-0005-0000-0000-000033410000}"/>
    <cellStyle name="Dane wyjściowe 2 3 53" xfId="16713" xr:uid="{00000000-0005-0000-0000-000034410000}"/>
    <cellStyle name="Dane wyjściowe 2 3 53 2" xfId="16714" xr:uid="{00000000-0005-0000-0000-000035410000}"/>
    <cellStyle name="Dane wyjściowe 2 3 53 3" xfId="16715" xr:uid="{00000000-0005-0000-0000-000036410000}"/>
    <cellStyle name="Dane wyjściowe 2 3 54" xfId="16716" xr:uid="{00000000-0005-0000-0000-000037410000}"/>
    <cellStyle name="Dane wyjściowe 2 3 54 2" xfId="16717" xr:uid="{00000000-0005-0000-0000-000038410000}"/>
    <cellStyle name="Dane wyjściowe 2 3 54 3" xfId="16718" xr:uid="{00000000-0005-0000-0000-000039410000}"/>
    <cellStyle name="Dane wyjściowe 2 3 55" xfId="16719" xr:uid="{00000000-0005-0000-0000-00003A410000}"/>
    <cellStyle name="Dane wyjściowe 2 3 55 2" xfId="16720" xr:uid="{00000000-0005-0000-0000-00003B410000}"/>
    <cellStyle name="Dane wyjściowe 2 3 55 3" xfId="16721" xr:uid="{00000000-0005-0000-0000-00003C410000}"/>
    <cellStyle name="Dane wyjściowe 2 3 56" xfId="16722" xr:uid="{00000000-0005-0000-0000-00003D410000}"/>
    <cellStyle name="Dane wyjściowe 2 3 56 2" xfId="16723" xr:uid="{00000000-0005-0000-0000-00003E410000}"/>
    <cellStyle name="Dane wyjściowe 2 3 56 3" xfId="16724" xr:uid="{00000000-0005-0000-0000-00003F410000}"/>
    <cellStyle name="Dane wyjściowe 2 3 57" xfId="16725" xr:uid="{00000000-0005-0000-0000-000040410000}"/>
    <cellStyle name="Dane wyjściowe 2 3 58" xfId="16726" xr:uid="{00000000-0005-0000-0000-000041410000}"/>
    <cellStyle name="Dane wyjściowe 2 3 6" xfId="16727" xr:uid="{00000000-0005-0000-0000-000042410000}"/>
    <cellStyle name="Dane wyjściowe 2 3 6 2" xfId="16728" xr:uid="{00000000-0005-0000-0000-000043410000}"/>
    <cellStyle name="Dane wyjściowe 2 3 6 3" xfId="16729" xr:uid="{00000000-0005-0000-0000-000044410000}"/>
    <cellStyle name="Dane wyjściowe 2 3 6 4" xfId="16730" xr:uid="{00000000-0005-0000-0000-000045410000}"/>
    <cellStyle name="Dane wyjściowe 2 3 7" xfId="16731" xr:uid="{00000000-0005-0000-0000-000046410000}"/>
    <cellStyle name="Dane wyjściowe 2 3 7 2" xfId="16732" xr:uid="{00000000-0005-0000-0000-000047410000}"/>
    <cellStyle name="Dane wyjściowe 2 3 7 3" xfId="16733" xr:uid="{00000000-0005-0000-0000-000048410000}"/>
    <cellStyle name="Dane wyjściowe 2 3 7 4" xfId="16734" xr:uid="{00000000-0005-0000-0000-000049410000}"/>
    <cellStyle name="Dane wyjściowe 2 3 8" xfId="16735" xr:uid="{00000000-0005-0000-0000-00004A410000}"/>
    <cellStyle name="Dane wyjściowe 2 3 8 2" xfId="16736" xr:uid="{00000000-0005-0000-0000-00004B410000}"/>
    <cellStyle name="Dane wyjściowe 2 3 8 3" xfId="16737" xr:uid="{00000000-0005-0000-0000-00004C410000}"/>
    <cellStyle name="Dane wyjściowe 2 3 8 4" xfId="16738" xr:uid="{00000000-0005-0000-0000-00004D410000}"/>
    <cellStyle name="Dane wyjściowe 2 3 9" xfId="16739" xr:uid="{00000000-0005-0000-0000-00004E410000}"/>
    <cellStyle name="Dane wyjściowe 2 3 9 2" xfId="16740" xr:uid="{00000000-0005-0000-0000-00004F410000}"/>
    <cellStyle name="Dane wyjściowe 2 3 9 3" xfId="16741" xr:uid="{00000000-0005-0000-0000-000050410000}"/>
    <cellStyle name="Dane wyjściowe 2 3 9 4" xfId="16742" xr:uid="{00000000-0005-0000-0000-000051410000}"/>
    <cellStyle name="Dane wyjściowe 2 30" xfId="16743" xr:uid="{00000000-0005-0000-0000-000052410000}"/>
    <cellStyle name="Dane wyjściowe 2 30 2" xfId="16744" xr:uid="{00000000-0005-0000-0000-000053410000}"/>
    <cellStyle name="Dane wyjściowe 2 30 3" xfId="16745" xr:uid="{00000000-0005-0000-0000-000054410000}"/>
    <cellStyle name="Dane wyjściowe 2 30 4" xfId="16746" xr:uid="{00000000-0005-0000-0000-000055410000}"/>
    <cellStyle name="Dane wyjściowe 2 31" xfId="16747" xr:uid="{00000000-0005-0000-0000-000056410000}"/>
    <cellStyle name="Dane wyjściowe 2 31 2" xfId="16748" xr:uid="{00000000-0005-0000-0000-000057410000}"/>
    <cellStyle name="Dane wyjściowe 2 31 3" xfId="16749" xr:uid="{00000000-0005-0000-0000-000058410000}"/>
    <cellStyle name="Dane wyjściowe 2 31 4" xfId="16750" xr:uid="{00000000-0005-0000-0000-000059410000}"/>
    <cellStyle name="Dane wyjściowe 2 32" xfId="16751" xr:uid="{00000000-0005-0000-0000-00005A410000}"/>
    <cellStyle name="Dane wyjściowe 2 32 2" xfId="16752" xr:uid="{00000000-0005-0000-0000-00005B410000}"/>
    <cellStyle name="Dane wyjściowe 2 32 3" xfId="16753" xr:uid="{00000000-0005-0000-0000-00005C410000}"/>
    <cellStyle name="Dane wyjściowe 2 32 4" xfId="16754" xr:uid="{00000000-0005-0000-0000-00005D410000}"/>
    <cellStyle name="Dane wyjściowe 2 33" xfId="16755" xr:uid="{00000000-0005-0000-0000-00005E410000}"/>
    <cellStyle name="Dane wyjściowe 2 33 2" xfId="16756" xr:uid="{00000000-0005-0000-0000-00005F410000}"/>
    <cellStyle name="Dane wyjściowe 2 33 3" xfId="16757" xr:uid="{00000000-0005-0000-0000-000060410000}"/>
    <cellStyle name="Dane wyjściowe 2 33 4" xfId="16758" xr:uid="{00000000-0005-0000-0000-000061410000}"/>
    <cellStyle name="Dane wyjściowe 2 34" xfId="16759" xr:uid="{00000000-0005-0000-0000-000062410000}"/>
    <cellStyle name="Dane wyjściowe 2 34 2" xfId="16760" xr:uid="{00000000-0005-0000-0000-000063410000}"/>
    <cellStyle name="Dane wyjściowe 2 34 3" xfId="16761" xr:uid="{00000000-0005-0000-0000-000064410000}"/>
    <cellStyle name="Dane wyjściowe 2 34 4" xfId="16762" xr:uid="{00000000-0005-0000-0000-000065410000}"/>
    <cellStyle name="Dane wyjściowe 2 35" xfId="16763" xr:uid="{00000000-0005-0000-0000-000066410000}"/>
    <cellStyle name="Dane wyjściowe 2 35 2" xfId="16764" xr:uid="{00000000-0005-0000-0000-000067410000}"/>
    <cellStyle name="Dane wyjściowe 2 35 3" xfId="16765" xr:uid="{00000000-0005-0000-0000-000068410000}"/>
    <cellStyle name="Dane wyjściowe 2 35 4" xfId="16766" xr:uid="{00000000-0005-0000-0000-000069410000}"/>
    <cellStyle name="Dane wyjściowe 2 36" xfId="16767" xr:uid="{00000000-0005-0000-0000-00006A410000}"/>
    <cellStyle name="Dane wyjściowe 2 36 2" xfId="16768" xr:uid="{00000000-0005-0000-0000-00006B410000}"/>
    <cellStyle name="Dane wyjściowe 2 36 3" xfId="16769" xr:uid="{00000000-0005-0000-0000-00006C410000}"/>
    <cellStyle name="Dane wyjściowe 2 36 4" xfId="16770" xr:uid="{00000000-0005-0000-0000-00006D410000}"/>
    <cellStyle name="Dane wyjściowe 2 37" xfId="16771" xr:uid="{00000000-0005-0000-0000-00006E410000}"/>
    <cellStyle name="Dane wyjściowe 2 37 2" xfId="16772" xr:uid="{00000000-0005-0000-0000-00006F410000}"/>
    <cellStyle name="Dane wyjściowe 2 37 3" xfId="16773" xr:uid="{00000000-0005-0000-0000-000070410000}"/>
    <cellStyle name="Dane wyjściowe 2 37 4" xfId="16774" xr:uid="{00000000-0005-0000-0000-000071410000}"/>
    <cellStyle name="Dane wyjściowe 2 38" xfId="16775" xr:uid="{00000000-0005-0000-0000-000072410000}"/>
    <cellStyle name="Dane wyjściowe 2 38 2" xfId="16776" xr:uid="{00000000-0005-0000-0000-000073410000}"/>
    <cellStyle name="Dane wyjściowe 2 38 3" xfId="16777" xr:uid="{00000000-0005-0000-0000-000074410000}"/>
    <cellStyle name="Dane wyjściowe 2 38 4" xfId="16778" xr:uid="{00000000-0005-0000-0000-000075410000}"/>
    <cellStyle name="Dane wyjściowe 2 39" xfId="16779" xr:uid="{00000000-0005-0000-0000-000076410000}"/>
    <cellStyle name="Dane wyjściowe 2 39 2" xfId="16780" xr:uid="{00000000-0005-0000-0000-000077410000}"/>
    <cellStyle name="Dane wyjściowe 2 39 3" xfId="16781" xr:uid="{00000000-0005-0000-0000-000078410000}"/>
    <cellStyle name="Dane wyjściowe 2 39 4" xfId="16782" xr:uid="{00000000-0005-0000-0000-000079410000}"/>
    <cellStyle name="Dane wyjściowe 2 4" xfId="16783" xr:uid="{00000000-0005-0000-0000-00007A410000}"/>
    <cellStyle name="Dane wyjściowe 2 4 10" xfId="16784" xr:uid="{00000000-0005-0000-0000-00007B410000}"/>
    <cellStyle name="Dane wyjściowe 2 4 10 2" xfId="16785" xr:uid="{00000000-0005-0000-0000-00007C410000}"/>
    <cellStyle name="Dane wyjściowe 2 4 10 3" xfId="16786" xr:uid="{00000000-0005-0000-0000-00007D410000}"/>
    <cellStyle name="Dane wyjściowe 2 4 10 4" xfId="16787" xr:uid="{00000000-0005-0000-0000-00007E410000}"/>
    <cellStyle name="Dane wyjściowe 2 4 11" xfId="16788" xr:uid="{00000000-0005-0000-0000-00007F410000}"/>
    <cellStyle name="Dane wyjściowe 2 4 11 2" xfId="16789" xr:uid="{00000000-0005-0000-0000-000080410000}"/>
    <cellStyle name="Dane wyjściowe 2 4 11 3" xfId="16790" xr:uid="{00000000-0005-0000-0000-000081410000}"/>
    <cellStyle name="Dane wyjściowe 2 4 11 4" xfId="16791" xr:uid="{00000000-0005-0000-0000-000082410000}"/>
    <cellStyle name="Dane wyjściowe 2 4 12" xfId="16792" xr:uid="{00000000-0005-0000-0000-000083410000}"/>
    <cellStyle name="Dane wyjściowe 2 4 12 2" xfId="16793" xr:uid="{00000000-0005-0000-0000-000084410000}"/>
    <cellStyle name="Dane wyjściowe 2 4 12 3" xfId="16794" xr:uid="{00000000-0005-0000-0000-000085410000}"/>
    <cellStyle name="Dane wyjściowe 2 4 12 4" xfId="16795" xr:uid="{00000000-0005-0000-0000-000086410000}"/>
    <cellStyle name="Dane wyjściowe 2 4 13" xfId="16796" xr:uid="{00000000-0005-0000-0000-000087410000}"/>
    <cellStyle name="Dane wyjściowe 2 4 13 2" xfId="16797" xr:uid="{00000000-0005-0000-0000-000088410000}"/>
    <cellStyle name="Dane wyjściowe 2 4 13 3" xfId="16798" xr:uid="{00000000-0005-0000-0000-000089410000}"/>
    <cellStyle name="Dane wyjściowe 2 4 13 4" xfId="16799" xr:uid="{00000000-0005-0000-0000-00008A410000}"/>
    <cellStyle name="Dane wyjściowe 2 4 14" xfId="16800" xr:uid="{00000000-0005-0000-0000-00008B410000}"/>
    <cellStyle name="Dane wyjściowe 2 4 14 2" xfId="16801" xr:uid="{00000000-0005-0000-0000-00008C410000}"/>
    <cellStyle name="Dane wyjściowe 2 4 14 3" xfId="16802" xr:uid="{00000000-0005-0000-0000-00008D410000}"/>
    <cellStyle name="Dane wyjściowe 2 4 14 4" xfId="16803" xr:uid="{00000000-0005-0000-0000-00008E410000}"/>
    <cellStyle name="Dane wyjściowe 2 4 15" xfId="16804" xr:uid="{00000000-0005-0000-0000-00008F410000}"/>
    <cellStyle name="Dane wyjściowe 2 4 15 2" xfId="16805" xr:uid="{00000000-0005-0000-0000-000090410000}"/>
    <cellStyle name="Dane wyjściowe 2 4 15 3" xfId="16806" xr:uid="{00000000-0005-0000-0000-000091410000}"/>
    <cellStyle name="Dane wyjściowe 2 4 15 4" xfId="16807" xr:uid="{00000000-0005-0000-0000-000092410000}"/>
    <cellStyle name="Dane wyjściowe 2 4 16" xfId="16808" xr:uid="{00000000-0005-0000-0000-000093410000}"/>
    <cellStyle name="Dane wyjściowe 2 4 16 2" xfId="16809" xr:uid="{00000000-0005-0000-0000-000094410000}"/>
    <cellStyle name="Dane wyjściowe 2 4 16 3" xfId="16810" xr:uid="{00000000-0005-0000-0000-000095410000}"/>
    <cellStyle name="Dane wyjściowe 2 4 16 4" xfId="16811" xr:uid="{00000000-0005-0000-0000-000096410000}"/>
    <cellStyle name="Dane wyjściowe 2 4 17" xfId="16812" xr:uid="{00000000-0005-0000-0000-000097410000}"/>
    <cellStyle name="Dane wyjściowe 2 4 17 2" xfId="16813" xr:uid="{00000000-0005-0000-0000-000098410000}"/>
    <cellStyle name="Dane wyjściowe 2 4 17 3" xfId="16814" xr:uid="{00000000-0005-0000-0000-000099410000}"/>
    <cellStyle name="Dane wyjściowe 2 4 17 4" xfId="16815" xr:uid="{00000000-0005-0000-0000-00009A410000}"/>
    <cellStyle name="Dane wyjściowe 2 4 18" xfId="16816" xr:uid="{00000000-0005-0000-0000-00009B410000}"/>
    <cellStyle name="Dane wyjściowe 2 4 18 2" xfId="16817" xr:uid="{00000000-0005-0000-0000-00009C410000}"/>
    <cellStyle name="Dane wyjściowe 2 4 18 3" xfId="16818" xr:uid="{00000000-0005-0000-0000-00009D410000}"/>
    <cellStyle name="Dane wyjściowe 2 4 18 4" xfId="16819" xr:uid="{00000000-0005-0000-0000-00009E410000}"/>
    <cellStyle name="Dane wyjściowe 2 4 19" xfId="16820" xr:uid="{00000000-0005-0000-0000-00009F410000}"/>
    <cellStyle name="Dane wyjściowe 2 4 19 2" xfId="16821" xr:uid="{00000000-0005-0000-0000-0000A0410000}"/>
    <cellStyle name="Dane wyjściowe 2 4 19 3" xfId="16822" xr:uid="{00000000-0005-0000-0000-0000A1410000}"/>
    <cellStyle name="Dane wyjściowe 2 4 19 4" xfId="16823" xr:uid="{00000000-0005-0000-0000-0000A2410000}"/>
    <cellStyle name="Dane wyjściowe 2 4 2" xfId="16824" xr:uid="{00000000-0005-0000-0000-0000A3410000}"/>
    <cellStyle name="Dane wyjściowe 2 4 2 2" xfId="16825" xr:uid="{00000000-0005-0000-0000-0000A4410000}"/>
    <cellStyle name="Dane wyjściowe 2 4 2 3" xfId="16826" xr:uid="{00000000-0005-0000-0000-0000A5410000}"/>
    <cellStyle name="Dane wyjściowe 2 4 2 4" xfId="16827" xr:uid="{00000000-0005-0000-0000-0000A6410000}"/>
    <cellStyle name="Dane wyjściowe 2 4 20" xfId="16828" xr:uid="{00000000-0005-0000-0000-0000A7410000}"/>
    <cellStyle name="Dane wyjściowe 2 4 20 2" xfId="16829" xr:uid="{00000000-0005-0000-0000-0000A8410000}"/>
    <cellStyle name="Dane wyjściowe 2 4 20 3" xfId="16830" xr:uid="{00000000-0005-0000-0000-0000A9410000}"/>
    <cellStyle name="Dane wyjściowe 2 4 20 4" xfId="16831" xr:uid="{00000000-0005-0000-0000-0000AA410000}"/>
    <cellStyle name="Dane wyjściowe 2 4 21" xfId="16832" xr:uid="{00000000-0005-0000-0000-0000AB410000}"/>
    <cellStyle name="Dane wyjściowe 2 4 21 2" xfId="16833" xr:uid="{00000000-0005-0000-0000-0000AC410000}"/>
    <cellStyle name="Dane wyjściowe 2 4 21 3" xfId="16834" xr:uid="{00000000-0005-0000-0000-0000AD410000}"/>
    <cellStyle name="Dane wyjściowe 2 4 22" xfId="16835" xr:uid="{00000000-0005-0000-0000-0000AE410000}"/>
    <cellStyle name="Dane wyjściowe 2 4 22 2" xfId="16836" xr:uid="{00000000-0005-0000-0000-0000AF410000}"/>
    <cellStyle name="Dane wyjściowe 2 4 22 3" xfId="16837" xr:uid="{00000000-0005-0000-0000-0000B0410000}"/>
    <cellStyle name="Dane wyjściowe 2 4 23" xfId="16838" xr:uid="{00000000-0005-0000-0000-0000B1410000}"/>
    <cellStyle name="Dane wyjściowe 2 4 23 2" xfId="16839" xr:uid="{00000000-0005-0000-0000-0000B2410000}"/>
    <cellStyle name="Dane wyjściowe 2 4 23 3" xfId="16840" xr:uid="{00000000-0005-0000-0000-0000B3410000}"/>
    <cellStyle name="Dane wyjściowe 2 4 24" xfId="16841" xr:uid="{00000000-0005-0000-0000-0000B4410000}"/>
    <cellStyle name="Dane wyjściowe 2 4 24 2" xfId="16842" xr:uid="{00000000-0005-0000-0000-0000B5410000}"/>
    <cellStyle name="Dane wyjściowe 2 4 24 3" xfId="16843" xr:uid="{00000000-0005-0000-0000-0000B6410000}"/>
    <cellStyle name="Dane wyjściowe 2 4 25" xfId="16844" xr:uid="{00000000-0005-0000-0000-0000B7410000}"/>
    <cellStyle name="Dane wyjściowe 2 4 25 2" xfId="16845" xr:uid="{00000000-0005-0000-0000-0000B8410000}"/>
    <cellStyle name="Dane wyjściowe 2 4 25 3" xfId="16846" xr:uid="{00000000-0005-0000-0000-0000B9410000}"/>
    <cellStyle name="Dane wyjściowe 2 4 26" xfId="16847" xr:uid="{00000000-0005-0000-0000-0000BA410000}"/>
    <cellStyle name="Dane wyjściowe 2 4 26 2" xfId="16848" xr:uid="{00000000-0005-0000-0000-0000BB410000}"/>
    <cellStyle name="Dane wyjściowe 2 4 26 3" xfId="16849" xr:uid="{00000000-0005-0000-0000-0000BC410000}"/>
    <cellStyle name="Dane wyjściowe 2 4 27" xfId="16850" xr:uid="{00000000-0005-0000-0000-0000BD410000}"/>
    <cellStyle name="Dane wyjściowe 2 4 27 2" xfId="16851" xr:uid="{00000000-0005-0000-0000-0000BE410000}"/>
    <cellStyle name="Dane wyjściowe 2 4 27 3" xfId="16852" xr:uid="{00000000-0005-0000-0000-0000BF410000}"/>
    <cellStyle name="Dane wyjściowe 2 4 28" xfId="16853" xr:uid="{00000000-0005-0000-0000-0000C0410000}"/>
    <cellStyle name="Dane wyjściowe 2 4 28 2" xfId="16854" xr:uid="{00000000-0005-0000-0000-0000C1410000}"/>
    <cellStyle name="Dane wyjściowe 2 4 28 3" xfId="16855" xr:uid="{00000000-0005-0000-0000-0000C2410000}"/>
    <cellStyle name="Dane wyjściowe 2 4 29" xfId="16856" xr:uid="{00000000-0005-0000-0000-0000C3410000}"/>
    <cellStyle name="Dane wyjściowe 2 4 29 2" xfId="16857" xr:uid="{00000000-0005-0000-0000-0000C4410000}"/>
    <cellStyle name="Dane wyjściowe 2 4 29 3" xfId="16858" xr:uid="{00000000-0005-0000-0000-0000C5410000}"/>
    <cellStyle name="Dane wyjściowe 2 4 3" xfId="16859" xr:uid="{00000000-0005-0000-0000-0000C6410000}"/>
    <cellStyle name="Dane wyjściowe 2 4 3 2" xfId="16860" xr:uid="{00000000-0005-0000-0000-0000C7410000}"/>
    <cellStyle name="Dane wyjściowe 2 4 3 3" xfId="16861" xr:uid="{00000000-0005-0000-0000-0000C8410000}"/>
    <cellStyle name="Dane wyjściowe 2 4 3 4" xfId="16862" xr:uid="{00000000-0005-0000-0000-0000C9410000}"/>
    <cellStyle name="Dane wyjściowe 2 4 30" xfId="16863" xr:uid="{00000000-0005-0000-0000-0000CA410000}"/>
    <cellStyle name="Dane wyjściowe 2 4 30 2" xfId="16864" xr:uid="{00000000-0005-0000-0000-0000CB410000}"/>
    <cellStyle name="Dane wyjściowe 2 4 30 3" xfId="16865" xr:uid="{00000000-0005-0000-0000-0000CC410000}"/>
    <cellStyle name="Dane wyjściowe 2 4 31" xfId="16866" xr:uid="{00000000-0005-0000-0000-0000CD410000}"/>
    <cellStyle name="Dane wyjściowe 2 4 31 2" xfId="16867" xr:uid="{00000000-0005-0000-0000-0000CE410000}"/>
    <cellStyle name="Dane wyjściowe 2 4 31 3" xfId="16868" xr:uid="{00000000-0005-0000-0000-0000CF410000}"/>
    <cellStyle name="Dane wyjściowe 2 4 32" xfId="16869" xr:uid="{00000000-0005-0000-0000-0000D0410000}"/>
    <cellStyle name="Dane wyjściowe 2 4 32 2" xfId="16870" xr:uid="{00000000-0005-0000-0000-0000D1410000}"/>
    <cellStyle name="Dane wyjściowe 2 4 32 3" xfId="16871" xr:uid="{00000000-0005-0000-0000-0000D2410000}"/>
    <cellStyle name="Dane wyjściowe 2 4 33" xfId="16872" xr:uid="{00000000-0005-0000-0000-0000D3410000}"/>
    <cellStyle name="Dane wyjściowe 2 4 33 2" xfId="16873" xr:uid="{00000000-0005-0000-0000-0000D4410000}"/>
    <cellStyle name="Dane wyjściowe 2 4 33 3" xfId="16874" xr:uid="{00000000-0005-0000-0000-0000D5410000}"/>
    <cellStyle name="Dane wyjściowe 2 4 34" xfId="16875" xr:uid="{00000000-0005-0000-0000-0000D6410000}"/>
    <cellStyle name="Dane wyjściowe 2 4 34 2" xfId="16876" xr:uid="{00000000-0005-0000-0000-0000D7410000}"/>
    <cellStyle name="Dane wyjściowe 2 4 34 3" xfId="16877" xr:uid="{00000000-0005-0000-0000-0000D8410000}"/>
    <cellStyle name="Dane wyjściowe 2 4 35" xfId="16878" xr:uid="{00000000-0005-0000-0000-0000D9410000}"/>
    <cellStyle name="Dane wyjściowe 2 4 35 2" xfId="16879" xr:uid="{00000000-0005-0000-0000-0000DA410000}"/>
    <cellStyle name="Dane wyjściowe 2 4 35 3" xfId="16880" xr:uid="{00000000-0005-0000-0000-0000DB410000}"/>
    <cellStyle name="Dane wyjściowe 2 4 36" xfId="16881" xr:uid="{00000000-0005-0000-0000-0000DC410000}"/>
    <cellStyle name="Dane wyjściowe 2 4 36 2" xfId="16882" xr:uid="{00000000-0005-0000-0000-0000DD410000}"/>
    <cellStyle name="Dane wyjściowe 2 4 36 3" xfId="16883" xr:uid="{00000000-0005-0000-0000-0000DE410000}"/>
    <cellStyle name="Dane wyjściowe 2 4 37" xfId="16884" xr:uid="{00000000-0005-0000-0000-0000DF410000}"/>
    <cellStyle name="Dane wyjściowe 2 4 37 2" xfId="16885" xr:uid="{00000000-0005-0000-0000-0000E0410000}"/>
    <cellStyle name="Dane wyjściowe 2 4 37 3" xfId="16886" xr:uid="{00000000-0005-0000-0000-0000E1410000}"/>
    <cellStyle name="Dane wyjściowe 2 4 38" xfId="16887" xr:uid="{00000000-0005-0000-0000-0000E2410000}"/>
    <cellStyle name="Dane wyjściowe 2 4 38 2" xfId="16888" xr:uid="{00000000-0005-0000-0000-0000E3410000}"/>
    <cellStyle name="Dane wyjściowe 2 4 38 3" xfId="16889" xr:uid="{00000000-0005-0000-0000-0000E4410000}"/>
    <cellStyle name="Dane wyjściowe 2 4 39" xfId="16890" xr:uid="{00000000-0005-0000-0000-0000E5410000}"/>
    <cellStyle name="Dane wyjściowe 2 4 39 2" xfId="16891" xr:uid="{00000000-0005-0000-0000-0000E6410000}"/>
    <cellStyle name="Dane wyjściowe 2 4 39 3" xfId="16892" xr:uid="{00000000-0005-0000-0000-0000E7410000}"/>
    <cellStyle name="Dane wyjściowe 2 4 4" xfId="16893" xr:uid="{00000000-0005-0000-0000-0000E8410000}"/>
    <cellStyle name="Dane wyjściowe 2 4 4 2" xfId="16894" xr:uid="{00000000-0005-0000-0000-0000E9410000}"/>
    <cellStyle name="Dane wyjściowe 2 4 4 3" xfId="16895" xr:uid="{00000000-0005-0000-0000-0000EA410000}"/>
    <cellStyle name="Dane wyjściowe 2 4 4 4" xfId="16896" xr:uid="{00000000-0005-0000-0000-0000EB410000}"/>
    <cellStyle name="Dane wyjściowe 2 4 40" xfId="16897" xr:uid="{00000000-0005-0000-0000-0000EC410000}"/>
    <cellStyle name="Dane wyjściowe 2 4 40 2" xfId="16898" xr:uid="{00000000-0005-0000-0000-0000ED410000}"/>
    <cellStyle name="Dane wyjściowe 2 4 40 3" xfId="16899" xr:uid="{00000000-0005-0000-0000-0000EE410000}"/>
    <cellStyle name="Dane wyjściowe 2 4 41" xfId="16900" xr:uid="{00000000-0005-0000-0000-0000EF410000}"/>
    <cellStyle name="Dane wyjściowe 2 4 41 2" xfId="16901" xr:uid="{00000000-0005-0000-0000-0000F0410000}"/>
    <cellStyle name="Dane wyjściowe 2 4 41 3" xfId="16902" xr:uid="{00000000-0005-0000-0000-0000F1410000}"/>
    <cellStyle name="Dane wyjściowe 2 4 42" xfId="16903" xr:uid="{00000000-0005-0000-0000-0000F2410000}"/>
    <cellStyle name="Dane wyjściowe 2 4 42 2" xfId="16904" xr:uid="{00000000-0005-0000-0000-0000F3410000}"/>
    <cellStyle name="Dane wyjściowe 2 4 42 3" xfId="16905" xr:uid="{00000000-0005-0000-0000-0000F4410000}"/>
    <cellStyle name="Dane wyjściowe 2 4 43" xfId="16906" xr:uid="{00000000-0005-0000-0000-0000F5410000}"/>
    <cellStyle name="Dane wyjściowe 2 4 43 2" xfId="16907" xr:uid="{00000000-0005-0000-0000-0000F6410000}"/>
    <cellStyle name="Dane wyjściowe 2 4 43 3" xfId="16908" xr:uid="{00000000-0005-0000-0000-0000F7410000}"/>
    <cellStyle name="Dane wyjściowe 2 4 44" xfId="16909" xr:uid="{00000000-0005-0000-0000-0000F8410000}"/>
    <cellStyle name="Dane wyjściowe 2 4 44 2" xfId="16910" xr:uid="{00000000-0005-0000-0000-0000F9410000}"/>
    <cellStyle name="Dane wyjściowe 2 4 44 3" xfId="16911" xr:uid="{00000000-0005-0000-0000-0000FA410000}"/>
    <cellStyle name="Dane wyjściowe 2 4 45" xfId="16912" xr:uid="{00000000-0005-0000-0000-0000FB410000}"/>
    <cellStyle name="Dane wyjściowe 2 4 45 2" xfId="16913" xr:uid="{00000000-0005-0000-0000-0000FC410000}"/>
    <cellStyle name="Dane wyjściowe 2 4 45 3" xfId="16914" xr:uid="{00000000-0005-0000-0000-0000FD410000}"/>
    <cellStyle name="Dane wyjściowe 2 4 46" xfId="16915" xr:uid="{00000000-0005-0000-0000-0000FE410000}"/>
    <cellStyle name="Dane wyjściowe 2 4 46 2" xfId="16916" xr:uid="{00000000-0005-0000-0000-0000FF410000}"/>
    <cellStyle name="Dane wyjściowe 2 4 46 3" xfId="16917" xr:uid="{00000000-0005-0000-0000-000000420000}"/>
    <cellStyle name="Dane wyjściowe 2 4 47" xfId="16918" xr:uid="{00000000-0005-0000-0000-000001420000}"/>
    <cellStyle name="Dane wyjściowe 2 4 47 2" xfId="16919" xr:uid="{00000000-0005-0000-0000-000002420000}"/>
    <cellStyle name="Dane wyjściowe 2 4 47 3" xfId="16920" xr:uid="{00000000-0005-0000-0000-000003420000}"/>
    <cellStyle name="Dane wyjściowe 2 4 48" xfId="16921" xr:uid="{00000000-0005-0000-0000-000004420000}"/>
    <cellStyle name="Dane wyjściowe 2 4 48 2" xfId="16922" xr:uid="{00000000-0005-0000-0000-000005420000}"/>
    <cellStyle name="Dane wyjściowe 2 4 48 3" xfId="16923" xr:uid="{00000000-0005-0000-0000-000006420000}"/>
    <cellStyle name="Dane wyjściowe 2 4 49" xfId="16924" xr:uid="{00000000-0005-0000-0000-000007420000}"/>
    <cellStyle name="Dane wyjściowe 2 4 49 2" xfId="16925" xr:uid="{00000000-0005-0000-0000-000008420000}"/>
    <cellStyle name="Dane wyjściowe 2 4 49 3" xfId="16926" xr:uid="{00000000-0005-0000-0000-000009420000}"/>
    <cellStyle name="Dane wyjściowe 2 4 5" xfId="16927" xr:uid="{00000000-0005-0000-0000-00000A420000}"/>
    <cellStyle name="Dane wyjściowe 2 4 5 2" xfId="16928" xr:uid="{00000000-0005-0000-0000-00000B420000}"/>
    <cellStyle name="Dane wyjściowe 2 4 5 3" xfId="16929" xr:uid="{00000000-0005-0000-0000-00000C420000}"/>
    <cellStyle name="Dane wyjściowe 2 4 5 4" xfId="16930" xr:uid="{00000000-0005-0000-0000-00000D420000}"/>
    <cellStyle name="Dane wyjściowe 2 4 50" xfId="16931" xr:uid="{00000000-0005-0000-0000-00000E420000}"/>
    <cellStyle name="Dane wyjściowe 2 4 50 2" xfId="16932" xr:uid="{00000000-0005-0000-0000-00000F420000}"/>
    <cellStyle name="Dane wyjściowe 2 4 50 3" xfId="16933" xr:uid="{00000000-0005-0000-0000-000010420000}"/>
    <cellStyle name="Dane wyjściowe 2 4 51" xfId="16934" xr:uid="{00000000-0005-0000-0000-000011420000}"/>
    <cellStyle name="Dane wyjściowe 2 4 51 2" xfId="16935" xr:uid="{00000000-0005-0000-0000-000012420000}"/>
    <cellStyle name="Dane wyjściowe 2 4 51 3" xfId="16936" xr:uid="{00000000-0005-0000-0000-000013420000}"/>
    <cellStyle name="Dane wyjściowe 2 4 52" xfId="16937" xr:uid="{00000000-0005-0000-0000-000014420000}"/>
    <cellStyle name="Dane wyjściowe 2 4 52 2" xfId="16938" xr:uid="{00000000-0005-0000-0000-000015420000}"/>
    <cellStyle name="Dane wyjściowe 2 4 52 3" xfId="16939" xr:uid="{00000000-0005-0000-0000-000016420000}"/>
    <cellStyle name="Dane wyjściowe 2 4 53" xfId="16940" xr:uid="{00000000-0005-0000-0000-000017420000}"/>
    <cellStyle name="Dane wyjściowe 2 4 53 2" xfId="16941" xr:uid="{00000000-0005-0000-0000-000018420000}"/>
    <cellStyle name="Dane wyjściowe 2 4 53 3" xfId="16942" xr:uid="{00000000-0005-0000-0000-000019420000}"/>
    <cellStyle name="Dane wyjściowe 2 4 54" xfId="16943" xr:uid="{00000000-0005-0000-0000-00001A420000}"/>
    <cellStyle name="Dane wyjściowe 2 4 54 2" xfId="16944" xr:uid="{00000000-0005-0000-0000-00001B420000}"/>
    <cellStyle name="Dane wyjściowe 2 4 54 3" xfId="16945" xr:uid="{00000000-0005-0000-0000-00001C420000}"/>
    <cellStyle name="Dane wyjściowe 2 4 55" xfId="16946" xr:uid="{00000000-0005-0000-0000-00001D420000}"/>
    <cellStyle name="Dane wyjściowe 2 4 55 2" xfId="16947" xr:uid="{00000000-0005-0000-0000-00001E420000}"/>
    <cellStyle name="Dane wyjściowe 2 4 55 3" xfId="16948" xr:uid="{00000000-0005-0000-0000-00001F420000}"/>
    <cellStyle name="Dane wyjściowe 2 4 56" xfId="16949" xr:uid="{00000000-0005-0000-0000-000020420000}"/>
    <cellStyle name="Dane wyjściowe 2 4 56 2" xfId="16950" xr:uid="{00000000-0005-0000-0000-000021420000}"/>
    <cellStyle name="Dane wyjściowe 2 4 56 3" xfId="16951" xr:uid="{00000000-0005-0000-0000-000022420000}"/>
    <cellStyle name="Dane wyjściowe 2 4 57" xfId="16952" xr:uid="{00000000-0005-0000-0000-000023420000}"/>
    <cellStyle name="Dane wyjściowe 2 4 58" xfId="16953" xr:uid="{00000000-0005-0000-0000-000024420000}"/>
    <cellStyle name="Dane wyjściowe 2 4 6" xfId="16954" xr:uid="{00000000-0005-0000-0000-000025420000}"/>
    <cellStyle name="Dane wyjściowe 2 4 6 2" xfId="16955" xr:uid="{00000000-0005-0000-0000-000026420000}"/>
    <cellStyle name="Dane wyjściowe 2 4 6 3" xfId="16956" xr:uid="{00000000-0005-0000-0000-000027420000}"/>
    <cellStyle name="Dane wyjściowe 2 4 6 4" xfId="16957" xr:uid="{00000000-0005-0000-0000-000028420000}"/>
    <cellStyle name="Dane wyjściowe 2 4 7" xfId="16958" xr:uid="{00000000-0005-0000-0000-000029420000}"/>
    <cellStyle name="Dane wyjściowe 2 4 7 2" xfId="16959" xr:uid="{00000000-0005-0000-0000-00002A420000}"/>
    <cellStyle name="Dane wyjściowe 2 4 7 3" xfId="16960" xr:uid="{00000000-0005-0000-0000-00002B420000}"/>
    <cellStyle name="Dane wyjściowe 2 4 7 4" xfId="16961" xr:uid="{00000000-0005-0000-0000-00002C420000}"/>
    <cellStyle name="Dane wyjściowe 2 4 8" xfId="16962" xr:uid="{00000000-0005-0000-0000-00002D420000}"/>
    <cellStyle name="Dane wyjściowe 2 4 8 2" xfId="16963" xr:uid="{00000000-0005-0000-0000-00002E420000}"/>
    <cellStyle name="Dane wyjściowe 2 4 8 3" xfId="16964" xr:uid="{00000000-0005-0000-0000-00002F420000}"/>
    <cellStyle name="Dane wyjściowe 2 4 8 4" xfId="16965" xr:uid="{00000000-0005-0000-0000-000030420000}"/>
    <cellStyle name="Dane wyjściowe 2 4 9" xfId="16966" xr:uid="{00000000-0005-0000-0000-000031420000}"/>
    <cellStyle name="Dane wyjściowe 2 4 9 2" xfId="16967" xr:uid="{00000000-0005-0000-0000-000032420000}"/>
    <cellStyle name="Dane wyjściowe 2 4 9 3" xfId="16968" xr:uid="{00000000-0005-0000-0000-000033420000}"/>
    <cellStyle name="Dane wyjściowe 2 4 9 4" xfId="16969" xr:uid="{00000000-0005-0000-0000-000034420000}"/>
    <cellStyle name="Dane wyjściowe 2 40" xfId="16970" xr:uid="{00000000-0005-0000-0000-000035420000}"/>
    <cellStyle name="Dane wyjściowe 2 40 2" xfId="16971" xr:uid="{00000000-0005-0000-0000-000036420000}"/>
    <cellStyle name="Dane wyjściowe 2 40 3" xfId="16972" xr:uid="{00000000-0005-0000-0000-000037420000}"/>
    <cellStyle name="Dane wyjściowe 2 40 4" xfId="16973" xr:uid="{00000000-0005-0000-0000-000038420000}"/>
    <cellStyle name="Dane wyjściowe 2 41" xfId="16974" xr:uid="{00000000-0005-0000-0000-000039420000}"/>
    <cellStyle name="Dane wyjściowe 2 41 2" xfId="16975" xr:uid="{00000000-0005-0000-0000-00003A420000}"/>
    <cellStyle name="Dane wyjściowe 2 41 3" xfId="16976" xr:uid="{00000000-0005-0000-0000-00003B420000}"/>
    <cellStyle name="Dane wyjściowe 2 41 4" xfId="16977" xr:uid="{00000000-0005-0000-0000-00003C420000}"/>
    <cellStyle name="Dane wyjściowe 2 42" xfId="16978" xr:uid="{00000000-0005-0000-0000-00003D420000}"/>
    <cellStyle name="Dane wyjściowe 2 42 2" xfId="16979" xr:uid="{00000000-0005-0000-0000-00003E420000}"/>
    <cellStyle name="Dane wyjściowe 2 42 3" xfId="16980" xr:uid="{00000000-0005-0000-0000-00003F420000}"/>
    <cellStyle name="Dane wyjściowe 2 42 4" xfId="16981" xr:uid="{00000000-0005-0000-0000-000040420000}"/>
    <cellStyle name="Dane wyjściowe 2 43" xfId="16982" xr:uid="{00000000-0005-0000-0000-000041420000}"/>
    <cellStyle name="Dane wyjściowe 2 43 2" xfId="16983" xr:uid="{00000000-0005-0000-0000-000042420000}"/>
    <cellStyle name="Dane wyjściowe 2 43 3" xfId="16984" xr:uid="{00000000-0005-0000-0000-000043420000}"/>
    <cellStyle name="Dane wyjściowe 2 43 4" xfId="16985" xr:uid="{00000000-0005-0000-0000-000044420000}"/>
    <cellStyle name="Dane wyjściowe 2 44" xfId="16986" xr:uid="{00000000-0005-0000-0000-000045420000}"/>
    <cellStyle name="Dane wyjściowe 2 44 2" xfId="16987" xr:uid="{00000000-0005-0000-0000-000046420000}"/>
    <cellStyle name="Dane wyjściowe 2 44 3" xfId="16988" xr:uid="{00000000-0005-0000-0000-000047420000}"/>
    <cellStyle name="Dane wyjściowe 2 44 4" xfId="16989" xr:uid="{00000000-0005-0000-0000-000048420000}"/>
    <cellStyle name="Dane wyjściowe 2 45" xfId="16990" xr:uid="{00000000-0005-0000-0000-000049420000}"/>
    <cellStyle name="Dane wyjściowe 2 45 2" xfId="16991" xr:uid="{00000000-0005-0000-0000-00004A420000}"/>
    <cellStyle name="Dane wyjściowe 2 45 3" xfId="16992" xr:uid="{00000000-0005-0000-0000-00004B420000}"/>
    <cellStyle name="Dane wyjściowe 2 45 4" xfId="16993" xr:uid="{00000000-0005-0000-0000-00004C420000}"/>
    <cellStyle name="Dane wyjściowe 2 46" xfId="16994" xr:uid="{00000000-0005-0000-0000-00004D420000}"/>
    <cellStyle name="Dane wyjściowe 2 46 2" xfId="16995" xr:uid="{00000000-0005-0000-0000-00004E420000}"/>
    <cellStyle name="Dane wyjściowe 2 46 3" xfId="16996" xr:uid="{00000000-0005-0000-0000-00004F420000}"/>
    <cellStyle name="Dane wyjściowe 2 46 4" xfId="16997" xr:uid="{00000000-0005-0000-0000-000050420000}"/>
    <cellStyle name="Dane wyjściowe 2 47" xfId="16998" xr:uid="{00000000-0005-0000-0000-000051420000}"/>
    <cellStyle name="Dane wyjściowe 2 47 2" xfId="16999" xr:uid="{00000000-0005-0000-0000-000052420000}"/>
    <cellStyle name="Dane wyjściowe 2 47 3" xfId="17000" xr:uid="{00000000-0005-0000-0000-000053420000}"/>
    <cellStyle name="Dane wyjściowe 2 47 4" xfId="17001" xr:uid="{00000000-0005-0000-0000-000054420000}"/>
    <cellStyle name="Dane wyjściowe 2 48" xfId="17002" xr:uid="{00000000-0005-0000-0000-000055420000}"/>
    <cellStyle name="Dane wyjściowe 2 48 2" xfId="17003" xr:uid="{00000000-0005-0000-0000-000056420000}"/>
    <cellStyle name="Dane wyjściowe 2 48 3" xfId="17004" xr:uid="{00000000-0005-0000-0000-000057420000}"/>
    <cellStyle name="Dane wyjściowe 2 48 4" xfId="17005" xr:uid="{00000000-0005-0000-0000-000058420000}"/>
    <cellStyle name="Dane wyjściowe 2 49" xfId="17006" xr:uid="{00000000-0005-0000-0000-000059420000}"/>
    <cellStyle name="Dane wyjściowe 2 49 2" xfId="17007" xr:uid="{00000000-0005-0000-0000-00005A420000}"/>
    <cellStyle name="Dane wyjściowe 2 49 3" xfId="17008" xr:uid="{00000000-0005-0000-0000-00005B420000}"/>
    <cellStyle name="Dane wyjściowe 2 49 4" xfId="17009" xr:uid="{00000000-0005-0000-0000-00005C420000}"/>
    <cellStyle name="Dane wyjściowe 2 5" xfId="17010" xr:uid="{00000000-0005-0000-0000-00005D420000}"/>
    <cellStyle name="Dane wyjściowe 2 5 10" xfId="17011" xr:uid="{00000000-0005-0000-0000-00005E420000}"/>
    <cellStyle name="Dane wyjściowe 2 5 10 2" xfId="17012" xr:uid="{00000000-0005-0000-0000-00005F420000}"/>
    <cellStyle name="Dane wyjściowe 2 5 10 3" xfId="17013" xr:uid="{00000000-0005-0000-0000-000060420000}"/>
    <cellStyle name="Dane wyjściowe 2 5 10 4" xfId="17014" xr:uid="{00000000-0005-0000-0000-000061420000}"/>
    <cellStyle name="Dane wyjściowe 2 5 11" xfId="17015" xr:uid="{00000000-0005-0000-0000-000062420000}"/>
    <cellStyle name="Dane wyjściowe 2 5 11 2" xfId="17016" xr:uid="{00000000-0005-0000-0000-000063420000}"/>
    <cellStyle name="Dane wyjściowe 2 5 11 3" xfId="17017" xr:uid="{00000000-0005-0000-0000-000064420000}"/>
    <cellStyle name="Dane wyjściowe 2 5 11 4" xfId="17018" xr:uid="{00000000-0005-0000-0000-000065420000}"/>
    <cellStyle name="Dane wyjściowe 2 5 12" xfId="17019" xr:uid="{00000000-0005-0000-0000-000066420000}"/>
    <cellStyle name="Dane wyjściowe 2 5 12 2" xfId="17020" xr:uid="{00000000-0005-0000-0000-000067420000}"/>
    <cellStyle name="Dane wyjściowe 2 5 12 3" xfId="17021" xr:uid="{00000000-0005-0000-0000-000068420000}"/>
    <cellStyle name="Dane wyjściowe 2 5 12 4" xfId="17022" xr:uid="{00000000-0005-0000-0000-000069420000}"/>
    <cellStyle name="Dane wyjściowe 2 5 13" xfId="17023" xr:uid="{00000000-0005-0000-0000-00006A420000}"/>
    <cellStyle name="Dane wyjściowe 2 5 13 2" xfId="17024" xr:uid="{00000000-0005-0000-0000-00006B420000}"/>
    <cellStyle name="Dane wyjściowe 2 5 13 3" xfId="17025" xr:uid="{00000000-0005-0000-0000-00006C420000}"/>
    <cellStyle name="Dane wyjściowe 2 5 13 4" xfId="17026" xr:uid="{00000000-0005-0000-0000-00006D420000}"/>
    <cellStyle name="Dane wyjściowe 2 5 14" xfId="17027" xr:uid="{00000000-0005-0000-0000-00006E420000}"/>
    <cellStyle name="Dane wyjściowe 2 5 14 2" xfId="17028" xr:uid="{00000000-0005-0000-0000-00006F420000}"/>
    <cellStyle name="Dane wyjściowe 2 5 14 3" xfId="17029" xr:uid="{00000000-0005-0000-0000-000070420000}"/>
    <cellStyle name="Dane wyjściowe 2 5 14 4" xfId="17030" xr:uid="{00000000-0005-0000-0000-000071420000}"/>
    <cellStyle name="Dane wyjściowe 2 5 15" xfId="17031" xr:uid="{00000000-0005-0000-0000-000072420000}"/>
    <cellStyle name="Dane wyjściowe 2 5 15 2" xfId="17032" xr:uid="{00000000-0005-0000-0000-000073420000}"/>
    <cellStyle name="Dane wyjściowe 2 5 15 3" xfId="17033" xr:uid="{00000000-0005-0000-0000-000074420000}"/>
    <cellStyle name="Dane wyjściowe 2 5 15 4" xfId="17034" xr:uid="{00000000-0005-0000-0000-000075420000}"/>
    <cellStyle name="Dane wyjściowe 2 5 16" xfId="17035" xr:uid="{00000000-0005-0000-0000-000076420000}"/>
    <cellStyle name="Dane wyjściowe 2 5 16 2" xfId="17036" xr:uid="{00000000-0005-0000-0000-000077420000}"/>
    <cellStyle name="Dane wyjściowe 2 5 16 3" xfId="17037" xr:uid="{00000000-0005-0000-0000-000078420000}"/>
    <cellStyle name="Dane wyjściowe 2 5 16 4" xfId="17038" xr:uid="{00000000-0005-0000-0000-000079420000}"/>
    <cellStyle name="Dane wyjściowe 2 5 17" xfId="17039" xr:uid="{00000000-0005-0000-0000-00007A420000}"/>
    <cellStyle name="Dane wyjściowe 2 5 17 2" xfId="17040" xr:uid="{00000000-0005-0000-0000-00007B420000}"/>
    <cellStyle name="Dane wyjściowe 2 5 17 3" xfId="17041" xr:uid="{00000000-0005-0000-0000-00007C420000}"/>
    <cellStyle name="Dane wyjściowe 2 5 17 4" xfId="17042" xr:uid="{00000000-0005-0000-0000-00007D420000}"/>
    <cellStyle name="Dane wyjściowe 2 5 18" xfId="17043" xr:uid="{00000000-0005-0000-0000-00007E420000}"/>
    <cellStyle name="Dane wyjściowe 2 5 18 2" xfId="17044" xr:uid="{00000000-0005-0000-0000-00007F420000}"/>
    <cellStyle name="Dane wyjściowe 2 5 18 3" xfId="17045" xr:uid="{00000000-0005-0000-0000-000080420000}"/>
    <cellStyle name="Dane wyjściowe 2 5 18 4" xfId="17046" xr:uid="{00000000-0005-0000-0000-000081420000}"/>
    <cellStyle name="Dane wyjściowe 2 5 19" xfId="17047" xr:uid="{00000000-0005-0000-0000-000082420000}"/>
    <cellStyle name="Dane wyjściowe 2 5 19 2" xfId="17048" xr:uid="{00000000-0005-0000-0000-000083420000}"/>
    <cellStyle name="Dane wyjściowe 2 5 19 3" xfId="17049" xr:uid="{00000000-0005-0000-0000-000084420000}"/>
    <cellStyle name="Dane wyjściowe 2 5 19 4" xfId="17050" xr:uid="{00000000-0005-0000-0000-000085420000}"/>
    <cellStyle name="Dane wyjściowe 2 5 2" xfId="17051" xr:uid="{00000000-0005-0000-0000-000086420000}"/>
    <cellStyle name="Dane wyjściowe 2 5 2 2" xfId="17052" xr:uid="{00000000-0005-0000-0000-000087420000}"/>
    <cellStyle name="Dane wyjściowe 2 5 2 3" xfId="17053" xr:uid="{00000000-0005-0000-0000-000088420000}"/>
    <cellStyle name="Dane wyjściowe 2 5 2 4" xfId="17054" xr:uid="{00000000-0005-0000-0000-000089420000}"/>
    <cellStyle name="Dane wyjściowe 2 5 20" xfId="17055" xr:uid="{00000000-0005-0000-0000-00008A420000}"/>
    <cellStyle name="Dane wyjściowe 2 5 20 2" xfId="17056" xr:uid="{00000000-0005-0000-0000-00008B420000}"/>
    <cellStyle name="Dane wyjściowe 2 5 20 3" xfId="17057" xr:uid="{00000000-0005-0000-0000-00008C420000}"/>
    <cellStyle name="Dane wyjściowe 2 5 20 4" xfId="17058" xr:uid="{00000000-0005-0000-0000-00008D420000}"/>
    <cellStyle name="Dane wyjściowe 2 5 21" xfId="17059" xr:uid="{00000000-0005-0000-0000-00008E420000}"/>
    <cellStyle name="Dane wyjściowe 2 5 21 2" xfId="17060" xr:uid="{00000000-0005-0000-0000-00008F420000}"/>
    <cellStyle name="Dane wyjściowe 2 5 21 3" xfId="17061" xr:uid="{00000000-0005-0000-0000-000090420000}"/>
    <cellStyle name="Dane wyjściowe 2 5 22" xfId="17062" xr:uid="{00000000-0005-0000-0000-000091420000}"/>
    <cellStyle name="Dane wyjściowe 2 5 22 2" xfId="17063" xr:uid="{00000000-0005-0000-0000-000092420000}"/>
    <cellStyle name="Dane wyjściowe 2 5 22 3" xfId="17064" xr:uid="{00000000-0005-0000-0000-000093420000}"/>
    <cellStyle name="Dane wyjściowe 2 5 23" xfId="17065" xr:uid="{00000000-0005-0000-0000-000094420000}"/>
    <cellStyle name="Dane wyjściowe 2 5 23 2" xfId="17066" xr:uid="{00000000-0005-0000-0000-000095420000}"/>
    <cellStyle name="Dane wyjściowe 2 5 23 3" xfId="17067" xr:uid="{00000000-0005-0000-0000-000096420000}"/>
    <cellStyle name="Dane wyjściowe 2 5 24" xfId="17068" xr:uid="{00000000-0005-0000-0000-000097420000}"/>
    <cellStyle name="Dane wyjściowe 2 5 24 2" xfId="17069" xr:uid="{00000000-0005-0000-0000-000098420000}"/>
    <cellStyle name="Dane wyjściowe 2 5 24 3" xfId="17070" xr:uid="{00000000-0005-0000-0000-000099420000}"/>
    <cellStyle name="Dane wyjściowe 2 5 25" xfId="17071" xr:uid="{00000000-0005-0000-0000-00009A420000}"/>
    <cellStyle name="Dane wyjściowe 2 5 25 2" xfId="17072" xr:uid="{00000000-0005-0000-0000-00009B420000}"/>
    <cellStyle name="Dane wyjściowe 2 5 25 3" xfId="17073" xr:uid="{00000000-0005-0000-0000-00009C420000}"/>
    <cellStyle name="Dane wyjściowe 2 5 26" xfId="17074" xr:uid="{00000000-0005-0000-0000-00009D420000}"/>
    <cellStyle name="Dane wyjściowe 2 5 26 2" xfId="17075" xr:uid="{00000000-0005-0000-0000-00009E420000}"/>
    <cellStyle name="Dane wyjściowe 2 5 26 3" xfId="17076" xr:uid="{00000000-0005-0000-0000-00009F420000}"/>
    <cellStyle name="Dane wyjściowe 2 5 27" xfId="17077" xr:uid="{00000000-0005-0000-0000-0000A0420000}"/>
    <cellStyle name="Dane wyjściowe 2 5 27 2" xfId="17078" xr:uid="{00000000-0005-0000-0000-0000A1420000}"/>
    <cellStyle name="Dane wyjściowe 2 5 27 3" xfId="17079" xr:uid="{00000000-0005-0000-0000-0000A2420000}"/>
    <cellStyle name="Dane wyjściowe 2 5 28" xfId="17080" xr:uid="{00000000-0005-0000-0000-0000A3420000}"/>
    <cellStyle name="Dane wyjściowe 2 5 28 2" xfId="17081" xr:uid="{00000000-0005-0000-0000-0000A4420000}"/>
    <cellStyle name="Dane wyjściowe 2 5 28 3" xfId="17082" xr:uid="{00000000-0005-0000-0000-0000A5420000}"/>
    <cellStyle name="Dane wyjściowe 2 5 29" xfId="17083" xr:uid="{00000000-0005-0000-0000-0000A6420000}"/>
    <cellStyle name="Dane wyjściowe 2 5 29 2" xfId="17084" xr:uid="{00000000-0005-0000-0000-0000A7420000}"/>
    <cellStyle name="Dane wyjściowe 2 5 29 3" xfId="17085" xr:uid="{00000000-0005-0000-0000-0000A8420000}"/>
    <cellStyle name="Dane wyjściowe 2 5 3" xfId="17086" xr:uid="{00000000-0005-0000-0000-0000A9420000}"/>
    <cellStyle name="Dane wyjściowe 2 5 3 2" xfId="17087" xr:uid="{00000000-0005-0000-0000-0000AA420000}"/>
    <cellStyle name="Dane wyjściowe 2 5 3 3" xfId="17088" xr:uid="{00000000-0005-0000-0000-0000AB420000}"/>
    <cellStyle name="Dane wyjściowe 2 5 3 4" xfId="17089" xr:uid="{00000000-0005-0000-0000-0000AC420000}"/>
    <cellStyle name="Dane wyjściowe 2 5 30" xfId="17090" xr:uid="{00000000-0005-0000-0000-0000AD420000}"/>
    <cellStyle name="Dane wyjściowe 2 5 30 2" xfId="17091" xr:uid="{00000000-0005-0000-0000-0000AE420000}"/>
    <cellStyle name="Dane wyjściowe 2 5 30 3" xfId="17092" xr:uid="{00000000-0005-0000-0000-0000AF420000}"/>
    <cellStyle name="Dane wyjściowe 2 5 31" xfId="17093" xr:uid="{00000000-0005-0000-0000-0000B0420000}"/>
    <cellStyle name="Dane wyjściowe 2 5 31 2" xfId="17094" xr:uid="{00000000-0005-0000-0000-0000B1420000}"/>
    <cellStyle name="Dane wyjściowe 2 5 31 3" xfId="17095" xr:uid="{00000000-0005-0000-0000-0000B2420000}"/>
    <cellStyle name="Dane wyjściowe 2 5 32" xfId="17096" xr:uid="{00000000-0005-0000-0000-0000B3420000}"/>
    <cellStyle name="Dane wyjściowe 2 5 32 2" xfId="17097" xr:uid="{00000000-0005-0000-0000-0000B4420000}"/>
    <cellStyle name="Dane wyjściowe 2 5 32 3" xfId="17098" xr:uid="{00000000-0005-0000-0000-0000B5420000}"/>
    <cellStyle name="Dane wyjściowe 2 5 33" xfId="17099" xr:uid="{00000000-0005-0000-0000-0000B6420000}"/>
    <cellStyle name="Dane wyjściowe 2 5 33 2" xfId="17100" xr:uid="{00000000-0005-0000-0000-0000B7420000}"/>
    <cellStyle name="Dane wyjściowe 2 5 33 3" xfId="17101" xr:uid="{00000000-0005-0000-0000-0000B8420000}"/>
    <cellStyle name="Dane wyjściowe 2 5 34" xfId="17102" xr:uid="{00000000-0005-0000-0000-0000B9420000}"/>
    <cellStyle name="Dane wyjściowe 2 5 34 2" xfId="17103" xr:uid="{00000000-0005-0000-0000-0000BA420000}"/>
    <cellStyle name="Dane wyjściowe 2 5 34 3" xfId="17104" xr:uid="{00000000-0005-0000-0000-0000BB420000}"/>
    <cellStyle name="Dane wyjściowe 2 5 35" xfId="17105" xr:uid="{00000000-0005-0000-0000-0000BC420000}"/>
    <cellStyle name="Dane wyjściowe 2 5 35 2" xfId="17106" xr:uid="{00000000-0005-0000-0000-0000BD420000}"/>
    <cellStyle name="Dane wyjściowe 2 5 35 3" xfId="17107" xr:uid="{00000000-0005-0000-0000-0000BE420000}"/>
    <cellStyle name="Dane wyjściowe 2 5 36" xfId="17108" xr:uid="{00000000-0005-0000-0000-0000BF420000}"/>
    <cellStyle name="Dane wyjściowe 2 5 36 2" xfId="17109" xr:uid="{00000000-0005-0000-0000-0000C0420000}"/>
    <cellStyle name="Dane wyjściowe 2 5 36 3" xfId="17110" xr:uid="{00000000-0005-0000-0000-0000C1420000}"/>
    <cellStyle name="Dane wyjściowe 2 5 37" xfId="17111" xr:uid="{00000000-0005-0000-0000-0000C2420000}"/>
    <cellStyle name="Dane wyjściowe 2 5 37 2" xfId="17112" xr:uid="{00000000-0005-0000-0000-0000C3420000}"/>
    <cellStyle name="Dane wyjściowe 2 5 37 3" xfId="17113" xr:uid="{00000000-0005-0000-0000-0000C4420000}"/>
    <cellStyle name="Dane wyjściowe 2 5 38" xfId="17114" xr:uid="{00000000-0005-0000-0000-0000C5420000}"/>
    <cellStyle name="Dane wyjściowe 2 5 38 2" xfId="17115" xr:uid="{00000000-0005-0000-0000-0000C6420000}"/>
    <cellStyle name="Dane wyjściowe 2 5 38 3" xfId="17116" xr:uid="{00000000-0005-0000-0000-0000C7420000}"/>
    <cellStyle name="Dane wyjściowe 2 5 39" xfId="17117" xr:uid="{00000000-0005-0000-0000-0000C8420000}"/>
    <cellStyle name="Dane wyjściowe 2 5 39 2" xfId="17118" xr:uid="{00000000-0005-0000-0000-0000C9420000}"/>
    <cellStyle name="Dane wyjściowe 2 5 39 3" xfId="17119" xr:uid="{00000000-0005-0000-0000-0000CA420000}"/>
    <cellStyle name="Dane wyjściowe 2 5 4" xfId="17120" xr:uid="{00000000-0005-0000-0000-0000CB420000}"/>
    <cellStyle name="Dane wyjściowe 2 5 4 2" xfId="17121" xr:uid="{00000000-0005-0000-0000-0000CC420000}"/>
    <cellStyle name="Dane wyjściowe 2 5 4 3" xfId="17122" xr:uid="{00000000-0005-0000-0000-0000CD420000}"/>
    <cellStyle name="Dane wyjściowe 2 5 4 4" xfId="17123" xr:uid="{00000000-0005-0000-0000-0000CE420000}"/>
    <cellStyle name="Dane wyjściowe 2 5 40" xfId="17124" xr:uid="{00000000-0005-0000-0000-0000CF420000}"/>
    <cellStyle name="Dane wyjściowe 2 5 40 2" xfId="17125" xr:uid="{00000000-0005-0000-0000-0000D0420000}"/>
    <cellStyle name="Dane wyjściowe 2 5 40 3" xfId="17126" xr:uid="{00000000-0005-0000-0000-0000D1420000}"/>
    <cellStyle name="Dane wyjściowe 2 5 41" xfId="17127" xr:uid="{00000000-0005-0000-0000-0000D2420000}"/>
    <cellStyle name="Dane wyjściowe 2 5 41 2" xfId="17128" xr:uid="{00000000-0005-0000-0000-0000D3420000}"/>
    <cellStyle name="Dane wyjściowe 2 5 41 3" xfId="17129" xr:uid="{00000000-0005-0000-0000-0000D4420000}"/>
    <cellStyle name="Dane wyjściowe 2 5 42" xfId="17130" xr:uid="{00000000-0005-0000-0000-0000D5420000}"/>
    <cellStyle name="Dane wyjściowe 2 5 42 2" xfId="17131" xr:uid="{00000000-0005-0000-0000-0000D6420000}"/>
    <cellStyle name="Dane wyjściowe 2 5 42 3" xfId="17132" xr:uid="{00000000-0005-0000-0000-0000D7420000}"/>
    <cellStyle name="Dane wyjściowe 2 5 43" xfId="17133" xr:uid="{00000000-0005-0000-0000-0000D8420000}"/>
    <cellStyle name="Dane wyjściowe 2 5 43 2" xfId="17134" xr:uid="{00000000-0005-0000-0000-0000D9420000}"/>
    <cellStyle name="Dane wyjściowe 2 5 43 3" xfId="17135" xr:uid="{00000000-0005-0000-0000-0000DA420000}"/>
    <cellStyle name="Dane wyjściowe 2 5 44" xfId="17136" xr:uid="{00000000-0005-0000-0000-0000DB420000}"/>
    <cellStyle name="Dane wyjściowe 2 5 44 2" xfId="17137" xr:uid="{00000000-0005-0000-0000-0000DC420000}"/>
    <cellStyle name="Dane wyjściowe 2 5 44 3" xfId="17138" xr:uid="{00000000-0005-0000-0000-0000DD420000}"/>
    <cellStyle name="Dane wyjściowe 2 5 45" xfId="17139" xr:uid="{00000000-0005-0000-0000-0000DE420000}"/>
    <cellStyle name="Dane wyjściowe 2 5 45 2" xfId="17140" xr:uid="{00000000-0005-0000-0000-0000DF420000}"/>
    <cellStyle name="Dane wyjściowe 2 5 45 3" xfId="17141" xr:uid="{00000000-0005-0000-0000-0000E0420000}"/>
    <cellStyle name="Dane wyjściowe 2 5 46" xfId="17142" xr:uid="{00000000-0005-0000-0000-0000E1420000}"/>
    <cellStyle name="Dane wyjściowe 2 5 46 2" xfId="17143" xr:uid="{00000000-0005-0000-0000-0000E2420000}"/>
    <cellStyle name="Dane wyjściowe 2 5 46 3" xfId="17144" xr:uid="{00000000-0005-0000-0000-0000E3420000}"/>
    <cellStyle name="Dane wyjściowe 2 5 47" xfId="17145" xr:uid="{00000000-0005-0000-0000-0000E4420000}"/>
    <cellStyle name="Dane wyjściowe 2 5 47 2" xfId="17146" xr:uid="{00000000-0005-0000-0000-0000E5420000}"/>
    <cellStyle name="Dane wyjściowe 2 5 47 3" xfId="17147" xr:uid="{00000000-0005-0000-0000-0000E6420000}"/>
    <cellStyle name="Dane wyjściowe 2 5 48" xfId="17148" xr:uid="{00000000-0005-0000-0000-0000E7420000}"/>
    <cellStyle name="Dane wyjściowe 2 5 48 2" xfId="17149" xr:uid="{00000000-0005-0000-0000-0000E8420000}"/>
    <cellStyle name="Dane wyjściowe 2 5 48 3" xfId="17150" xr:uid="{00000000-0005-0000-0000-0000E9420000}"/>
    <cellStyle name="Dane wyjściowe 2 5 49" xfId="17151" xr:uid="{00000000-0005-0000-0000-0000EA420000}"/>
    <cellStyle name="Dane wyjściowe 2 5 49 2" xfId="17152" xr:uid="{00000000-0005-0000-0000-0000EB420000}"/>
    <cellStyle name="Dane wyjściowe 2 5 49 3" xfId="17153" xr:uid="{00000000-0005-0000-0000-0000EC420000}"/>
    <cellStyle name="Dane wyjściowe 2 5 5" xfId="17154" xr:uid="{00000000-0005-0000-0000-0000ED420000}"/>
    <cellStyle name="Dane wyjściowe 2 5 5 2" xfId="17155" xr:uid="{00000000-0005-0000-0000-0000EE420000}"/>
    <cellStyle name="Dane wyjściowe 2 5 5 3" xfId="17156" xr:uid="{00000000-0005-0000-0000-0000EF420000}"/>
    <cellStyle name="Dane wyjściowe 2 5 5 4" xfId="17157" xr:uid="{00000000-0005-0000-0000-0000F0420000}"/>
    <cellStyle name="Dane wyjściowe 2 5 50" xfId="17158" xr:uid="{00000000-0005-0000-0000-0000F1420000}"/>
    <cellStyle name="Dane wyjściowe 2 5 50 2" xfId="17159" xr:uid="{00000000-0005-0000-0000-0000F2420000}"/>
    <cellStyle name="Dane wyjściowe 2 5 50 3" xfId="17160" xr:uid="{00000000-0005-0000-0000-0000F3420000}"/>
    <cellStyle name="Dane wyjściowe 2 5 51" xfId="17161" xr:uid="{00000000-0005-0000-0000-0000F4420000}"/>
    <cellStyle name="Dane wyjściowe 2 5 51 2" xfId="17162" xr:uid="{00000000-0005-0000-0000-0000F5420000}"/>
    <cellStyle name="Dane wyjściowe 2 5 51 3" xfId="17163" xr:uid="{00000000-0005-0000-0000-0000F6420000}"/>
    <cellStyle name="Dane wyjściowe 2 5 52" xfId="17164" xr:uid="{00000000-0005-0000-0000-0000F7420000}"/>
    <cellStyle name="Dane wyjściowe 2 5 52 2" xfId="17165" xr:uid="{00000000-0005-0000-0000-0000F8420000}"/>
    <cellStyle name="Dane wyjściowe 2 5 52 3" xfId="17166" xr:uid="{00000000-0005-0000-0000-0000F9420000}"/>
    <cellStyle name="Dane wyjściowe 2 5 53" xfId="17167" xr:uid="{00000000-0005-0000-0000-0000FA420000}"/>
    <cellStyle name="Dane wyjściowe 2 5 53 2" xfId="17168" xr:uid="{00000000-0005-0000-0000-0000FB420000}"/>
    <cellStyle name="Dane wyjściowe 2 5 53 3" xfId="17169" xr:uid="{00000000-0005-0000-0000-0000FC420000}"/>
    <cellStyle name="Dane wyjściowe 2 5 54" xfId="17170" xr:uid="{00000000-0005-0000-0000-0000FD420000}"/>
    <cellStyle name="Dane wyjściowe 2 5 54 2" xfId="17171" xr:uid="{00000000-0005-0000-0000-0000FE420000}"/>
    <cellStyle name="Dane wyjściowe 2 5 54 3" xfId="17172" xr:uid="{00000000-0005-0000-0000-0000FF420000}"/>
    <cellStyle name="Dane wyjściowe 2 5 55" xfId="17173" xr:uid="{00000000-0005-0000-0000-000000430000}"/>
    <cellStyle name="Dane wyjściowe 2 5 55 2" xfId="17174" xr:uid="{00000000-0005-0000-0000-000001430000}"/>
    <cellStyle name="Dane wyjściowe 2 5 55 3" xfId="17175" xr:uid="{00000000-0005-0000-0000-000002430000}"/>
    <cellStyle name="Dane wyjściowe 2 5 56" xfId="17176" xr:uid="{00000000-0005-0000-0000-000003430000}"/>
    <cellStyle name="Dane wyjściowe 2 5 56 2" xfId="17177" xr:uid="{00000000-0005-0000-0000-000004430000}"/>
    <cellStyle name="Dane wyjściowe 2 5 56 3" xfId="17178" xr:uid="{00000000-0005-0000-0000-000005430000}"/>
    <cellStyle name="Dane wyjściowe 2 5 57" xfId="17179" xr:uid="{00000000-0005-0000-0000-000006430000}"/>
    <cellStyle name="Dane wyjściowe 2 5 58" xfId="17180" xr:uid="{00000000-0005-0000-0000-000007430000}"/>
    <cellStyle name="Dane wyjściowe 2 5 6" xfId="17181" xr:uid="{00000000-0005-0000-0000-000008430000}"/>
    <cellStyle name="Dane wyjściowe 2 5 6 2" xfId="17182" xr:uid="{00000000-0005-0000-0000-000009430000}"/>
    <cellStyle name="Dane wyjściowe 2 5 6 3" xfId="17183" xr:uid="{00000000-0005-0000-0000-00000A430000}"/>
    <cellStyle name="Dane wyjściowe 2 5 6 4" xfId="17184" xr:uid="{00000000-0005-0000-0000-00000B430000}"/>
    <cellStyle name="Dane wyjściowe 2 5 7" xfId="17185" xr:uid="{00000000-0005-0000-0000-00000C430000}"/>
    <cellStyle name="Dane wyjściowe 2 5 7 2" xfId="17186" xr:uid="{00000000-0005-0000-0000-00000D430000}"/>
    <cellStyle name="Dane wyjściowe 2 5 7 3" xfId="17187" xr:uid="{00000000-0005-0000-0000-00000E430000}"/>
    <cellStyle name="Dane wyjściowe 2 5 7 4" xfId="17188" xr:uid="{00000000-0005-0000-0000-00000F430000}"/>
    <cellStyle name="Dane wyjściowe 2 5 8" xfId="17189" xr:uid="{00000000-0005-0000-0000-000010430000}"/>
    <cellStyle name="Dane wyjściowe 2 5 8 2" xfId="17190" xr:uid="{00000000-0005-0000-0000-000011430000}"/>
    <cellStyle name="Dane wyjściowe 2 5 8 3" xfId="17191" xr:uid="{00000000-0005-0000-0000-000012430000}"/>
    <cellStyle name="Dane wyjściowe 2 5 8 4" xfId="17192" xr:uid="{00000000-0005-0000-0000-000013430000}"/>
    <cellStyle name="Dane wyjściowe 2 5 9" xfId="17193" xr:uid="{00000000-0005-0000-0000-000014430000}"/>
    <cellStyle name="Dane wyjściowe 2 5 9 2" xfId="17194" xr:uid="{00000000-0005-0000-0000-000015430000}"/>
    <cellStyle name="Dane wyjściowe 2 5 9 3" xfId="17195" xr:uid="{00000000-0005-0000-0000-000016430000}"/>
    <cellStyle name="Dane wyjściowe 2 5 9 4" xfId="17196" xr:uid="{00000000-0005-0000-0000-000017430000}"/>
    <cellStyle name="Dane wyjściowe 2 50" xfId="17197" xr:uid="{00000000-0005-0000-0000-000018430000}"/>
    <cellStyle name="Dane wyjściowe 2 50 2" xfId="17198" xr:uid="{00000000-0005-0000-0000-000019430000}"/>
    <cellStyle name="Dane wyjściowe 2 50 3" xfId="17199" xr:uid="{00000000-0005-0000-0000-00001A430000}"/>
    <cellStyle name="Dane wyjściowe 2 50 4" xfId="17200" xr:uid="{00000000-0005-0000-0000-00001B430000}"/>
    <cellStyle name="Dane wyjściowe 2 51" xfId="17201" xr:uid="{00000000-0005-0000-0000-00001C430000}"/>
    <cellStyle name="Dane wyjściowe 2 51 2" xfId="17202" xr:uid="{00000000-0005-0000-0000-00001D430000}"/>
    <cellStyle name="Dane wyjściowe 2 51 3" xfId="17203" xr:uid="{00000000-0005-0000-0000-00001E430000}"/>
    <cellStyle name="Dane wyjściowe 2 51 4" xfId="17204" xr:uid="{00000000-0005-0000-0000-00001F430000}"/>
    <cellStyle name="Dane wyjściowe 2 52" xfId="17205" xr:uid="{00000000-0005-0000-0000-000020430000}"/>
    <cellStyle name="Dane wyjściowe 2 52 2" xfId="17206" xr:uid="{00000000-0005-0000-0000-000021430000}"/>
    <cellStyle name="Dane wyjściowe 2 52 3" xfId="17207" xr:uid="{00000000-0005-0000-0000-000022430000}"/>
    <cellStyle name="Dane wyjściowe 2 52 4" xfId="17208" xr:uid="{00000000-0005-0000-0000-000023430000}"/>
    <cellStyle name="Dane wyjściowe 2 53" xfId="17209" xr:uid="{00000000-0005-0000-0000-000024430000}"/>
    <cellStyle name="Dane wyjściowe 2 53 2" xfId="17210" xr:uid="{00000000-0005-0000-0000-000025430000}"/>
    <cellStyle name="Dane wyjściowe 2 53 3" xfId="17211" xr:uid="{00000000-0005-0000-0000-000026430000}"/>
    <cellStyle name="Dane wyjściowe 2 53 4" xfId="17212" xr:uid="{00000000-0005-0000-0000-000027430000}"/>
    <cellStyle name="Dane wyjściowe 2 54" xfId="17213" xr:uid="{00000000-0005-0000-0000-000028430000}"/>
    <cellStyle name="Dane wyjściowe 2 54 2" xfId="17214" xr:uid="{00000000-0005-0000-0000-000029430000}"/>
    <cellStyle name="Dane wyjściowe 2 54 3" xfId="17215" xr:uid="{00000000-0005-0000-0000-00002A430000}"/>
    <cellStyle name="Dane wyjściowe 2 54 4" xfId="17216" xr:uid="{00000000-0005-0000-0000-00002B430000}"/>
    <cellStyle name="Dane wyjściowe 2 55" xfId="17217" xr:uid="{00000000-0005-0000-0000-00002C430000}"/>
    <cellStyle name="Dane wyjściowe 2 55 2" xfId="17218" xr:uid="{00000000-0005-0000-0000-00002D430000}"/>
    <cellStyle name="Dane wyjściowe 2 55 3" xfId="17219" xr:uid="{00000000-0005-0000-0000-00002E430000}"/>
    <cellStyle name="Dane wyjściowe 2 55 4" xfId="17220" xr:uid="{00000000-0005-0000-0000-00002F430000}"/>
    <cellStyle name="Dane wyjściowe 2 56" xfId="17221" xr:uid="{00000000-0005-0000-0000-000030430000}"/>
    <cellStyle name="Dane wyjściowe 2 56 2" xfId="17222" xr:uid="{00000000-0005-0000-0000-000031430000}"/>
    <cellStyle name="Dane wyjściowe 2 56 3" xfId="17223" xr:uid="{00000000-0005-0000-0000-000032430000}"/>
    <cellStyle name="Dane wyjściowe 2 56 4" xfId="17224" xr:uid="{00000000-0005-0000-0000-000033430000}"/>
    <cellStyle name="Dane wyjściowe 2 57" xfId="17225" xr:uid="{00000000-0005-0000-0000-000034430000}"/>
    <cellStyle name="Dane wyjściowe 2 57 2" xfId="17226" xr:uid="{00000000-0005-0000-0000-000035430000}"/>
    <cellStyle name="Dane wyjściowe 2 57 3" xfId="17227" xr:uid="{00000000-0005-0000-0000-000036430000}"/>
    <cellStyle name="Dane wyjściowe 2 57 4" xfId="17228" xr:uid="{00000000-0005-0000-0000-000037430000}"/>
    <cellStyle name="Dane wyjściowe 2 58" xfId="17229" xr:uid="{00000000-0005-0000-0000-000038430000}"/>
    <cellStyle name="Dane wyjściowe 2 58 2" xfId="17230" xr:uid="{00000000-0005-0000-0000-000039430000}"/>
    <cellStyle name="Dane wyjściowe 2 58 3" xfId="17231" xr:uid="{00000000-0005-0000-0000-00003A430000}"/>
    <cellStyle name="Dane wyjściowe 2 58 4" xfId="17232" xr:uid="{00000000-0005-0000-0000-00003B430000}"/>
    <cellStyle name="Dane wyjściowe 2 59" xfId="17233" xr:uid="{00000000-0005-0000-0000-00003C430000}"/>
    <cellStyle name="Dane wyjściowe 2 59 2" xfId="17234" xr:uid="{00000000-0005-0000-0000-00003D430000}"/>
    <cellStyle name="Dane wyjściowe 2 59 3" xfId="17235" xr:uid="{00000000-0005-0000-0000-00003E430000}"/>
    <cellStyle name="Dane wyjściowe 2 59 4" xfId="17236" xr:uid="{00000000-0005-0000-0000-00003F430000}"/>
    <cellStyle name="Dane wyjściowe 2 6" xfId="17237" xr:uid="{00000000-0005-0000-0000-000040430000}"/>
    <cellStyle name="Dane wyjściowe 2 6 10" xfId="17238" xr:uid="{00000000-0005-0000-0000-000041430000}"/>
    <cellStyle name="Dane wyjściowe 2 6 10 2" xfId="17239" xr:uid="{00000000-0005-0000-0000-000042430000}"/>
    <cellStyle name="Dane wyjściowe 2 6 10 3" xfId="17240" xr:uid="{00000000-0005-0000-0000-000043430000}"/>
    <cellStyle name="Dane wyjściowe 2 6 10 4" xfId="17241" xr:uid="{00000000-0005-0000-0000-000044430000}"/>
    <cellStyle name="Dane wyjściowe 2 6 11" xfId="17242" xr:uid="{00000000-0005-0000-0000-000045430000}"/>
    <cellStyle name="Dane wyjściowe 2 6 11 2" xfId="17243" xr:uid="{00000000-0005-0000-0000-000046430000}"/>
    <cellStyle name="Dane wyjściowe 2 6 11 3" xfId="17244" xr:uid="{00000000-0005-0000-0000-000047430000}"/>
    <cellStyle name="Dane wyjściowe 2 6 11 4" xfId="17245" xr:uid="{00000000-0005-0000-0000-000048430000}"/>
    <cellStyle name="Dane wyjściowe 2 6 12" xfId="17246" xr:uid="{00000000-0005-0000-0000-000049430000}"/>
    <cellStyle name="Dane wyjściowe 2 6 12 2" xfId="17247" xr:uid="{00000000-0005-0000-0000-00004A430000}"/>
    <cellStyle name="Dane wyjściowe 2 6 12 3" xfId="17248" xr:uid="{00000000-0005-0000-0000-00004B430000}"/>
    <cellStyle name="Dane wyjściowe 2 6 12 4" xfId="17249" xr:uid="{00000000-0005-0000-0000-00004C430000}"/>
    <cellStyle name="Dane wyjściowe 2 6 13" xfId="17250" xr:uid="{00000000-0005-0000-0000-00004D430000}"/>
    <cellStyle name="Dane wyjściowe 2 6 13 2" xfId="17251" xr:uid="{00000000-0005-0000-0000-00004E430000}"/>
    <cellStyle name="Dane wyjściowe 2 6 13 3" xfId="17252" xr:uid="{00000000-0005-0000-0000-00004F430000}"/>
    <cellStyle name="Dane wyjściowe 2 6 13 4" xfId="17253" xr:uid="{00000000-0005-0000-0000-000050430000}"/>
    <cellStyle name="Dane wyjściowe 2 6 14" xfId="17254" xr:uid="{00000000-0005-0000-0000-000051430000}"/>
    <cellStyle name="Dane wyjściowe 2 6 14 2" xfId="17255" xr:uid="{00000000-0005-0000-0000-000052430000}"/>
    <cellStyle name="Dane wyjściowe 2 6 14 3" xfId="17256" xr:uid="{00000000-0005-0000-0000-000053430000}"/>
    <cellStyle name="Dane wyjściowe 2 6 14 4" xfId="17257" xr:uid="{00000000-0005-0000-0000-000054430000}"/>
    <cellStyle name="Dane wyjściowe 2 6 15" xfId="17258" xr:uid="{00000000-0005-0000-0000-000055430000}"/>
    <cellStyle name="Dane wyjściowe 2 6 15 2" xfId="17259" xr:uid="{00000000-0005-0000-0000-000056430000}"/>
    <cellStyle name="Dane wyjściowe 2 6 15 3" xfId="17260" xr:uid="{00000000-0005-0000-0000-000057430000}"/>
    <cellStyle name="Dane wyjściowe 2 6 15 4" xfId="17261" xr:uid="{00000000-0005-0000-0000-000058430000}"/>
    <cellStyle name="Dane wyjściowe 2 6 16" xfId="17262" xr:uid="{00000000-0005-0000-0000-000059430000}"/>
    <cellStyle name="Dane wyjściowe 2 6 16 2" xfId="17263" xr:uid="{00000000-0005-0000-0000-00005A430000}"/>
    <cellStyle name="Dane wyjściowe 2 6 16 3" xfId="17264" xr:uid="{00000000-0005-0000-0000-00005B430000}"/>
    <cellStyle name="Dane wyjściowe 2 6 16 4" xfId="17265" xr:uid="{00000000-0005-0000-0000-00005C430000}"/>
    <cellStyle name="Dane wyjściowe 2 6 17" xfId="17266" xr:uid="{00000000-0005-0000-0000-00005D430000}"/>
    <cellStyle name="Dane wyjściowe 2 6 17 2" xfId="17267" xr:uid="{00000000-0005-0000-0000-00005E430000}"/>
    <cellStyle name="Dane wyjściowe 2 6 17 3" xfId="17268" xr:uid="{00000000-0005-0000-0000-00005F430000}"/>
    <cellStyle name="Dane wyjściowe 2 6 17 4" xfId="17269" xr:uid="{00000000-0005-0000-0000-000060430000}"/>
    <cellStyle name="Dane wyjściowe 2 6 18" xfId="17270" xr:uid="{00000000-0005-0000-0000-000061430000}"/>
    <cellStyle name="Dane wyjściowe 2 6 18 2" xfId="17271" xr:uid="{00000000-0005-0000-0000-000062430000}"/>
    <cellStyle name="Dane wyjściowe 2 6 18 3" xfId="17272" xr:uid="{00000000-0005-0000-0000-000063430000}"/>
    <cellStyle name="Dane wyjściowe 2 6 18 4" xfId="17273" xr:uid="{00000000-0005-0000-0000-000064430000}"/>
    <cellStyle name="Dane wyjściowe 2 6 19" xfId="17274" xr:uid="{00000000-0005-0000-0000-000065430000}"/>
    <cellStyle name="Dane wyjściowe 2 6 19 2" xfId="17275" xr:uid="{00000000-0005-0000-0000-000066430000}"/>
    <cellStyle name="Dane wyjściowe 2 6 19 3" xfId="17276" xr:uid="{00000000-0005-0000-0000-000067430000}"/>
    <cellStyle name="Dane wyjściowe 2 6 19 4" xfId="17277" xr:uid="{00000000-0005-0000-0000-000068430000}"/>
    <cellStyle name="Dane wyjściowe 2 6 2" xfId="17278" xr:uid="{00000000-0005-0000-0000-000069430000}"/>
    <cellStyle name="Dane wyjściowe 2 6 2 2" xfId="17279" xr:uid="{00000000-0005-0000-0000-00006A430000}"/>
    <cellStyle name="Dane wyjściowe 2 6 2 3" xfId="17280" xr:uid="{00000000-0005-0000-0000-00006B430000}"/>
    <cellStyle name="Dane wyjściowe 2 6 2 4" xfId="17281" xr:uid="{00000000-0005-0000-0000-00006C430000}"/>
    <cellStyle name="Dane wyjściowe 2 6 20" xfId="17282" xr:uid="{00000000-0005-0000-0000-00006D430000}"/>
    <cellStyle name="Dane wyjściowe 2 6 20 2" xfId="17283" xr:uid="{00000000-0005-0000-0000-00006E430000}"/>
    <cellStyle name="Dane wyjściowe 2 6 20 3" xfId="17284" xr:uid="{00000000-0005-0000-0000-00006F430000}"/>
    <cellStyle name="Dane wyjściowe 2 6 20 4" xfId="17285" xr:uid="{00000000-0005-0000-0000-000070430000}"/>
    <cellStyle name="Dane wyjściowe 2 6 21" xfId="17286" xr:uid="{00000000-0005-0000-0000-000071430000}"/>
    <cellStyle name="Dane wyjściowe 2 6 21 2" xfId="17287" xr:uid="{00000000-0005-0000-0000-000072430000}"/>
    <cellStyle name="Dane wyjściowe 2 6 21 3" xfId="17288" xr:uid="{00000000-0005-0000-0000-000073430000}"/>
    <cellStyle name="Dane wyjściowe 2 6 22" xfId="17289" xr:uid="{00000000-0005-0000-0000-000074430000}"/>
    <cellStyle name="Dane wyjściowe 2 6 22 2" xfId="17290" xr:uid="{00000000-0005-0000-0000-000075430000}"/>
    <cellStyle name="Dane wyjściowe 2 6 22 3" xfId="17291" xr:uid="{00000000-0005-0000-0000-000076430000}"/>
    <cellStyle name="Dane wyjściowe 2 6 23" xfId="17292" xr:uid="{00000000-0005-0000-0000-000077430000}"/>
    <cellStyle name="Dane wyjściowe 2 6 23 2" xfId="17293" xr:uid="{00000000-0005-0000-0000-000078430000}"/>
    <cellStyle name="Dane wyjściowe 2 6 23 3" xfId="17294" xr:uid="{00000000-0005-0000-0000-000079430000}"/>
    <cellStyle name="Dane wyjściowe 2 6 24" xfId="17295" xr:uid="{00000000-0005-0000-0000-00007A430000}"/>
    <cellStyle name="Dane wyjściowe 2 6 24 2" xfId="17296" xr:uid="{00000000-0005-0000-0000-00007B430000}"/>
    <cellStyle name="Dane wyjściowe 2 6 24 3" xfId="17297" xr:uid="{00000000-0005-0000-0000-00007C430000}"/>
    <cellStyle name="Dane wyjściowe 2 6 25" xfId="17298" xr:uid="{00000000-0005-0000-0000-00007D430000}"/>
    <cellStyle name="Dane wyjściowe 2 6 25 2" xfId="17299" xr:uid="{00000000-0005-0000-0000-00007E430000}"/>
    <cellStyle name="Dane wyjściowe 2 6 25 3" xfId="17300" xr:uid="{00000000-0005-0000-0000-00007F430000}"/>
    <cellStyle name="Dane wyjściowe 2 6 26" xfId="17301" xr:uid="{00000000-0005-0000-0000-000080430000}"/>
    <cellStyle name="Dane wyjściowe 2 6 26 2" xfId="17302" xr:uid="{00000000-0005-0000-0000-000081430000}"/>
    <cellStyle name="Dane wyjściowe 2 6 26 3" xfId="17303" xr:uid="{00000000-0005-0000-0000-000082430000}"/>
    <cellStyle name="Dane wyjściowe 2 6 27" xfId="17304" xr:uid="{00000000-0005-0000-0000-000083430000}"/>
    <cellStyle name="Dane wyjściowe 2 6 27 2" xfId="17305" xr:uid="{00000000-0005-0000-0000-000084430000}"/>
    <cellStyle name="Dane wyjściowe 2 6 27 3" xfId="17306" xr:uid="{00000000-0005-0000-0000-000085430000}"/>
    <cellStyle name="Dane wyjściowe 2 6 28" xfId="17307" xr:uid="{00000000-0005-0000-0000-000086430000}"/>
    <cellStyle name="Dane wyjściowe 2 6 28 2" xfId="17308" xr:uid="{00000000-0005-0000-0000-000087430000}"/>
    <cellStyle name="Dane wyjściowe 2 6 28 3" xfId="17309" xr:uid="{00000000-0005-0000-0000-000088430000}"/>
    <cellStyle name="Dane wyjściowe 2 6 29" xfId="17310" xr:uid="{00000000-0005-0000-0000-000089430000}"/>
    <cellStyle name="Dane wyjściowe 2 6 29 2" xfId="17311" xr:uid="{00000000-0005-0000-0000-00008A430000}"/>
    <cellStyle name="Dane wyjściowe 2 6 29 3" xfId="17312" xr:uid="{00000000-0005-0000-0000-00008B430000}"/>
    <cellStyle name="Dane wyjściowe 2 6 3" xfId="17313" xr:uid="{00000000-0005-0000-0000-00008C430000}"/>
    <cellStyle name="Dane wyjściowe 2 6 3 2" xfId="17314" xr:uid="{00000000-0005-0000-0000-00008D430000}"/>
    <cellStyle name="Dane wyjściowe 2 6 3 3" xfId="17315" xr:uid="{00000000-0005-0000-0000-00008E430000}"/>
    <cellStyle name="Dane wyjściowe 2 6 3 4" xfId="17316" xr:uid="{00000000-0005-0000-0000-00008F430000}"/>
    <cellStyle name="Dane wyjściowe 2 6 30" xfId="17317" xr:uid="{00000000-0005-0000-0000-000090430000}"/>
    <cellStyle name="Dane wyjściowe 2 6 30 2" xfId="17318" xr:uid="{00000000-0005-0000-0000-000091430000}"/>
    <cellStyle name="Dane wyjściowe 2 6 30 3" xfId="17319" xr:uid="{00000000-0005-0000-0000-000092430000}"/>
    <cellStyle name="Dane wyjściowe 2 6 31" xfId="17320" xr:uid="{00000000-0005-0000-0000-000093430000}"/>
    <cellStyle name="Dane wyjściowe 2 6 31 2" xfId="17321" xr:uid="{00000000-0005-0000-0000-000094430000}"/>
    <cellStyle name="Dane wyjściowe 2 6 31 3" xfId="17322" xr:uid="{00000000-0005-0000-0000-000095430000}"/>
    <cellStyle name="Dane wyjściowe 2 6 32" xfId="17323" xr:uid="{00000000-0005-0000-0000-000096430000}"/>
    <cellStyle name="Dane wyjściowe 2 6 32 2" xfId="17324" xr:uid="{00000000-0005-0000-0000-000097430000}"/>
    <cellStyle name="Dane wyjściowe 2 6 32 3" xfId="17325" xr:uid="{00000000-0005-0000-0000-000098430000}"/>
    <cellStyle name="Dane wyjściowe 2 6 33" xfId="17326" xr:uid="{00000000-0005-0000-0000-000099430000}"/>
    <cellStyle name="Dane wyjściowe 2 6 33 2" xfId="17327" xr:uid="{00000000-0005-0000-0000-00009A430000}"/>
    <cellStyle name="Dane wyjściowe 2 6 33 3" xfId="17328" xr:uid="{00000000-0005-0000-0000-00009B430000}"/>
    <cellStyle name="Dane wyjściowe 2 6 34" xfId="17329" xr:uid="{00000000-0005-0000-0000-00009C430000}"/>
    <cellStyle name="Dane wyjściowe 2 6 34 2" xfId="17330" xr:uid="{00000000-0005-0000-0000-00009D430000}"/>
    <cellStyle name="Dane wyjściowe 2 6 34 3" xfId="17331" xr:uid="{00000000-0005-0000-0000-00009E430000}"/>
    <cellStyle name="Dane wyjściowe 2 6 35" xfId="17332" xr:uid="{00000000-0005-0000-0000-00009F430000}"/>
    <cellStyle name="Dane wyjściowe 2 6 35 2" xfId="17333" xr:uid="{00000000-0005-0000-0000-0000A0430000}"/>
    <cellStyle name="Dane wyjściowe 2 6 35 3" xfId="17334" xr:uid="{00000000-0005-0000-0000-0000A1430000}"/>
    <cellStyle name="Dane wyjściowe 2 6 36" xfId="17335" xr:uid="{00000000-0005-0000-0000-0000A2430000}"/>
    <cellStyle name="Dane wyjściowe 2 6 36 2" xfId="17336" xr:uid="{00000000-0005-0000-0000-0000A3430000}"/>
    <cellStyle name="Dane wyjściowe 2 6 36 3" xfId="17337" xr:uid="{00000000-0005-0000-0000-0000A4430000}"/>
    <cellStyle name="Dane wyjściowe 2 6 37" xfId="17338" xr:uid="{00000000-0005-0000-0000-0000A5430000}"/>
    <cellStyle name="Dane wyjściowe 2 6 37 2" xfId="17339" xr:uid="{00000000-0005-0000-0000-0000A6430000}"/>
    <cellStyle name="Dane wyjściowe 2 6 37 3" xfId="17340" xr:uid="{00000000-0005-0000-0000-0000A7430000}"/>
    <cellStyle name="Dane wyjściowe 2 6 38" xfId="17341" xr:uid="{00000000-0005-0000-0000-0000A8430000}"/>
    <cellStyle name="Dane wyjściowe 2 6 38 2" xfId="17342" xr:uid="{00000000-0005-0000-0000-0000A9430000}"/>
    <cellStyle name="Dane wyjściowe 2 6 38 3" xfId="17343" xr:uid="{00000000-0005-0000-0000-0000AA430000}"/>
    <cellStyle name="Dane wyjściowe 2 6 39" xfId="17344" xr:uid="{00000000-0005-0000-0000-0000AB430000}"/>
    <cellStyle name="Dane wyjściowe 2 6 39 2" xfId="17345" xr:uid="{00000000-0005-0000-0000-0000AC430000}"/>
    <cellStyle name="Dane wyjściowe 2 6 39 3" xfId="17346" xr:uid="{00000000-0005-0000-0000-0000AD430000}"/>
    <cellStyle name="Dane wyjściowe 2 6 4" xfId="17347" xr:uid="{00000000-0005-0000-0000-0000AE430000}"/>
    <cellStyle name="Dane wyjściowe 2 6 4 2" xfId="17348" xr:uid="{00000000-0005-0000-0000-0000AF430000}"/>
    <cellStyle name="Dane wyjściowe 2 6 4 3" xfId="17349" xr:uid="{00000000-0005-0000-0000-0000B0430000}"/>
    <cellStyle name="Dane wyjściowe 2 6 4 4" xfId="17350" xr:uid="{00000000-0005-0000-0000-0000B1430000}"/>
    <cellStyle name="Dane wyjściowe 2 6 40" xfId="17351" xr:uid="{00000000-0005-0000-0000-0000B2430000}"/>
    <cellStyle name="Dane wyjściowe 2 6 40 2" xfId="17352" xr:uid="{00000000-0005-0000-0000-0000B3430000}"/>
    <cellStyle name="Dane wyjściowe 2 6 40 3" xfId="17353" xr:uid="{00000000-0005-0000-0000-0000B4430000}"/>
    <cellStyle name="Dane wyjściowe 2 6 41" xfId="17354" xr:uid="{00000000-0005-0000-0000-0000B5430000}"/>
    <cellStyle name="Dane wyjściowe 2 6 41 2" xfId="17355" xr:uid="{00000000-0005-0000-0000-0000B6430000}"/>
    <cellStyle name="Dane wyjściowe 2 6 41 3" xfId="17356" xr:uid="{00000000-0005-0000-0000-0000B7430000}"/>
    <cellStyle name="Dane wyjściowe 2 6 42" xfId="17357" xr:uid="{00000000-0005-0000-0000-0000B8430000}"/>
    <cellStyle name="Dane wyjściowe 2 6 42 2" xfId="17358" xr:uid="{00000000-0005-0000-0000-0000B9430000}"/>
    <cellStyle name="Dane wyjściowe 2 6 42 3" xfId="17359" xr:uid="{00000000-0005-0000-0000-0000BA430000}"/>
    <cellStyle name="Dane wyjściowe 2 6 43" xfId="17360" xr:uid="{00000000-0005-0000-0000-0000BB430000}"/>
    <cellStyle name="Dane wyjściowe 2 6 43 2" xfId="17361" xr:uid="{00000000-0005-0000-0000-0000BC430000}"/>
    <cellStyle name="Dane wyjściowe 2 6 43 3" xfId="17362" xr:uid="{00000000-0005-0000-0000-0000BD430000}"/>
    <cellStyle name="Dane wyjściowe 2 6 44" xfId="17363" xr:uid="{00000000-0005-0000-0000-0000BE430000}"/>
    <cellStyle name="Dane wyjściowe 2 6 44 2" xfId="17364" xr:uid="{00000000-0005-0000-0000-0000BF430000}"/>
    <cellStyle name="Dane wyjściowe 2 6 44 3" xfId="17365" xr:uid="{00000000-0005-0000-0000-0000C0430000}"/>
    <cellStyle name="Dane wyjściowe 2 6 45" xfId="17366" xr:uid="{00000000-0005-0000-0000-0000C1430000}"/>
    <cellStyle name="Dane wyjściowe 2 6 45 2" xfId="17367" xr:uid="{00000000-0005-0000-0000-0000C2430000}"/>
    <cellStyle name="Dane wyjściowe 2 6 45 3" xfId="17368" xr:uid="{00000000-0005-0000-0000-0000C3430000}"/>
    <cellStyle name="Dane wyjściowe 2 6 46" xfId="17369" xr:uid="{00000000-0005-0000-0000-0000C4430000}"/>
    <cellStyle name="Dane wyjściowe 2 6 46 2" xfId="17370" xr:uid="{00000000-0005-0000-0000-0000C5430000}"/>
    <cellStyle name="Dane wyjściowe 2 6 46 3" xfId="17371" xr:uid="{00000000-0005-0000-0000-0000C6430000}"/>
    <cellStyle name="Dane wyjściowe 2 6 47" xfId="17372" xr:uid="{00000000-0005-0000-0000-0000C7430000}"/>
    <cellStyle name="Dane wyjściowe 2 6 47 2" xfId="17373" xr:uid="{00000000-0005-0000-0000-0000C8430000}"/>
    <cellStyle name="Dane wyjściowe 2 6 47 3" xfId="17374" xr:uid="{00000000-0005-0000-0000-0000C9430000}"/>
    <cellStyle name="Dane wyjściowe 2 6 48" xfId="17375" xr:uid="{00000000-0005-0000-0000-0000CA430000}"/>
    <cellStyle name="Dane wyjściowe 2 6 48 2" xfId="17376" xr:uid="{00000000-0005-0000-0000-0000CB430000}"/>
    <cellStyle name="Dane wyjściowe 2 6 48 3" xfId="17377" xr:uid="{00000000-0005-0000-0000-0000CC430000}"/>
    <cellStyle name="Dane wyjściowe 2 6 49" xfId="17378" xr:uid="{00000000-0005-0000-0000-0000CD430000}"/>
    <cellStyle name="Dane wyjściowe 2 6 49 2" xfId="17379" xr:uid="{00000000-0005-0000-0000-0000CE430000}"/>
    <cellStyle name="Dane wyjściowe 2 6 49 3" xfId="17380" xr:uid="{00000000-0005-0000-0000-0000CF430000}"/>
    <cellStyle name="Dane wyjściowe 2 6 5" xfId="17381" xr:uid="{00000000-0005-0000-0000-0000D0430000}"/>
    <cellStyle name="Dane wyjściowe 2 6 5 2" xfId="17382" xr:uid="{00000000-0005-0000-0000-0000D1430000}"/>
    <cellStyle name="Dane wyjściowe 2 6 5 3" xfId="17383" xr:uid="{00000000-0005-0000-0000-0000D2430000}"/>
    <cellStyle name="Dane wyjściowe 2 6 5 4" xfId="17384" xr:uid="{00000000-0005-0000-0000-0000D3430000}"/>
    <cellStyle name="Dane wyjściowe 2 6 50" xfId="17385" xr:uid="{00000000-0005-0000-0000-0000D4430000}"/>
    <cellStyle name="Dane wyjściowe 2 6 50 2" xfId="17386" xr:uid="{00000000-0005-0000-0000-0000D5430000}"/>
    <cellStyle name="Dane wyjściowe 2 6 50 3" xfId="17387" xr:uid="{00000000-0005-0000-0000-0000D6430000}"/>
    <cellStyle name="Dane wyjściowe 2 6 51" xfId="17388" xr:uid="{00000000-0005-0000-0000-0000D7430000}"/>
    <cellStyle name="Dane wyjściowe 2 6 51 2" xfId="17389" xr:uid="{00000000-0005-0000-0000-0000D8430000}"/>
    <cellStyle name="Dane wyjściowe 2 6 51 3" xfId="17390" xr:uid="{00000000-0005-0000-0000-0000D9430000}"/>
    <cellStyle name="Dane wyjściowe 2 6 52" xfId="17391" xr:uid="{00000000-0005-0000-0000-0000DA430000}"/>
    <cellStyle name="Dane wyjściowe 2 6 52 2" xfId="17392" xr:uid="{00000000-0005-0000-0000-0000DB430000}"/>
    <cellStyle name="Dane wyjściowe 2 6 52 3" xfId="17393" xr:uid="{00000000-0005-0000-0000-0000DC430000}"/>
    <cellStyle name="Dane wyjściowe 2 6 53" xfId="17394" xr:uid="{00000000-0005-0000-0000-0000DD430000}"/>
    <cellStyle name="Dane wyjściowe 2 6 53 2" xfId="17395" xr:uid="{00000000-0005-0000-0000-0000DE430000}"/>
    <cellStyle name="Dane wyjściowe 2 6 53 3" xfId="17396" xr:uid="{00000000-0005-0000-0000-0000DF430000}"/>
    <cellStyle name="Dane wyjściowe 2 6 54" xfId="17397" xr:uid="{00000000-0005-0000-0000-0000E0430000}"/>
    <cellStyle name="Dane wyjściowe 2 6 54 2" xfId="17398" xr:uid="{00000000-0005-0000-0000-0000E1430000}"/>
    <cellStyle name="Dane wyjściowe 2 6 54 3" xfId="17399" xr:uid="{00000000-0005-0000-0000-0000E2430000}"/>
    <cellStyle name="Dane wyjściowe 2 6 55" xfId="17400" xr:uid="{00000000-0005-0000-0000-0000E3430000}"/>
    <cellStyle name="Dane wyjściowe 2 6 55 2" xfId="17401" xr:uid="{00000000-0005-0000-0000-0000E4430000}"/>
    <cellStyle name="Dane wyjściowe 2 6 55 3" xfId="17402" xr:uid="{00000000-0005-0000-0000-0000E5430000}"/>
    <cellStyle name="Dane wyjściowe 2 6 56" xfId="17403" xr:uid="{00000000-0005-0000-0000-0000E6430000}"/>
    <cellStyle name="Dane wyjściowe 2 6 56 2" xfId="17404" xr:uid="{00000000-0005-0000-0000-0000E7430000}"/>
    <cellStyle name="Dane wyjściowe 2 6 56 3" xfId="17405" xr:uid="{00000000-0005-0000-0000-0000E8430000}"/>
    <cellStyle name="Dane wyjściowe 2 6 57" xfId="17406" xr:uid="{00000000-0005-0000-0000-0000E9430000}"/>
    <cellStyle name="Dane wyjściowe 2 6 58" xfId="17407" xr:uid="{00000000-0005-0000-0000-0000EA430000}"/>
    <cellStyle name="Dane wyjściowe 2 6 6" xfId="17408" xr:uid="{00000000-0005-0000-0000-0000EB430000}"/>
    <cellStyle name="Dane wyjściowe 2 6 6 2" xfId="17409" xr:uid="{00000000-0005-0000-0000-0000EC430000}"/>
    <cellStyle name="Dane wyjściowe 2 6 6 3" xfId="17410" xr:uid="{00000000-0005-0000-0000-0000ED430000}"/>
    <cellStyle name="Dane wyjściowe 2 6 6 4" xfId="17411" xr:uid="{00000000-0005-0000-0000-0000EE430000}"/>
    <cellStyle name="Dane wyjściowe 2 6 7" xfId="17412" xr:uid="{00000000-0005-0000-0000-0000EF430000}"/>
    <cellStyle name="Dane wyjściowe 2 6 7 2" xfId="17413" xr:uid="{00000000-0005-0000-0000-0000F0430000}"/>
    <cellStyle name="Dane wyjściowe 2 6 7 3" xfId="17414" xr:uid="{00000000-0005-0000-0000-0000F1430000}"/>
    <cellStyle name="Dane wyjściowe 2 6 7 4" xfId="17415" xr:uid="{00000000-0005-0000-0000-0000F2430000}"/>
    <cellStyle name="Dane wyjściowe 2 6 8" xfId="17416" xr:uid="{00000000-0005-0000-0000-0000F3430000}"/>
    <cellStyle name="Dane wyjściowe 2 6 8 2" xfId="17417" xr:uid="{00000000-0005-0000-0000-0000F4430000}"/>
    <cellStyle name="Dane wyjściowe 2 6 8 3" xfId="17418" xr:uid="{00000000-0005-0000-0000-0000F5430000}"/>
    <cellStyle name="Dane wyjściowe 2 6 8 4" xfId="17419" xr:uid="{00000000-0005-0000-0000-0000F6430000}"/>
    <cellStyle name="Dane wyjściowe 2 6 9" xfId="17420" xr:uid="{00000000-0005-0000-0000-0000F7430000}"/>
    <cellStyle name="Dane wyjściowe 2 6 9 2" xfId="17421" xr:uid="{00000000-0005-0000-0000-0000F8430000}"/>
    <cellStyle name="Dane wyjściowe 2 6 9 3" xfId="17422" xr:uid="{00000000-0005-0000-0000-0000F9430000}"/>
    <cellStyle name="Dane wyjściowe 2 6 9 4" xfId="17423" xr:uid="{00000000-0005-0000-0000-0000FA430000}"/>
    <cellStyle name="Dane wyjściowe 2 60" xfId="17424" xr:uid="{00000000-0005-0000-0000-0000FB430000}"/>
    <cellStyle name="Dane wyjściowe 2 60 2" xfId="17425" xr:uid="{00000000-0005-0000-0000-0000FC430000}"/>
    <cellStyle name="Dane wyjściowe 2 60 3" xfId="17426" xr:uid="{00000000-0005-0000-0000-0000FD430000}"/>
    <cellStyle name="Dane wyjściowe 2 60 4" xfId="17427" xr:uid="{00000000-0005-0000-0000-0000FE430000}"/>
    <cellStyle name="Dane wyjściowe 2 61" xfId="17428" xr:uid="{00000000-0005-0000-0000-0000FF430000}"/>
    <cellStyle name="Dane wyjściowe 2 61 2" xfId="17429" xr:uid="{00000000-0005-0000-0000-000000440000}"/>
    <cellStyle name="Dane wyjściowe 2 61 3" xfId="17430" xr:uid="{00000000-0005-0000-0000-000001440000}"/>
    <cellStyle name="Dane wyjściowe 2 61 4" xfId="17431" xr:uid="{00000000-0005-0000-0000-000002440000}"/>
    <cellStyle name="Dane wyjściowe 2 62" xfId="17432" xr:uid="{00000000-0005-0000-0000-000003440000}"/>
    <cellStyle name="Dane wyjściowe 2 62 2" xfId="17433" xr:uid="{00000000-0005-0000-0000-000004440000}"/>
    <cellStyle name="Dane wyjściowe 2 62 3" xfId="17434" xr:uid="{00000000-0005-0000-0000-000005440000}"/>
    <cellStyle name="Dane wyjściowe 2 62 4" xfId="17435" xr:uid="{00000000-0005-0000-0000-000006440000}"/>
    <cellStyle name="Dane wyjściowe 2 63" xfId="17436" xr:uid="{00000000-0005-0000-0000-000007440000}"/>
    <cellStyle name="Dane wyjściowe 2 63 2" xfId="17437" xr:uid="{00000000-0005-0000-0000-000008440000}"/>
    <cellStyle name="Dane wyjściowe 2 63 3" xfId="17438" xr:uid="{00000000-0005-0000-0000-000009440000}"/>
    <cellStyle name="Dane wyjściowe 2 63 4" xfId="17439" xr:uid="{00000000-0005-0000-0000-00000A440000}"/>
    <cellStyle name="Dane wyjściowe 2 64" xfId="17440" xr:uid="{00000000-0005-0000-0000-00000B440000}"/>
    <cellStyle name="Dane wyjściowe 2 64 2" xfId="17441" xr:uid="{00000000-0005-0000-0000-00000C440000}"/>
    <cellStyle name="Dane wyjściowe 2 64 3" xfId="17442" xr:uid="{00000000-0005-0000-0000-00000D440000}"/>
    <cellStyle name="Dane wyjściowe 2 64 4" xfId="17443" xr:uid="{00000000-0005-0000-0000-00000E440000}"/>
    <cellStyle name="Dane wyjściowe 2 65" xfId="17444" xr:uid="{00000000-0005-0000-0000-00000F440000}"/>
    <cellStyle name="Dane wyjściowe 2 65 2" xfId="17445" xr:uid="{00000000-0005-0000-0000-000010440000}"/>
    <cellStyle name="Dane wyjściowe 2 65 3" xfId="17446" xr:uid="{00000000-0005-0000-0000-000011440000}"/>
    <cellStyle name="Dane wyjściowe 2 65 4" xfId="17447" xr:uid="{00000000-0005-0000-0000-000012440000}"/>
    <cellStyle name="Dane wyjściowe 2 66" xfId="17448" xr:uid="{00000000-0005-0000-0000-000013440000}"/>
    <cellStyle name="Dane wyjściowe 2 66 2" xfId="17449" xr:uid="{00000000-0005-0000-0000-000014440000}"/>
    <cellStyle name="Dane wyjściowe 2 66 3" xfId="17450" xr:uid="{00000000-0005-0000-0000-000015440000}"/>
    <cellStyle name="Dane wyjściowe 2 66 4" xfId="17451" xr:uid="{00000000-0005-0000-0000-000016440000}"/>
    <cellStyle name="Dane wyjściowe 2 67" xfId="17452" xr:uid="{00000000-0005-0000-0000-000017440000}"/>
    <cellStyle name="Dane wyjściowe 2 67 2" xfId="17453" xr:uid="{00000000-0005-0000-0000-000018440000}"/>
    <cellStyle name="Dane wyjściowe 2 67 3" xfId="17454" xr:uid="{00000000-0005-0000-0000-000019440000}"/>
    <cellStyle name="Dane wyjściowe 2 68" xfId="17455" xr:uid="{00000000-0005-0000-0000-00001A440000}"/>
    <cellStyle name="Dane wyjściowe 2 68 2" xfId="17456" xr:uid="{00000000-0005-0000-0000-00001B440000}"/>
    <cellStyle name="Dane wyjściowe 2 68 3" xfId="17457" xr:uid="{00000000-0005-0000-0000-00001C440000}"/>
    <cellStyle name="Dane wyjściowe 2 69" xfId="17458" xr:uid="{00000000-0005-0000-0000-00001D440000}"/>
    <cellStyle name="Dane wyjściowe 2 69 2" xfId="17459" xr:uid="{00000000-0005-0000-0000-00001E440000}"/>
    <cellStyle name="Dane wyjściowe 2 69 3" xfId="17460" xr:uid="{00000000-0005-0000-0000-00001F440000}"/>
    <cellStyle name="Dane wyjściowe 2 7" xfId="17461" xr:uid="{00000000-0005-0000-0000-000020440000}"/>
    <cellStyle name="Dane wyjściowe 2 7 10" xfId="17462" xr:uid="{00000000-0005-0000-0000-000021440000}"/>
    <cellStyle name="Dane wyjściowe 2 7 10 2" xfId="17463" xr:uid="{00000000-0005-0000-0000-000022440000}"/>
    <cellStyle name="Dane wyjściowe 2 7 10 3" xfId="17464" xr:uid="{00000000-0005-0000-0000-000023440000}"/>
    <cellStyle name="Dane wyjściowe 2 7 10 4" xfId="17465" xr:uid="{00000000-0005-0000-0000-000024440000}"/>
    <cellStyle name="Dane wyjściowe 2 7 11" xfId="17466" xr:uid="{00000000-0005-0000-0000-000025440000}"/>
    <cellStyle name="Dane wyjściowe 2 7 11 2" xfId="17467" xr:uid="{00000000-0005-0000-0000-000026440000}"/>
    <cellStyle name="Dane wyjściowe 2 7 11 3" xfId="17468" xr:uid="{00000000-0005-0000-0000-000027440000}"/>
    <cellStyle name="Dane wyjściowe 2 7 11 4" xfId="17469" xr:uid="{00000000-0005-0000-0000-000028440000}"/>
    <cellStyle name="Dane wyjściowe 2 7 12" xfId="17470" xr:uid="{00000000-0005-0000-0000-000029440000}"/>
    <cellStyle name="Dane wyjściowe 2 7 12 2" xfId="17471" xr:uid="{00000000-0005-0000-0000-00002A440000}"/>
    <cellStyle name="Dane wyjściowe 2 7 12 3" xfId="17472" xr:uid="{00000000-0005-0000-0000-00002B440000}"/>
    <cellStyle name="Dane wyjściowe 2 7 12 4" xfId="17473" xr:uid="{00000000-0005-0000-0000-00002C440000}"/>
    <cellStyle name="Dane wyjściowe 2 7 13" xfId="17474" xr:uid="{00000000-0005-0000-0000-00002D440000}"/>
    <cellStyle name="Dane wyjściowe 2 7 13 2" xfId="17475" xr:uid="{00000000-0005-0000-0000-00002E440000}"/>
    <cellStyle name="Dane wyjściowe 2 7 13 3" xfId="17476" xr:uid="{00000000-0005-0000-0000-00002F440000}"/>
    <cellStyle name="Dane wyjściowe 2 7 13 4" xfId="17477" xr:uid="{00000000-0005-0000-0000-000030440000}"/>
    <cellStyle name="Dane wyjściowe 2 7 14" xfId="17478" xr:uid="{00000000-0005-0000-0000-000031440000}"/>
    <cellStyle name="Dane wyjściowe 2 7 14 2" xfId="17479" xr:uid="{00000000-0005-0000-0000-000032440000}"/>
    <cellStyle name="Dane wyjściowe 2 7 14 3" xfId="17480" xr:uid="{00000000-0005-0000-0000-000033440000}"/>
    <cellStyle name="Dane wyjściowe 2 7 14 4" xfId="17481" xr:uid="{00000000-0005-0000-0000-000034440000}"/>
    <cellStyle name="Dane wyjściowe 2 7 15" xfId="17482" xr:uid="{00000000-0005-0000-0000-000035440000}"/>
    <cellStyle name="Dane wyjściowe 2 7 15 2" xfId="17483" xr:uid="{00000000-0005-0000-0000-000036440000}"/>
    <cellStyle name="Dane wyjściowe 2 7 15 3" xfId="17484" xr:uid="{00000000-0005-0000-0000-000037440000}"/>
    <cellStyle name="Dane wyjściowe 2 7 15 4" xfId="17485" xr:uid="{00000000-0005-0000-0000-000038440000}"/>
    <cellStyle name="Dane wyjściowe 2 7 16" xfId="17486" xr:uid="{00000000-0005-0000-0000-000039440000}"/>
    <cellStyle name="Dane wyjściowe 2 7 16 2" xfId="17487" xr:uid="{00000000-0005-0000-0000-00003A440000}"/>
    <cellStyle name="Dane wyjściowe 2 7 16 3" xfId="17488" xr:uid="{00000000-0005-0000-0000-00003B440000}"/>
    <cellStyle name="Dane wyjściowe 2 7 16 4" xfId="17489" xr:uid="{00000000-0005-0000-0000-00003C440000}"/>
    <cellStyle name="Dane wyjściowe 2 7 17" xfId="17490" xr:uid="{00000000-0005-0000-0000-00003D440000}"/>
    <cellStyle name="Dane wyjściowe 2 7 17 2" xfId="17491" xr:uid="{00000000-0005-0000-0000-00003E440000}"/>
    <cellStyle name="Dane wyjściowe 2 7 17 3" xfId="17492" xr:uid="{00000000-0005-0000-0000-00003F440000}"/>
    <cellStyle name="Dane wyjściowe 2 7 17 4" xfId="17493" xr:uid="{00000000-0005-0000-0000-000040440000}"/>
    <cellStyle name="Dane wyjściowe 2 7 18" xfId="17494" xr:uid="{00000000-0005-0000-0000-000041440000}"/>
    <cellStyle name="Dane wyjściowe 2 7 18 2" xfId="17495" xr:uid="{00000000-0005-0000-0000-000042440000}"/>
    <cellStyle name="Dane wyjściowe 2 7 18 3" xfId="17496" xr:uid="{00000000-0005-0000-0000-000043440000}"/>
    <cellStyle name="Dane wyjściowe 2 7 18 4" xfId="17497" xr:uid="{00000000-0005-0000-0000-000044440000}"/>
    <cellStyle name="Dane wyjściowe 2 7 19" xfId="17498" xr:uid="{00000000-0005-0000-0000-000045440000}"/>
    <cellStyle name="Dane wyjściowe 2 7 19 2" xfId="17499" xr:uid="{00000000-0005-0000-0000-000046440000}"/>
    <cellStyle name="Dane wyjściowe 2 7 19 3" xfId="17500" xr:uid="{00000000-0005-0000-0000-000047440000}"/>
    <cellStyle name="Dane wyjściowe 2 7 19 4" xfId="17501" xr:uid="{00000000-0005-0000-0000-000048440000}"/>
    <cellStyle name="Dane wyjściowe 2 7 2" xfId="17502" xr:uid="{00000000-0005-0000-0000-000049440000}"/>
    <cellStyle name="Dane wyjściowe 2 7 2 2" xfId="17503" xr:uid="{00000000-0005-0000-0000-00004A440000}"/>
    <cellStyle name="Dane wyjściowe 2 7 2 3" xfId="17504" xr:uid="{00000000-0005-0000-0000-00004B440000}"/>
    <cellStyle name="Dane wyjściowe 2 7 2 4" xfId="17505" xr:uid="{00000000-0005-0000-0000-00004C440000}"/>
    <cellStyle name="Dane wyjściowe 2 7 20" xfId="17506" xr:uid="{00000000-0005-0000-0000-00004D440000}"/>
    <cellStyle name="Dane wyjściowe 2 7 20 2" xfId="17507" xr:uid="{00000000-0005-0000-0000-00004E440000}"/>
    <cellStyle name="Dane wyjściowe 2 7 20 3" xfId="17508" xr:uid="{00000000-0005-0000-0000-00004F440000}"/>
    <cellStyle name="Dane wyjściowe 2 7 20 4" xfId="17509" xr:uid="{00000000-0005-0000-0000-000050440000}"/>
    <cellStyle name="Dane wyjściowe 2 7 21" xfId="17510" xr:uid="{00000000-0005-0000-0000-000051440000}"/>
    <cellStyle name="Dane wyjściowe 2 7 21 2" xfId="17511" xr:uid="{00000000-0005-0000-0000-000052440000}"/>
    <cellStyle name="Dane wyjściowe 2 7 21 3" xfId="17512" xr:uid="{00000000-0005-0000-0000-000053440000}"/>
    <cellStyle name="Dane wyjściowe 2 7 22" xfId="17513" xr:uid="{00000000-0005-0000-0000-000054440000}"/>
    <cellStyle name="Dane wyjściowe 2 7 22 2" xfId="17514" xr:uid="{00000000-0005-0000-0000-000055440000}"/>
    <cellStyle name="Dane wyjściowe 2 7 22 3" xfId="17515" xr:uid="{00000000-0005-0000-0000-000056440000}"/>
    <cellStyle name="Dane wyjściowe 2 7 23" xfId="17516" xr:uid="{00000000-0005-0000-0000-000057440000}"/>
    <cellStyle name="Dane wyjściowe 2 7 23 2" xfId="17517" xr:uid="{00000000-0005-0000-0000-000058440000}"/>
    <cellStyle name="Dane wyjściowe 2 7 23 3" xfId="17518" xr:uid="{00000000-0005-0000-0000-000059440000}"/>
    <cellStyle name="Dane wyjściowe 2 7 24" xfId="17519" xr:uid="{00000000-0005-0000-0000-00005A440000}"/>
    <cellStyle name="Dane wyjściowe 2 7 24 2" xfId="17520" xr:uid="{00000000-0005-0000-0000-00005B440000}"/>
    <cellStyle name="Dane wyjściowe 2 7 24 3" xfId="17521" xr:uid="{00000000-0005-0000-0000-00005C440000}"/>
    <cellStyle name="Dane wyjściowe 2 7 25" xfId="17522" xr:uid="{00000000-0005-0000-0000-00005D440000}"/>
    <cellStyle name="Dane wyjściowe 2 7 25 2" xfId="17523" xr:uid="{00000000-0005-0000-0000-00005E440000}"/>
    <cellStyle name="Dane wyjściowe 2 7 25 3" xfId="17524" xr:uid="{00000000-0005-0000-0000-00005F440000}"/>
    <cellStyle name="Dane wyjściowe 2 7 26" xfId="17525" xr:uid="{00000000-0005-0000-0000-000060440000}"/>
    <cellStyle name="Dane wyjściowe 2 7 26 2" xfId="17526" xr:uid="{00000000-0005-0000-0000-000061440000}"/>
    <cellStyle name="Dane wyjściowe 2 7 26 3" xfId="17527" xr:uid="{00000000-0005-0000-0000-000062440000}"/>
    <cellStyle name="Dane wyjściowe 2 7 27" xfId="17528" xr:uid="{00000000-0005-0000-0000-000063440000}"/>
    <cellStyle name="Dane wyjściowe 2 7 27 2" xfId="17529" xr:uid="{00000000-0005-0000-0000-000064440000}"/>
    <cellStyle name="Dane wyjściowe 2 7 27 3" xfId="17530" xr:uid="{00000000-0005-0000-0000-000065440000}"/>
    <cellStyle name="Dane wyjściowe 2 7 28" xfId="17531" xr:uid="{00000000-0005-0000-0000-000066440000}"/>
    <cellStyle name="Dane wyjściowe 2 7 28 2" xfId="17532" xr:uid="{00000000-0005-0000-0000-000067440000}"/>
    <cellStyle name="Dane wyjściowe 2 7 28 3" xfId="17533" xr:uid="{00000000-0005-0000-0000-000068440000}"/>
    <cellStyle name="Dane wyjściowe 2 7 29" xfId="17534" xr:uid="{00000000-0005-0000-0000-000069440000}"/>
    <cellStyle name="Dane wyjściowe 2 7 29 2" xfId="17535" xr:uid="{00000000-0005-0000-0000-00006A440000}"/>
    <cellStyle name="Dane wyjściowe 2 7 29 3" xfId="17536" xr:uid="{00000000-0005-0000-0000-00006B440000}"/>
    <cellStyle name="Dane wyjściowe 2 7 3" xfId="17537" xr:uid="{00000000-0005-0000-0000-00006C440000}"/>
    <cellStyle name="Dane wyjściowe 2 7 3 2" xfId="17538" xr:uid="{00000000-0005-0000-0000-00006D440000}"/>
    <cellStyle name="Dane wyjściowe 2 7 3 3" xfId="17539" xr:uid="{00000000-0005-0000-0000-00006E440000}"/>
    <cellStyle name="Dane wyjściowe 2 7 3 4" xfId="17540" xr:uid="{00000000-0005-0000-0000-00006F440000}"/>
    <cellStyle name="Dane wyjściowe 2 7 30" xfId="17541" xr:uid="{00000000-0005-0000-0000-000070440000}"/>
    <cellStyle name="Dane wyjściowe 2 7 30 2" xfId="17542" xr:uid="{00000000-0005-0000-0000-000071440000}"/>
    <cellStyle name="Dane wyjściowe 2 7 30 3" xfId="17543" xr:uid="{00000000-0005-0000-0000-000072440000}"/>
    <cellStyle name="Dane wyjściowe 2 7 31" xfId="17544" xr:uid="{00000000-0005-0000-0000-000073440000}"/>
    <cellStyle name="Dane wyjściowe 2 7 31 2" xfId="17545" xr:uid="{00000000-0005-0000-0000-000074440000}"/>
    <cellStyle name="Dane wyjściowe 2 7 31 3" xfId="17546" xr:uid="{00000000-0005-0000-0000-000075440000}"/>
    <cellStyle name="Dane wyjściowe 2 7 32" xfId="17547" xr:uid="{00000000-0005-0000-0000-000076440000}"/>
    <cellStyle name="Dane wyjściowe 2 7 32 2" xfId="17548" xr:uid="{00000000-0005-0000-0000-000077440000}"/>
    <cellStyle name="Dane wyjściowe 2 7 32 3" xfId="17549" xr:uid="{00000000-0005-0000-0000-000078440000}"/>
    <cellStyle name="Dane wyjściowe 2 7 33" xfId="17550" xr:uid="{00000000-0005-0000-0000-000079440000}"/>
    <cellStyle name="Dane wyjściowe 2 7 33 2" xfId="17551" xr:uid="{00000000-0005-0000-0000-00007A440000}"/>
    <cellStyle name="Dane wyjściowe 2 7 33 3" xfId="17552" xr:uid="{00000000-0005-0000-0000-00007B440000}"/>
    <cellStyle name="Dane wyjściowe 2 7 34" xfId="17553" xr:uid="{00000000-0005-0000-0000-00007C440000}"/>
    <cellStyle name="Dane wyjściowe 2 7 34 2" xfId="17554" xr:uid="{00000000-0005-0000-0000-00007D440000}"/>
    <cellStyle name="Dane wyjściowe 2 7 34 3" xfId="17555" xr:uid="{00000000-0005-0000-0000-00007E440000}"/>
    <cellStyle name="Dane wyjściowe 2 7 35" xfId="17556" xr:uid="{00000000-0005-0000-0000-00007F440000}"/>
    <cellStyle name="Dane wyjściowe 2 7 35 2" xfId="17557" xr:uid="{00000000-0005-0000-0000-000080440000}"/>
    <cellStyle name="Dane wyjściowe 2 7 35 3" xfId="17558" xr:uid="{00000000-0005-0000-0000-000081440000}"/>
    <cellStyle name="Dane wyjściowe 2 7 36" xfId="17559" xr:uid="{00000000-0005-0000-0000-000082440000}"/>
    <cellStyle name="Dane wyjściowe 2 7 36 2" xfId="17560" xr:uid="{00000000-0005-0000-0000-000083440000}"/>
    <cellStyle name="Dane wyjściowe 2 7 36 3" xfId="17561" xr:uid="{00000000-0005-0000-0000-000084440000}"/>
    <cellStyle name="Dane wyjściowe 2 7 37" xfId="17562" xr:uid="{00000000-0005-0000-0000-000085440000}"/>
    <cellStyle name="Dane wyjściowe 2 7 37 2" xfId="17563" xr:uid="{00000000-0005-0000-0000-000086440000}"/>
    <cellStyle name="Dane wyjściowe 2 7 37 3" xfId="17564" xr:uid="{00000000-0005-0000-0000-000087440000}"/>
    <cellStyle name="Dane wyjściowe 2 7 38" xfId="17565" xr:uid="{00000000-0005-0000-0000-000088440000}"/>
    <cellStyle name="Dane wyjściowe 2 7 38 2" xfId="17566" xr:uid="{00000000-0005-0000-0000-000089440000}"/>
    <cellStyle name="Dane wyjściowe 2 7 38 3" xfId="17567" xr:uid="{00000000-0005-0000-0000-00008A440000}"/>
    <cellStyle name="Dane wyjściowe 2 7 39" xfId="17568" xr:uid="{00000000-0005-0000-0000-00008B440000}"/>
    <cellStyle name="Dane wyjściowe 2 7 39 2" xfId="17569" xr:uid="{00000000-0005-0000-0000-00008C440000}"/>
    <cellStyle name="Dane wyjściowe 2 7 39 3" xfId="17570" xr:uid="{00000000-0005-0000-0000-00008D440000}"/>
    <cellStyle name="Dane wyjściowe 2 7 4" xfId="17571" xr:uid="{00000000-0005-0000-0000-00008E440000}"/>
    <cellStyle name="Dane wyjściowe 2 7 4 2" xfId="17572" xr:uid="{00000000-0005-0000-0000-00008F440000}"/>
    <cellStyle name="Dane wyjściowe 2 7 4 3" xfId="17573" xr:uid="{00000000-0005-0000-0000-000090440000}"/>
    <cellStyle name="Dane wyjściowe 2 7 4 4" xfId="17574" xr:uid="{00000000-0005-0000-0000-000091440000}"/>
    <cellStyle name="Dane wyjściowe 2 7 40" xfId="17575" xr:uid="{00000000-0005-0000-0000-000092440000}"/>
    <cellStyle name="Dane wyjściowe 2 7 40 2" xfId="17576" xr:uid="{00000000-0005-0000-0000-000093440000}"/>
    <cellStyle name="Dane wyjściowe 2 7 40 3" xfId="17577" xr:uid="{00000000-0005-0000-0000-000094440000}"/>
    <cellStyle name="Dane wyjściowe 2 7 41" xfId="17578" xr:uid="{00000000-0005-0000-0000-000095440000}"/>
    <cellStyle name="Dane wyjściowe 2 7 41 2" xfId="17579" xr:uid="{00000000-0005-0000-0000-000096440000}"/>
    <cellStyle name="Dane wyjściowe 2 7 41 3" xfId="17580" xr:uid="{00000000-0005-0000-0000-000097440000}"/>
    <cellStyle name="Dane wyjściowe 2 7 42" xfId="17581" xr:uid="{00000000-0005-0000-0000-000098440000}"/>
    <cellStyle name="Dane wyjściowe 2 7 42 2" xfId="17582" xr:uid="{00000000-0005-0000-0000-000099440000}"/>
    <cellStyle name="Dane wyjściowe 2 7 42 3" xfId="17583" xr:uid="{00000000-0005-0000-0000-00009A440000}"/>
    <cellStyle name="Dane wyjściowe 2 7 43" xfId="17584" xr:uid="{00000000-0005-0000-0000-00009B440000}"/>
    <cellStyle name="Dane wyjściowe 2 7 43 2" xfId="17585" xr:uid="{00000000-0005-0000-0000-00009C440000}"/>
    <cellStyle name="Dane wyjściowe 2 7 43 3" xfId="17586" xr:uid="{00000000-0005-0000-0000-00009D440000}"/>
    <cellStyle name="Dane wyjściowe 2 7 44" xfId="17587" xr:uid="{00000000-0005-0000-0000-00009E440000}"/>
    <cellStyle name="Dane wyjściowe 2 7 44 2" xfId="17588" xr:uid="{00000000-0005-0000-0000-00009F440000}"/>
    <cellStyle name="Dane wyjściowe 2 7 44 3" xfId="17589" xr:uid="{00000000-0005-0000-0000-0000A0440000}"/>
    <cellStyle name="Dane wyjściowe 2 7 45" xfId="17590" xr:uid="{00000000-0005-0000-0000-0000A1440000}"/>
    <cellStyle name="Dane wyjściowe 2 7 45 2" xfId="17591" xr:uid="{00000000-0005-0000-0000-0000A2440000}"/>
    <cellStyle name="Dane wyjściowe 2 7 45 3" xfId="17592" xr:uid="{00000000-0005-0000-0000-0000A3440000}"/>
    <cellStyle name="Dane wyjściowe 2 7 46" xfId="17593" xr:uid="{00000000-0005-0000-0000-0000A4440000}"/>
    <cellStyle name="Dane wyjściowe 2 7 46 2" xfId="17594" xr:uid="{00000000-0005-0000-0000-0000A5440000}"/>
    <cellStyle name="Dane wyjściowe 2 7 46 3" xfId="17595" xr:uid="{00000000-0005-0000-0000-0000A6440000}"/>
    <cellStyle name="Dane wyjściowe 2 7 47" xfId="17596" xr:uid="{00000000-0005-0000-0000-0000A7440000}"/>
    <cellStyle name="Dane wyjściowe 2 7 47 2" xfId="17597" xr:uid="{00000000-0005-0000-0000-0000A8440000}"/>
    <cellStyle name="Dane wyjściowe 2 7 47 3" xfId="17598" xr:uid="{00000000-0005-0000-0000-0000A9440000}"/>
    <cellStyle name="Dane wyjściowe 2 7 48" xfId="17599" xr:uid="{00000000-0005-0000-0000-0000AA440000}"/>
    <cellStyle name="Dane wyjściowe 2 7 48 2" xfId="17600" xr:uid="{00000000-0005-0000-0000-0000AB440000}"/>
    <cellStyle name="Dane wyjściowe 2 7 48 3" xfId="17601" xr:uid="{00000000-0005-0000-0000-0000AC440000}"/>
    <cellStyle name="Dane wyjściowe 2 7 49" xfId="17602" xr:uid="{00000000-0005-0000-0000-0000AD440000}"/>
    <cellStyle name="Dane wyjściowe 2 7 49 2" xfId="17603" xr:uid="{00000000-0005-0000-0000-0000AE440000}"/>
    <cellStyle name="Dane wyjściowe 2 7 49 3" xfId="17604" xr:uid="{00000000-0005-0000-0000-0000AF440000}"/>
    <cellStyle name="Dane wyjściowe 2 7 5" xfId="17605" xr:uid="{00000000-0005-0000-0000-0000B0440000}"/>
    <cellStyle name="Dane wyjściowe 2 7 5 2" xfId="17606" xr:uid="{00000000-0005-0000-0000-0000B1440000}"/>
    <cellStyle name="Dane wyjściowe 2 7 5 3" xfId="17607" xr:uid="{00000000-0005-0000-0000-0000B2440000}"/>
    <cellStyle name="Dane wyjściowe 2 7 5 4" xfId="17608" xr:uid="{00000000-0005-0000-0000-0000B3440000}"/>
    <cellStyle name="Dane wyjściowe 2 7 50" xfId="17609" xr:uid="{00000000-0005-0000-0000-0000B4440000}"/>
    <cellStyle name="Dane wyjściowe 2 7 50 2" xfId="17610" xr:uid="{00000000-0005-0000-0000-0000B5440000}"/>
    <cellStyle name="Dane wyjściowe 2 7 50 3" xfId="17611" xr:uid="{00000000-0005-0000-0000-0000B6440000}"/>
    <cellStyle name="Dane wyjściowe 2 7 51" xfId="17612" xr:uid="{00000000-0005-0000-0000-0000B7440000}"/>
    <cellStyle name="Dane wyjściowe 2 7 51 2" xfId="17613" xr:uid="{00000000-0005-0000-0000-0000B8440000}"/>
    <cellStyle name="Dane wyjściowe 2 7 51 3" xfId="17614" xr:uid="{00000000-0005-0000-0000-0000B9440000}"/>
    <cellStyle name="Dane wyjściowe 2 7 52" xfId="17615" xr:uid="{00000000-0005-0000-0000-0000BA440000}"/>
    <cellStyle name="Dane wyjściowe 2 7 52 2" xfId="17616" xr:uid="{00000000-0005-0000-0000-0000BB440000}"/>
    <cellStyle name="Dane wyjściowe 2 7 52 3" xfId="17617" xr:uid="{00000000-0005-0000-0000-0000BC440000}"/>
    <cellStyle name="Dane wyjściowe 2 7 53" xfId="17618" xr:uid="{00000000-0005-0000-0000-0000BD440000}"/>
    <cellStyle name="Dane wyjściowe 2 7 53 2" xfId="17619" xr:uid="{00000000-0005-0000-0000-0000BE440000}"/>
    <cellStyle name="Dane wyjściowe 2 7 53 3" xfId="17620" xr:uid="{00000000-0005-0000-0000-0000BF440000}"/>
    <cellStyle name="Dane wyjściowe 2 7 54" xfId="17621" xr:uid="{00000000-0005-0000-0000-0000C0440000}"/>
    <cellStyle name="Dane wyjściowe 2 7 54 2" xfId="17622" xr:uid="{00000000-0005-0000-0000-0000C1440000}"/>
    <cellStyle name="Dane wyjściowe 2 7 54 3" xfId="17623" xr:uid="{00000000-0005-0000-0000-0000C2440000}"/>
    <cellStyle name="Dane wyjściowe 2 7 55" xfId="17624" xr:uid="{00000000-0005-0000-0000-0000C3440000}"/>
    <cellStyle name="Dane wyjściowe 2 7 55 2" xfId="17625" xr:uid="{00000000-0005-0000-0000-0000C4440000}"/>
    <cellStyle name="Dane wyjściowe 2 7 55 3" xfId="17626" xr:uid="{00000000-0005-0000-0000-0000C5440000}"/>
    <cellStyle name="Dane wyjściowe 2 7 56" xfId="17627" xr:uid="{00000000-0005-0000-0000-0000C6440000}"/>
    <cellStyle name="Dane wyjściowe 2 7 56 2" xfId="17628" xr:uid="{00000000-0005-0000-0000-0000C7440000}"/>
    <cellStyle name="Dane wyjściowe 2 7 56 3" xfId="17629" xr:uid="{00000000-0005-0000-0000-0000C8440000}"/>
    <cellStyle name="Dane wyjściowe 2 7 57" xfId="17630" xr:uid="{00000000-0005-0000-0000-0000C9440000}"/>
    <cellStyle name="Dane wyjściowe 2 7 58" xfId="17631" xr:uid="{00000000-0005-0000-0000-0000CA440000}"/>
    <cellStyle name="Dane wyjściowe 2 7 6" xfId="17632" xr:uid="{00000000-0005-0000-0000-0000CB440000}"/>
    <cellStyle name="Dane wyjściowe 2 7 6 2" xfId="17633" xr:uid="{00000000-0005-0000-0000-0000CC440000}"/>
    <cellStyle name="Dane wyjściowe 2 7 6 3" xfId="17634" xr:uid="{00000000-0005-0000-0000-0000CD440000}"/>
    <cellStyle name="Dane wyjściowe 2 7 6 4" xfId="17635" xr:uid="{00000000-0005-0000-0000-0000CE440000}"/>
    <cellStyle name="Dane wyjściowe 2 7 7" xfId="17636" xr:uid="{00000000-0005-0000-0000-0000CF440000}"/>
    <cellStyle name="Dane wyjściowe 2 7 7 2" xfId="17637" xr:uid="{00000000-0005-0000-0000-0000D0440000}"/>
    <cellStyle name="Dane wyjściowe 2 7 7 3" xfId="17638" xr:uid="{00000000-0005-0000-0000-0000D1440000}"/>
    <cellStyle name="Dane wyjściowe 2 7 7 4" xfId="17639" xr:uid="{00000000-0005-0000-0000-0000D2440000}"/>
    <cellStyle name="Dane wyjściowe 2 7 8" xfId="17640" xr:uid="{00000000-0005-0000-0000-0000D3440000}"/>
    <cellStyle name="Dane wyjściowe 2 7 8 2" xfId="17641" xr:uid="{00000000-0005-0000-0000-0000D4440000}"/>
    <cellStyle name="Dane wyjściowe 2 7 8 3" xfId="17642" xr:uid="{00000000-0005-0000-0000-0000D5440000}"/>
    <cellStyle name="Dane wyjściowe 2 7 8 4" xfId="17643" xr:uid="{00000000-0005-0000-0000-0000D6440000}"/>
    <cellStyle name="Dane wyjściowe 2 7 9" xfId="17644" xr:uid="{00000000-0005-0000-0000-0000D7440000}"/>
    <cellStyle name="Dane wyjściowe 2 7 9 2" xfId="17645" xr:uid="{00000000-0005-0000-0000-0000D8440000}"/>
    <cellStyle name="Dane wyjściowe 2 7 9 3" xfId="17646" xr:uid="{00000000-0005-0000-0000-0000D9440000}"/>
    <cellStyle name="Dane wyjściowe 2 7 9 4" xfId="17647" xr:uid="{00000000-0005-0000-0000-0000DA440000}"/>
    <cellStyle name="Dane wyjściowe 2 70" xfId="17648" xr:uid="{00000000-0005-0000-0000-0000DB440000}"/>
    <cellStyle name="Dane wyjściowe 2 70 2" xfId="17649" xr:uid="{00000000-0005-0000-0000-0000DC440000}"/>
    <cellStyle name="Dane wyjściowe 2 70 3" xfId="17650" xr:uid="{00000000-0005-0000-0000-0000DD440000}"/>
    <cellStyle name="Dane wyjściowe 2 71" xfId="17651" xr:uid="{00000000-0005-0000-0000-0000DE440000}"/>
    <cellStyle name="Dane wyjściowe 2 71 2" xfId="17652" xr:uid="{00000000-0005-0000-0000-0000DF440000}"/>
    <cellStyle name="Dane wyjściowe 2 71 3" xfId="17653" xr:uid="{00000000-0005-0000-0000-0000E0440000}"/>
    <cellStyle name="Dane wyjściowe 2 72" xfId="17654" xr:uid="{00000000-0005-0000-0000-0000E1440000}"/>
    <cellStyle name="Dane wyjściowe 2 72 2" xfId="17655" xr:uid="{00000000-0005-0000-0000-0000E2440000}"/>
    <cellStyle name="Dane wyjściowe 2 72 3" xfId="17656" xr:uid="{00000000-0005-0000-0000-0000E3440000}"/>
    <cellStyle name="Dane wyjściowe 2 73" xfId="17657" xr:uid="{00000000-0005-0000-0000-0000E4440000}"/>
    <cellStyle name="Dane wyjściowe 2 73 2" xfId="17658" xr:uid="{00000000-0005-0000-0000-0000E5440000}"/>
    <cellStyle name="Dane wyjściowe 2 73 3" xfId="17659" xr:uid="{00000000-0005-0000-0000-0000E6440000}"/>
    <cellStyle name="Dane wyjściowe 2 74" xfId="17660" xr:uid="{00000000-0005-0000-0000-0000E7440000}"/>
    <cellStyle name="Dane wyjściowe 2 74 2" xfId="17661" xr:uid="{00000000-0005-0000-0000-0000E8440000}"/>
    <cellStyle name="Dane wyjściowe 2 74 3" xfId="17662" xr:uid="{00000000-0005-0000-0000-0000E9440000}"/>
    <cellStyle name="Dane wyjściowe 2 75" xfId="17663" xr:uid="{00000000-0005-0000-0000-0000EA440000}"/>
    <cellStyle name="Dane wyjściowe 2 75 2" xfId="17664" xr:uid="{00000000-0005-0000-0000-0000EB440000}"/>
    <cellStyle name="Dane wyjściowe 2 75 3" xfId="17665" xr:uid="{00000000-0005-0000-0000-0000EC440000}"/>
    <cellStyle name="Dane wyjściowe 2 76" xfId="17666" xr:uid="{00000000-0005-0000-0000-0000ED440000}"/>
    <cellStyle name="Dane wyjściowe 2 76 2" xfId="17667" xr:uid="{00000000-0005-0000-0000-0000EE440000}"/>
    <cellStyle name="Dane wyjściowe 2 76 3" xfId="17668" xr:uid="{00000000-0005-0000-0000-0000EF440000}"/>
    <cellStyle name="Dane wyjściowe 2 77" xfId="17669" xr:uid="{00000000-0005-0000-0000-0000F0440000}"/>
    <cellStyle name="Dane wyjściowe 2 77 2" xfId="17670" xr:uid="{00000000-0005-0000-0000-0000F1440000}"/>
    <cellStyle name="Dane wyjściowe 2 77 3" xfId="17671" xr:uid="{00000000-0005-0000-0000-0000F2440000}"/>
    <cellStyle name="Dane wyjściowe 2 78" xfId="17672" xr:uid="{00000000-0005-0000-0000-0000F3440000}"/>
    <cellStyle name="Dane wyjściowe 2 78 2" xfId="17673" xr:uid="{00000000-0005-0000-0000-0000F4440000}"/>
    <cellStyle name="Dane wyjściowe 2 78 3" xfId="17674" xr:uid="{00000000-0005-0000-0000-0000F5440000}"/>
    <cellStyle name="Dane wyjściowe 2 79" xfId="17675" xr:uid="{00000000-0005-0000-0000-0000F6440000}"/>
    <cellStyle name="Dane wyjściowe 2 79 2" xfId="17676" xr:uid="{00000000-0005-0000-0000-0000F7440000}"/>
    <cellStyle name="Dane wyjściowe 2 79 3" xfId="17677" xr:uid="{00000000-0005-0000-0000-0000F8440000}"/>
    <cellStyle name="Dane wyjściowe 2 8" xfId="17678" xr:uid="{00000000-0005-0000-0000-0000F9440000}"/>
    <cellStyle name="Dane wyjściowe 2 8 10" xfId="17679" xr:uid="{00000000-0005-0000-0000-0000FA440000}"/>
    <cellStyle name="Dane wyjściowe 2 8 10 2" xfId="17680" xr:uid="{00000000-0005-0000-0000-0000FB440000}"/>
    <cellStyle name="Dane wyjściowe 2 8 10 3" xfId="17681" xr:uid="{00000000-0005-0000-0000-0000FC440000}"/>
    <cellStyle name="Dane wyjściowe 2 8 10 4" xfId="17682" xr:uid="{00000000-0005-0000-0000-0000FD440000}"/>
    <cellStyle name="Dane wyjściowe 2 8 11" xfId="17683" xr:uid="{00000000-0005-0000-0000-0000FE440000}"/>
    <cellStyle name="Dane wyjściowe 2 8 11 2" xfId="17684" xr:uid="{00000000-0005-0000-0000-0000FF440000}"/>
    <cellStyle name="Dane wyjściowe 2 8 11 3" xfId="17685" xr:uid="{00000000-0005-0000-0000-000000450000}"/>
    <cellStyle name="Dane wyjściowe 2 8 11 4" xfId="17686" xr:uid="{00000000-0005-0000-0000-000001450000}"/>
    <cellStyle name="Dane wyjściowe 2 8 12" xfId="17687" xr:uid="{00000000-0005-0000-0000-000002450000}"/>
    <cellStyle name="Dane wyjściowe 2 8 12 2" xfId="17688" xr:uid="{00000000-0005-0000-0000-000003450000}"/>
    <cellStyle name="Dane wyjściowe 2 8 12 3" xfId="17689" xr:uid="{00000000-0005-0000-0000-000004450000}"/>
    <cellStyle name="Dane wyjściowe 2 8 12 4" xfId="17690" xr:uid="{00000000-0005-0000-0000-000005450000}"/>
    <cellStyle name="Dane wyjściowe 2 8 13" xfId="17691" xr:uid="{00000000-0005-0000-0000-000006450000}"/>
    <cellStyle name="Dane wyjściowe 2 8 13 2" xfId="17692" xr:uid="{00000000-0005-0000-0000-000007450000}"/>
    <cellStyle name="Dane wyjściowe 2 8 13 3" xfId="17693" xr:uid="{00000000-0005-0000-0000-000008450000}"/>
    <cellStyle name="Dane wyjściowe 2 8 13 4" xfId="17694" xr:uid="{00000000-0005-0000-0000-000009450000}"/>
    <cellStyle name="Dane wyjściowe 2 8 14" xfId="17695" xr:uid="{00000000-0005-0000-0000-00000A450000}"/>
    <cellStyle name="Dane wyjściowe 2 8 14 2" xfId="17696" xr:uid="{00000000-0005-0000-0000-00000B450000}"/>
    <cellStyle name="Dane wyjściowe 2 8 14 3" xfId="17697" xr:uid="{00000000-0005-0000-0000-00000C450000}"/>
    <cellStyle name="Dane wyjściowe 2 8 14 4" xfId="17698" xr:uid="{00000000-0005-0000-0000-00000D450000}"/>
    <cellStyle name="Dane wyjściowe 2 8 15" xfId="17699" xr:uid="{00000000-0005-0000-0000-00000E450000}"/>
    <cellStyle name="Dane wyjściowe 2 8 15 2" xfId="17700" xr:uid="{00000000-0005-0000-0000-00000F450000}"/>
    <cellStyle name="Dane wyjściowe 2 8 15 3" xfId="17701" xr:uid="{00000000-0005-0000-0000-000010450000}"/>
    <cellStyle name="Dane wyjściowe 2 8 15 4" xfId="17702" xr:uid="{00000000-0005-0000-0000-000011450000}"/>
    <cellStyle name="Dane wyjściowe 2 8 16" xfId="17703" xr:uid="{00000000-0005-0000-0000-000012450000}"/>
    <cellStyle name="Dane wyjściowe 2 8 16 2" xfId="17704" xr:uid="{00000000-0005-0000-0000-000013450000}"/>
    <cellStyle name="Dane wyjściowe 2 8 16 3" xfId="17705" xr:uid="{00000000-0005-0000-0000-000014450000}"/>
    <cellStyle name="Dane wyjściowe 2 8 16 4" xfId="17706" xr:uid="{00000000-0005-0000-0000-000015450000}"/>
    <cellStyle name="Dane wyjściowe 2 8 17" xfId="17707" xr:uid="{00000000-0005-0000-0000-000016450000}"/>
    <cellStyle name="Dane wyjściowe 2 8 17 2" xfId="17708" xr:uid="{00000000-0005-0000-0000-000017450000}"/>
    <cellStyle name="Dane wyjściowe 2 8 17 3" xfId="17709" xr:uid="{00000000-0005-0000-0000-000018450000}"/>
    <cellStyle name="Dane wyjściowe 2 8 17 4" xfId="17710" xr:uid="{00000000-0005-0000-0000-000019450000}"/>
    <cellStyle name="Dane wyjściowe 2 8 18" xfId="17711" xr:uid="{00000000-0005-0000-0000-00001A450000}"/>
    <cellStyle name="Dane wyjściowe 2 8 18 2" xfId="17712" xr:uid="{00000000-0005-0000-0000-00001B450000}"/>
    <cellStyle name="Dane wyjściowe 2 8 18 3" xfId="17713" xr:uid="{00000000-0005-0000-0000-00001C450000}"/>
    <cellStyle name="Dane wyjściowe 2 8 18 4" xfId="17714" xr:uid="{00000000-0005-0000-0000-00001D450000}"/>
    <cellStyle name="Dane wyjściowe 2 8 19" xfId="17715" xr:uid="{00000000-0005-0000-0000-00001E450000}"/>
    <cellStyle name="Dane wyjściowe 2 8 19 2" xfId="17716" xr:uid="{00000000-0005-0000-0000-00001F450000}"/>
    <cellStyle name="Dane wyjściowe 2 8 19 3" xfId="17717" xr:uid="{00000000-0005-0000-0000-000020450000}"/>
    <cellStyle name="Dane wyjściowe 2 8 19 4" xfId="17718" xr:uid="{00000000-0005-0000-0000-000021450000}"/>
    <cellStyle name="Dane wyjściowe 2 8 2" xfId="17719" xr:uid="{00000000-0005-0000-0000-000022450000}"/>
    <cellStyle name="Dane wyjściowe 2 8 2 2" xfId="17720" xr:uid="{00000000-0005-0000-0000-000023450000}"/>
    <cellStyle name="Dane wyjściowe 2 8 2 3" xfId="17721" xr:uid="{00000000-0005-0000-0000-000024450000}"/>
    <cellStyle name="Dane wyjściowe 2 8 2 4" xfId="17722" xr:uid="{00000000-0005-0000-0000-000025450000}"/>
    <cellStyle name="Dane wyjściowe 2 8 20" xfId="17723" xr:uid="{00000000-0005-0000-0000-000026450000}"/>
    <cellStyle name="Dane wyjściowe 2 8 20 2" xfId="17724" xr:uid="{00000000-0005-0000-0000-000027450000}"/>
    <cellStyle name="Dane wyjściowe 2 8 20 3" xfId="17725" xr:uid="{00000000-0005-0000-0000-000028450000}"/>
    <cellStyle name="Dane wyjściowe 2 8 20 4" xfId="17726" xr:uid="{00000000-0005-0000-0000-000029450000}"/>
    <cellStyle name="Dane wyjściowe 2 8 21" xfId="17727" xr:uid="{00000000-0005-0000-0000-00002A450000}"/>
    <cellStyle name="Dane wyjściowe 2 8 21 2" xfId="17728" xr:uid="{00000000-0005-0000-0000-00002B450000}"/>
    <cellStyle name="Dane wyjściowe 2 8 21 3" xfId="17729" xr:uid="{00000000-0005-0000-0000-00002C450000}"/>
    <cellStyle name="Dane wyjściowe 2 8 22" xfId="17730" xr:uid="{00000000-0005-0000-0000-00002D450000}"/>
    <cellStyle name="Dane wyjściowe 2 8 22 2" xfId="17731" xr:uid="{00000000-0005-0000-0000-00002E450000}"/>
    <cellStyle name="Dane wyjściowe 2 8 22 3" xfId="17732" xr:uid="{00000000-0005-0000-0000-00002F450000}"/>
    <cellStyle name="Dane wyjściowe 2 8 23" xfId="17733" xr:uid="{00000000-0005-0000-0000-000030450000}"/>
    <cellStyle name="Dane wyjściowe 2 8 23 2" xfId="17734" xr:uid="{00000000-0005-0000-0000-000031450000}"/>
    <cellStyle name="Dane wyjściowe 2 8 23 3" xfId="17735" xr:uid="{00000000-0005-0000-0000-000032450000}"/>
    <cellStyle name="Dane wyjściowe 2 8 24" xfId="17736" xr:uid="{00000000-0005-0000-0000-000033450000}"/>
    <cellStyle name="Dane wyjściowe 2 8 24 2" xfId="17737" xr:uid="{00000000-0005-0000-0000-000034450000}"/>
    <cellStyle name="Dane wyjściowe 2 8 24 3" xfId="17738" xr:uid="{00000000-0005-0000-0000-000035450000}"/>
    <cellStyle name="Dane wyjściowe 2 8 25" xfId="17739" xr:uid="{00000000-0005-0000-0000-000036450000}"/>
    <cellStyle name="Dane wyjściowe 2 8 25 2" xfId="17740" xr:uid="{00000000-0005-0000-0000-000037450000}"/>
    <cellStyle name="Dane wyjściowe 2 8 25 3" xfId="17741" xr:uid="{00000000-0005-0000-0000-000038450000}"/>
    <cellStyle name="Dane wyjściowe 2 8 26" xfId="17742" xr:uid="{00000000-0005-0000-0000-000039450000}"/>
    <cellStyle name="Dane wyjściowe 2 8 26 2" xfId="17743" xr:uid="{00000000-0005-0000-0000-00003A450000}"/>
    <cellStyle name="Dane wyjściowe 2 8 26 3" xfId="17744" xr:uid="{00000000-0005-0000-0000-00003B450000}"/>
    <cellStyle name="Dane wyjściowe 2 8 27" xfId="17745" xr:uid="{00000000-0005-0000-0000-00003C450000}"/>
    <cellStyle name="Dane wyjściowe 2 8 27 2" xfId="17746" xr:uid="{00000000-0005-0000-0000-00003D450000}"/>
    <cellStyle name="Dane wyjściowe 2 8 27 3" xfId="17747" xr:uid="{00000000-0005-0000-0000-00003E450000}"/>
    <cellStyle name="Dane wyjściowe 2 8 28" xfId="17748" xr:uid="{00000000-0005-0000-0000-00003F450000}"/>
    <cellStyle name="Dane wyjściowe 2 8 28 2" xfId="17749" xr:uid="{00000000-0005-0000-0000-000040450000}"/>
    <cellStyle name="Dane wyjściowe 2 8 28 3" xfId="17750" xr:uid="{00000000-0005-0000-0000-000041450000}"/>
    <cellStyle name="Dane wyjściowe 2 8 29" xfId="17751" xr:uid="{00000000-0005-0000-0000-000042450000}"/>
    <cellStyle name="Dane wyjściowe 2 8 29 2" xfId="17752" xr:uid="{00000000-0005-0000-0000-000043450000}"/>
    <cellStyle name="Dane wyjściowe 2 8 29 3" xfId="17753" xr:uid="{00000000-0005-0000-0000-000044450000}"/>
    <cellStyle name="Dane wyjściowe 2 8 3" xfId="17754" xr:uid="{00000000-0005-0000-0000-000045450000}"/>
    <cellStyle name="Dane wyjściowe 2 8 3 2" xfId="17755" xr:uid="{00000000-0005-0000-0000-000046450000}"/>
    <cellStyle name="Dane wyjściowe 2 8 3 3" xfId="17756" xr:uid="{00000000-0005-0000-0000-000047450000}"/>
    <cellStyle name="Dane wyjściowe 2 8 3 4" xfId="17757" xr:uid="{00000000-0005-0000-0000-000048450000}"/>
    <cellStyle name="Dane wyjściowe 2 8 30" xfId="17758" xr:uid="{00000000-0005-0000-0000-000049450000}"/>
    <cellStyle name="Dane wyjściowe 2 8 30 2" xfId="17759" xr:uid="{00000000-0005-0000-0000-00004A450000}"/>
    <cellStyle name="Dane wyjściowe 2 8 30 3" xfId="17760" xr:uid="{00000000-0005-0000-0000-00004B450000}"/>
    <cellStyle name="Dane wyjściowe 2 8 31" xfId="17761" xr:uid="{00000000-0005-0000-0000-00004C450000}"/>
    <cellStyle name="Dane wyjściowe 2 8 31 2" xfId="17762" xr:uid="{00000000-0005-0000-0000-00004D450000}"/>
    <cellStyle name="Dane wyjściowe 2 8 31 3" xfId="17763" xr:uid="{00000000-0005-0000-0000-00004E450000}"/>
    <cellStyle name="Dane wyjściowe 2 8 32" xfId="17764" xr:uid="{00000000-0005-0000-0000-00004F450000}"/>
    <cellStyle name="Dane wyjściowe 2 8 32 2" xfId="17765" xr:uid="{00000000-0005-0000-0000-000050450000}"/>
    <cellStyle name="Dane wyjściowe 2 8 32 3" xfId="17766" xr:uid="{00000000-0005-0000-0000-000051450000}"/>
    <cellStyle name="Dane wyjściowe 2 8 33" xfId="17767" xr:uid="{00000000-0005-0000-0000-000052450000}"/>
    <cellStyle name="Dane wyjściowe 2 8 33 2" xfId="17768" xr:uid="{00000000-0005-0000-0000-000053450000}"/>
    <cellStyle name="Dane wyjściowe 2 8 33 3" xfId="17769" xr:uid="{00000000-0005-0000-0000-000054450000}"/>
    <cellStyle name="Dane wyjściowe 2 8 34" xfId="17770" xr:uid="{00000000-0005-0000-0000-000055450000}"/>
    <cellStyle name="Dane wyjściowe 2 8 34 2" xfId="17771" xr:uid="{00000000-0005-0000-0000-000056450000}"/>
    <cellStyle name="Dane wyjściowe 2 8 34 3" xfId="17772" xr:uid="{00000000-0005-0000-0000-000057450000}"/>
    <cellStyle name="Dane wyjściowe 2 8 35" xfId="17773" xr:uid="{00000000-0005-0000-0000-000058450000}"/>
    <cellStyle name="Dane wyjściowe 2 8 35 2" xfId="17774" xr:uid="{00000000-0005-0000-0000-000059450000}"/>
    <cellStyle name="Dane wyjściowe 2 8 35 3" xfId="17775" xr:uid="{00000000-0005-0000-0000-00005A450000}"/>
    <cellStyle name="Dane wyjściowe 2 8 36" xfId="17776" xr:uid="{00000000-0005-0000-0000-00005B450000}"/>
    <cellStyle name="Dane wyjściowe 2 8 36 2" xfId="17777" xr:uid="{00000000-0005-0000-0000-00005C450000}"/>
    <cellStyle name="Dane wyjściowe 2 8 36 3" xfId="17778" xr:uid="{00000000-0005-0000-0000-00005D450000}"/>
    <cellStyle name="Dane wyjściowe 2 8 37" xfId="17779" xr:uid="{00000000-0005-0000-0000-00005E450000}"/>
    <cellStyle name="Dane wyjściowe 2 8 37 2" xfId="17780" xr:uid="{00000000-0005-0000-0000-00005F450000}"/>
    <cellStyle name="Dane wyjściowe 2 8 37 3" xfId="17781" xr:uid="{00000000-0005-0000-0000-000060450000}"/>
    <cellStyle name="Dane wyjściowe 2 8 38" xfId="17782" xr:uid="{00000000-0005-0000-0000-000061450000}"/>
    <cellStyle name="Dane wyjściowe 2 8 38 2" xfId="17783" xr:uid="{00000000-0005-0000-0000-000062450000}"/>
    <cellStyle name="Dane wyjściowe 2 8 38 3" xfId="17784" xr:uid="{00000000-0005-0000-0000-000063450000}"/>
    <cellStyle name="Dane wyjściowe 2 8 39" xfId="17785" xr:uid="{00000000-0005-0000-0000-000064450000}"/>
    <cellStyle name="Dane wyjściowe 2 8 39 2" xfId="17786" xr:uid="{00000000-0005-0000-0000-000065450000}"/>
    <cellStyle name="Dane wyjściowe 2 8 39 3" xfId="17787" xr:uid="{00000000-0005-0000-0000-000066450000}"/>
    <cellStyle name="Dane wyjściowe 2 8 4" xfId="17788" xr:uid="{00000000-0005-0000-0000-000067450000}"/>
    <cellStyle name="Dane wyjściowe 2 8 4 2" xfId="17789" xr:uid="{00000000-0005-0000-0000-000068450000}"/>
    <cellStyle name="Dane wyjściowe 2 8 4 3" xfId="17790" xr:uid="{00000000-0005-0000-0000-000069450000}"/>
    <cellStyle name="Dane wyjściowe 2 8 4 4" xfId="17791" xr:uid="{00000000-0005-0000-0000-00006A450000}"/>
    <cellStyle name="Dane wyjściowe 2 8 40" xfId="17792" xr:uid="{00000000-0005-0000-0000-00006B450000}"/>
    <cellStyle name="Dane wyjściowe 2 8 40 2" xfId="17793" xr:uid="{00000000-0005-0000-0000-00006C450000}"/>
    <cellStyle name="Dane wyjściowe 2 8 40 3" xfId="17794" xr:uid="{00000000-0005-0000-0000-00006D450000}"/>
    <cellStyle name="Dane wyjściowe 2 8 41" xfId="17795" xr:uid="{00000000-0005-0000-0000-00006E450000}"/>
    <cellStyle name="Dane wyjściowe 2 8 41 2" xfId="17796" xr:uid="{00000000-0005-0000-0000-00006F450000}"/>
    <cellStyle name="Dane wyjściowe 2 8 41 3" xfId="17797" xr:uid="{00000000-0005-0000-0000-000070450000}"/>
    <cellStyle name="Dane wyjściowe 2 8 42" xfId="17798" xr:uid="{00000000-0005-0000-0000-000071450000}"/>
    <cellStyle name="Dane wyjściowe 2 8 42 2" xfId="17799" xr:uid="{00000000-0005-0000-0000-000072450000}"/>
    <cellStyle name="Dane wyjściowe 2 8 42 3" xfId="17800" xr:uid="{00000000-0005-0000-0000-000073450000}"/>
    <cellStyle name="Dane wyjściowe 2 8 43" xfId="17801" xr:uid="{00000000-0005-0000-0000-000074450000}"/>
    <cellStyle name="Dane wyjściowe 2 8 43 2" xfId="17802" xr:uid="{00000000-0005-0000-0000-000075450000}"/>
    <cellStyle name="Dane wyjściowe 2 8 43 3" xfId="17803" xr:uid="{00000000-0005-0000-0000-000076450000}"/>
    <cellStyle name="Dane wyjściowe 2 8 44" xfId="17804" xr:uid="{00000000-0005-0000-0000-000077450000}"/>
    <cellStyle name="Dane wyjściowe 2 8 44 2" xfId="17805" xr:uid="{00000000-0005-0000-0000-000078450000}"/>
    <cellStyle name="Dane wyjściowe 2 8 44 3" xfId="17806" xr:uid="{00000000-0005-0000-0000-000079450000}"/>
    <cellStyle name="Dane wyjściowe 2 8 45" xfId="17807" xr:uid="{00000000-0005-0000-0000-00007A450000}"/>
    <cellStyle name="Dane wyjściowe 2 8 45 2" xfId="17808" xr:uid="{00000000-0005-0000-0000-00007B450000}"/>
    <cellStyle name="Dane wyjściowe 2 8 45 3" xfId="17809" xr:uid="{00000000-0005-0000-0000-00007C450000}"/>
    <cellStyle name="Dane wyjściowe 2 8 46" xfId="17810" xr:uid="{00000000-0005-0000-0000-00007D450000}"/>
    <cellStyle name="Dane wyjściowe 2 8 46 2" xfId="17811" xr:uid="{00000000-0005-0000-0000-00007E450000}"/>
    <cellStyle name="Dane wyjściowe 2 8 46 3" xfId="17812" xr:uid="{00000000-0005-0000-0000-00007F450000}"/>
    <cellStyle name="Dane wyjściowe 2 8 47" xfId="17813" xr:uid="{00000000-0005-0000-0000-000080450000}"/>
    <cellStyle name="Dane wyjściowe 2 8 47 2" xfId="17814" xr:uid="{00000000-0005-0000-0000-000081450000}"/>
    <cellStyle name="Dane wyjściowe 2 8 47 3" xfId="17815" xr:uid="{00000000-0005-0000-0000-000082450000}"/>
    <cellStyle name="Dane wyjściowe 2 8 48" xfId="17816" xr:uid="{00000000-0005-0000-0000-000083450000}"/>
    <cellStyle name="Dane wyjściowe 2 8 48 2" xfId="17817" xr:uid="{00000000-0005-0000-0000-000084450000}"/>
    <cellStyle name="Dane wyjściowe 2 8 48 3" xfId="17818" xr:uid="{00000000-0005-0000-0000-000085450000}"/>
    <cellStyle name="Dane wyjściowe 2 8 49" xfId="17819" xr:uid="{00000000-0005-0000-0000-000086450000}"/>
    <cellStyle name="Dane wyjściowe 2 8 49 2" xfId="17820" xr:uid="{00000000-0005-0000-0000-000087450000}"/>
    <cellStyle name="Dane wyjściowe 2 8 49 3" xfId="17821" xr:uid="{00000000-0005-0000-0000-000088450000}"/>
    <cellStyle name="Dane wyjściowe 2 8 5" xfId="17822" xr:uid="{00000000-0005-0000-0000-000089450000}"/>
    <cellStyle name="Dane wyjściowe 2 8 5 2" xfId="17823" xr:uid="{00000000-0005-0000-0000-00008A450000}"/>
    <cellStyle name="Dane wyjściowe 2 8 5 3" xfId="17824" xr:uid="{00000000-0005-0000-0000-00008B450000}"/>
    <cellStyle name="Dane wyjściowe 2 8 5 4" xfId="17825" xr:uid="{00000000-0005-0000-0000-00008C450000}"/>
    <cellStyle name="Dane wyjściowe 2 8 50" xfId="17826" xr:uid="{00000000-0005-0000-0000-00008D450000}"/>
    <cellStyle name="Dane wyjściowe 2 8 50 2" xfId="17827" xr:uid="{00000000-0005-0000-0000-00008E450000}"/>
    <cellStyle name="Dane wyjściowe 2 8 50 3" xfId="17828" xr:uid="{00000000-0005-0000-0000-00008F450000}"/>
    <cellStyle name="Dane wyjściowe 2 8 51" xfId="17829" xr:uid="{00000000-0005-0000-0000-000090450000}"/>
    <cellStyle name="Dane wyjściowe 2 8 51 2" xfId="17830" xr:uid="{00000000-0005-0000-0000-000091450000}"/>
    <cellStyle name="Dane wyjściowe 2 8 51 3" xfId="17831" xr:uid="{00000000-0005-0000-0000-000092450000}"/>
    <cellStyle name="Dane wyjściowe 2 8 52" xfId="17832" xr:uid="{00000000-0005-0000-0000-000093450000}"/>
    <cellStyle name="Dane wyjściowe 2 8 52 2" xfId="17833" xr:uid="{00000000-0005-0000-0000-000094450000}"/>
    <cellStyle name="Dane wyjściowe 2 8 52 3" xfId="17834" xr:uid="{00000000-0005-0000-0000-000095450000}"/>
    <cellStyle name="Dane wyjściowe 2 8 53" xfId="17835" xr:uid="{00000000-0005-0000-0000-000096450000}"/>
    <cellStyle name="Dane wyjściowe 2 8 53 2" xfId="17836" xr:uid="{00000000-0005-0000-0000-000097450000}"/>
    <cellStyle name="Dane wyjściowe 2 8 53 3" xfId="17837" xr:uid="{00000000-0005-0000-0000-000098450000}"/>
    <cellStyle name="Dane wyjściowe 2 8 54" xfId="17838" xr:uid="{00000000-0005-0000-0000-000099450000}"/>
    <cellStyle name="Dane wyjściowe 2 8 54 2" xfId="17839" xr:uid="{00000000-0005-0000-0000-00009A450000}"/>
    <cellStyle name="Dane wyjściowe 2 8 54 3" xfId="17840" xr:uid="{00000000-0005-0000-0000-00009B450000}"/>
    <cellStyle name="Dane wyjściowe 2 8 55" xfId="17841" xr:uid="{00000000-0005-0000-0000-00009C450000}"/>
    <cellStyle name="Dane wyjściowe 2 8 55 2" xfId="17842" xr:uid="{00000000-0005-0000-0000-00009D450000}"/>
    <cellStyle name="Dane wyjściowe 2 8 55 3" xfId="17843" xr:uid="{00000000-0005-0000-0000-00009E450000}"/>
    <cellStyle name="Dane wyjściowe 2 8 56" xfId="17844" xr:uid="{00000000-0005-0000-0000-00009F450000}"/>
    <cellStyle name="Dane wyjściowe 2 8 56 2" xfId="17845" xr:uid="{00000000-0005-0000-0000-0000A0450000}"/>
    <cellStyle name="Dane wyjściowe 2 8 56 3" xfId="17846" xr:uid="{00000000-0005-0000-0000-0000A1450000}"/>
    <cellStyle name="Dane wyjściowe 2 8 57" xfId="17847" xr:uid="{00000000-0005-0000-0000-0000A2450000}"/>
    <cellStyle name="Dane wyjściowe 2 8 58" xfId="17848" xr:uid="{00000000-0005-0000-0000-0000A3450000}"/>
    <cellStyle name="Dane wyjściowe 2 8 6" xfId="17849" xr:uid="{00000000-0005-0000-0000-0000A4450000}"/>
    <cellStyle name="Dane wyjściowe 2 8 6 2" xfId="17850" xr:uid="{00000000-0005-0000-0000-0000A5450000}"/>
    <cellStyle name="Dane wyjściowe 2 8 6 3" xfId="17851" xr:uid="{00000000-0005-0000-0000-0000A6450000}"/>
    <cellStyle name="Dane wyjściowe 2 8 6 4" xfId="17852" xr:uid="{00000000-0005-0000-0000-0000A7450000}"/>
    <cellStyle name="Dane wyjściowe 2 8 7" xfId="17853" xr:uid="{00000000-0005-0000-0000-0000A8450000}"/>
    <cellStyle name="Dane wyjściowe 2 8 7 2" xfId="17854" xr:uid="{00000000-0005-0000-0000-0000A9450000}"/>
    <cellStyle name="Dane wyjściowe 2 8 7 3" xfId="17855" xr:uid="{00000000-0005-0000-0000-0000AA450000}"/>
    <cellStyle name="Dane wyjściowe 2 8 7 4" xfId="17856" xr:uid="{00000000-0005-0000-0000-0000AB450000}"/>
    <cellStyle name="Dane wyjściowe 2 8 8" xfId="17857" xr:uid="{00000000-0005-0000-0000-0000AC450000}"/>
    <cellStyle name="Dane wyjściowe 2 8 8 2" xfId="17858" xr:uid="{00000000-0005-0000-0000-0000AD450000}"/>
    <cellStyle name="Dane wyjściowe 2 8 8 3" xfId="17859" xr:uid="{00000000-0005-0000-0000-0000AE450000}"/>
    <cellStyle name="Dane wyjściowe 2 8 8 4" xfId="17860" xr:uid="{00000000-0005-0000-0000-0000AF450000}"/>
    <cellStyle name="Dane wyjściowe 2 8 9" xfId="17861" xr:uid="{00000000-0005-0000-0000-0000B0450000}"/>
    <cellStyle name="Dane wyjściowe 2 8 9 2" xfId="17862" xr:uid="{00000000-0005-0000-0000-0000B1450000}"/>
    <cellStyle name="Dane wyjściowe 2 8 9 3" xfId="17863" xr:uid="{00000000-0005-0000-0000-0000B2450000}"/>
    <cellStyle name="Dane wyjściowe 2 8 9 4" xfId="17864" xr:uid="{00000000-0005-0000-0000-0000B3450000}"/>
    <cellStyle name="Dane wyjściowe 2 80" xfId="17865" xr:uid="{00000000-0005-0000-0000-0000B4450000}"/>
    <cellStyle name="Dane wyjściowe 2 80 2" xfId="17866" xr:uid="{00000000-0005-0000-0000-0000B5450000}"/>
    <cellStyle name="Dane wyjściowe 2 80 3" xfId="17867" xr:uid="{00000000-0005-0000-0000-0000B6450000}"/>
    <cellStyle name="Dane wyjściowe 2 81" xfId="17868" xr:uid="{00000000-0005-0000-0000-0000B7450000}"/>
    <cellStyle name="Dane wyjściowe 2 81 2" xfId="17869" xr:uid="{00000000-0005-0000-0000-0000B8450000}"/>
    <cellStyle name="Dane wyjściowe 2 81 3" xfId="17870" xr:uid="{00000000-0005-0000-0000-0000B9450000}"/>
    <cellStyle name="Dane wyjściowe 2 82" xfId="17871" xr:uid="{00000000-0005-0000-0000-0000BA450000}"/>
    <cellStyle name="Dane wyjściowe 2 82 2" xfId="17872" xr:uid="{00000000-0005-0000-0000-0000BB450000}"/>
    <cellStyle name="Dane wyjściowe 2 82 3" xfId="17873" xr:uid="{00000000-0005-0000-0000-0000BC450000}"/>
    <cellStyle name="Dane wyjściowe 2 83" xfId="17874" xr:uid="{00000000-0005-0000-0000-0000BD450000}"/>
    <cellStyle name="Dane wyjściowe 2 83 2" xfId="17875" xr:uid="{00000000-0005-0000-0000-0000BE450000}"/>
    <cellStyle name="Dane wyjściowe 2 83 3" xfId="17876" xr:uid="{00000000-0005-0000-0000-0000BF450000}"/>
    <cellStyle name="Dane wyjściowe 2 84" xfId="17877" xr:uid="{00000000-0005-0000-0000-0000C0450000}"/>
    <cellStyle name="Dane wyjściowe 2 84 2" xfId="17878" xr:uid="{00000000-0005-0000-0000-0000C1450000}"/>
    <cellStyle name="Dane wyjściowe 2 84 3" xfId="17879" xr:uid="{00000000-0005-0000-0000-0000C2450000}"/>
    <cellStyle name="Dane wyjściowe 2 85" xfId="17880" xr:uid="{00000000-0005-0000-0000-0000C3450000}"/>
    <cellStyle name="Dane wyjściowe 2 85 2" xfId="17881" xr:uid="{00000000-0005-0000-0000-0000C4450000}"/>
    <cellStyle name="Dane wyjściowe 2 85 3" xfId="17882" xr:uid="{00000000-0005-0000-0000-0000C5450000}"/>
    <cellStyle name="Dane wyjściowe 2 86" xfId="17883" xr:uid="{00000000-0005-0000-0000-0000C6450000}"/>
    <cellStyle name="Dane wyjściowe 2 86 2" xfId="17884" xr:uid="{00000000-0005-0000-0000-0000C7450000}"/>
    <cellStyle name="Dane wyjściowe 2 86 3" xfId="17885" xr:uid="{00000000-0005-0000-0000-0000C8450000}"/>
    <cellStyle name="Dane wyjściowe 2 87" xfId="17886" xr:uid="{00000000-0005-0000-0000-0000C9450000}"/>
    <cellStyle name="Dane wyjściowe 2 87 2" xfId="17887" xr:uid="{00000000-0005-0000-0000-0000CA450000}"/>
    <cellStyle name="Dane wyjściowe 2 87 3" xfId="17888" xr:uid="{00000000-0005-0000-0000-0000CB450000}"/>
    <cellStyle name="Dane wyjściowe 2 88" xfId="17889" xr:uid="{00000000-0005-0000-0000-0000CC450000}"/>
    <cellStyle name="Dane wyjściowe 2 89" xfId="17890" xr:uid="{00000000-0005-0000-0000-0000CD450000}"/>
    <cellStyle name="Dane wyjściowe 2 9" xfId="17891" xr:uid="{00000000-0005-0000-0000-0000CE450000}"/>
    <cellStyle name="Dane wyjściowe 2 9 10" xfId="17892" xr:uid="{00000000-0005-0000-0000-0000CF450000}"/>
    <cellStyle name="Dane wyjściowe 2 9 10 2" xfId="17893" xr:uid="{00000000-0005-0000-0000-0000D0450000}"/>
    <cellStyle name="Dane wyjściowe 2 9 10 3" xfId="17894" xr:uid="{00000000-0005-0000-0000-0000D1450000}"/>
    <cellStyle name="Dane wyjściowe 2 9 10 4" xfId="17895" xr:uid="{00000000-0005-0000-0000-0000D2450000}"/>
    <cellStyle name="Dane wyjściowe 2 9 11" xfId="17896" xr:uid="{00000000-0005-0000-0000-0000D3450000}"/>
    <cellStyle name="Dane wyjściowe 2 9 11 2" xfId="17897" xr:uid="{00000000-0005-0000-0000-0000D4450000}"/>
    <cellStyle name="Dane wyjściowe 2 9 11 3" xfId="17898" xr:uid="{00000000-0005-0000-0000-0000D5450000}"/>
    <cellStyle name="Dane wyjściowe 2 9 11 4" xfId="17899" xr:uid="{00000000-0005-0000-0000-0000D6450000}"/>
    <cellStyle name="Dane wyjściowe 2 9 12" xfId="17900" xr:uid="{00000000-0005-0000-0000-0000D7450000}"/>
    <cellStyle name="Dane wyjściowe 2 9 12 2" xfId="17901" xr:uid="{00000000-0005-0000-0000-0000D8450000}"/>
    <cellStyle name="Dane wyjściowe 2 9 12 3" xfId="17902" xr:uid="{00000000-0005-0000-0000-0000D9450000}"/>
    <cellStyle name="Dane wyjściowe 2 9 12 4" xfId="17903" xr:uid="{00000000-0005-0000-0000-0000DA450000}"/>
    <cellStyle name="Dane wyjściowe 2 9 13" xfId="17904" xr:uid="{00000000-0005-0000-0000-0000DB450000}"/>
    <cellStyle name="Dane wyjściowe 2 9 13 2" xfId="17905" xr:uid="{00000000-0005-0000-0000-0000DC450000}"/>
    <cellStyle name="Dane wyjściowe 2 9 13 3" xfId="17906" xr:uid="{00000000-0005-0000-0000-0000DD450000}"/>
    <cellStyle name="Dane wyjściowe 2 9 13 4" xfId="17907" xr:uid="{00000000-0005-0000-0000-0000DE450000}"/>
    <cellStyle name="Dane wyjściowe 2 9 14" xfId="17908" xr:uid="{00000000-0005-0000-0000-0000DF450000}"/>
    <cellStyle name="Dane wyjściowe 2 9 14 2" xfId="17909" xr:uid="{00000000-0005-0000-0000-0000E0450000}"/>
    <cellStyle name="Dane wyjściowe 2 9 14 3" xfId="17910" xr:uid="{00000000-0005-0000-0000-0000E1450000}"/>
    <cellStyle name="Dane wyjściowe 2 9 14 4" xfId="17911" xr:uid="{00000000-0005-0000-0000-0000E2450000}"/>
    <cellStyle name="Dane wyjściowe 2 9 15" xfId="17912" xr:uid="{00000000-0005-0000-0000-0000E3450000}"/>
    <cellStyle name="Dane wyjściowe 2 9 15 2" xfId="17913" xr:uid="{00000000-0005-0000-0000-0000E4450000}"/>
    <cellStyle name="Dane wyjściowe 2 9 15 3" xfId="17914" xr:uid="{00000000-0005-0000-0000-0000E5450000}"/>
    <cellStyle name="Dane wyjściowe 2 9 15 4" xfId="17915" xr:uid="{00000000-0005-0000-0000-0000E6450000}"/>
    <cellStyle name="Dane wyjściowe 2 9 16" xfId="17916" xr:uid="{00000000-0005-0000-0000-0000E7450000}"/>
    <cellStyle name="Dane wyjściowe 2 9 16 2" xfId="17917" xr:uid="{00000000-0005-0000-0000-0000E8450000}"/>
    <cellStyle name="Dane wyjściowe 2 9 16 3" xfId="17918" xr:uid="{00000000-0005-0000-0000-0000E9450000}"/>
    <cellStyle name="Dane wyjściowe 2 9 16 4" xfId="17919" xr:uid="{00000000-0005-0000-0000-0000EA450000}"/>
    <cellStyle name="Dane wyjściowe 2 9 17" xfId="17920" xr:uid="{00000000-0005-0000-0000-0000EB450000}"/>
    <cellStyle name="Dane wyjściowe 2 9 17 2" xfId="17921" xr:uid="{00000000-0005-0000-0000-0000EC450000}"/>
    <cellStyle name="Dane wyjściowe 2 9 17 3" xfId="17922" xr:uid="{00000000-0005-0000-0000-0000ED450000}"/>
    <cellStyle name="Dane wyjściowe 2 9 17 4" xfId="17923" xr:uid="{00000000-0005-0000-0000-0000EE450000}"/>
    <cellStyle name="Dane wyjściowe 2 9 18" xfId="17924" xr:uid="{00000000-0005-0000-0000-0000EF450000}"/>
    <cellStyle name="Dane wyjściowe 2 9 18 2" xfId="17925" xr:uid="{00000000-0005-0000-0000-0000F0450000}"/>
    <cellStyle name="Dane wyjściowe 2 9 18 3" xfId="17926" xr:uid="{00000000-0005-0000-0000-0000F1450000}"/>
    <cellStyle name="Dane wyjściowe 2 9 18 4" xfId="17927" xr:uid="{00000000-0005-0000-0000-0000F2450000}"/>
    <cellStyle name="Dane wyjściowe 2 9 19" xfId="17928" xr:uid="{00000000-0005-0000-0000-0000F3450000}"/>
    <cellStyle name="Dane wyjściowe 2 9 19 2" xfId="17929" xr:uid="{00000000-0005-0000-0000-0000F4450000}"/>
    <cellStyle name="Dane wyjściowe 2 9 19 3" xfId="17930" xr:uid="{00000000-0005-0000-0000-0000F5450000}"/>
    <cellStyle name="Dane wyjściowe 2 9 19 4" xfId="17931" xr:uid="{00000000-0005-0000-0000-0000F6450000}"/>
    <cellStyle name="Dane wyjściowe 2 9 2" xfId="17932" xr:uid="{00000000-0005-0000-0000-0000F7450000}"/>
    <cellStyle name="Dane wyjściowe 2 9 2 2" xfId="17933" xr:uid="{00000000-0005-0000-0000-0000F8450000}"/>
    <cellStyle name="Dane wyjściowe 2 9 2 3" xfId="17934" xr:uid="{00000000-0005-0000-0000-0000F9450000}"/>
    <cellStyle name="Dane wyjściowe 2 9 2 4" xfId="17935" xr:uid="{00000000-0005-0000-0000-0000FA450000}"/>
    <cellStyle name="Dane wyjściowe 2 9 20" xfId="17936" xr:uid="{00000000-0005-0000-0000-0000FB450000}"/>
    <cellStyle name="Dane wyjściowe 2 9 20 2" xfId="17937" xr:uid="{00000000-0005-0000-0000-0000FC450000}"/>
    <cellStyle name="Dane wyjściowe 2 9 20 3" xfId="17938" xr:uid="{00000000-0005-0000-0000-0000FD450000}"/>
    <cellStyle name="Dane wyjściowe 2 9 20 4" xfId="17939" xr:uid="{00000000-0005-0000-0000-0000FE450000}"/>
    <cellStyle name="Dane wyjściowe 2 9 21" xfId="17940" xr:uid="{00000000-0005-0000-0000-0000FF450000}"/>
    <cellStyle name="Dane wyjściowe 2 9 21 2" xfId="17941" xr:uid="{00000000-0005-0000-0000-000000460000}"/>
    <cellStyle name="Dane wyjściowe 2 9 21 3" xfId="17942" xr:uid="{00000000-0005-0000-0000-000001460000}"/>
    <cellStyle name="Dane wyjściowe 2 9 22" xfId="17943" xr:uid="{00000000-0005-0000-0000-000002460000}"/>
    <cellStyle name="Dane wyjściowe 2 9 22 2" xfId="17944" xr:uid="{00000000-0005-0000-0000-000003460000}"/>
    <cellStyle name="Dane wyjściowe 2 9 22 3" xfId="17945" xr:uid="{00000000-0005-0000-0000-000004460000}"/>
    <cellStyle name="Dane wyjściowe 2 9 23" xfId="17946" xr:uid="{00000000-0005-0000-0000-000005460000}"/>
    <cellStyle name="Dane wyjściowe 2 9 23 2" xfId="17947" xr:uid="{00000000-0005-0000-0000-000006460000}"/>
    <cellStyle name="Dane wyjściowe 2 9 23 3" xfId="17948" xr:uid="{00000000-0005-0000-0000-000007460000}"/>
    <cellStyle name="Dane wyjściowe 2 9 24" xfId="17949" xr:uid="{00000000-0005-0000-0000-000008460000}"/>
    <cellStyle name="Dane wyjściowe 2 9 24 2" xfId="17950" xr:uid="{00000000-0005-0000-0000-000009460000}"/>
    <cellStyle name="Dane wyjściowe 2 9 24 3" xfId="17951" xr:uid="{00000000-0005-0000-0000-00000A460000}"/>
    <cellStyle name="Dane wyjściowe 2 9 25" xfId="17952" xr:uid="{00000000-0005-0000-0000-00000B460000}"/>
    <cellStyle name="Dane wyjściowe 2 9 25 2" xfId="17953" xr:uid="{00000000-0005-0000-0000-00000C460000}"/>
    <cellStyle name="Dane wyjściowe 2 9 25 3" xfId="17954" xr:uid="{00000000-0005-0000-0000-00000D460000}"/>
    <cellStyle name="Dane wyjściowe 2 9 26" xfId="17955" xr:uid="{00000000-0005-0000-0000-00000E460000}"/>
    <cellStyle name="Dane wyjściowe 2 9 26 2" xfId="17956" xr:uid="{00000000-0005-0000-0000-00000F460000}"/>
    <cellStyle name="Dane wyjściowe 2 9 26 3" xfId="17957" xr:uid="{00000000-0005-0000-0000-000010460000}"/>
    <cellStyle name="Dane wyjściowe 2 9 27" xfId="17958" xr:uid="{00000000-0005-0000-0000-000011460000}"/>
    <cellStyle name="Dane wyjściowe 2 9 27 2" xfId="17959" xr:uid="{00000000-0005-0000-0000-000012460000}"/>
    <cellStyle name="Dane wyjściowe 2 9 27 3" xfId="17960" xr:uid="{00000000-0005-0000-0000-000013460000}"/>
    <cellStyle name="Dane wyjściowe 2 9 28" xfId="17961" xr:uid="{00000000-0005-0000-0000-000014460000}"/>
    <cellStyle name="Dane wyjściowe 2 9 28 2" xfId="17962" xr:uid="{00000000-0005-0000-0000-000015460000}"/>
    <cellStyle name="Dane wyjściowe 2 9 28 3" xfId="17963" xr:uid="{00000000-0005-0000-0000-000016460000}"/>
    <cellStyle name="Dane wyjściowe 2 9 29" xfId="17964" xr:uid="{00000000-0005-0000-0000-000017460000}"/>
    <cellStyle name="Dane wyjściowe 2 9 29 2" xfId="17965" xr:uid="{00000000-0005-0000-0000-000018460000}"/>
    <cellStyle name="Dane wyjściowe 2 9 29 3" xfId="17966" xr:uid="{00000000-0005-0000-0000-000019460000}"/>
    <cellStyle name="Dane wyjściowe 2 9 3" xfId="17967" xr:uid="{00000000-0005-0000-0000-00001A460000}"/>
    <cellStyle name="Dane wyjściowe 2 9 3 2" xfId="17968" xr:uid="{00000000-0005-0000-0000-00001B460000}"/>
    <cellStyle name="Dane wyjściowe 2 9 3 3" xfId="17969" xr:uid="{00000000-0005-0000-0000-00001C460000}"/>
    <cellStyle name="Dane wyjściowe 2 9 3 4" xfId="17970" xr:uid="{00000000-0005-0000-0000-00001D460000}"/>
    <cellStyle name="Dane wyjściowe 2 9 30" xfId="17971" xr:uid="{00000000-0005-0000-0000-00001E460000}"/>
    <cellStyle name="Dane wyjściowe 2 9 30 2" xfId="17972" xr:uid="{00000000-0005-0000-0000-00001F460000}"/>
    <cellStyle name="Dane wyjściowe 2 9 30 3" xfId="17973" xr:uid="{00000000-0005-0000-0000-000020460000}"/>
    <cellStyle name="Dane wyjściowe 2 9 31" xfId="17974" xr:uid="{00000000-0005-0000-0000-000021460000}"/>
    <cellStyle name="Dane wyjściowe 2 9 31 2" xfId="17975" xr:uid="{00000000-0005-0000-0000-000022460000}"/>
    <cellStyle name="Dane wyjściowe 2 9 31 3" xfId="17976" xr:uid="{00000000-0005-0000-0000-000023460000}"/>
    <cellStyle name="Dane wyjściowe 2 9 32" xfId="17977" xr:uid="{00000000-0005-0000-0000-000024460000}"/>
    <cellStyle name="Dane wyjściowe 2 9 32 2" xfId="17978" xr:uid="{00000000-0005-0000-0000-000025460000}"/>
    <cellStyle name="Dane wyjściowe 2 9 32 3" xfId="17979" xr:uid="{00000000-0005-0000-0000-000026460000}"/>
    <cellStyle name="Dane wyjściowe 2 9 33" xfId="17980" xr:uid="{00000000-0005-0000-0000-000027460000}"/>
    <cellStyle name="Dane wyjściowe 2 9 33 2" xfId="17981" xr:uid="{00000000-0005-0000-0000-000028460000}"/>
    <cellStyle name="Dane wyjściowe 2 9 33 3" xfId="17982" xr:uid="{00000000-0005-0000-0000-000029460000}"/>
    <cellStyle name="Dane wyjściowe 2 9 34" xfId="17983" xr:uid="{00000000-0005-0000-0000-00002A460000}"/>
    <cellStyle name="Dane wyjściowe 2 9 34 2" xfId="17984" xr:uid="{00000000-0005-0000-0000-00002B460000}"/>
    <cellStyle name="Dane wyjściowe 2 9 34 3" xfId="17985" xr:uid="{00000000-0005-0000-0000-00002C460000}"/>
    <cellStyle name="Dane wyjściowe 2 9 35" xfId="17986" xr:uid="{00000000-0005-0000-0000-00002D460000}"/>
    <cellStyle name="Dane wyjściowe 2 9 35 2" xfId="17987" xr:uid="{00000000-0005-0000-0000-00002E460000}"/>
    <cellStyle name="Dane wyjściowe 2 9 35 3" xfId="17988" xr:uid="{00000000-0005-0000-0000-00002F460000}"/>
    <cellStyle name="Dane wyjściowe 2 9 36" xfId="17989" xr:uid="{00000000-0005-0000-0000-000030460000}"/>
    <cellStyle name="Dane wyjściowe 2 9 36 2" xfId="17990" xr:uid="{00000000-0005-0000-0000-000031460000}"/>
    <cellStyle name="Dane wyjściowe 2 9 36 3" xfId="17991" xr:uid="{00000000-0005-0000-0000-000032460000}"/>
    <cellStyle name="Dane wyjściowe 2 9 37" xfId="17992" xr:uid="{00000000-0005-0000-0000-000033460000}"/>
    <cellStyle name="Dane wyjściowe 2 9 37 2" xfId="17993" xr:uid="{00000000-0005-0000-0000-000034460000}"/>
    <cellStyle name="Dane wyjściowe 2 9 37 3" xfId="17994" xr:uid="{00000000-0005-0000-0000-000035460000}"/>
    <cellStyle name="Dane wyjściowe 2 9 38" xfId="17995" xr:uid="{00000000-0005-0000-0000-000036460000}"/>
    <cellStyle name="Dane wyjściowe 2 9 38 2" xfId="17996" xr:uid="{00000000-0005-0000-0000-000037460000}"/>
    <cellStyle name="Dane wyjściowe 2 9 38 3" xfId="17997" xr:uid="{00000000-0005-0000-0000-000038460000}"/>
    <cellStyle name="Dane wyjściowe 2 9 39" xfId="17998" xr:uid="{00000000-0005-0000-0000-000039460000}"/>
    <cellStyle name="Dane wyjściowe 2 9 39 2" xfId="17999" xr:uid="{00000000-0005-0000-0000-00003A460000}"/>
    <cellStyle name="Dane wyjściowe 2 9 39 3" xfId="18000" xr:uid="{00000000-0005-0000-0000-00003B460000}"/>
    <cellStyle name="Dane wyjściowe 2 9 4" xfId="18001" xr:uid="{00000000-0005-0000-0000-00003C460000}"/>
    <cellStyle name="Dane wyjściowe 2 9 4 2" xfId="18002" xr:uid="{00000000-0005-0000-0000-00003D460000}"/>
    <cellStyle name="Dane wyjściowe 2 9 4 3" xfId="18003" xr:uid="{00000000-0005-0000-0000-00003E460000}"/>
    <cellStyle name="Dane wyjściowe 2 9 4 4" xfId="18004" xr:uid="{00000000-0005-0000-0000-00003F460000}"/>
    <cellStyle name="Dane wyjściowe 2 9 40" xfId="18005" xr:uid="{00000000-0005-0000-0000-000040460000}"/>
    <cellStyle name="Dane wyjściowe 2 9 40 2" xfId="18006" xr:uid="{00000000-0005-0000-0000-000041460000}"/>
    <cellStyle name="Dane wyjściowe 2 9 40 3" xfId="18007" xr:uid="{00000000-0005-0000-0000-000042460000}"/>
    <cellStyle name="Dane wyjściowe 2 9 41" xfId="18008" xr:uid="{00000000-0005-0000-0000-000043460000}"/>
    <cellStyle name="Dane wyjściowe 2 9 41 2" xfId="18009" xr:uid="{00000000-0005-0000-0000-000044460000}"/>
    <cellStyle name="Dane wyjściowe 2 9 41 3" xfId="18010" xr:uid="{00000000-0005-0000-0000-000045460000}"/>
    <cellStyle name="Dane wyjściowe 2 9 42" xfId="18011" xr:uid="{00000000-0005-0000-0000-000046460000}"/>
    <cellStyle name="Dane wyjściowe 2 9 42 2" xfId="18012" xr:uid="{00000000-0005-0000-0000-000047460000}"/>
    <cellStyle name="Dane wyjściowe 2 9 42 3" xfId="18013" xr:uid="{00000000-0005-0000-0000-000048460000}"/>
    <cellStyle name="Dane wyjściowe 2 9 43" xfId="18014" xr:uid="{00000000-0005-0000-0000-000049460000}"/>
    <cellStyle name="Dane wyjściowe 2 9 43 2" xfId="18015" xr:uid="{00000000-0005-0000-0000-00004A460000}"/>
    <cellStyle name="Dane wyjściowe 2 9 43 3" xfId="18016" xr:uid="{00000000-0005-0000-0000-00004B460000}"/>
    <cellStyle name="Dane wyjściowe 2 9 44" xfId="18017" xr:uid="{00000000-0005-0000-0000-00004C460000}"/>
    <cellStyle name="Dane wyjściowe 2 9 44 2" xfId="18018" xr:uid="{00000000-0005-0000-0000-00004D460000}"/>
    <cellStyle name="Dane wyjściowe 2 9 44 3" xfId="18019" xr:uid="{00000000-0005-0000-0000-00004E460000}"/>
    <cellStyle name="Dane wyjściowe 2 9 45" xfId="18020" xr:uid="{00000000-0005-0000-0000-00004F460000}"/>
    <cellStyle name="Dane wyjściowe 2 9 45 2" xfId="18021" xr:uid="{00000000-0005-0000-0000-000050460000}"/>
    <cellStyle name="Dane wyjściowe 2 9 45 3" xfId="18022" xr:uid="{00000000-0005-0000-0000-000051460000}"/>
    <cellStyle name="Dane wyjściowe 2 9 46" xfId="18023" xr:uid="{00000000-0005-0000-0000-000052460000}"/>
    <cellStyle name="Dane wyjściowe 2 9 46 2" xfId="18024" xr:uid="{00000000-0005-0000-0000-000053460000}"/>
    <cellStyle name="Dane wyjściowe 2 9 46 3" xfId="18025" xr:uid="{00000000-0005-0000-0000-000054460000}"/>
    <cellStyle name="Dane wyjściowe 2 9 47" xfId="18026" xr:uid="{00000000-0005-0000-0000-000055460000}"/>
    <cellStyle name="Dane wyjściowe 2 9 47 2" xfId="18027" xr:uid="{00000000-0005-0000-0000-000056460000}"/>
    <cellStyle name="Dane wyjściowe 2 9 47 3" xfId="18028" xr:uid="{00000000-0005-0000-0000-000057460000}"/>
    <cellStyle name="Dane wyjściowe 2 9 48" xfId="18029" xr:uid="{00000000-0005-0000-0000-000058460000}"/>
    <cellStyle name="Dane wyjściowe 2 9 48 2" xfId="18030" xr:uid="{00000000-0005-0000-0000-000059460000}"/>
    <cellStyle name="Dane wyjściowe 2 9 48 3" xfId="18031" xr:uid="{00000000-0005-0000-0000-00005A460000}"/>
    <cellStyle name="Dane wyjściowe 2 9 49" xfId="18032" xr:uid="{00000000-0005-0000-0000-00005B460000}"/>
    <cellStyle name="Dane wyjściowe 2 9 49 2" xfId="18033" xr:uid="{00000000-0005-0000-0000-00005C460000}"/>
    <cellStyle name="Dane wyjściowe 2 9 49 3" xfId="18034" xr:uid="{00000000-0005-0000-0000-00005D460000}"/>
    <cellStyle name="Dane wyjściowe 2 9 5" xfId="18035" xr:uid="{00000000-0005-0000-0000-00005E460000}"/>
    <cellStyle name="Dane wyjściowe 2 9 5 2" xfId="18036" xr:uid="{00000000-0005-0000-0000-00005F460000}"/>
    <cellStyle name="Dane wyjściowe 2 9 5 3" xfId="18037" xr:uid="{00000000-0005-0000-0000-000060460000}"/>
    <cellStyle name="Dane wyjściowe 2 9 5 4" xfId="18038" xr:uid="{00000000-0005-0000-0000-000061460000}"/>
    <cellStyle name="Dane wyjściowe 2 9 50" xfId="18039" xr:uid="{00000000-0005-0000-0000-000062460000}"/>
    <cellStyle name="Dane wyjściowe 2 9 50 2" xfId="18040" xr:uid="{00000000-0005-0000-0000-000063460000}"/>
    <cellStyle name="Dane wyjściowe 2 9 50 3" xfId="18041" xr:uid="{00000000-0005-0000-0000-000064460000}"/>
    <cellStyle name="Dane wyjściowe 2 9 51" xfId="18042" xr:uid="{00000000-0005-0000-0000-000065460000}"/>
    <cellStyle name="Dane wyjściowe 2 9 51 2" xfId="18043" xr:uid="{00000000-0005-0000-0000-000066460000}"/>
    <cellStyle name="Dane wyjściowe 2 9 51 3" xfId="18044" xr:uid="{00000000-0005-0000-0000-000067460000}"/>
    <cellStyle name="Dane wyjściowe 2 9 52" xfId="18045" xr:uid="{00000000-0005-0000-0000-000068460000}"/>
    <cellStyle name="Dane wyjściowe 2 9 52 2" xfId="18046" xr:uid="{00000000-0005-0000-0000-000069460000}"/>
    <cellStyle name="Dane wyjściowe 2 9 52 3" xfId="18047" xr:uid="{00000000-0005-0000-0000-00006A460000}"/>
    <cellStyle name="Dane wyjściowe 2 9 53" xfId="18048" xr:uid="{00000000-0005-0000-0000-00006B460000}"/>
    <cellStyle name="Dane wyjściowe 2 9 53 2" xfId="18049" xr:uid="{00000000-0005-0000-0000-00006C460000}"/>
    <cellStyle name="Dane wyjściowe 2 9 53 3" xfId="18050" xr:uid="{00000000-0005-0000-0000-00006D460000}"/>
    <cellStyle name="Dane wyjściowe 2 9 54" xfId="18051" xr:uid="{00000000-0005-0000-0000-00006E460000}"/>
    <cellStyle name="Dane wyjściowe 2 9 54 2" xfId="18052" xr:uid="{00000000-0005-0000-0000-00006F460000}"/>
    <cellStyle name="Dane wyjściowe 2 9 54 3" xfId="18053" xr:uid="{00000000-0005-0000-0000-000070460000}"/>
    <cellStyle name="Dane wyjściowe 2 9 55" xfId="18054" xr:uid="{00000000-0005-0000-0000-000071460000}"/>
    <cellStyle name="Dane wyjściowe 2 9 55 2" xfId="18055" xr:uid="{00000000-0005-0000-0000-000072460000}"/>
    <cellStyle name="Dane wyjściowe 2 9 55 3" xfId="18056" xr:uid="{00000000-0005-0000-0000-000073460000}"/>
    <cellStyle name="Dane wyjściowe 2 9 56" xfId="18057" xr:uid="{00000000-0005-0000-0000-000074460000}"/>
    <cellStyle name="Dane wyjściowe 2 9 56 2" xfId="18058" xr:uid="{00000000-0005-0000-0000-000075460000}"/>
    <cellStyle name="Dane wyjściowe 2 9 56 3" xfId="18059" xr:uid="{00000000-0005-0000-0000-000076460000}"/>
    <cellStyle name="Dane wyjściowe 2 9 57" xfId="18060" xr:uid="{00000000-0005-0000-0000-000077460000}"/>
    <cellStyle name="Dane wyjściowe 2 9 58" xfId="18061" xr:uid="{00000000-0005-0000-0000-000078460000}"/>
    <cellStyle name="Dane wyjściowe 2 9 6" xfId="18062" xr:uid="{00000000-0005-0000-0000-000079460000}"/>
    <cellStyle name="Dane wyjściowe 2 9 6 2" xfId="18063" xr:uid="{00000000-0005-0000-0000-00007A460000}"/>
    <cellStyle name="Dane wyjściowe 2 9 6 3" xfId="18064" xr:uid="{00000000-0005-0000-0000-00007B460000}"/>
    <cellStyle name="Dane wyjściowe 2 9 6 4" xfId="18065" xr:uid="{00000000-0005-0000-0000-00007C460000}"/>
    <cellStyle name="Dane wyjściowe 2 9 7" xfId="18066" xr:uid="{00000000-0005-0000-0000-00007D460000}"/>
    <cellStyle name="Dane wyjściowe 2 9 7 2" xfId="18067" xr:uid="{00000000-0005-0000-0000-00007E460000}"/>
    <cellStyle name="Dane wyjściowe 2 9 7 3" xfId="18068" xr:uid="{00000000-0005-0000-0000-00007F460000}"/>
    <cellStyle name="Dane wyjściowe 2 9 7 4" xfId="18069" xr:uid="{00000000-0005-0000-0000-000080460000}"/>
    <cellStyle name="Dane wyjściowe 2 9 8" xfId="18070" xr:uid="{00000000-0005-0000-0000-000081460000}"/>
    <cellStyle name="Dane wyjściowe 2 9 8 2" xfId="18071" xr:uid="{00000000-0005-0000-0000-000082460000}"/>
    <cellStyle name="Dane wyjściowe 2 9 8 3" xfId="18072" xr:uid="{00000000-0005-0000-0000-000083460000}"/>
    <cellStyle name="Dane wyjściowe 2 9 8 4" xfId="18073" xr:uid="{00000000-0005-0000-0000-000084460000}"/>
    <cellStyle name="Dane wyjściowe 2 9 9" xfId="18074" xr:uid="{00000000-0005-0000-0000-000085460000}"/>
    <cellStyle name="Dane wyjściowe 2 9 9 2" xfId="18075" xr:uid="{00000000-0005-0000-0000-000086460000}"/>
    <cellStyle name="Dane wyjściowe 2 9 9 3" xfId="18076" xr:uid="{00000000-0005-0000-0000-000087460000}"/>
    <cellStyle name="Dane wyjściowe 2 9 9 4" xfId="18077" xr:uid="{00000000-0005-0000-0000-000088460000}"/>
    <cellStyle name="Dane wyjściowe 3" xfId="18078" xr:uid="{00000000-0005-0000-0000-000089460000}"/>
    <cellStyle name="Dane wyjściowe 3 2" xfId="18079" xr:uid="{00000000-0005-0000-0000-00008A460000}"/>
    <cellStyle name="Dane wyjściowe 3 2 2" xfId="18080" xr:uid="{00000000-0005-0000-0000-00008B460000}"/>
    <cellStyle name="Dane wyjściowe 3 3" xfId="18081" xr:uid="{00000000-0005-0000-0000-00008C460000}"/>
    <cellStyle name="Dane wyjściowe 3 4" xfId="18082" xr:uid="{00000000-0005-0000-0000-00008D460000}"/>
    <cellStyle name="Dane wyjściowe 3 5" xfId="18083" xr:uid="{00000000-0005-0000-0000-00008E460000}"/>
    <cellStyle name="Dane wyjściowe 3 6" xfId="18084" xr:uid="{00000000-0005-0000-0000-00008F460000}"/>
    <cellStyle name="Dane wyjściowe 3 7" xfId="18085" xr:uid="{00000000-0005-0000-0000-000090460000}"/>
    <cellStyle name="Dane wyjściowe 3 8" xfId="18086" xr:uid="{00000000-0005-0000-0000-000091460000}"/>
    <cellStyle name="Dane wyjściowe 3 9" xfId="18087" xr:uid="{00000000-0005-0000-0000-000092460000}"/>
    <cellStyle name="Dane wyjściowe 4" xfId="18088" xr:uid="{00000000-0005-0000-0000-000093460000}"/>
    <cellStyle name="Dane wyjściowe 4 2" xfId="18089" xr:uid="{00000000-0005-0000-0000-000094460000}"/>
    <cellStyle name="Dane wyjściowe 4 3" xfId="18090" xr:uid="{00000000-0005-0000-0000-000095460000}"/>
    <cellStyle name="Dane wyjściowe 4 4" xfId="18091" xr:uid="{00000000-0005-0000-0000-000096460000}"/>
    <cellStyle name="Dane wyjściowe 4 5" xfId="18092" xr:uid="{00000000-0005-0000-0000-000097460000}"/>
    <cellStyle name="Dane wyjściowe 4 6" xfId="18093" xr:uid="{00000000-0005-0000-0000-000098460000}"/>
    <cellStyle name="Dane wyjściowe 4 7" xfId="18094" xr:uid="{00000000-0005-0000-0000-000099460000}"/>
    <cellStyle name="Dane wyjściowe 4 8" xfId="18095" xr:uid="{00000000-0005-0000-0000-00009A460000}"/>
    <cellStyle name="Dane wyjściowe 4 9" xfId="18096" xr:uid="{00000000-0005-0000-0000-00009B460000}"/>
    <cellStyle name="Dane wyjściowe 5" xfId="18097" xr:uid="{00000000-0005-0000-0000-00009C460000}"/>
    <cellStyle name="Dane wyjściowe 5 2" xfId="18098" xr:uid="{00000000-0005-0000-0000-00009D460000}"/>
    <cellStyle name="Dane wyjściowe 5 3" xfId="18099" xr:uid="{00000000-0005-0000-0000-00009E460000}"/>
    <cellStyle name="Dane wyjściowe 6" xfId="18100" xr:uid="{00000000-0005-0000-0000-00009F460000}"/>
    <cellStyle name="Dane wyjściowe 6 2" xfId="18101" xr:uid="{00000000-0005-0000-0000-0000A0460000}"/>
    <cellStyle name="Dane wyjściowe 7" xfId="18102" xr:uid="{00000000-0005-0000-0000-0000A1460000}"/>
    <cellStyle name="Dobre 2" xfId="18103" xr:uid="{00000000-0005-0000-0000-0000A2460000}"/>
    <cellStyle name="Dobre 2 10" xfId="18104" xr:uid="{00000000-0005-0000-0000-0000A3460000}"/>
    <cellStyle name="Dobre 2 10 2" xfId="18105" xr:uid="{00000000-0005-0000-0000-0000A4460000}"/>
    <cellStyle name="Dobre 2 10 3" xfId="18106" xr:uid="{00000000-0005-0000-0000-0000A5460000}"/>
    <cellStyle name="Dobre 2 10 4" xfId="18107" xr:uid="{00000000-0005-0000-0000-0000A6460000}"/>
    <cellStyle name="Dobre 2 10 5" xfId="18108" xr:uid="{00000000-0005-0000-0000-0000A7460000}"/>
    <cellStyle name="Dobre 2 10 6" xfId="18109" xr:uid="{00000000-0005-0000-0000-0000A8460000}"/>
    <cellStyle name="Dobre 2 10 7" xfId="18110" xr:uid="{00000000-0005-0000-0000-0000A9460000}"/>
    <cellStyle name="Dobre 2 11" xfId="18111" xr:uid="{00000000-0005-0000-0000-0000AA460000}"/>
    <cellStyle name="Dobre 2 11 2" xfId="18112" xr:uid="{00000000-0005-0000-0000-0000AB460000}"/>
    <cellStyle name="Dobre 2 11 3" xfId="18113" xr:uid="{00000000-0005-0000-0000-0000AC460000}"/>
    <cellStyle name="Dobre 2 11 4" xfId="18114" xr:uid="{00000000-0005-0000-0000-0000AD460000}"/>
    <cellStyle name="Dobre 2 11 5" xfId="18115" xr:uid="{00000000-0005-0000-0000-0000AE460000}"/>
    <cellStyle name="Dobre 2 11 6" xfId="18116" xr:uid="{00000000-0005-0000-0000-0000AF460000}"/>
    <cellStyle name="Dobre 2 11 7" xfId="18117" xr:uid="{00000000-0005-0000-0000-0000B0460000}"/>
    <cellStyle name="Dobre 2 12" xfId="18118" xr:uid="{00000000-0005-0000-0000-0000B1460000}"/>
    <cellStyle name="Dobre 2 12 2" xfId="18119" xr:uid="{00000000-0005-0000-0000-0000B2460000}"/>
    <cellStyle name="Dobre 2 12 3" xfId="18120" xr:uid="{00000000-0005-0000-0000-0000B3460000}"/>
    <cellStyle name="Dobre 2 12 4" xfId="18121" xr:uid="{00000000-0005-0000-0000-0000B4460000}"/>
    <cellStyle name="Dobre 2 12 5" xfId="18122" xr:uid="{00000000-0005-0000-0000-0000B5460000}"/>
    <cellStyle name="Dobre 2 12 6" xfId="18123" xr:uid="{00000000-0005-0000-0000-0000B6460000}"/>
    <cellStyle name="Dobre 2 12 7" xfId="18124" xr:uid="{00000000-0005-0000-0000-0000B7460000}"/>
    <cellStyle name="Dobre 2 13" xfId="18125" xr:uid="{00000000-0005-0000-0000-0000B8460000}"/>
    <cellStyle name="Dobre 2 13 2" xfId="18126" xr:uid="{00000000-0005-0000-0000-0000B9460000}"/>
    <cellStyle name="Dobre 2 13 3" xfId="18127" xr:uid="{00000000-0005-0000-0000-0000BA460000}"/>
    <cellStyle name="Dobre 2 13 4" xfId="18128" xr:uid="{00000000-0005-0000-0000-0000BB460000}"/>
    <cellStyle name="Dobre 2 13 5" xfId="18129" xr:uid="{00000000-0005-0000-0000-0000BC460000}"/>
    <cellStyle name="Dobre 2 13 6" xfId="18130" xr:uid="{00000000-0005-0000-0000-0000BD460000}"/>
    <cellStyle name="Dobre 2 13 7" xfId="18131" xr:uid="{00000000-0005-0000-0000-0000BE460000}"/>
    <cellStyle name="Dobre 2 14" xfId="18132" xr:uid="{00000000-0005-0000-0000-0000BF460000}"/>
    <cellStyle name="Dobre 2 14 2" xfId="18133" xr:uid="{00000000-0005-0000-0000-0000C0460000}"/>
    <cellStyle name="Dobre 2 14 3" xfId="18134" xr:uid="{00000000-0005-0000-0000-0000C1460000}"/>
    <cellStyle name="Dobre 2 14 4" xfId="18135" xr:uid="{00000000-0005-0000-0000-0000C2460000}"/>
    <cellStyle name="Dobre 2 14 5" xfId="18136" xr:uid="{00000000-0005-0000-0000-0000C3460000}"/>
    <cellStyle name="Dobre 2 14 6" xfId="18137" xr:uid="{00000000-0005-0000-0000-0000C4460000}"/>
    <cellStyle name="Dobre 2 14 7" xfId="18138" xr:uid="{00000000-0005-0000-0000-0000C5460000}"/>
    <cellStyle name="Dobre 2 15" xfId="18139" xr:uid="{00000000-0005-0000-0000-0000C6460000}"/>
    <cellStyle name="Dobre 2 15 2" xfId="18140" xr:uid="{00000000-0005-0000-0000-0000C7460000}"/>
    <cellStyle name="Dobre 2 15 3" xfId="18141" xr:uid="{00000000-0005-0000-0000-0000C8460000}"/>
    <cellStyle name="Dobre 2 15 4" xfId="18142" xr:uid="{00000000-0005-0000-0000-0000C9460000}"/>
    <cellStyle name="Dobre 2 15 5" xfId="18143" xr:uid="{00000000-0005-0000-0000-0000CA460000}"/>
    <cellStyle name="Dobre 2 15 6" xfId="18144" xr:uid="{00000000-0005-0000-0000-0000CB460000}"/>
    <cellStyle name="Dobre 2 15 7" xfId="18145" xr:uid="{00000000-0005-0000-0000-0000CC460000}"/>
    <cellStyle name="Dobre 2 16" xfId="18146" xr:uid="{00000000-0005-0000-0000-0000CD460000}"/>
    <cellStyle name="Dobre 2 16 2" xfId="18147" xr:uid="{00000000-0005-0000-0000-0000CE460000}"/>
    <cellStyle name="Dobre 2 16 3" xfId="18148" xr:uid="{00000000-0005-0000-0000-0000CF460000}"/>
    <cellStyle name="Dobre 2 16 4" xfId="18149" xr:uid="{00000000-0005-0000-0000-0000D0460000}"/>
    <cellStyle name="Dobre 2 16 5" xfId="18150" xr:uid="{00000000-0005-0000-0000-0000D1460000}"/>
    <cellStyle name="Dobre 2 16 6" xfId="18151" xr:uid="{00000000-0005-0000-0000-0000D2460000}"/>
    <cellStyle name="Dobre 2 16 7" xfId="18152" xr:uid="{00000000-0005-0000-0000-0000D3460000}"/>
    <cellStyle name="Dobre 2 17" xfId="18153" xr:uid="{00000000-0005-0000-0000-0000D4460000}"/>
    <cellStyle name="Dobre 2 17 2" xfId="18154" xr:uid="{00000000-0005-0000-0000-0000D5460000}"/>
    <cellStyle name="Dobre 2 17 3" xfId="18155" xr:uid="{00000000-0005-0000-0000-0000D6460000}"/>
    <cellStyle name="Dobre 2 17 4" xfId="18156" xr:uid="{00000000-0005-0000-0000-0000D7460000}"/>
    <cellStyle name="Dobre 2 17 5" xfId="18157" xr:uid="{00000000-0005-0000-0000-0000D8460000}"/>
    <cellStyle name="Dobre 2 17 6" xfId="18158" xr:uid="{00000000-0005-0000-0000-0000D9460000}"/>
    <cellStyle name="Dobre 2 17 7" xfId="18159" xr:uid="{00000000-0005-0000-0000-0000DA460000}"/>
    <cellStyle name="Dobre 2 18" xfId="18160" xr:uid="{00000000-0005-0000-0000-0000DB460000}"/>
    <cellStyle name="Dobre 2 18 2" xfId="18161" xr:uid="{00000000-0005-0000-0000-0000DC460000}"/>
    <cellStyle name="Dobre 2 18 3" xfId="18162" xr:uid="{00000000-0005-0000-0000-0000DD460000}"/>
    <cellStyle name="Dobre 2 18 4" xfId="18163" xr:uid="{00000000-0005-0000-0000-0000DE460000}"/>
    <cellStyle name="Dobre 2 18 5" xfId="18164" xr:uid="{00000000-0005-0000-0000-0000DF460000}"/>
    <cellStyle name="Dobre 2 18 6" xfId="18165" xr:uid="{00000000-0005-0000-0000-0000E0460000}"/>
    <cellStyle name="Dobre 2 18 7" xfId="18166" xr:uid="{00000000-0005-0000-0000-0000E1460000}"/>
    <cellStyle name="Dobre 2 19" xfId="18167" xr:uid="{00000000-0005-0000-0000-0000E2460000}"/>
    <cellStyle name="Dobre 2 19 2" xfId="18168" xr:uid="{00000000-0005-0000-0000-0000E3460000}"/>
    <cellStyle name="Dobre 2 19 3" xfId="18169" xr:uid="{00000000-0005-0000-0000-0000E4460000}"/>
    <cellStyle name="Dobre 2 19 4" xfId="18170" xr:uid="{00000000-0005-0000-0000-0000E5460000}"/>
    <cellStyle name="Dobre 2 19 5" xfId="18171" xr:uid="{00000000-0005-0000-0000-0000E6460000}"/>
    <cellStyle name="Dobre 2 19 6" xfId="18172" xr:uid="{00000000-0005-0000-0000-0000E7460000}"/>
    <cellStyle name="Dobre 2 19 7" xfId="18173" xr:uid="{00000000-0005-0000-0000-0000E8460000}"/>
    <cellStyle name="Dobre 2 2" xfId="18174" xr:uid="{00000000-0005-0000-0000-0000E9460000}"/>
    <cellStyle name="Dobre 2 2 2" xfId="18175" xr:uid="{00000000-0005-0000-0000-0000EA460000}"/>
    <cellStyle name="Dobre 2 2 3" xfId="18176" xr:uid="{00000000-0005-0000-0000-0000EB460000}"/>
    <cellStyle name="Dobre 2 2 4" xfId="18177" xr:uid="{00000000-0005-0000-0000-0000EC460000}"/>
    <cellStyle name="Dobre 2 2 5" xfId="18178" xr:uid="{00000000-0005-0000-0000-0000ED460000}"/>
    <cellStyle name="Dobre 2 2 6" xfId="18179" xr:uid="{00000000-0005-0000-0000-0000EE460000}"/>
    <cellStyle name="Dobre 2 2 7" xfId="18180" xr:uid="{00000000-0005-0000-0000-0000EF460000}"/>
    <cellStyle name="Dobre 2 2 8" xfId="18181" xr:uid="{00000000-0005-0000-0000-0000F0460000}"/>
    <cellStyle name="Dobre 2 20" xfId="18182" xr:uid="{00000000-0005-0000-0000-0000F1460000}"/>
    <cellStyle name="Dobre 2 20 2" xfId="18183" xr:uid="{00000000-0005-0000-0000-0000F2460000}"/>
    <cellStyle name="Dobre 2 20 3" xfId="18184" xr:uid="{00000000-0005-0000-0000-0000F3460000}"/>
    <cellStyle name="Dobre 2 20 4" xfId="18185" xr:uid="{00000000-0005-0000-0000-0000F4460000}"/>
    <cellStyle name="Dobre 2 20 5" xfId="18186" xr:uid="{00000000-0005-0000-0000-0000F5460000}"/>
    <cellStyle name="Dobre 2 20 6" xfId="18187" xr:uid="{00000000-0005-0000-0000-0000F6460000}"/>
    <cellStyle name="Dobre 2 20 7" xfId="18188" xr:uid="{00000000-0005-0000-0000-0000F7460000}"/>
    <cellStyle name="Dobre 2 21" xfId="18189" xr:uid="{00000000-0005-0000-0000-0000F8460000}"/>
    <cellStyle name="Dobre 2 21 2" xfId="18190" xr:uid="{00000000-0005-0000-0000-0000F9460000}"/>
    <cellStyle name="Dobre 2 21 3" xfId="18191" xr:uid="{00000000-0005-0000-0000-0000FA460000}"/>
    <cellStyle name="Dobre 2 21 4" xfId="18192" xr:uid="{00000000-0005-0000-0000-0000FB460000}"/>
    <cellStyle name="Dobre 2 21 5" xfId="18193" xr:uid="{00000000-0005-0000-0000-0000FC460000}"/>
    <cellStyle name="Dobre 2 21 6" xfId="18194" xr:uid="{00000000-0005-0000-0000-0000FD460000}"/>
    <cellStyle name="Dobre 2 21 7" xfId="18195" xr:uid="{00000000-0005-0000-0000-0000FE460000}"/>
    <cellStyle name="Dobre 2 22" xfId="18196" xr:uid="{00000000-0005-0000-0000-0000FF460000}"/>
    <cellStyle name="Dobre 2 22 2" xfId="18197" xr:uid="{00000000-0005-0000-0000-000000470000}"/>
    <cellStyle name="Dobre 2 22 3" xfId="18198" xr:uid="{00000000-0005-0000-0000-000001470000}"/>
    <cellStyle name="Dobre 2 22 4" xfId="18199" xr:uid="{00000000-0005-0000-0000-000002470000}"/>
    <cellStyle name="Dobre 2 22 5" xfId="18200" xr:uid="{00000000-0005-0000-0000-000003470000}"/>
    <cellStyle name="Dobre 2 22 6" xfId="18201" xr:uid="{00000000-0005-0000-0000-000004470000}"/>
    <cellStyle name="Dobre 2 22 7" xfId="18202" xr:uid="{00000000-0005-0000-0000-000005470000}"/>
    <cellStyle name="Dobre 2 23" xfId="18203" xr:uid="{00000000-0005-0000-0000-000006470000}"/>
    <cellStyle name="Dobre 2 23 2" xfId="18204" xr:uid="{00000000-0005-0000-0000-000007470000}"/>
    <cellStyle name="Dobre 2 23 3" xfId="18205" xr:uid="{00000000-0005-0000-0000-000008470000}"/>
    <cellStyle name="Dobre 2 23 4" xfId="18206" xr:uid="{00000000-0005-0000-0000-000009470000}"/>
    <cellStyle name="Dobre 2 23 5" xfId="18207" xr:uid="{00000000-0005-0000-0000-00000A470000}"/>
    <cellStyle name="Dobre 2 23 6" xfId="18208" xr:uid="{00000000-0005-0000-0000-00000B470000}"/>
    <cellStyle name="Dobre 2 23 7" xfId="18209" xr:uid="{00000000-0005-0000-0000-00000C470000}"/>
    <cellStyle name="Dobre 2 24" xfId="18210" xr:uid="{00000000-0005-0000-0000-00000D470000}"/>
    <cellStyle name="Dobre 2 24 2" xfId="18211" xr:uid="{00000000-0005-0000-0000-00000E470000}"/>
    <cellStyle name="Dobre 2 24 3" xfId="18212" xr:uid="{00000000-0005-0000-0000-00000F470000}"/>
    <cellStyle name="Dobre 2 24 4" xfId="18213" xr:uid="{00000000-0005-0000-0000-000010470000}"/>
    <cellStyle name="Dobre 2 24 5" xfId="18214" xr:uid="{00000000-0005-0000-0000-000011470000}"/>
    <cellStyle name="Dobre 2 24 6" xfId="18215" xr:uid="{00000000-0005-0000-0000-000012470000}"/>
    <cellStyle name="Dobre 2 24 7" xfId="18216" xr:uid="{00000000-0005-0000-0000-000013470000}"/>
    <cellStyle name="Dobre 2 25" xfId="18217" xr:uid="{00000000-0005-0000-0000-000014470000}"/>
    <cellStyle name="Dobre 2 25 2" xfId="18218" xr:uid="{00000000-0005-0000-0000-000015470000}"/>
    <cellStyle name="Dobre 2 25 3" xfId="18219" xr:uid="{00000000-0005-0000-0000-000016470000}"/>
    <cellStyle name="Dobre 2 25 4" xfId="18220" xr:uid="{00000000-0005-0000-0000-000017470000}"/>
    <cellStyle name="Dobre 2 25 5" xfId="18221" xr:uid="{00000000-0005-0000-0000-000018470000}"/>
    <cellStyle name="Dobre 2 25 6" xfId="18222" xr:uid="{00000000-0005-0000-0000-000019470000}"/>
    <cellStyle name="Dobre 2 25 7" xfId="18223" xr:uid="{00000000-0005-0000-0000-00001A470000}"/>
    <cellStyle name="Dobre 2 26" xfId="18224" xr:uid="{00000000-0005-0000-0000-00001B470000}"/>
    <cellStyle name="Dobre 2 26 2" xfId="18225" xr:uid="{00000000-0005-0000-0000-00001C470000}"/>
    <cellStyle name="Dobre 2 26 3" xfId="18226" xr:uid="{00000000-0005-0000-0000-00001D470000}"/>
    <cellStyle name="Dobre 2 26 4" xfId="18227" xr:uid="{00000000-0005-0000-0000-00001E470000}"/>
    <cellStyle name="Dobre 2 26 5" xfId="18228" xr:uid="{00000000-0005-0000-0000-00001F470000}"/>
    <cellStyle name="Dobre 2 26 6" xfId="18229" xr:uid="{00000000-0005-0000-0000-000020470000}"/>
    <cellStyle name="Dobre 2 26 7" xfId="18230" xr:uid="{00000000-0005-0000-0000-000021470000}"/>
    <cellStyle name="Dobre 2 27" xfId="18231" xr:uid="{00000000-0005-0000-0000-000022470000}"/>
    <cellStyle name="Dobre 2 27 2" xfId="18232" xr:uid="{00000000-0005-0000-0000-000023470000}"/>
    <cellStyle name="Dobre 2 27 3" xfId="18233" xr:uid="{00000000-0005-0000-0000-000024470000}"/>
    <cellStyle name="Dobre 2 27 4" xfId="18234" xr:uid="{00000000-0005-0000-0000-000025470000}"/>
    <cellStyle name="Dobre 2 27 5" xfId="18235" xr:uid="{00000000-0005-0000-0000-000026470000}"/>
    <cellStyle name="Dobre 2 27 6" xfId="18236" xr:uid="{00000000-0005-0000-0000-000027470000}"/>
    <cellStyle name="Dobre 2 27 7" xfId="18237" xr:uid="{00000000-0005-0000-0000-000028470000}"/>
    <cellStyle name="Dobre 2 28" xfId="18238" xr:uid="{00000000-0005-0000-0000-000029470000}"/>
    <cellStyle name="Dobre 2 28 2" xfId="18239" xr:uid="{00000000-0005-0000-0000-00002A470000}"/>
    <cellStyle name="Dobre 2 28 3" xfId="18240" xr:uid="{00000000-0005-0000-0000-00002B470000}"/>
    <cellStyle name="Dobre 2 28 4" xfId="18241" xr:uid="{00000000-0005-0000-0000-00002C470000}"/>
    <cellStyle name="Dobre 2 28 5" xfId="18242" xr:uid="{00000000-0005-0000-0000-00002D470000}"/>
    <cellStyle name="Dobre 2 28 6" xfId="18243" xr:uid="{00000000-0005-0000-0000-00002E470000}"/>
    <cellStyle name="Dobre 2 28 7" xfId="18244" xr:uid="{00000000-0005-0000-0000-00002F470000}"/>
    <cellStyle name="Dobre 2 29" xfId="18245" xr:uid="{00000000-0005-0000-0000-000030470000}"/>
    <cellStyle name="Dobre 2 29 2" xfId="18246" xr:uid="{00000000-0005-0000-0000-000031470000}"/>
    <cellStyle name="Dobre 2 3" xfId="18247" xr:uid="{00000000-0005-0000-0000-000032470000}"/>
    <cellStyle name="Dobre 2 3 2" xfId="18248" xr:uid="{00000000-0005-0000-0000-000033470000}"/>
    <cellStyle name="Dobre 2 3 3" xfId="18249" xr:uid="{00000000-0005-0000-0000-000034470000}"/>
    <cellStyle name="Dobre 2 3 4" xfId="18250" xr:uid="{00000000-0005-0000-0000-000035470000}"/>
    <cellStyle name="Dobre 2 3 5" xfId="18251" xr:uid="{00000000-0005-0000-0000-000036470000}"/>
    <cellStyle name="Dobre 2 3 6" xfId="18252" xr:uid="{00000000-0005-0000-0000-000037470000}"/>
    <cellStyle name="Dobre 2 3 7" xfId="18253" xr:uid="{00000000-0005-0000-0000-000038470000}"/>
    <cellStyle name="Dobre 2 30" xfId="18254" xr:uid="{00000000-0005-0000-0000-000039470000}"/>
    <cellStyle name="Dobre 2 30 2" xfId="18255" xr:uid="{00000000-0005-0000-0000-00003A470000}"/>
    <cellStyle name="Dobre 2 31" xfId="18256" xr:uid="{00000000-0005-0000-0000-00003B470000}"/>
    <cellStyle name="Dobre 2 31 2" xfId="18257" xr:uid="{00000000-0005-0000-0000-00003C470000}"/>
    <cellStyle name="Dobre 2 32" xfId="18258" xr:uid="{00000000-0005-0000-0000-00003D470000}"/>
    <cellStyle name="Dobre 2 32 2" xfId="18259" xr:uid="{00000000-0005-0000-0000-00003E470000}"/>
    <cellStyle name="Dobre 2 33" xfId="18260" xr:uid="{00000000-0005-0000-0000-00003F470000}"/>
    <cellStyle name="Dobre 2 34" xfId="18261" xr:uid="{00000000-0005-0000-0000-000040470000}"/>
    <cellStyle name="Dobre 2 35" xfId="18262" xr:uid="{00000000-0005-0000-0000-000041470000}"/>
    <cellStyle name="Dobre 2 36" xfId="18263" xr:uid="{00000000-0005-0000-0000-000042470000}"/>
    <cellStyle name="Dobre 2 37" xfId="18264" xr:uid="{00000000-0005-0000-0000-000043470000}"/>
    <cellStyle name="Dobre 2 38" xfId="18265" xr:uid="{00000000-0005-0000-0000-000044470000}"/>
    <cellStyle name="Dobre 2 39" xfId="18266" xr:uid="{00000000-0005-0000-0000-000045470000}"/>
    <cellStyle name="Dobre 2 4" xfId="18267" xr:uid="{00000000-0005-0000-0000-000046470000}"/>
    <cellStyle name="Dobre 2 4 2" xfId="18268" xr:uid="{00000000-0005-0000-0000-000047470000}"/>
    <cellStyle name="Dobre 2 4 3" xfId="18269" xr:uid="{00000000-0005-0000-0000-000048470000}"/>
    <cellStyle name="Dobre 2 4 4" xfId="18270" xr:uid="{00000000-0005-0000-0000-000049470000}"/>
    <cellStyle name="Dobre 2 4 5" xfId="18271" xr:uid="{00000000-0005-0000-0000-00004A470000}"/>
    <cellStyle name="Dobre 2 4 6" xfId="18272" xr:uid="{00000000-0005-0000-0000-00004B470000}"/>
    <cellStyle name="Dobre 2 4 7" xfId="18273" xr:uid="{00000000-0005-0000-0000-00004C470000}"/>
    <cellStyle name="Dobre 2 5" xfId="18274" xr:uid="{00000000-0005-0000-0000-00004D470000}"/>
    <cellStyle name="Dobre 2 5 2" xfId="18275" xr:uid="{00000000-0005-0000-0000-00004E470000}"/>
    <cellStyle name="Dobre 2 5 3" xfId="18276" xr:uid="{00000000-0005-0000-0000-00004F470000}"/>
    <cellStyle name="Dobre 2 5 4" xfId="18277" xr:uid="{00000000-0005-0000-0000-000050470000}"/>
    <cellStyle name="Dobre 2 5 5" xfId="18278" xr:uid="{00000000-0005-0000-0000-000051470000}"/>
    <cellStyle name="Dobre 2 5 6" xfId="18279" xr:uid="{00000000-0005-0000-0000-000052470000}"/>
    <cellStyle name="Dobre 2 5 7" xfId="18280" xr:uid="{00000000-0005-0000-0000-000053470000}"/>
    <cellStyle name="Dobre 2 6" xfId="18281" xr:uid="{00000000-0005-0000-0000-000054470000}"/>
    <cellStyle name="Dobre 2 6 2" xfId="18282" xr:uid="{00000000-0005-0000-0000-000055470000}"/>
    <cellStyle name="Dobre 2 6 3" xfId="18283" xr:uid="{00000000-0005-0000-0000-000056470000}"/>
    <cellStyle name="Dobre 2 6 4" xfId="18284" xr:uid="{00000000-0005-0000-0000-000057470000}"/>
    <cellStyle name="Dobre 2 6 5" xfId="18285" xr:uid="{00000000-0005-0000-0000-000058470000}"/>
    <cellStyle name="Dobre 2 6 6" xfId="18286" xr:uid="{00000000-0005-0000-0000-000059470000}"/>
    <cellStyle name="Dobre 2 6 7" xfId="18287" xr:uid="{00000000-0005-0000-0000-00005A470000}"/>
    <cellStyle name="Dobre 2 7" xfId="18288" xr:uid="{00000000-0005-0000-0000-00005B470000}"/>
    <cellStyle name="Dobre 2 7 2" xfId="18289" xr:uid="{00000000-0005-0000-0000-00005C470000}"/>
    <cellStyle name="Dobre 2 7 3" xfId="18290" xr:uid="{00000000-0005-0000-0000-00005D470000}"/>
    <cellStyle name="Dobre 2 7 4" xfId="18291" xr:uid="{00000000-0005-0000-0000-00005E470000}"/>
    <cellStyle name="Dobre 2 7 5" xfId="18292" xr:uid="{00000000-0005-0000-0000-00005F470000}"/>
    <cellStyle name="Dobre 2 7 6" xfId="18293" xr:uid="{00000000-0005-0000-0000-000060470000}"/>
    <cellStyle name="Dobre 2 7 7" xfId="18294" xr:uid="{00000000-0005-0000-0000-000061470000}"/>
    <cellStyle name="Dobre 2 8" xfId="18295" xr:uid="{00000000-0005-0000-0000-000062470000}"/>
    <cellStyle name="Dobre 2 8 2" xfId="18296" xr:uid="{00000000-0005-0000-0000-000063470000}"/>
    <cellStyle name="Dobre 2 8 3" xfId="18297" xr:uid="{00000000-0005-0000-0000-000064470000}"/>
    <cellStyle name="Dobre 2 8 4" xfId="18298" xr:uid="{00000000-0005-0000-0000-000065470000}"/>
    <cellStyle name="Dobre 2 8 5" xfId="18299" xr:uid="{00000000-0005-0000-0000-000066470000}"/>
    <cellStyle name="Dobre 2 8 6" xfId="18300" xr:uid="{00000000-0005-0000-0000-000067470000}"/>
    <cellStyle name="Dobre 2 8 7" xfId="18301" xr:uid="{00000000-0005-0000-0000-000068470000}"/>
    <cellStyle name="Dobre 2 9" xfId="18302" xr:uid="{00000000-0005-0000-0000-000069470000}"/>
    <cellStyle name="Dobre 2 9 2" xfId="18303" xr:uid="{00000000-0005-0000-0000-00006A470000}"/>
    <cellStyle name="Dobre 2 9 3" xfId="18304" xr:uid="{00000000-0005-0000-0000-00006B470000}"/>
    <cellStyle name="Dobre 2 9 4" xfId="18305" xr:uid="{00000000-0005-0000-0000-00006C470000}"/>
    <cellStyle name="Dobre 2 9 5" xfId="18306" xr:uid="{00000000-0005-0000-0000-00006D470000}"/>
    <cellStyle name="Dobre 2 9 6" xfId="18307" xr:uid="{00000000-0005-0000-0000-00006E470000}"/>
    <cellStyle name="Dobre 2 9 7" xfId="18308" xr:uid="{00000000-0005-0000-0000-00006F470000}"/>
    <cellStyle name="Dobre 3" xfId="18309" xr:uid="{00000000-0005-0000-0000-000070470000}"/>
    <cellStyle name="Dobre 3 2" xfId="18310" xr:uid="{00000000-0005-0000-0000-000071470000}"/>
    <cellStyle name="Dobre 3 2 2" xfId="18311" xr:uid="{00000000-0005-0000-0000-000072470000}"/>
    <cellStyle name="Dobre 3 3" xfId="18312" xr:uid="{00000000-0005-0000-0000-000073470000}"/>
    <cellStyle name="Dobre 3 4" xfId="18313" xr:uid="{00000000-0005-0000-0000-000074470000}"/>
    <cellStyle name="Dobre 3 5" xfId="18314" xr:uid="{00000000-0005-0000-0000-000075470000}"/>
    <cellStyle name="Dobre 3 6" xfId="18315" xr:uid="{00000000-0005-0000-0000-000076470000}"/>
    <cellStyle name="Dobre 3 7" xfId="18316" xr:uid="{00000000-0005-0000-0000-000077470000}"/>
    <cellStyle name="Dobre 3 8" xfId="18317" xr:uid="{00000000-0005-0000-0000-000078470000}"/>
    <cellStyle name="Dobre 3 9" xfId="18318" xr:uid="{00000000-0005-0000-0000-000079470000}"/>
    <cellStyle name="Dobre 4" xfId="18319" xr:uid="{00000000-0005-0000-0000-00007A470000}"/>
    <cellStyle name="Dobre 4 2" xfId="18320" xr:uid="{00000000-0005-0000-0000-00007B470000}"/>
    <cellStyle name="Dobre 4 3" xfId="18321" xr:uid="{00000000-0005-0000-0000-00007C470000}"/>
    <cellStyle name="Dobre 4 4" xfId="18322" xr:uid="{00000000-0005-0000-0000-00007D470000}"/>
    <cellStyle name="Dobre 4 5" xfId="18323" xr:uid="{00000000-0005-0000-0000-00007E470000}"/>
    <cellStyle name="Dobre 4 6" xfId="18324" xr:uid="{00000000-0005-0000-0000-00007F470000}"/>
    <cellStyle name="Dobre 4 7" xfId="18325" xr:uid="{00000000-0005-0000-0000-000080470000}"/>
    <cellStyle name="Dobre 4 8" xfId="18326" xr:uid="{00000000-0005-0000-0000-000081470000}"/>
    <cellStyle name="Dobre 4 9" xfId="18327" xr:uid="{00000000-0005-0000-0000-000082470000}"/>
    <cellStyle name="Dobre 5" xfId="18328" xr:uid="{00000000-0005-0000-0000-000083470000}"/>
    <cellStyle name="Dobre 5 2" xfId="18329" xr:uid="{00000000-0005-0000-0000-000084470000}"/>
    <cellStyle name="Dobre 5 3" xfId="18330" xr:uid="{00000000-0005-0000-0000-000085470000}"/>
    <cellStyle name="Dobre 6" xfId="18331" xr:uid="{00000000-0005-0000-0000-000086470000}"/>
    <cellStyle name="Dobre 6 2" xfId="18332" xr:uid="{00000000-0005-0000-0000-000087470000}"/>
    <cellStyle name="Dobre 7" xfId="18333" xr:uid="{00000000-0005-0000-0000-000088470000}"/>
    <cellStyle name="done" xfId="18334" xr:uid="{00000000-0005-0000-0000-000089470000}"/>
    <cellStyle name="Dziesietny [0]_Arkusz1" xfId="18335" xr:uid="{00000000-0005-0000-0000-00008A470000}"/>
    <cellStyle name="Dziesietny_Arkusz1" xfId="18336" xr:uid="{00000000-0005-0000-0000-00008B470000}"/>
    <cellStyle name="Dziesiętny" xfId="1" builtinId="3"/>
    <cellStyle name="Dziesiętny 10" xfId="18337" xr:uid="{00000000-0005-0000-0000-00008D470000}"/>
    <cellStyle name="Dziesiętny 11" xfId="18338" xr:uid="{00000000-0005-0000-0000-00008E470000}"/>
    <cellStyle name="Dziesiętny 12" xfId="18339" xr:uid="{00000000-0005-0000-0000-00008F470000}"/>
    <cellStyle name="Dziesiętny 13" xfId="42846" xr:uid="{00000000-0005-0000-0000-000090470000}"/>
    <cellStyle name="Dziesiętny 14" xfId="10" xr:uid="{00000000-0005-0000-0000-000091470000}"/>
    <cellStyle name="Dziesiętny 17" xfId="42855" xr:uid="{00000000-0005-0000-0000-000092470000}"/>
    <cellStyle name="Dziesiętny 2" xfId="8" xr:uid="{00000000-0005-0000-0000-000093470000}"/>
    <cellStyle name="Dziesiętny 2 10" xfId="18341" xr:uid="{00000000-0005-0000-0000-000094470000}"/>
    <cellStyle name="Dziesiętny 2 10 2" xfId="18342" xr:uid="{00000000-0005-0000-0000-000095470000}"/>
    <cellStyle name="Dziesiętny 2 11" xfId="18343" xr:uid="{00000000-0005-0000-0000-000096470000}"/>
    <cellStyle name="Dziesiętny 2 11 2" xfId="18344" xr:uid="{00000000-0005-0000-0000-000097470000}"/>
    <cellStyle name="Dziesiętny 2 12" xfId="18345" xr:uid="{00000000-0005-0000-0000-000098470000}"/>
    <cellStyle name="Dziesiętny 2 12 2" xfId="18346" xr:uid="{00000000-0005-0000-0000-000099470000}"/>
    <cellStyle name="Dziesiętny 2 13" xfId="18347" xr:uid="{00000000-0005-0000-0000-00009A470000}"/>
    <cellStyle name="Dziesiętny 2 13 2" xfId="18348" xr:uid="{00000000-0005-0000-0000-00009B470000}"/>
    <cellStyle name="Dziesiętny 2 14" xfId="18349" xr:uid="{00000000-0005-0000-0000-00009C470000}"/>
    <cellStyle name="Dziesiętny 2 14 2" xfId="18350" xr:uid="{00000000-0005-0000-0000-00009D470000}"/>
    <cellStyle name="Dziesiętny 2 15" xfId="18351" xr:uid="{00000000-0005-0000-0000-00009E470000}"/>
    <cellStyle name="Dziesiętny 2 15 2" xfId="18352" xr:uid="{00000000-0005-0000-0000-00009F470000}"/>
    <cellStyle name="Dziesiętny 2 16" xfId="18353" xr:uid="{00000000-0005-0000-0000-0000A0470000}"/>
    <cellStyle name="Dziesiętny 2 16 2" xfId="18354" xr:uid="{00000000-0005-0000-0000-0000A1470000}"/>
    <cellStyle name="Dziesiętny 2 17" xfId="18355" xr:uid="{00000000-0005-0000-0000-0000A2470000}"/>
    <cellStyle name="Dziesiętny 2 17 2" xfId="18356" xr:uid="{00000000-0005-0000-0000-0000A3470000}"/>
    <cellStyle name="Dziesiętny 2 18" xfId="18357" xr:uid="{00000000-0005-0000-0000-0000A4470000}"/>
    <cellStyle name="Dziesiętny 2 18 2" xfId="18358" xr:uid="{00000000-0005-0000-0000-0000A5470000}"/>
    <cellStyle name="Dziesiętny 2 19" xfId="18359" xr:uid="{00000000-0005-0000-0000-0000A6470000}"/>
    <cellStyle name="Dziesiętny 2 19 2" xfId="18360" xr:uid="{00000000-0005-0000-0000-0000A7470000}"/>
    <cellStyle name="Dziesiętny 2 2" xfId="18361" xr:uid="{00000000-0005-0000-0000-0000A8470000}"/>
    <cellStyle name="Dziesiętny 2 2 2" xfId="18362" xr:uid="{00000000-0005-0000-0000-0000A9470000}"/>
    <cellStyle name="Dziesiętny 2 2 2 2" xfId="18363" xr:uid="{00000000-0005-0000-0000-0000AA470000}"/>
    <cellStyle name="Dziesiętny 2 2 2 3" xfId="18364" xr:uid="{00000000-0005-0000-0000-0000AB470000}"/>
    <cellStyle name="Dziesiętny 2 2 2 4" xfId="18365" xr:uid="{00000000-0005-0000-0000-0000AC470000}"/>
    <cellStyle name="Dziesiętny 2 2 2 5" xfId="18366" xr:uid="{00000000-0005-0000-0000-0000AD470000}"/>
    <cellStyle name="Dziesiętny 2 2 2 6" xfId="18367" xr:uid="{00000000-0005-0000-0000-0000AE470000}"/>
    <cellStyle name="Dziesiętny 2 2 2 7" xfId="18368" xr:uid="{00000000-0005-0000-0000-0000AF470000}"/>
    <cellStyle name="Dziesiętny 2 2 3" xfId="18369" xr:uid="{00000000-0005-0000-0000-0000B0470000}"/>
    <cellStyle name="Dziesiętny 2 2 3 2" xfId="18370" xr:uid="{00000000-0005-0000-0000-0000B1470000}"/>
    <cellStyle name="Dziesiętny 2 2 3 3" xfId="18371" xr:uid="{00000000-0005-0000-0000-0000B2470000}"/>
    <cellStyle name="Dziesiętny 2 2 3 4" xfId="18372" xr:uid="{00000000-0005-0000-0000-0000B3470000}"/>
    <cellStyle name="Dziesiętny 2 2 3 5" xfId="18373" xr:uid="{00000000-0005-0000-0000-0000B4470000}"/>
    <cellStyle name="Dziesiętny 2 2 3 6" xfId="18374" xr:uid="{00000000-0005-0000-0000-0000B5470000}"/>
    <cellStyle name="Dziesiętny 2 2 4" xfId="18375" xr:uid="{00000000-0005-0000-0000-0000B6470000}"/>
    <cellStyle name="Dziesiętny 2 2 4 2" xfId="18376" xr:uid="{00000000-0005-0000-0000-0000B7470000}"/>
    <cellStyle name="Dziesiętny 2 2 5" xfId="18377" xr:uid="{00000000-0005-0000-0000-0000B8470000}"/>
    <cellStyle name="Dziesiętny 2 2 5 2" xfId="18378" xr:uid="{00000000-0005-0000-0000-0000B9470000}"/>
    <cellStyle name="Dziesiętny 2 2 6" xfId="18379" xr:uid="{00000000-0005-0000-0000-0000BA470000}"/>
    <cellStyle name="Dziesiętny 2 2 6 2" xfId="18380" xr:uid="{00000000-0005-0000-0000-0000BB470000}"/>
    <cellStyle name="Dziesiętny 2 2 7" xfId="18381" xr:uid="{00000000-0005-0000-0000-0000BC470000}"/>
    <cellStyle name="Dziesiętny 2 2 8" xfId="18382" xr:uid="{00000000-0005-0000-0000-0000BD470000}"/>
    <cellStyle name="Dziesiętny 2 2 9" xfId="18383" xr:uid="{00000000-0005-0000-0000-0000BE470000}"/>
    <cellStyle name="Dziesiętny 2 20" xfId="18384" xr:uid="{00000000-0005-0000-0000-0000BF470000}"/>
    <cellStyle name="Dziesiętny 2 20 2" xfId="18385" xr:uid="{00000000-0005-0000-0000-0000C0470000}"/>
    <cellStyle name="Dziesiętny 2 21" xfId="18386" xr:uid="{00000000-0005-0000-0000-0000C1470000}"/>
    <cellStyle name="Dziesiętny 2 21 2" xfId="18387" xr:uid="{00000000-0005-0000-0000-0000C2470000}"/>
    <cellStyle name="Dziesiętny 2 22" xfId="18388" xr:uid="{00000000-0005-0000-0000-0000C3470000}"/>
    <cellStyle name="Dziesiętny 2 23" xfId="18389" xr:uid="{00000000-0005-0000-0000-0000C4470000}"/>
    <cellStyle name="Dziesiętny 2 24" xfId="18390" xr:uid="{00000000-0005-0000-0000-0000C5470000}"/>
    <cellStyle name="Dziesiętny 2 25" xfId="18391" xr:uid="{00000000-0005-0000-0000-0000C6470000}"/>
    <cellStyle name="Dziesiętny 2 26" xfId="18392" xr:uid="{00000000-0005-0000-0000-0000C7470000}"/>
    <cellStyle name="Dziesiętny 2 27" xfId="18393" xr:uid="{00000000-0005-0000-0000-0000C8470000}"/>
    <cellStyle name="Dziesiętny 2 28" xfId="18394" xr:uid="{00000000-0005-0000-0000-0000C9470000}"/>
    <cellStyle name="Dziesiętny 2 29" xfId="18395" xr:uid="{00000000-0005-0000-0000-0000CA470000}"/>
    <cellStyle name="Dziesiętny 2 3" xfId="18396" xr:uid="{00000000-0005-0000-0000-0000CB470000}"/>
    <cellStyle name="Dziesiętny 2 3 2" xfId="18397" xr:uid="{00000000-0005-0000-0000-0000CC470000}"/>
    <cellStyle name="Dziesiętny 2 3 2 2" xfId="18398" xr:uid="{00000000-0005-0000-0000-0000CD470000}"/>
    <cellStyle name="Dziesiętny 2 3 3" xfId="18399" xr:uid="{00000000-0005-0000-0000-0000CE470000}"/>
    <cellStyle name="Dziesiętny 2 3 4" xfId="18400" xr:uid="{00000000-0005-0000-0000-0000CF470000}"/>
    <cellStyle name="Dziesiętny 2 3 5" xfId="18401" xr:uid="{00000000-0005-0000-0000-0000D0470000}"/>
    <cellStyle name="Dziesiętny 2 3 6" xfId="18402" xr:uid="{00000000-0005-0000-0000-0000D1470000}"/>
    <cellStyle name="Dziesiętny 2 3 7" xfId="18403" xr:uid="{00000000-0005-0000-0000-0000D2470000}"/>
    <cellStyle name="Dziesiętny 2 3 8" xfId="18404" xr:uid="{00000000-0005-0000-0000-0000D3470000}"/>
    <cellStyle name="Dziesiętny 2 30" xfId="18405" xr:uid="{00000000-0005-0000-0000-0000D4470000}"/>
    <cellStyle name="Dziesiętny 2 31" xfId="18406" xr:uid="{00000000-0005-0000-0000-0000D5470000}"/>
    <cellStyle name="Dziesiętny 2 32" xfId="18407" xr:uid="{00000000-0005-0000-0000-0000D6470000}"/>
    <cellStyle name="Dziesiętny 2 33" xfId="18408" xr:uid="{00000000-0005-0000-0000-0000D7470000}"/>
    <cellStyle name="Dziesiętny 2 34" xfId="18409" xr:uid="{00000000-0005-0000-0000-0000D8470000}"/>
    <cellStyle name="Dziesiętny 2 35" xfId="18410" xr:uid="{00000000-0005-0000-0000-0000D9470000}"/>
    <cellStyle name="Dziesiętny 2 36" xfId="18411" xr:uid="{00000000-0005-0000-0000-0000DA470000}"/>
    <cellStyle name="Dziesiętny 2 37" xfId="18412" xr:uid="{00000000-0005-0000-0000-0000DB470000}"/>
    <cellStyle name="Dziesiętny 2 38" xfId="18413" xr:uid="{00000000-0005-0000-0000-0000DC470000}"/>
    <cellStyle name="Dziesiętny 2 39" xfId="18414" xr:uid="{00000000-0005-0000-0000-0000DD470000}"/>
    <cellStyle name="Dziesiętny 2 4" xfId="18415" xr:uid="{00000000-0005-0000-0000-0000DE470000}"/>
    <cellStyle name="Dziesiętny 2 4 2" xfId="18416" xr:uid="{00000000-0005-0000-0000-0000DF470000}"/>
    <cellStyle name="Dziesiętny 2 4 3" xfId="18417" xr:uid="{00000000-0005-0000-0000-0000E0470000}"/>
    <cellStyle name="Dziesiętny 2 4 4" xfId="18418" xr:uid="{00000000-0005-0000-0000-0000E1470000}"/>
    <cellStyle name="Dziesiętny 2 4 5" xfId="18419" xr:uid="{00000000-0005-0000-0000-0000E2470000}"/>
    <cellStyle name="Dziesiętny 2 40" xfId="18420" xr:uid="{00000000-0005-0000-0000-0000E3470000}"/>
    <cellStyle name="Dziesiętny 2 41" xfId="18421" xr:uid="{00000000-0005-0000-0000-0000E4470000}"/>
    <cellStyle name="Dziesiętny 2 42" xfId="18422" xr:uid="{00000000-0005-0000-0000-0000E5470000}"/>
    <cellStyle name="Dziesiętny 2 43" xfId="18423" xr:uid="{00000000-0005-0000-0000-0000E6470000}"/>
    <cellStyle name="Dziesiętny 2 44" xfId="18424" xr:uid="{00000000-0005-0000-0000-0000E7470000}"/>
    <cellStyle name="Dziesiętny 2 45" xfId="18425" xr:uid="{00000000-0005-0000-0000-0000E8470000}"/>
    <cellStyle name="Dziesiętny 2 46" xfId="18426" xr:uid="{00000000-0005-0000-0000-0000E9470000}"/>
    <cellStyle name="Dziesiętny 2 47" xfId="18427" xr:uid="{00000000-0005-0000-0000-0000EA470000}"/>
    <cellStyle name="Dziesiętny 2 48" xfId="18428" xr:uid="{00000000-0005-0000-0000-0000EB470000}"/>
    <cellStyle name="Dziesiętny 2 49" xfId="18429" xr:uid="{00000000-0005-0000-0000-0000EC470000}"/>
    <cellStyle name="Dziesiętny 2 5" xfId="18430" xr:uid="{00000000-0005-0000-0000-0000ED470000}"/>
    <cellStyle name="Dziesiętny 2 5 2" xfId="18431" xr:uid="{00000000-0005-0000-0000-0000EE470000}"/>
    <cellStyle name="Dziesiętny 2 50" xfId="18432" xr:uid="{00000000-0005-0000-0000-0000EF470000}"/>
    <cellStyle name="Dziesiętny 2 51" xfId="18433" xr:uid="{00000000-0005-0000-0000-0000F0470000}"/>
    <cellStyle name="Dziesiętny 2 52" xfId="18434" xr:uid="{00000000-0005-0000-0000-0000F1470000}"/>
    <cellStyle name="Dziesiętny 2 53" xfId="18340" xr:uid="{00000000-0005-0000-0000-0000F2470000}"/>
    <cellStyle name="Dziesiętny 2 6" xfId="18435" xr:uid="{00000000-0005-0000-0000-0000F3470000}"/>
    <cellStyle name="Dziesiętny 2 6 2" xfId="18436" xr:uid="{00000000-0005-0000-0000-0000F4470000}"/>
    <cellStyle name="Dziesiętny 2 7" xfId="18437" xr:uid="{00000000-0005-0000-0000-0000F5470000}"/>
    <cellStyle name="Dziesiętny 2 7 2" xfId="18438" xr:uid="{00000000-0005-0000-0000-0000F6470000}"/>
    <cellStyle name="Dziesiętny 2 8" xfId="18439" xr:uid="{00000000-0005-0000-0000-0000F7470000}"/>
    <cellStyle name="Dziesiętny 2 8 2" xfId="18440" xr:uid="{00000000-0005-0000-0000-0000F8470000}"/>
    <cellStyle name="Dziesiętny 2 9" xfId="18441" xr:uid="{00000000-0005-0000-0000-0000F9470000}"/>
    <cellStyle name="Dziesiętny 2 9 2" xfId="18442" xr:uid="{00000000-0005-0000-0000-0000FA470000}"/>
    <cellStyle name="Dziesiętny 3" xfId="18443" xr:uid="{00000000-0005-0000-0000-0000FB470000}"/>
    <cellStyle name="Dziesiętny 3 10" xfId="18444" xr:uid="{00000000-0005-0000-0000-0000FC470000}"/>
    <cellStyle name="Dziesiętny 3 11" xfId="18445" xr:uid="{00000000-0005-0000-0000-0000FD470000}"/>
    <cellStyle name="Dziesiętny 3 12" xfId="18446" xr:uid="{00000000-0005-0000-0000-0000FE470000}"/>
    <cellStyle name="Dziesiętny 3 13" xfId="18447" xr:uid="{00000000-0005-0000-0000-0000FF470000}"/>
    <cellStyle name="Dziesiętny 3 14" xfId="18448" xr:uid="{00000000-0005-0000-0000-000000480000}"/>
    <cellStyle name="Dziesiętny 3 15" xfId="18449" xr:uid="{00000000-0005-0000-0000-000001480000}"/>
    <cellStyle name="Dziesiętny 3 16" xfId="18450" xr:uid="{00000000-0005-0000-0000-000002480000}"/>
    <cellStyle name="Dziesiętny 3 17" xfId="18451" xr:uid="{00000000-0005-0000-0000-000003480000}"/>
    <cellStyle name="Dziesiętny 3 18" xfId="18452" xr:uid="{00000000-0005-0000-0000-000004480000}"/>
    <cellStyle name="Dziesiętny 3 19" xfId="18453" xr:uid="{00000000-0005-0000-0000-000005480000}"/>
    <cellStyle name="Dziesiętny 3 2" xfId="18454" xr:uid="{00000000-0005-0000-0000-000006480000}"/>
    <cellStyle name="Dziesiętny 3 2 2" xfId="18455" xr:uid="{00000000-0005-0000-0000-000007480000}"/>
    <cellStyle name="Dziesiętny 3 2 3" xfId="18456" xr:uid="{00000000-0005-0000-0000-000008480000}"/>
    <cellStyle name="Dziesiętny 3 3" xfId="18457" xr:uid="{00000000-0005-0000-0000-000009480000}"/>
    <cellStyle name="Dziesiętny 3 3 2" xfId="18458" xr:uid="{00000000-0005-0000-0000-00000A480000}"/>
    <cellStyle name="Dziesiętny 3 3 3" xfId="18459" xr:uid="{00000000-0005-0000-0000-00000B480000}"/>
    <cellStyle name="Dziesiętny 3 4" xfId="17" xr:uid="{00000000-0005-0000-0000-00000C480000}"/>
    <cellStyle name="Dziesiętny 3 4 2" xfId="18460" xr:uid="{00000000-0005-0000-0000-00000D480000}"/>
    <cellStyle name="Dziesiętny 3 4 3" xfId="18461" xr:uid="{00000000-0005-0000-0000-00000E480000}"/>
    <cellStyle name="Dziesiętny 3 4 4" xfId="18462" xr:uid="{00000000-0005-0000-0000-00000F480000}"/>
    <cellStyle name="Dziesiętny 3 5" xfId="18463" xr:uid="{00000000-0005-0000-0000-000010480000}"/>
    <cellStyle name="Dziesiętny 3 6" xfId="18464" xr:uid="{00000000-0005-0000-0000-000011480000}"/>
    <cellStyle name="Dziesiętny 3 7" xfId="18465" xr:uid="{00000000-0005-0000-0000-000012480000}"/>
    <cellStyle name="Dziesiętny 3 8" xfId="18466" xr:uid="{00000000-0005-0000-0000-000013480000}"/>
    <cellStyle name="Dziesiętny 3 9" xfId="18467" xr:uid="{00000000-0005-0000-0000-000014480000}"/>
    <cellStyle name="Dziesiętny 4" xfId="18468" xr:uid="{00000000-0005-0000-0000-000015480000}"/>
    <cellStyle name="Dziesiętny 4 2" xfId="18469" xr:uid="{00000000-0005-0000-0000-000016480000}"/>
    <cellStyle name="Dziesiętny 4 2 2" xfId="18470" xr:uid="{00000000-0005-0000-0000-000017480000}"/>
    <cellStyle name="Dziesiętny 4 2 2 2" xfId="18471" xr:uid="{00000000-0005-0000-0000-000018480000}"/>
    <cellStyle name="Dziesiętny 4 2 3" xfId="18472" xr:uid="{00000000-0005-0000-0000-000019480000}"/>
    <cellStyle name="Dziesiętny 4 3" xfId="18473" xr:uid="{00000000-0005-0000-0000-00001A480000}"/>
    <cellStyle name="Dziesiętny 4 3 2" xfId="18474" xr:uid="{00000000-0005-0000-0000-00001B480000}"/>
    <cellStyle name="Dziesiętny 4 4" xfId="18475" xr:uid="{00000000-0005-0000-0000-00001C480000}"/>
    <cellStyle name="Dziesiętny 4 4 2" xfId="18476" xr:uid="{00000000-0005-0000-0000-00001D480000}"/>
    <cellStyle name="Dziesiętny 4 4 3" xfId="18477" xr:uid="{00000000-0005-0000-0000-00001E480000}"/>
    <cellStyle name="Dziesiętny 4 5" xfId="18478" xr:uid="{00000000-0005-0000-0000-00001F480000}"/>
    <cellStyle name="Dziesiętny 5" xfId="18479" xr:uid="{00000000-0005-0000-0000-000020480000}"/>
    <cellStyle name="Dziesiętny 5 2" xfId="18480" xr:uid="{00000000-0005-0000-0000-000021480000}"/>
    <cellStyle name="Dziesiętny 6" xfId="18481" xr:uid="{00000000-0005-0000-0000-000022480000}"/>
    <cellStyle name="Dziesiętny 6 2" xfId="18482" xr:uid="{00000000-0005-0000-0000-000023480000}"/>
    <cellStyle name="Dziesiętny 7" xfId="18483" xr:uid="{00000000-0005-0000-0000-000024480000}"/>
    <cellStyle name="Dziesiętny 8" xfId="18484" xr:uid="{00000000-0005-0000-0000-000025480000}"/>
    <cellStyle name="Dziesiętny 9" xfId="18485" xr:uid="{00000000-0005-0000-0000-000026480000}"/>
    <cellStyle name="E&amp;Y House" xfId="18486" xr:uid="{00000000-0005-0000-0000-000027480000}"/>
    <cellStyle name="Euro" xfId="18487" xr:uid="{00000000-0005-0000-0000-000028480000}"/>
    <cellStyle name="Euro 2" xfId="18488" xr:uid="{00000000-0005-0000-0000-000029480000}"/>
    <cellStyle name="Euro 2 2" xfId="18489" xr:uid="{00000000-0005-0000-0000-00002A480000}"/>
    <cellStyle name="Euro 3" xfId="18490" xr:uid="{00000000-0005-0000-0000-00002B480000}"/>
    <cellStyle name="Euro 3 2" xfId="18491" xr:uid="{00000000-0005-0000-0000-00002C480000}"/>
    <cellStyle name="Euro 4" xfId="18492" xr:uid="{00000000-0005-0000-0000-00002D480000}"/>
    <cellStyle name="Ezres [0]_cb-fr" xfId="18493" xr:uid="{00000000-0005-0000-0000-00002E480000}"/>
    <cellStyle name="Ezres_cb-fr" xfId="18494" xr:uid="{00000000-0005-0000-0000-00002F480000}"/>
    <cellStyle name="Family_Option" xfId="18495" xr:uid="{00000000-0005-0000-0000-000030480000}"/>
    <cellStyle name="FormBk" xfId="18496" xr:uid="{00000000-0005-0000-0000-000031480000}"/>
    <cellStyle name="general" xfId="18497" xr:uid="{00000000-0005-0000-0000-000032480000}"/>
    <cellStyle name="Grey" xfId="18498" xr:uid="{00000000-0005-0000-0000-000033480000}"/>
    <cellStyle name="GROS" xfId="18499" xr:uid="{00000000-0005-0000-0000-000034480000}"/>
    <cellStyle name="Header1" xfId="18500" xr:uid="{00000000-0005-0000-0000-000035480000}"/>
    <cellStyle name="Header2" xfId="18501" xr:uid="{00000000-0005-0000-0000-000036480000}"/>
    <cellStyle name="heading1" xfId="18502" xr:uid="{00000000-0005-0000-0000-000037480000}"/>
    <cellStyle name="heading2" xfId="18503" xr:uid="{00000000-0005-0000-0000-000038480000}"/>
    <cellStyle name="heading3" xfId="18504" xr:uid="{00000000-0005-0000-0000-000039480000}"/>
    <cellStyle name="heading4" xfId="18505" xr:uid="{00000000-0005-0000-0000-00003A480000}"/>
    <cellStyle name="heading5" xfId="18506" xr:uid="{00000000-0005-0000-0000-00003B480000}"/>
    <cellStyle name="Hiperłącze 2" xfId="18507" xr:uid="{00000000-0005-0000-0000-00003C480000}"/>
    <cellStyle name="HUF" xfId="18508" xr:uid="{00000000-0005-0000-0000-00003D480000}"/>
    <cellStyle name="Hyperlink_Arkusz Sygnity_2009H2 v10" xfId="18509" xr:uid="{00000000-0005-0000-0000-00003E480000}"/>
    <cellStyle name="Input [yellow]" xfId="18510" xr:uid="{00000000-0005-0000-0000-00003F480000}"/>
    <cellStyle name="International" xfId="18511" xr:uid="{00000000-0005-0000-0000-000040480000}"/>
    <cellStyle name="International1" xfId="18512" xr:uid="{00000000-0005-0000-0000-000041480000}"/>
    <cellStyle name="k$" xfId="18513" xr:uid="{00000000-0005-0000-0000-000042480000}"/>
    <cellStyle name="kECU" xfId="18514" xr:uid="{00000000-0005-0000-0000-000043480000}"/>
    <cellStyle name="kHUF" xfId="18515" xr:uid="{00000000-0005-0000-0000-000044480000}"/>
    <cellStyle name="kLE" xfId="18516" xr:uid="{00000000-0005-0000-0000-000045480000}"/>
    <cellStyle name="Komórka połączona 2" xfId="18517" xr:uid="{00000000-0005-0000-0000-000046480000}"/>
    <cellStyle name="Komórka połączona 2 10" xfId="18518" xr:uid="{00000000-0005-0000-0000-000047480000}"/>
    <cellStyle name="Komórka połączona 2 10 2" xfId="18519" xr:uid="{00000000-0005-0000-0000-000048480000}"/>
    <cellStyle name="Komórka połączona 2 10 3" xfId="18520" xr:uid="{00000000-0005-0000-0000-000049480000}"/>
    <cellStyle name="Komórka połączona 2 10 4" xfId="18521" xr:uid="{00000000-0005-0000-0000-00004A480000}"/>
    <cellStyle name="Komórka połączona 2 10 5" xfId="18522" xr:uid="{00000000-0005-0000-0000-00004B480000}"/>
    <cellStyle name="Komórka połączona 2 10 6" xfId="18523" xr:uid="{00000000-0005-0000-0000-00004C480000}"/>
    <cellStyle name="Komórka połączona 2 10 7" xfId="18524" xr:uid="{00000000-0005-0000-0000-00004D480000}"/>
    <cellStyle name="Komórka połączona 2 11" xfId="18525" xr:uid="{00000000-0005-0000-0000-00004E480000}"/>
    <cellStyle name="Komórka połączona 2 11 2" xfId="18526" xr:uid="{00000000-0005-0000-0000-00004F480000}"/>
    <cellStyle name="Komórka połączona 2 11 3" xfId="18527" xr:uid="{00000000-0005-0000-0000-000050480000}"/>
    <cellStyle name="Komórka połączona 2 11 4" xfId="18528" xr:uid="{00000000-0005-0000-0000-000051480000}"/>
    <cellStyle name="Komórka połączona 2 11 5" xfId="18529" xr:uid="{00000000-0005-0000-0000-000052480000}"/>
    <cellStyle name="Komórka połączona 2 11 6" xfId="18530" xr:uid="{00000000-0005-0000-0000-000053480000}"/>
    <cellStyle name="Komórka połączona 2 11 7" xfId="18531" xr:uid="{00000000-0005-0000-0000-000054480000}"/>
    <cellStyle name="Komórka połączona 2 12" xfId="18532" xr:uid="{00000000-0005-0000-0000-000055480000}"/>
    <cellStyle name="Komórka połączona 2 12 2" xfId="18533" xr:uid="{00000000-0005-0000-0000-000056480000}"/>
    <cellStyle name="Komórka połączona 2 12 3" xfId="18534" xr:uid="{00000000-0005-0000-0000-000057480000}"/>
    <cellStyle name="Komórka połączona 2 12 4" xfId="18535" xr:uid="{00000000-0005-0000-0000-000058480000}"/>
    <cellStyle name="Komórka połączona 2 12 5" xfId="18536" xr:uid="{00000000-0005-0000-0000-000059480000}"/>
    <cellStyle name="Komórka połączona 2 12 6" xfId="18537" xr:uid="{00000000-0005-0000-0000-00005A480000}"/>
    <cellStyle name="Komórka połączona 2 12 7" xfId="18538" xr:uid="{00000000-0005-0000-0000-00005B480000}"/>
    <cellStyle name="Komórka połączona 2 13" xfId="18539" xr:uid="{00000000-0005-0000-0000-00005C480000}"/>
    <cellStyle name="Komórka połączona 2 13 2" xfId="18540" xr:uid="{00000000-0005-0000-0000-00005D480000}"/>
    <cellStyle name="Komórka połączona 2 13 3" xfId="18541" xr:uid="{00000000-0005-0000-0000-00005E480000}"/>
    <cellStyle name="Komórka połączona 2 13 4" xfId="18542" xr:uid="{00000000-0005-0000-0000-00005F480000}"/>
    <cellStyle name="Komórka połączona 2 13 5" xfId="18543" xr:uid="{00000000-0005-0000-0000-000060480000}"/>
    <cellStyle name="Komórka połączona 2 13 6" xfId="18544" xr:uid="{00000000-0005-0000-0000-000061480000}"/>
    <cellStyle name="Komórka połączona 2 13 7" xfId="18545" xr:uid="{00000000-0005-0000-0000-000062480000}"/>
    <cellStyle name="Komórka połączona 2 14" xfId="18546" xr:uid="{00000000-0005-0000-0000-000063480000}"/>
    <cellStyle name="Komórka połączona 2 14 2" xfId="18547" xr:uid="{00000000-0005-0000-0000-000064480000}"/>
    <cellStyle name="Komórka połączona 2 14 3" xfId="18548" xr:uid="{00000000-0005-0000-0000-000065480000}"/>
    <cellStyle name="Komórka połączona 2 14 4" xfId="18549" xr:uid="{00000000-0005-0000-0000-000066480000}"/>
    <cellStyle name="Komórka połączona 2 14 5" xfId="18550" xr:uid="{00000000-0005-0000-0000-000067480000}"/>
    <cellStyle name="Komórka połączona 2 14 6" xfId="18551" xr:uid="{00000000-0005-0000-0000-000068480000}"/>
    <cellStyle name="Komórka połączona 2 14 7" xfId="18552" xr:uid="{00000000-0005-0000-0000-000069480000}"/>
    <cellStyle name="Komórka połączona 2 15" xfId="18553" xr:uid="{00000000-0005-0000-0000-00006A480000}"/>
    <cellStyle name="Komórka połączona 2 15 2" xfId="18554" xr:uid="{00000000-0005-0000-0000-00006B480000}"/>
    <cellStyle name="Komórka połączona 2 15 3" xfId="18555" xr:uid="{00000000-0005-0000-0000-00006C480000}"/>
    <cellStyle name="Komórka połączona 2 15 4" xfId="18556" xr:uid="{00000000-0005-0000-0000-00006D480000}"/>
    <cellStyle name="Komórka połączona 2 15 5" xfId="18557" xr:uid="{00000000-0005-0000-0000-00006E480000}"/>
    <cellStyle name="Komórka połączona 2 15 6" xfId="18558" xr:uid="{00000000-0005-0000-0000-00006F480000}"/>
    <cellStyle name="Komórka połączona 2 15 7" xfId="18559" xr:uid="{00000000-0005-0000-0000-000070480000}"/>
    <cellStyle name="Komórka połączona 2 16" xfId="18560" xr:uid="{00000000-0005-0000-0000-000071480000}"/>
    <cellStyle name="Komórka połączona 2 16 2" xfId="18561" xr:uid="{00000000-0005-0000-0000-000072480000}"/>
    <cellStyle name="Komórka połączona 2 16 3" xfId="18562" xr:uid="{00000000-0005-0000-0000-000073480000}"/>
    <cellStyle name="Komórka połączona 2 16 4" xfId="18563" xr:uid="{00000000-0005-0000-0000-000074480000}"/>
    <cellStyle name="Komórka połączona 2 16 5" xfId="18564" xr:uid="{00000000-0005-0000-0000-000075480000}"/>
    <cellStyle name="Komórka połączona 2 16 6" xfId="18565" xr:uid="{00000000-0005-0000-0000-000076480000}"/>
    <cellStyle name="Komórka połączona 2 16 7" xfId="18566" xr:uid="{00000000-0005-0000-0000-000077480000}"/>
    <cellStyle name="Komórka połączona 2 17" xfId="18567" xr:uid="{00000000-0005-0000-0000-000078480000}"/>
    <cellStyle name="Komórka połączona 2 17 2" xfId="18568" xr:uid="{00000000-0005-0000-0000-000079480000}"/>
    <cellStyle name="Komórka połączona 2 17 3" xfId="18569" xr:uid="{00000000-0005-0000-0000-00007A480000}"/>
    <cellStyle name="Komórka połączona 2 17 4" xfId="18570" xr:uid="{00000000-0005-0000-0000-00007B480000}"/>
    <cellStyle name="Komórka połączona 2 17 5" xfId="18571" xr:uid="{00000000-0005-0000-0000-00007C480000}"/>
    <cellStyle name="Komórka połączona 2 17 6" xfId="18572" xr:uid="{00000000-0005-0000-0000-00007D480000}"/>
    <cellStyle name="Komórka połączona 2 17 7" xfId="18573" xr:uid="{00000000-0005-0000-0000-00007E480000}"/>
    <cellStyle name="Komórka połączona 2 18" xfId="18574" xr:uid="{00000000-0005-0000-0000-00007F480000}"/>
    <cellStyle name="Komórka połączona 2 18 2" xfId="18575" xr:uid="{00000000-0005-0000-0000-000080480000}"/>
    <cellStyle name="Komórka połączona 2 18 3" xfId="18576" xr:uid="{00000000-0005-0000-0000-000081480000}"/>
    <cellStyle name="Komórka połączona 2 18 4" xfId="18577" xr:uid="{00000000-0005-0000-0000-000082480000}"/>
    <cellStyle name="Komórka połączona 2 18 5" xfId="18578" xr:uid="{00000000-0005-0000-0000-000083480000}"/>
    <cellStyle name="Komórka połączona 2 18 6" xfId="18579" xr:uid="{00000000-0005-0000-0000-000084480000}"/>
    <cellStyle name="Komórka połączona 2 18 7" xfId="18580" xr:uid="{00000000-0005-0000-0000-000085480000}"/>
    <cellStyle name="Komórka połączona 2 19" xfId="18581" xr:uid="{00000000-0005-0000-0000-000086480000}"/>
    <cellStyle name="Komórka połączona 2 19 2" xfId="18582" xr:uid="{00000000-0005-0000-0000-000087480000}"/>
    <cellStyle name="Komórka połączona 2 19 3" xfId="18583" xr:uid="{00000000-0005-0000-0000-000088480000}"/>
    <cellStyle name="Komórka połączona 2 19 4" xfId="18584" xr:uid="{00000000-0005-0000-0000-000089480000}"/>
    <cellStyle name="Komórka połączona 2 19 5" xfId="18585" xr:uid="{00000000-0005-0000-0000-00008A480000}"/>
    <cellStyle name="Komórka połączona 2 19 6" xfId="18586" xr:uid="{00000000-0005-0000-0000-00008B480000}"/>
    <cellStyle name="Komórka połączona 2 19 7" xfId="18587" xr:uid="{00000000-0005-0000-0000-00008C480000}"/>
    <cellStyle name="Komórka połączona 2 2" xfId="18588" xr:uid="{00000000-0005-0000-0000-00008D480000}"/>
    <cellStyle name="Komórka połączona 2 2 2" xfId="18589" xr:uid="{00000000-0005-0000-0000-00008E480000}"/>
    <cellStyle name="Komórka połączona 2 2 3" xfId="18590" xr:uid="{00000000-0005-0000-0000-00008F480000}"/>
    <cellStyle name="Komórka połączona 2 2 4" xfId="18591" xr:uid="{00000000-0005-0000-0000-000090480000}"/>
    <cellStyle name="Komórka połączona 2 2 5" xfId="18592" xr:uid="{00000000-0005-0000-0000-000091480000}"/>
    <cellStyle name="Komórka połączona 2 2 6" xfId="18593" xr:uid="{00000000-0005-0000-0000-000092480000}"/>
    <cellStyle name="Komórka połączona 2 2 7" xfId="18594" xr:uid="{00000000-0005-0000-0000-000093480000}"/>
    <cellStyle name="Komórka połączona 2 2 8" xfId="18595" xr:uid="{00000000-0005-0000-0000-000094480000}"/>
    <cellStyle name="Komórka połączona 2 20" xfId="18596" xr:uid="{00000000-0005-0000-0000-000095480000}"/>
    <cellStyle name="Komórka połączona 2 20 2" xfId="18597" xr:uid="{00000000-0005-0000-0000-000096480000}"/>
    <cellStyle name="Komórka połączona 2 20 3" xfId="18598" xr:uid="{00000000-0005-0000-0000-000097480000}"/>
    <cellStyle name="Komórka połączona 2 20 4" xfId="18599" xr:uid="{00000000-0005-0000-0000-000098480000}"/>
    <cellStyle name="Komórka połączona 2 20 5" xfId="18600" xr:uid="{00000000-0005-0000-0000-000099480000}"/>
    <cellStyle name="Komórka połączona 2 20 6" xfId="18601" xr:uid="{00000000-0005-0000-0000-00009A480000}"/>
    <cellStyle name="Komórka połączona 2 20 7" xfId="18602" xr:uid="{00000000-0005-0000-0000-00009B480000}"/>
    <cellStyle name="Komórka połączona 2 21" xfId="18603" xr:uid="{00000000-0005-0000-0000-00009C480000}"/>
    <cellStyle name="Komórka połączona 2 21 2" xfId="18604" xr:uid="{00000000-0005-0000-0000-00009D480000}"/>
    <cellStyle name="Komórka połączona 2 21 3" xfId="18605" xr:uid="{00000000-0005-0000-0000-00009E480000}"/>
    <cellStyle name="Komórka połączona 2 21 4" xfId="18606" xr:uid="{00000000-0005-0000-0000-00009F480000}"/>
    <cellStyle name="Komórka połączona 2 21 5" xfId="18607" xr:uid="{00000000-0005-0000-0000-0000A0480000}"/>
    <cellStyle name="Komórka połączona 2 21 6" xfId="18608" xr:uid="{00000000-0005-0000-0000-0000A1480000}"/>
    <cellStyle name="Komórka połączona 2 21 7" xfId="18609" xr:uid="{00000000-0005-0000-0000-0000A2480000}"/>
    <cellStyle name="Komórka połączona 2 22" xfId="18610" xr:uid="{00000000-0005-0000-0000-0000A3480000}"/>
    <cellStyle name="Komórka połączona 2 22 2" xfId="18611" xr:uid="{00000000-0005-0000-0000-0000A4480000}"/>
    <cellStyle name="Komórka połączona 2 22 3" xfId="18612" xr:uid="{00000000-0005-0000-0000-0000A5480000}"/>
    <cellStyle name="Komórka połączona 2 22 4" xfId="18613" xr:uid="{00000000-0005-0000-0000-0000A6480000}"/>
    <cellStyle name="Komórka połączona 2 22 5" xfId="18614" xr:uid="{00000000-0005-0000-0000-0000A7480000}"/>
    <cellStyle name="Komórka połączona 2 22 6" xfId="18615" xr:uid="{00000000-0005-0000-0000-0000A8480000}"/>
    <cellStyle name="Komórka połączona 2 22 7" xfId="18616" xr:uid="{00000000-0005-0000-0000-0000A9480000}"/>
    <cellStyle name="Komórka połączona 2 23" xfId="18617" xr:uid="{00000000-0005-0000-0000-0000AA480000}"/>
    <cellStyle name="Komórka połączona 2 23 2" xfId="18618" xr:uid="{00000000-0005-0000-0000-0000AB480000}"/>
    <cellStyle name="Komórka połączona 2 23 3" xfId="18619" xr:uid="{00000000-0005-0000-0000-0000AC480000}"/>
    <cellStyle name="Komórka połączona 2 23 4" xfId="18620" xr:uid="{00000000-0005-0000-0000-0000AD480000}"/>
    <cellStyle name="Komórka połączona 2 23 5" xfId="18621" xr:uid="{00000000-0005-0000-0000-0000AE480000}"/>
    <cellStyle name="Komórka połączona 2 23 6" xfId="18622" xr:uid="{00000000-0005-0000-0000-0000AF480000}"/>
    <cellStyle name="Komórka połączona 2 23 7" xfId="18623" xr:uid="{00000000-0005-0000-0000-0000B0480000}"/>
    <cellStyle name="Komórka połączona 2 24" xfId="18624" xr:uid="{00000000-0005-0000-0000-0000B1480000}"/>
    <cellStyle name="Komórka połączona 2 24 2" xfId="18625" xr:uid="{00000000-0005-0000-0000-0000B2480000}"/>
    <cellStyle name="Komórka połączona 2 24 3" xfId="18626" xr:uid="{00000000-0005-0000-0000-0000B3480000}"/>
    <cellStyle name="Komórka połączona 2 24 4" xfId="18627" xr:uid="{00000000-0005-0000-0000-0000B4480000}"/>
    <cellStyle name="Komórka połączona 2 24 5" xfId="18628" xr:uid="{00000000-0005-0000-0000-0000B5480000}"/>
    <cellStyle name="Komórka połączona 2 24 6" xfId="18629" xr:uid="{00000000-0005-0000-0000-0000B6480000}"/>
    <cellStyle name="Komórka połączona 2 24 7" xfId="18630" xr:uid="{00000000-0005-0000-0000-0000B7480000}"/>
    <cellStyle name="Komórka połączona 2 25" xfId="18631" xr:uid="{00000000-0005-0000-0000-0000B8480000}"/>
    <cellStyle name="Komórka połączona 2 25 2" xfId="18632" xr:uid="{00000000-0005-0000-0000-0000B9480000}"/>
    <cellStyle name="Komórka połączona 2 25 3" xfId="18633" xr:uid="{00000000-0005-0000-0000-0000BA480000}"/>
    <cellStyle name="Komórka połączona 2 25 4" xfId="18634" xr:uid="{00000000-0005-0000-0000-0000BB480000}"/>
    <cellStyle name="Komórka połączona 2 25 5" xfId="18635" xr:uid="{00000000-0005-0000-0000-0000BC480000}"/>
    <cellStyle name="Komórka połączona 2 25 6" xfId="18636" xr:uid="{00000000-0005-0000-0000-0000BD480000}"/>
    <cellStyle name="Komórka połączona 2 25 7" xfId="18637" xr:uid="{00000000-0005-0000-0000-0000BE480000}"/>
    <cellStyle name="Komórka połączona 2 26" xfId="18638" xr:uid="{00000000-0005-0000-0000-0000BF480000}"/>
    <cellStyle name="Komórka połączona 2 26 2" xfId="18639" xr:uid="{00000000-0005-0000-0000-0000C0480000}"/>
    <cellStyle name="Komórka połączona 2 26 3" xfId="18640" xr:uid="{00000000-0005-0000-0000-0000C1480000}"/>
    <cellStyle name="Komórka połączona 2 26 4" xfId="18641" xr:uid="{00000000-0005-0000-0000-0000C2480000}"/>
    <cellStyle name="Komórka połączona 2 26 5" xfId="18642" xr:uid="{00000000-0005-0000-0000-0000C3480000}"/>
    <cellStyle name="Komórka połączona 2 26 6" xfId="18643" xr:uid="{00000000-0005-0000-0000-0000C4480000}"/>
    <cellStyle name="Komórka połączona 2 26 7" xfId="18644" xr:uid="{00000000-0005-0000-0000-0000C5480000}"/>
    <cellStyle name="Komórka połączona 2 27" xfId="18645" xr:uid="{00000000-0005-0000-0000-0000C6480000}"/>
    <cellStyle name="Komórka połączona 2 27 2" xfId="18646" xr:uid="{00000000-0005-0000-0000-0000C7480000}"/>
    <cellStyle name="Komórka połączona 2 27 3" xfId="18647" xr:uid="{00000000-0005-0000-0000-0000C8480000}"/>
    <cellStyle name="Komórka połączona 2 27 4" xfId="18648" xr:uid="{00000000-0005-0000-0000-0000C9480000}"/>
    <cellStyle name="Komórka połączona 2 27 5" xfId="18649" xr:uid="{00000000-0005-0000-0000-0000CA480000}"/>
    <cellStyle name="Komórka połączona 2 27 6" xfId="18650" xr:uid="{00000000-0005-0000-0000-0000CB480000}"/>
    <cellStyle name="Komórka połączona 2 27 7" xfId="18651" xr:uid="{00000000-0005-0000-0000-0000CC480000}"/>
    <cellStyle name="Komórka połączona 2 28" xfId="18652" xr:uid="{00000000-0005-0000-0000-0000CD480000}"/>
    <cellStyle name="Komórka połączona 2 28 2" xfId="18653" xr:uid="{00000000-0005-0000-0000-0000CE480000}"/>
    <cellStyle name="Komórka połączona 2 28 3" xfId="18654" xr:uid="{00000000-0005-0000-0000-0000CF480000}"/>
    <cellStyle name="Komórka połączona 2 28 4" xfId="18655" xr:uid="{00000000-0005-0000-0000-0000D0480000}"/>
    <cellStyle name="Komórka połączona 2 28 5" xfId="18656" xr:uid="{00000000-0005-0000-0000-0000D1480000}"/>
    <cellStyle name="Komórka połączona 2 28 6" xfId="18657" xr:uid="{00000000-0005-0000-0000-0000D2480000}"/>
    <cellStyle name="Komórka połączona 2 28 7" xfId="18658" xr:uid="{00000000-0005-0000-0000-0000D3480000}"/>
    <cellStyle name="Komórka połączona 2 29" xfId="18659" xr:uid="{00000000-0005-0000-0000-0000D4480000}"/>
    <cellStyle name="Komórka połączona 2 29 2" xfId="18660" xr:uid="{00000000-0005-0000-0000-0000D5480000}"/>
    <cellStyle name="Komórka połączona 2 3" xfId="18661" xr:uid="{00000000-0005-0000-0000-0000D6480000}"/>
    <cellStyle name="Komórka połączona 2 3 2" xfId="18662" xr:uid="{00000000-0005-0000-0000-0000D7480000}"/>
    <cellStyle name="Komórka połączona 2 3 3" xfId="18663" xr:uid="{00000000-0005-0000-0000-0000D8480000}"/>
    <cellStyle name="Komórka połączona 2 3 4" xfId="18664" xr:uid="{00000000-0005-0000-0000-0000D9480000}"/>
    <cellStyle name="Komórka połączona 2 3 5" xfId="18665" xr:uid="{00000000-0005-0000-0000-0000DA480000}"/>
    <cellStyle name="Komórka połączona 2 3 6" xfId="18666" xr:uid="{00000000-0005-0000-0000-0000DB480000}"/>
    <cellStyle name="Komórka połączona 2 3 7" xfId="18667" xr:uid="{00000000-0005-0000-0000-0000DC480000}"/>
    <cellStyle name="Komórka połączona 2 30" xfId="18668" xr:uid="{00000000-0005-0000-0000-0000DD480000}"/>
    <cellStyle name="Komórka połączona 2 30 2" xfId="18669" xr:uid="{00000000-0005-0000-0000-0000DE480000}"/>
    <cellStyle name="Komórka połączona 2 31" xfId="18670" xr:uid="{00000000-0005-0000-0000-0000DF480000}"/>
    <cellStyle name="Komórka połączona 2 31 2" xfId="18671" xr:uid="{00000000-0005-0000-0000-0000E0480000}"/>
    <cellStyle name="Komórka połączona 2 32" xfId="18672" xr:uid="{00000000-0005-0000-0000-0000E1480000}"/>
    <cellStyle name="Komórka połączona 2 32 2" xfId="18673" xr:uid="{00000000-0005-0000-0000-0000E2480000}"/>
    <cellStyle name="Komórka połączona 2 33" xfId="18674" xr:uid="{00000000-0005-0000-0000-0000E3480000}"/>
    <cellStyle name="Komórka połączona 2 34" xfId="18675" xr:uid="{00000000-0005-0000-0000-0000E4480000}"/>
    <cellStyle name="Komórka połączona 2 35" xfId="18676" xr:uid="{00000000-0005-0000-0000-0000E5480000}"/>
    <cellStyle name="Komórka połączona 2 36" xfId="18677" xr:uid="{00000000-0005-0000-0000-0000E6480000}"/>
    <cellStyle name="Komórka połączona 2 37" xfId="18678" xr:uid="{00000000-0005-0000-0000-0000E7480000}"/>
    <cellStyle name="Komórka połączona 2 38" xfId="18679" xr:uid="{00000000-0005-0000-0000-0000E8480000}"/>
    <cellStyle name="Komórka połączona 2 4" xfId="18680" xr:uid="{00000000-0005-0000-0000-0000E9480000}"/>
    <cellStyle name="Komórka połączona 2 4 2" xfId="18681" xr:uid="{00000000-0005-0000-0000-0000EA480000}"/>
    <cellStyle name="Komórka połączona 2 4 3" xfId="18682" xr:uid="{00000000-0005-0000-0000-0000EB480000}"/>
    <cellStyle name="Komórka połączona 2 4 4" xfId="18683" xr:uid="{00000000-0005-0000-0000-0000EC480000}"/>
    <cellStyle name="Komórka połączona 2 4 5" xfId="18684" xr:uid="{00000000-0005-0000-0000-0000ED480000}"/>
    <cellStyle name="Komórka połączona 2 4 6" xfId="18685" xr:uid="{00000000-0005-0000-0000-0000EE480000}"/>
    <cellStyle name="Komórka połączona 2 4 7" xfId="18686" xr:uid="{00000000-0005-0000-0000-0000EF480000}"/>
    <cellStyle name="Komórka połączona 2 5" xfId="18687" xr:uid="{00000000-0005-0000-0000-0000F0480000}"/>
    <cellStyle name="Komórka połączona 2 5 2" xfId="18688" xr:uid="{00000000-0005-0000-0000-0000F1480000}"/>
    <cellStyle name="Komórka połączona 2 5 3" xfId="18689" xr:uid="{00000000-0005-0000-0000-0000F2480000}"/>
    <cellStyle name="Komórka połączona 2 5 4" xfId="18690" xr:uid="{00000000-0005-0000-0000-0000F3480000}"/>
    <cellStyle name="Komórka połączona 2 5 5" xfId="18691" xr:uid="{00000000-0005-0000-0000-0000F4480000}"/>
    <cellStyle name="Komórka połączona 2 5 6" xfId="18692" xr:uid="{00000000-0005-0000-0000-0000F5480000}"/>
    <cellStyle name="Komórka połączona 2 5 7" xfId="18693" xr:uid="{00000000-0005-0000-0000-0000F6480000}"/>
    <cellStyle name="Komórka połączona 2 6" xfId="18694" xr:uid="{00000000-0005-0000-0000-0000F7480000}"/>
    <cellStyle name="Komórka połączona 2 6 2" xfId="18695" xr:uid="{00000000-0005-0000-0000-0000F8480000}"/>
    <cellStyle name="Komórka połączona 2 6 3" xfId="18696" xr:uid="{00000000-0005-0000-0000-0000F9480000}"/>
    <cellStyle name="Komórka połączona 2 6 4" xfId="18697" xr:uid="{00000000-0005-0000-0000-0000FA480000}"/>
    <cellStyle name="Komórka połączona 2 6 5" xfId="18698" xr:uid="{00000000-0005-0000-0000-0000FB480000}"/>
    <cellStyle name="Komórka połączona 2 6 6" xfId="18699" xr:uid="{00000000-0005-0000-0000-0000FC480000}"/>
    <cellStyle name="Komórka połączona 2 6 7" xfId="18700" xr:uid="{00000000-0005-0000-0000-0000FD480000}"/>
    <cellStyle name="Komórka połączona 2 7" xfId="18701" xr:uid="{00000000-0005-0000-0000-0000FE480000}"/>
    <cellStyle name="Komórka połączona 2 7 2" xfId="18702" xr:uid="{00000000-0005-0000-0000-0000FF480000}"/>
    <cellStyle name="Komórka połączona 2 7 3" xfId="18703" xr:uid="{00000000-0005-0000-0000-000000490000}"/>
    <cellStyle name="Komórka połączona 2 7 4" xfId="18704" xr:uid="{00000000-0005-0000-0000-000001490000}"/>
    <cellStyle name="Komórka połączona 2 7 5" xfId="18705" xr:uid="{00000000-0005-0000-0000-000002490000}"/>
    <cellStyle name="Komórka połączona 2 7 6" xfId="18706" xr:uid="{00000000-0005-0000-0000-000003490000}"/>
    <cellStyle name="Komórka połączona 2 7 7" xfId="18707" xr:uid="{00000000-0005-0000-0000-000004490000}"/>
    <cellStyle name="Komórka połączona 2 8" xfId="18708" xr:uid="{00000000-0005-0000-0000-000005490000}"/>
    <cellStyle name="Komórka połączona 2 8 2" xfId="18709" xr:uid="{00000000-0005-0000-0000-000006490000}"/>
    <cellStyle name="Komórka połączona 2 8 3" xfId="18710" xr:uid="{00000000-0005-0000-0000-000007490000}"/>
    <cellStyle name="Komórka połączona 2 8 4" xfId="18711" xr:uid="{00000000-0005-0000-0000-000008490000}"/>
    <cellStyle name="Komórka połączona 2 8 5" xfId="18712" xr:uid="{00000000-0005-0000-0000-000009490000}"/>
    <cellStyle name="Komórka połączona 2 8 6" xfId="18713" xr:uid="{00000000-0005-0000-0000-00000A490000}"/>
    <cellStyle name="Komórka połączona 2 8 7" xfId="18714" xr:uid="{00000000-0005-0000-0000-00000B490000}"/>
    <cellStyle name="Komórka połączona 2 9" xfId="18715" xr:uid="{00000000-0005-0000-0000-00000C490000}"/>
    <cellStyle name="Komórka połączona 2 9 2" xfId="18716" xr:uid="{00000000-0005-0000-0000-00000D490000}"/>
    <cellStyle name="Komórka połączona 2 9 3" xfId="18717" xr:uid="{00000000-0005-0000-0000-00000E490000}"/>
    <cellStyle name="Komórka połączona 2 9 4" xfId="18718" xr:uid="{00000000-0005-0000-0000-00000F490000}"/>
    <cellStyle name="Komórka połączona 2 9 5" xfId="18719" xr:uid="{00000000-0005-0000-0000-000010490000}"/>
    <cellStyle name="Komórka połączona 2 9 6" xfId="18720" xr:uid="{00000000-0005-0000-0000-000011490000}"/>
    <cellStyle name="Komórka połączona 2 9 7" xfId="18721" xr:uid="{00000000-0005-0000-0000-000012490000}"/>
    <cellStyle name="Komórka połączona 3" xfId="18722" xr:uid="{00000000-0005-0000-0000-000013490000}"/>
    <cellStyle name="Komórka połączona 3 2" xfId="18723" xr:uid="{00000000-0005-0000-0000-000014490000}"/>
    <cellStyle name="Komórka połączona 3 2 2" xfId="18724" xr:uid="{00000000-0005-0000-0000-000015490000}"/>
    <cellStyle name="Komórka połączona 3 3" xfId="18725" xr:uid="{00000000-0005-0000-0000-000016490000}"/>
    <cellStyle name="Komórka połączona 3 4" xfId="18726" xr:uid="{00000000-0005-0000-0000-000017490000}"/>
    <cellStyle name="Komórka połączona 3 5" xfId="18727" xr:uid="{00000000-0005-0000-0000-000018490000}"/>
    <cellStyle name="Komórka połączona 3 6" xfId="18728" xr:uid="{00000000-0005-0000-0000-000019490000}"/>
    <cellStyle name="Komórka połączona 3 7" xfId="18729" xr:uid="{00000000-0005-0000-0000-00001A490000}"/>
    <cellStyle name="Komórka połączona 3 8" xfId="18730" xr:uid="{00000000-0005-0000-0000-00001B490000}"/>
    <cellStyle name="Komórka połączona 3 9" xfId="18731" xr:uid="{00000000-0005-0000-0000-00001C490000}"/>
    <cellStyle name="Komórka połączona 4" xfId="18732" xr:uid="{00000000-0005-0000-0000-00001D490000}"/>
    <cellStyle name="Komórka połączona 4 2" xfId="18733" xr:uid="{00000000-0005-0000-0000-00001E490000}"/>
    <cellStyle name="Komórka połączona 4 3" xfId="18734" xr:uid="{00000000-0005-0000-0000-00001F490000}"/>
    <cellStyle name="Komórka połączona 4 4" xfId="18735" xr:uid="{00000000-0005-0000-0000-000020490000}"/>
    <cellStyle name="Komórka połączona 4 5" xfId="18736" xr:uid="{00000000-0005-0000-0000-000021490000}"/>
    <cellStyle name="Komórka połączona 4 6" xfId="18737" xr:uid="{00000000-0005-0000-0000-000022490000}"/>
    <cellStyle name="Komórka połączona 4 7" xfId="18738" xr:uid="{00000000-0005-0000-0000-000023490000}"/>
    <cellStyle name="Komórka połączona 4 8" xfId="18739" xr:uid="{00000000-0005-0000-0000-000024490000}"/>
    <cellStyle name="Komórka połączona 4 9" xfId="18740" xr:uid="{00000000-0005-0000-0000-000025490000}"/>
    <cellStyle name="Komórka połączona 5" xfId="18741" xr:uid="{00000000-0005-0000-0000-000026490000}"/>
    <cellStyle name="Komórka połączona 5 2" xfId="18742" xr:uid="{00000000-0005-0000-0000-000027490000}"/>
    <cellStyle name="Komórka połączona 6" xfId="18743" xr:uid="{00000000-0005-0000-0000-000028490000}"/>
    <cellStyle name="Komórka połączona 7" xfId="18744" xr:uid="{00000000-0005-0000-0000-000029490000}"/>
    <cellStyle name="Komórka zaznaczona 2" xfId="18745" xr:uid="{00000000-0005-0000-0000-00002A490000}"/>
    <cellStyle name="Komórka zaznaczona 2 10" xfId="18746" xr:uid="{00000000-0005-0000-0000-00002B490000}"/>
    <cellStyle name="Komórka zaznaczona 2 10 2" xfId="18747" xr:uid="{00000000-0005-0000-0000-00002C490000}"/>
    <cellStyle name="Komórka zaznaczona 2 10 3" xfId="18748" xr:uid="{00000000-0005-0000-0000-00002D490000}"/>
    <cellStyle name="Komórka zaznaczona 2 10 4" xfId="18749" xr:uid="{00000000-0005-0000-0000-00002E490000}"/>
    <cellStyle name="Komórka zaznaczona 2 10 5" xfId="18750" xr:uid="{00000000-0005-0000-0000-00002F490000}"/>
    <cellStyle name="Komórka zaznaczona 2 10 6" xfId="18751" xr:uid="{00000000-0005-0000-0000-000030490000}"/>
    <cellStyle name="Komórka zaznaczona 2 10 7" xfId="18752" xr:uid="{00000000-0005-0000-0000-000031490000}"/>
    <cellStyle name="Komórka zaznaczona 2 11" xfId="18753" xr:uid="{00000000-0005-0000-0000-000032490000}"/>
    <cellStyle name="Komórka zaznaczona 2 11 2" xfId="18754" xr:uid="{00000000-0005-0000-0000-000033490000}"/>
    <cellStyle name="Komórka zaznaczona 2 11 3" xfId="18755" xr:uid="{00000000-0005-0000-0000-000034490000}"/>
    <cellStyle name="Komórka zaznaczona 2 11 4" xfId="18756" xr:uid="{00000000-0005-0000-0000-000035490000}"/>
    <cellStyle name="Komórka zaznaczona 2 11 5" xfId="18757" xr:uid="{00000000-0005-0000-0000-000036490000}"/>
    <cellStyle name="Komórka zaznaczona 2 11 6" xfId="18758" xr:uid="{00000000-0005-0000-0000-000037490000}"/>
    <cellStyle name="Komórka zaznaczona 2 11 7" xfId="18759" xr:uid="{00000000-0005-0000-0000-000038490000}"/>
    <cellStyle name="Komórka zaznaczona 2 12" xfId="18760" xr:uid="{00000000-0005-0000-0000-000039490000}"/>
    <cellStyle name="Komórka zaznaczona 2 12 2" xfId="18761" xr:uid="{00000000-0005-0000-0000-00003A490000}"/>
    <cellStyle name="Komórka zaznaczona 2 12 3" xfId="18762" xr:uid="{00000000-0005-0000-0000-00003B490000}"/>
    <cellStyle name="Komórka zaznaczona 2 12 4" xfId="18763" xr:uid="{00000000-0005-0000-0000-00003C490000}"/>
    <cellStyle name="Komórka zaznaczona 2 12 5" xfId="18764" xr:uid="{00000000-0005-0000-0000-00003D490000}"/>
    <cellStyle name="Komórka zaznaczona 2 12 6" xfId="18765" xr:uid="{00000000-0005-0000-0000-00003E490000}"/>
    <cellStyle name="Komórka zaznaczona 2 12 7" xfId="18766" xr:uid="{00000000-0005-0000-0000-00003F490000}"/>
    <cellStyle name="Komórka zaznaczona 2 13" xfId="18767" xr:uid="{00000000-0005-0000-0000-000040490000}"/>
    <cellStyle name="Komórka zaznaczona 2 13 2" xfId="18768" xr:uid="{00000000-0005-0000-0000-000041490000}"/>
    <cellStyle name="Komórka zaznaczona 2 13 3" xfId="18769" xr:uid="{00000000-0005-0000-0000-000042490000}"/>
    <cellStyle name="Komórka zaznaczona 2 13 4" xfId="18770" xr:uid="{00000000-0005-0000-0000-000043490000}"/>
    <cellStyle name="Komórka zaznaczona 2 13 5" xfId="18771" xr:uid="{00000000-0005-0000-0000-000044490000}"/>
    <cellStyle name="Komórka zaznaczona 2 13 6" xfId="18772" xr:uid="{00000000-0005-0000-0000-000045490000}"/>
    <cellStyle name="Komórka zaznaczona 2 13 7" xfId="18773" xr:uid="{00000000-0005-0000-0000-000046490000}"/>
    <cellStyle name="Komórka zaznaczona 2 14" xfId="18774" xr:uid="{00000000-0005-0000-0000-000047490000}"/>
    <cellStyle name="Komórka zaznaczona 2 14 2" xfId="18775" xr:uid="{00000000-0005-0000-0000-000048490000}"/>
    <cellStyle name="Komórka zaznaczona 2 14 3" xfId="18776" xr:uid="{00000000-0005-0000-0000-000049490000}"/>
    <cellStyle name="Komórka zaznaczona 2 14 4" xfId="18777" xr:uid="{00000000-0005-0000-0000-00004A490000}"/>
    <cellStyle name="Komórka zaznaczona 2 14 5" xfId="18778" xr:uid="{00000000-0005-0000-0000-00004B490000}"/>
    <cellStyle name="Komórka zaznaczona 2 14 6" xfId="18779" xr:uid="{00000000-0005-0000-0000-00004C490000}"/>
    <cellStyle name="Komórka zaznaczona 2 14 7" xfId="18780" xr:uid="{00000000-0005-0000-0000-00004D490000}"/>
    <cellStyle name="Komórka zaznaczona 2 15" xfId="18781" xr:uid="{00000000-0005-0000-0000-00004E490000}"/>
    <cellStyle name="Komórka zaznaczona 2 15 2" xfId="18782" xr:uid="{00000000-0005-0000-0000-00004F490000}"/>
    <cellStyle name="Komórka zaznaczona 2 15 3" xfId="18783" xr:uid="{00000000-0005-0000-0000-000050490000}"/>
    <cellStyle name="Komórka zaznaczona 2 15 4" xfId="18784" xr:uid="{00000000-0005-0000-0000-000051490000}"/>
    <cellStyle name="Komórka zaznaczona 2 15 5" xfId="18785" xr:uid="{00000000-0005-0000-0000-000052490000}"/>
    <cellStyle name="Komórka zaznaczona 2 15 6" xfId="18786" xr:uid="{00000000-0005-0000-0000-000053490000}"/>
    <cellStyle name="Komórka zaznaczona 2 15 7" xfId="18787" xr:uid="{00000000-0005-0000-0000-000054490000}"/>
    <cellStyle name="Komórka zaznaczona 2 16" xfId="18788" xr:uid="{00000000-0005-0000-0000-000055490000}"/>
    <cellStyle name="Komórka zaznaczona 2 16 2" xfId="18789" xr:uid="{00000000-0005-0000-0000-000056490000}"/>
    <cellStyle name="Komórka zaznaczona 2 16 3" xfId="18790" xr:uid="{00000000-0005-0000-0000-000057490000}"/>
    <cellStyle name="Komórka zaznaczona 2 16 4" xfId="18791" xr:uid="{00000000-0005-0000-0000-000058490000}"/>
    <cellStyle name="Komórka zaznaczona 2 16 5" xfId="18792" xr:uid="{00000000-0005-0000-0000-000059490000}"/>
    <cellStyle name="Komórka zaznaczona 2 16 6" xfId="18793" xr:uid="{00000000-0005-0000-0000-00005A490000}"/>
    <cellStyle name="Komórka zaznaczona 2 16 7" xfId="18794" xr:uid="{00000000-0005-0000-0000-00005B490000}"/>
    <cellStyle name="Komórka zaznaczona 2 17" xfId="18795" xr:uid="{00000000-0005-0000-0000-00005C490000}"/>
    <cellStyle name="Komórka zaznaczona 2 17 2" xfId="18796" xr:uid="{00000000-0005-0000-0000-00005D490000}"/>
    <cellStyle name="Komórka zaznaczona 2 17 3" xfId="18797" xr:uid="{00000000-0005-0000-0000-00005E490000}"/>
    <cellStyle name="Komórka zaznaczona 2 17 4" xfId="18798" xr:uid="{00000000-0005-0000-0000-00005F490000}"/>
    <cellStyle name="Komórka zaznaczona 2 17 5" xfId="18799" xr:uid="{00000000-0005-0000-0000-000060490000}"/>
    <cellStyle name="Komórka zaznaczona 2 17 6" xfId="18800" xr:uid="{00000000-0005-0000-0000-000061490000}"/>
    <cellStyle name="Komórka zaznaczona 2 17 7" xfId="18801" xr:uid="{00000000-0005-0000-0000-000062490000}"/>
    <cellStyle name="Komórka zaznaczona 2 18" xfId="18802" xr:uid="{00000000-0005-0000-0000-000063490000}"/>
    <cellStyle name="Komórka zaznaczona 2 18 2" xfId="18803" xr:uid="{00000000-0005-0000-0000-000064490000}"/>
    <cellStyle name="Komórka zaznaczona 2 18 3" xfId="18804" xr:uid="{00000000-0005-0000-0000-000065490000}"/>
    <cellStyle name="Komórka zaznaczona 2 18 4" xfId="18805" xr:uid="{00000000-0005-0000-0000-000066490000}"/>
    <cellStyle name="Komórka zaznaczona 2 18 5" xfId="18806" xr:uid="{00000000-0005-0000-0000-000067490000}"/>
    <cellStyle name="Komórka zaznaczona 2 18 6" xfId="18807" xr:uid="{00000000-0005-0000-0000-000068490000}"/>
    <cellStyle name="Komórka zaznaczona 2 18 7" xfId="18808" xr:uid="{00000000-0005-0000-0000-000069490000}"/>
    <cellStyle name="Komórka zaznaczona 2 19" xfId="18809" xr:uid="{00000000-0005-0000-0000-00006A490000}"/>
    <cellStyle name="Komórka zaznaczona 2 19 2" xfId="18810" xr:uid="{00000000-0005-0000-0000-00006B490000}"/>
    <cellStyle name="Komórka zaznaczona 2 19 3" xfId="18811" xr:uid="{00000000-0005-0000-0000-00006C490000}"/>
    <cellStyle name="Komórka zaznaczona 2 19 4" xfId="18812" xr:uid="{00000000-0005-0000-0000-00006D490000}"/>
    <cellStyle name="Komórka zaznaczona 2 19 5" xfId="18813" xr:uid="{00000000-0005-0000-0000-00006E490000}"/>
    <cellStyle name="Komórka zaznaczona 2 19 6" xfId="18814" xr:uid="{00000000-0005-0000-0000-00006F490000}"/>
    <cellStyle name="Komórka zaznaczona 2 19 7" xfId="18815" xr:uid="{00000000-0005-0000-0000-000070490000}"/>
    <cellStyle name="Komórka zaznaczona 2 2" xfId="18816" xr:uid="{00000000-0005-0000-0000-000071490000}"/>
    <cellStyle name="Komórka zaznaczona 2 2 2" xfId="18817" xr:uid="{00000000-0005-0000-0000-000072490000}"/>
    <cellStyle name="Komórka zaznaczona 2 2 3" xfId="18818" xr:uid="{00000000-0005-0000-0000-000073490000}"/>
    <cellStyle name="Komórka zaznaczona 2 2 4" xfId="18819" xr:uid="{00000000-0005-0000-0000-000074490000}"/>
    <cellStyle name="Komórka zaznaczona 2 2 5" xfId="18820" xr:uid="{00000000-0005-0000-0000-000075490000}"/>
    <cellStyle name="Komórka zaznaczona 2 2 6" xfId="18821" xr:uid="{00000000-0005-0000-0000-000076490000}"/>
    <cellStyle name="Komórka zaznaczona 2 2 7" xfId="18822" xr:uid="{00000000-0005-0000-0000-000077490000}"/>
    <cellStyle name="Komórka zaznaczona 2 2 8" xfId="18823" xr:uid="{00000000-0005-0000-0000-000078490000}"/>
    <cellStyle name="Komórka zaznaczona 2 20" xfId="18824" xr:uid="{00000000-0005-0000-0000-000079490000}"/>
    <cellStyle name="Komórka zaznaczona 2 20 2" xfId="18825" xr:uid="{00000000-0005-0000-0000-00007A490000}"/>
    <cellStyle name="Komórka zaznaczona 2 20 3" xfId="18826" xr:uid="{00000000-0005-0000-0000-00007B490000}"/>
    <cellStyle name="Komórka zaznaczona 2 20 4" xfId="18827" xr:uid="{00000000-0005-0000-0000-00007C490000}"/>
    <cellStyle name="Komórka zaznaczona 2 20 5" xfId="18828" xr:uid="{00000000-0005-0000-0000-00007D490000}"/>
    <cellStyle name="Komórka zaznaczona 2 20 6" xfId="18829" xr:uid="{00000000-0005-0000-0000-00007E490000}"/>
    <cellStyle name="Komórka zaznaczona 2 20 7" xfId="18830" xr:uid="{00000000-0005-0000-0000-00007F490000}"/>
    <cellStyle name="Komórka zaznaczona 2 21" xfId="18831" xr:uid="{00000000-0005-0000-0000-000080490000}"/>
    <cellStyle name="Komórka zaznaczona 2 21 2" xfId="18832" xr:uid="{00000000-0005-0000-0000-000081490000}"/>
    <cellStyle name="Komórka zaznaczona 2 21 3" xfId="18833" xr:uid="{00000000-0005-0000-0000-000082490000}"/>
    <cellStyle name="Komórka zaznaczona 2 21 4" xfId="18834" xr:uid="{00000000-0005-0000-0000-000083490000}"/>
    <cellStyle name="Komórka zaznaczona 2 21 5" xfId="18835" xr:uid="{00000000-0005-0000-0000-000084490000}"/>
    <cellStyle name="Komórka zaznaczona 2 21 6" xfId="18836" xr:uid="{00000000-0005-0000-0000-000085490000}"/>
    <cellStyle name="Komórka zaznaczona 2 21 7" xfId="18837" xr:uid="{00000000-0005-0000-0000-000086490000}"/>
    <cellStyle name="Komórka zaznaczona 2 22" xfId="18838" xr:uid="{00000000-0005-0000-0000-000087490000}"/>
    <cellStyle name="Komórka zaznaczona 2 22 2" xfId="18839" xr:uid="{00000000-0005-0000-0000-000088490000}"/>
    <cellStyle name="Komórka zaznaczona 2 22 3" xfId="18840" xr:uid="{00000000-0005-0000-0000-000089490000}"/>
    <cellStyle name="Komórka zaznaczona 2 22 4" xfId="18841" xr:uid="{00000000-0005-0000-0000-00008A490000}"/>
    <cellStyle name="Komórka zaznaczona 2 22 5" xfId="18842" xr:uid="{00000000-0005-0000-0000-00008B490000}"/>
    <cellStyle name="Komórka zaznaczona 2 22 6" xfId="18843" xr:uid="{00000000-0005-0000-0000-00008C490000}"/>
    <cellStyle name="Komórka zaznaczona 2 22 7" xfId="18844" xr:uid="{00000000-0005-0000-0000-00008D490000}"/>
    <cellStyle name="Komórka zaznaczona 2 23" xfId="18845" xr:uid="{00000000-0005-0000-0000-00008E490000}"/>
    <cellStyle name="Komórka zaznaczona 2 23 2" xfId="18846" xr:uid="{00000000-0005-0000-0000-00008F490000}"/>
    <cellStyle name="Komórka zaznaczona 2 23 3" xfId="18847" xr:uid="{00000000-0005-0000-0000-000090490000}"/>
    <cellStyle name="Komórka zaznaczona 2 23 4" xfId="18848" xr:uid="{00000000-0005-0000-0000-000091490000}"/>
    <cellStyle name="Komórka zaznaczona 2 23 5" xfId="18849" xr:uid="{00000000-0005-0000-0000-000092490000}"/>
    <cellStyle name="Komórka zaznaczona 2 23 6" xfId="18850" xr:uid="{00000000-0005-0000-0000-000093490000}"/>
    <cellStyle name="Komórka zaznaczona 2 23 7" xfId="18851" xr:uid="{00000000-0005-0000-0000-000094490000}"/>
    <cellStyle name="Komórka zaznaczona 2 24" xfId="18852" xr:uid="{00000000-0005-0000-0000-000095490000}"/>
    <cellStyle name="Komórka zaznaczona 2 24 2" xfId="18853" xr:uid="{00000000-0005-0000-0000-000096490000}"/>
    <cellStyle name="Komórka zaznaczona 2 24 3" xfId="18854" xr:uid="{00000000-0005-0000-0000-000097490000}"/>
    <cellStyle name="Komórka zaznaczona 2 24 4" xfId="18855" xr:uid="{00000000-0005-0000-0000-000098490000}"/>
    <cellStyle name="Komórka zaznaczona 2 24 5" xfId="18856" xr:uid="{00000000-0005-0000-0000-000099490000}"/>
    <cellStyle name="Komórka zaznaczona 2 24 6" xfId="18857" xr:uid="{00000000-0005-0000-0000-00009A490000}"/>
    <cellStyle name="Komórka zaznaczona 2 24 7" xfId="18858" xr:uid="{00000000-0005-0000-0000-00009B490000}"/>
    <cellStyle name="Komórka zaznaczona 2 25" xfId="18859" xr:uid="{00000000-0005-0000-0000-00009C490000}"/>
    <cellStyle name="Komórka zaznaczona 2 25 2" xfId="18860" xr:uid="{00000000-0005-0000-0000-00009D490000}"/>
    <cellStyle name="Komórka zaznaczona 2 25 3" xfId="18861" xr:uid="{00000000-0005-0000-0000-00009E490000}"/>
    <cellStyle name="Komórka zaznaczona 2 25 4" xfId="18862" xr:uid="{00000000-0005-0000-0000-00009F490000}"/>
    <cellStyle name="Komórka zaznaczona 2 25 5" xfId="18863" xr:uid="{00000000-0005-0000-0000-0000A0490000}"/>
    <cellStyle name="Komórka zaznaczona 2 25 6" xfId="18864" xr:uid="{00000000-0005-0000-0000-0000A1490000}"/>
    <cellStyle name="Komórka zaznaczona 2 25 7" xfId="18865" xr:uid="{00000000-0005-0000-0000-0000A2490000}"/>
    <cellStyle name="Komórka zaznaczona 2 26" xfId="18866" xr:uid="{00000000-0005-0000-0000-0000A3490000}"/>
    <cellStyle name="Komórka zaznaczona 2 26 2" xfId="18867" xr:uid="{00000000-0005-0000-0000-0000A4490000}"/>
    <cellStyle name="Komórka zaznaczona 2 26 3" xfId="18868" xr:uid="{00000000-0005-0000-0000-0000A5490000}"/>
    <cellStyle name="Komórka zaznaczona 2 26 4" xfId="18869" xr:uid="{00000000-0005-0000-0000-0000A6490000}"/>
    <cellStyle name="Komórka zaznaczona 2 26 5" xfId="18870" xr:uid="{00000000-0005-0000-0000-0000A7490000}"/>
    <cellStyle name="Komórka zaznaczona 2 26 6" xfId="18871" xr:uid="{00000000-0005-0000-0000-0000A8490000}"/>
    <cellStyle name="Komórka zaznaczona 2 26 7" xfId="18872" xr:uid="{00000000-0005-0000-0000-0000A9490000}"/>
    <cellStyle name="Komórka zaznaczona 2 27" xfId="18873" xr:uid="{00000000-0005-0000-0000-0000AA490000}"/>
    <cellStyle name="Komórka zaznaczona 2 27 2" xfId="18874" xr:uid="{00000000-0005-0000-0000-0000AB490000}"/>
    <cellStyle name="Komórka zaznaczona 2 27 3" xfId="18875" xr:uid="{00000000-0005-0000-0000-0000AC490000}"/>
    <cellStyle name="Komórka zaznaczona 2 27 4" xfId="18876" xr:uid="{00000000-0005-0000-0000-0000AD490000}"/>
    <cellStyle name="Komórka zaznaczona 2 27 5" xfId="18877" xr:uid="{00000000-0005-0000-0000-0000AE490000}"/>
    <cellStyle name="Komórka zaznaczona 2 27 6" xfId="18878" xr:uid="{00000000-0005-0000-0000-0000AF490000}"/>
    <cellStyle name="Komórka zaznaczona 2 27 7" xfId="18879" xr:uid="{00000000-0005-0000-0000-0000B0490000}"/>
    <cellStyle name="Komórka zaznaczona 2 28" xfId="18880" xr:uid="{00000000-0005-0000-0000-0000B1490000}"/>
    <cellStyle name="Komórka zaznaczona 2 28 2" xfId="18881" xr:uid="{00000000-0005-0000-0000-0000B2490000}"/>
    <cellStyle name="Komórka zaznaczona 2 28 3" xfId="18882" xr:uid="{00000000-0005-0000-0000-0000B3490000}"/>
    <cellStyle name="Komórka zaznaczona 2 28 4" xfId="18883" xr:uid="{00000000-0005-0000-0000-0000B4490000}"/>
    <cellStyle name="Komórka zaznaczona 2 28 5" xfId="18884" xr:uid="{00000000-0005-0000-0000-0000B5490000}"/>
    <cellStyle name="Komórka zaznaczona 2 28 6" xfId="18885" xr:uid="{00000000-0005-0000-0000-0000B6490000}"/>
    <cellStyle name="Komórka zaznaczona 2 28 7" xfId="18886" xr:uid="{00000000-0005-0000-0000-0000B7490000}"/>
    <cellStyle name="Komórka zaznaczona 2 29" xfId="18887" xr:uid="{00000000-0005-0000-0000-0000B8490000}"/>
    <cellStyle name="Komórka zaznaczona 2 29 2" xfId="18888" xr:uid="{00000000-0005-0000-0000-0000B9490000}"/>
    <cellStyle name="Komórka zaznaczona 2 3" xfId="18889" xr:uid="{00000000-0005-0000-0000-0000BA490000}"/>
    <cellStyle name="Komórka zaznaczona 2 3 2" xfId="18890" xr:uid="{00000000-0005-0000-0000-0000BB490000}"/>
    <cellStyle name="Komórka zaznaczona 2 3 3" xfId="18891" xr:uid="{00000000-0005-0000-0000-0000BC490000}"/>
    <cellStyle name="Komórka zaznaczona 2 3 4" xfId="18892" xr:uid="{00000000-0005-0000-0000-0000BD490000}"/>
    <cellStyle name="Komórka zaznaczona 2 3 5" xfId="18893" xr:uid="{00000000-0005-0000-0000-0000BE490000}"/>
    <cellStyle name="Komórka zaznaczona 2 3 6" xfId="18894" xr:uid="{00000000-0005-0000-0000-0000BF490000}"/>
    <cellStyle name="Komórka zaznaczona 2 3 7" xfId="18895" xr:uid="{00000000-0005-0000-0000-0000C0490000}"/>
    <cellStyle name="Komórka zaznaczona 2 30" xfId="18896" xr:uid="{00000000-0005-0000-0000-0000C1490000}"/>
    <cellStyle name="Komórka zaznaczona 2 30 2" xfId="18897" xr:uid="{00000000-0005-0000-0000-0000C2490000}"/>
    <cellStyle name="Komórka zaznaczona 2 31" xfId="18898" xr:uid="{00000000-0005-0000-0000-0000C3490000}"/>
    <cellStyle name="Komórka zaznaczona 2 31 2" xfId="18899" xr:uid="{00000000-0005-0000-0000-0000C4490000}"/>
    <cellStyle name="Komórka zaznaczona 2 32" xfId="18900" xr:uid="{00000000-0005-0000-0000-0000C5490000}"/>
    <cellStyle name="Komórka zaznaczona 2 32 2" xfId="18901" xr:uid="{00000000-0005-0000-0000-0000C6490000}"/>
    <cellStyle name="Komórka zaznaczona 2 33" xfId="18902" xr:uid="{00000000-0005-0000-0000-0000C7490000}"/>
    <cellStyle name="Komórka zaznaczona 2 34" xfId="18903" xr:uid="{00000000-0005-0000-0000-0000C8490000}"/>
    <cellStyle name="Komórka zaznaczona 2 35" xfId="18904" xr:uid="{00000000-0005-0000-0000-0000C9490000}"/>
    <cellStyle name="Komórka zaznaczona 2 36" xfId="18905" xr:uid="{00000000-0005-0000-0000-0000CA490000}"/>
    <cellStyle name="Komórka zaznaczona 2 37" xfId="18906" xr:uid="{00000000-0005-0000-0000-0000CB490000}"/>
    <cellStyle name="Komórka zaznaczona 2 38" xfId="18907" xr:uid="{00000000-0005-0000-0000-0000CC490000}"/>
    <cellStyle name="Komórka zaznaczona 2 39" xfId="18908" xr:uid="{00000000-0005-0000-0000-0000CD490000}"/>
    <cellStyle name="Komórka zaznaczona 2 4" xfId="18909" xr:uid="{00000000-0005-0000-0000-0000CE490000}"/>
    <cellStyle name="Komórka zaznaczona 2 4 2" xfId="18910" xr:uid="{00000000-0005-0000-0000-0000CF490000}"/>
    <cellStyle name="Komórka zaznaczona 2 4 3" xfId="18911" xr:uid="{00000000-0005-0000-0000-0000D0490000}"/>
    <cellStyle name="Komórka zaznaczona 2 4 4" xfId="18912" xr:uid="{00000000-0005-0000-0000-0000D1490000}"/>
    <cellStyle name="Komórka zaznaczona 2 4 5" xfId="18913" xr:uid="{00000000-0005-0000-0000-0000D2490000}"/>
    <cellStyle name="Komórka zaznaczona 2 4 6" xfId="18914" xr:uid="{00000000-0005-0000-0000-0000D3490000}"/>
    <cellStyle name="Komórka zaznaczona 2 4 7" xfId="18915" xr:uid="{00000000-0005-0000-0000-0000D4490000}"/>
    <cellStyle name="Komórka zaznaczona 2 40" xfId="18916" xr:uid="{00000000-0005-0000-0000-0000D5490000}"/>
    <cellStyle name="Komórka zaznaczona 2 41" xfId="18917" xr:uid="{00000000-0005-0000-0000-0000D6490000}"/>
    <cellStyle name="Komórka zaznaczona 2 42" xfId="18918" xr:uid="{00000000-0005-0000-0000-0000D7490000}"/>
    <cellStyle name="Komórka zaznaczona 2 43" xfId="18919" xr:uid="{00000000-0005-0000-0000-0000D8490000}"/>
    <cellStyle name="Komórka zaznaczona 2 44" xfId="18920" xr:uid="{00000000-0005-0000-0000-0000D9490000}"/>
    <cellStyle name="Komórka zaznaczona 2 45" xfId="18921" xr:uid="{00000000-0005-0000-0000-0000DA490000}"/>
    <cellStyle name="Komórka zaznaczona 2 46" xfId="18922" xr:uid="{00000000-0005-0000-0000-0000DB490000}"/>
    <cellStyle name="Komórka zaznaczona 2 47" xfId="18923" xr:uid="{00000000-0005-0000-0000-0000DC490000}"/>
    <cellStyle name="Komórka zaznaczona 2 48" xfId="18924" xr:uid="{00000000-0005-0000-0000-0000DD490000}"/>
    <cellStyle name="Komórka zaznaczona 2 49" xfId="18925" xr:uid="{00000000-0005-0000-0000-0000DE490000}"/>
    <cellStyle name="Komórka zaznaczona 2 5" xfId="18926" xr:uid="{00000000-0005-0000-0000-0000DF490000}"/>
    <cellStyle name="Komórka zaznaczona 2 5 2" xfId="18927" xr:uid="{00000000-0005-0000-0000-0000E0490000}"/>
    <cellStyle name="Komórka zaznaczona 2 5 3" xfId="18928" xr:uid="{00000000-0005-0000-0000-0000E1490000}"/>
    <cellStyle name="Komórka zaznaczona 2 5 4" xfId="18929" xr:uid="{00000000-0005-0000-0000-0000E2490000}"/>
    <cellStyle name="Komórka zaznaczona 2 5 5" xfId="18930" xr:uid="{00000000-0005-0000-0000-0000E3490000}"/>
    <cellStyle name="Komórka zaznaczona 2 5 6" xfId="18931" xr:uid="{00000000-0005-0000-0000-0000E4490000}"/>
    <cellStyle name="Komórka zaznaczona 2 5 7" xfId="18932" xr:uid="{00000000-0005-0000-0000-0000E5490000}"/>
    <cellStyle name="Komórka zaznaczona 2 50" xfId="18933" xr:uid="{00000000-0005-0000-0000-0000E6490000}"/>
    <cellStyle name="Komórka zaznaczona 2 51" xfId="18934" xr:uid="{00000000-0005-0000-0000-0000E7490000}"/>
    <cellStyle name="Komórka zaznaczona 2 52" xfId="18935" xr:uid="{00000000-0005-0000-0000-0000E8490000}"/>
    <cellStyle name="Komórka zaznaczona 2 53" xfId="18936" xr:uid="{00000000-0005-0000-0000-0000E9490000}"/>
    <cellStyle name="Komórka zaznaczona 2 54" xfId="18937" xr:uid="{00000000-0005-0000-0000-0000EA490000}"/>
    <cellStyle name="Komórka zaznaczona 2 6" xfId="18938" xr:uid="{00000000-0005-0000-0000-0000EB490000}"/>
    <cellStyle name="Komórka zaznaczona 2 6 2" xfId="18939" xr:uid="{00000000-0005-0000-0000-0000EC490000}"/>
    <cellStyle name="Komórka zaznaczona 2 6 3" xfId="18940" xr:uid="{00000000-0005-0000-0000-0000ED490000}"/>
    <cellStyle name="Komórka zaznaczona 2 6 4" xfId="18941" xr:uid="{00000000-0005-0000-0000-0000EE490000}"/>
    <cellStyle name="Komórka zaznaczona 2 6 5" xfId="18942" xr:uid="{00000000-0005-0000-0000-0000EF490000}"/>
    <cellStyle name="Komórka zaznaczona 2 6 6" xfId="18943" xr:uid="{00000000-0005-0000-0000-0000F0490000}"/>
    <cellStyle name="Komórka zaznaczona 2 6 7" xfId="18944" xr:uid="{00000000-0005-0000-0000-0000F1490000}"/>
    <cellStyle name="Komórka zaznaczona 2 7" xfId="18945" xr:uid="{00000000-0005-0000-0000-0000F2490000}"/>
    <cellStyle name="Komórka zaznaczona 2 7 2" xfId="18946" xr:uid="{00000000-0005-0000-0000-0000F3490000}"/>
    <cellStyle name="Komórka zaznaczona 2 7 3" xfId="18947" xr:uid="{00000000-0005-0000-0000-0000F4490000}"/>
    <cellStyle name="Komórka zaznaczona 2 7 4" xfId="18948" xr:uid="{00000000-0005-0000-0000-0000F5490000}"/>
    <cellStyle name="Komórka zaznaczona 2 7 5" xfId="18949" xr:uid="{00000000-0005-0000-0000-0000F6490000}"/>
    <cellStyle name="Komórka zaznaczona 2 7 6" xfId="18950" xr:uid="{00000000-0005-0000-0000-0000F7490000}"/>
    <cellStyle name="Komórka zaznaczona 2 7 7" xfId="18951" xr:uid="{00000000-0005-0000-0000-0000F8490000}"/>
    <cellStyle name="Komórka zaznaczona 2 8" xfId="18952" xr:uid="{00000000-0005-0000-0000-0000F9490000}"/>
    <cellStyle name="Komórka zaznaczona 2 8 2" xfId="18953" xr:uid="{00000000-0005-0000-0000-0000FA490000}"/>
    <cellStyle name="Komórka zaznaczona 2 8 3" xfId="18954" xr:uid="{00000000-0005-0000-0000-0000FB490000}"/>
    <cellStyle name="Komórka zaznaczona 2 8 4" xfId="18955" xr:uid="{00000000-0005-0000-0000-0000FC490000}"/>
    <cellStyle name="Komórka zaznaczona 2 8 5" xfId="18956" xr:uid="{00000000-0005-0000-0000-0000FD490000}"/>
    <cellStyle name="Komórka zaznaczona 2 8 6" xfId="18957" xr:uid="{00000000-0005-0000-0000-0000FE490000}"/>
    <cellStyle name="Komórka zaznaczona 2 8 7" xfId="18958" xr:uid="{00000000-0005-0000-0000-0000FF490000}"/>
    <cellStyle name="Komórka zaznaczona 2 9" xfId="18959" xr:uid="{00000000-0005-0000-0000-0000004A0000}"/>
    <cellStyle name="Komórka zaznaczona 2 9 2" xfId="18960" xr:uid="{00000000-0005-0000-0000-0000014A0000}"/>
    <cellStyle name="Komórka zaznaczona 2 9 3" xfId="18961" xr:uid="{00000000-0005-0000-0000-0000024A0000}"/>
    <cellStyle name="Komórka zaznaczona 2 9 4" xfId="18962" xr:uid="{00000000-0005-0000-0000-0000034A0000}"/>
    <cellStyle name="Komórka zaznaczona 2 9 5" xfId="18963" xr:uid="{00000000-0005-0000-0000-0000044A0000}"/>
    <cellStyle name="Komórka zaznaczona 2 9 6" xfId="18964" xr:uid="{00000000-0005-0000-0000-0000054A0000}"/>
    <cellStyle name="Komórka zaznaczona 2 9 7" xfId="18965" xr:uid="{00000000-0005-0000-0000-0000064A0000}"/>
    <cellStyle name="Komórka zaznaczona 3" xfId="18966" xr:uid="{00000000-0005-0000-0000-0000074A0000}"/>
    <cellStyle name="Komórka zaznaczona 3 10" xfId="18967" xr:uid="{00000000-0005-0000-0000-0000084A0000}"/>
    <cellStyle name="Komórka zaznaczona 3 2" xfId="18968" xr:uid="{00000000-0005-0000-0000-0000094A0000}"/>
    <cellStyle name="Komórka zaznaczona 3 2 2" xfId="18969" xr:uid="{00000000-0005-0000-0000-00000A4A0000}"/>
    <cellStyle name="Komórka zaznaczona 3 2 3" xfId="18970" xr:uid="{00000000-0005-0000-0000-00000B4A0000}"/>
    <cellStyle name="Komórka zaznaczona 3 3" xfId="18971" xr:uid="{00000000-0005-0000-0000-00000C4A0000}"/>
    <cellStyle name="Komórka zaznaczona 3 4" xfId="18972" xr:uid="{00000000-0005-0000-0000-00000D4A0000}"/>
    <cellStyle name="Komórka zaznaczona 3 5" xfId="18973" xr:uid="{00000000-0005-0000-0000-00000E4A0000}"/>
    <cellStyle name="Komórka zaznaczona 3 6" xfId="18974" xr:uid="{00000000-0005-0000-0000-00000F4A0000}"/>
    <cellStyle name="Komórka zaznaczona 3 7" xfId="18975" xr:uid="{00000000-0005-0000-0000-0000104A0000}"/>
    <cellStyle name="Komórka zaznaczona 3 8" xfId="18976" xr:uid="{00000000-0005-0000-0000-0000114A0000}"/>
    <cellStyle name="Komórka zaznaczona 3 9" xfId="18977" xr:uid="{00000000-0005-0000-0000-0000124A0000}"/>
    <cellStyle name="Komórka zaznaczona 4" xfId="18978" xr:uid="{00000000-0005-0000-0000-0000134A0000}"/>
    <cellStyle name="Komórka zaznaczona 4 10" xfId="18979" xr:uid="{00000000-0005-0000-0000-0000144A0000}"/>
    <cellStyle name="Komórka zaznaczona 4 2" xfId="18980" xr:uid="{00000000-0005-0000-0000-0000154A0000}"/>
    <cellStyle name="Komórka zaznaczona 4 3" xfId="18981" xr:uid="{00000000-0005-0000-0000-0000164A0000}"/>
    <cellStyle name="Komórka zaznaczona 4 4" xfId="18982" xr:uid="{00000000-0005-0000-0000-0000174A0000}"/>
    <cellStyle name="Komórka zaznaczona 4 5" xfId="18983" xr:uid="{00000000-0005-0000-0000-0000184A0000}"/>
    <cellStyle name="Komórka zaznaczona 4 6" xfId="18984" xr:uid="{00000000-0005-0000-0000-0000194A0000}"/>
    <cellStyle name="Komórka zaznaczona 4 7" xfId="18985" xr:uid="{00000000-0005-0000-0000-00001A4A0000}"/>
    <cellStyle name="Komórka zaznaczona 4 8" xfId="18986" xr:uid="{00000000-0005-0000-0000-00001B4A0000}"/>
    <cellStyle name="Komórka zaznaczona 4 9" xfId="18987" xr:uid="{00000000-0005-0000-0000-00001C4A0000}"/>
    <cellStyle name="Komórka zaznaczona 5" xfId="18988" xr:uid="{00000000-0005-0000-0000-00001D4A0000}"/>
    <cellStyle name="Komórka zaznaczona 5 2" xfId="18989" xr:uid="{00000000-0005-0000-0000-00001E4A0000}"/>
    <cellStyle name="Komórka zaznaczona 5 3" xfId="18990" xr:uid="{00000000-0005-0000-0000-00001F4A0000}"/>
    <cellStyle name="Komórka zaznaczona 6" xfId="18991" xr:uid="{00000000-0005-0000-0000-0000204A0000}"/>
    <cellStyle name="Komórka zaznaczona 6 2" xfId="18992" xr:uid="{00000000-0005-0000-0000-0000214A0000}"/>
    <cellStyle name="Komórka zaznaczona 7" xfId="18993" xr:uid="{00000000-0005-0000-0000-0000224A0000}"/>
    <cellStyle name="LP0" xfId="18994" xr:uid="{00000000-0005-0000-0000-0000234A0000}"/>
    <cellStyle name="měny_laroux" xfId="18995" xr:uid="{00000000-0005-0000-0000-0000244A0000}"/>
    <cellStyle name="Miglia - Style1" xfId="18996" xr:uid="{00000000-0005-0000-0000-0000254A0000}"/>
    <cellStyle name="Migliaia (0)" xfId="18997" xr:uid="{00000000-0005-0000-0000-0000264A0000}"/>
    <cellStyle name="Milliers [0]_CASHUPDA" xfId="18998" xr:uid="{00000000-0005-0000-0000-0000274A0000}"/>
    <cellStyle name="Milliers_CASHUPDA" xfId="18999" xr:uid="{00000000-0005-0000-0000-0000284A0000}"/>
    <cellStyle name="Monétaire [0]_CASHUPDA" xfId="19000" xr:uid="{00000000-0005-0000-0000-0000294A0000}"/>
    <cellStyle name="Monétaire_CASHUPDA" xfId="19001" xr:uid="{00000000-0005-0000-0000-00002A4A0000}"/>
    <cellStyle name="Nagłówek 1 2" xfId="19002" xr:uid="{00000000-0005-0000-0000-00002B4A0000}"/>
    <cellStyle name="Nagłówek 1 2 10" xfId="19003" xr:uid="{00000000-0005-0000-0000-00002C4A0000}"/>
    <cellStyle name="Nagłówek 1 2 10 2" xfId="19004" xr:uid="{00000000-0005-0000-0000-00002D4A0000}"/>
    <cellStyle name="Nagłówek 1 2 10 3" xfId="19005" xr:uid="{00000000-0005-0000-0000-00002E4A0000}"/>
    <cellStyle name="Nagłówek 1 2 10 4" xfId="19006" xr:uid="{00000000-0005-0000-0000-00002F4A0000}"/>
    <cellStyle name="Nagłówek 1 2 10 5" xfId="19007" xr:uid="{00000000-0005-0000-0000-0000304A0000}"/>
    <cellStyle name="Nagłówek 1 2 10 6" xfId="19008" xr:uid="{00000000-0005-0000-0000-0000314A0000}"/>
    <cellStyle name="Nagłówek 1 2 10 7" xfId="19009" xr:uid="{00000000-0005-0000-0000-0000324A0000}"/>
    <cellStyle name="Nagłówek 1 2 11" xfId="19010" xr:uid="{00000000-0005-0000-0000-0000334A0000}"/>
    <cellStyle name="Nagłówek 1 2 11 2" xfId="19011" xr:uid="{00000000-0005-0000-0000-0000344A0000}"/>
    <cellStyle name="Nagłówek 1 2 11 3" xfId="19012" xr:uid="{00000000-0005-0000-0000-0000354A0000}"/>
    <cellStyle name="Nagłówek 1 2 11 4" xfId="19013" xr:uid="{00000000-0005-0000-0000-0000364A0000}"/>
    <cellStyle name="Nagłówek 1 2 11 5" xfId="19014" xr:uid="{00000000-0005-0000-0000-0000374A0000}"/>
    <cellStyle name="Nagłówek 1 2 11 6" xfId="19015" xr:uid="{00000000-0005-0000-0000-0000384A0000}"/>
    <cellStyle name="Nagłówek 1 2 11 7" xfId="19016" xr:uid="{00000000-0005-0000-0000-0000394A0000}"/>
    <cellStyle name="Nagłówek 1 2 12" xfId="19017" xr:uid="{00000000-0005-0000-0000-00003A4A0000}"/>
    <cellStyle name="Nagłówek 1 2 12 2" xfId="19018" xr:uid="{00000000-0005-0000-0000-00003B4A0000}"/>
    <cellStyle name="Nagłówek 1 2 12 3" xfId="19019" xr:uid="{00000000-0005-0000-0000-00003C4A0000}"/>
    <cellStyle name="Nagłówek 1 2 12 4" xfId="19020" xr:uid="{00000000-0005-0000-0000-00003D4A0000}"/>
    <cellStyle name="Nagłówek 1 2 12 5" xfId="19021" xr:uid="{00000000-0005-0000-0000-00003E4A0000}"/>
    <cellStyle name="Nagłówek 1 2 12 6" xfId="19022" xr:uid="{00000000-0005-0000-0000-00003F4A0000}"/>
    <cellStyle name="Nagłówek 1 2 12 7" xfId="19023" xr:uid="{00000000-0005-0000-0000-0000404A0000}"/>
    <cellStyle name="Nagłówek 1 2 13" xfId="19024" xr:uid="{00000000-0005-0000-0000-0000414A0000}"/>
    <cellStyle name="Nagłówek 1 2 13 2" xfId="19025" xr:uid="{00000000-0005-0000-0000-0000424A0000}"/>
    <cellStyle name="Nagłówek 1 2 13 3" xfId="19026" xr:uid="{00000000-0005-0000-0000-0000434A0000}"/>
    <cellStyle name="Nagłówek 1 2 13 4" xfId="19027" xr:uid="{00000000-0005-0000-0000-0000444A0000}"/>
    <cellStyle name="Nagłówek 1 2 13 5" xfId="19028" xr:uid="{00000000-0005-0000-0000-0000454A0000}"/>
    <cellStyle name="Nagłówek 1 2 13 6" xfId="19029" xr:uid="{00000000-0005-0000-0000-0000464A0000}"/>
    <cellStyle name="Nagłówek 1 2 13 7" xfId="19030" xr:uid="{00000000-0005-0000-0000-0000474A0000}"/>
    <cellStyle name="Nagłówek 1 2 14" xfId="19031" xr:uid="{00000000-0005-0000-0000-0000484A0000}"/>
    <cellStyle name="Nagłówek 1 2 14 2" xfId="19032" xr:uid="{00000000-0005-0000-0000-0000494A0000}"/>
    <cellStyle name="Nagłówek 1 2 14 3" xfId="19033" xr:uid="{00000000-0005-0000-0000-00004A4A0000}"/>
    <cellStyle name="Nagłówek 1 2 14 4" xfId="19034" xr:uid="{00000000-0005-0000-0000-00004B4A0000}"/>
    <cellStyle name="Nagłówek 1 2 14 5" xfId="19035" xr:uid="{00000000-0005-0000-0000-00004C4A0000}"/>
    <cellStyle name="Nagłówek 1 2 14 6" xfId="19036" xr:uid="{00000000-0005-0000-0000-00004D4A0000}"/>
    <cellStyle name="Nagłówek 1 2 14 7" xfId="19037" xr:uid="{00000000-0005-0000-0000-00004E4A0000}"/>
    <cellStyle name="Nagłówek 1 2 15" xfId="19038" xr:uid="{00000000-0005-0000-0000-00004F4A0000}"/>
    <cellStyle name="Nagłówek 1 2 15 2" xfId="19039" xr:uid="{00000000-0005-0000-0000-0000504A0000}"/>
    <cellStyle name="Nagłówek 1 2 15 3" xfId="19040" xr:uid="{00000000-0005-0000-0000-0000514A0000}"/>
    <cellStyle name="Nagłówek 1 2 15 4" xfId="19041" xr:uid="{00000000-0005-0000-0000-0000524A0000}"/>
    <cellStyle name="Nagłówek 1 2 15 5" xfId="19042" xr:uid="{00000000-0005-0000-0000-0000534A0000}"/>
    <cellStyle name="Nagłówek 1 2 15 6" xfId="19043" xr:uid="{00000000-0005-0000-0000-0000544A0000}"/>
    <cellStyle name="Nagłówek 1 2 15 7" xfId="19044" xr:uid="{00000000-0005-0000-0000-0000554A0000}"/>
    <cellStyle name="Nagłówek 1 2 16" xfId="19045" xr:uid="{00000000-0005-0000-0000-0000564A0000}"/>
    <cellStyle name="Nagłówek 1 2 16 2" xfId="19046" xr:uid="{00000000-0005-0000-0000-0000574A0000}"/>
    <cellStyle name="Nagłówek 1 2 16 3" xfId="19047" xr:uid="{00000000-0005-0000-0000-0000584A0000}"/>
    <cellStyle name="Nagłówek 1 2 16 4" xfId="19048" xr:uid="{00000000-0005-0000-0000-0000594A0000}"/>
    <cellStyle name="Nagłówek 1 2 16 5" xfId="19049" xr:uid="{00000000-0005-0000-0000-00005A4A0000}"/>
    <cellStyle name="Nagłówek 1 2 16 6" xfId="19050" xr:uid="{00000000-0005-0000-0000-00005B4A0000}"/>
    <cellStyle name="Nagłówek 1 2 16 7" xfId="19051" xr:uid="{00000000-0005-0000-0000-00005C4A0000}"/>
    <cellStyle name="Nagłówek 1 2 17" xfId="19052" xr:uid="{00000000-0005-0000-0000-00005D4A0000}"/>
    <cellStyle name="Nagłówek 1 2 17 2" xfId="19053" xr:uid="{00000000-0005-0000-0000-00005E4A0000}"/>
    <cellStyle name="Nagłówek 1 2 17 3" xfId="19054" xr:uid="{00000000-0005-0000-0000-00005F4A0000}"/>
    <cellStyle name="Nagłówek 1 2 17 4" xfId="19055" xr:uid="{00000000-0005-0000-0000-0000604A0000}"/>
    <cellStyle name="Nagłówek 1 2 17 5" xfId="19056" xr:uid="{00000000-0005-0000-0000-0000614A0000}"/>
    <cellStyle name="Nagłówek 1 2 17 6" xfId="19057" xr:uid="{00000000-0005-0000-0000-0000624A0000}"/>
    <cellStyle name="Nagłówek 1 2 17 7" xfId="19058" xr:uid="{00000000-0005-0000-0000-0000634A0000}"/>
    <cellStyle name="Nagłówek 1 2 18" xfId="19059" xr:uid="{00000000-0005-0000-0000-0000644A0000}"/>
    <cellStyle name="Nagłówek 1 2 18 2" xfId="19060" xr:uid="{00000000-0005-0000-0000-0000654A0000}"/>
    <cellStyle name="Nagłówek 1 2 18 3" xfId="19061" xr:uid="{00000000-0005-0000-0000-0000664A0000}"/>
    <cellStyle name="Nagłówek 1 2 18 4" xfId="19062" xr:uid="{00000000-0005-0000-0000-0000674A0000}"/>
    <cellStyle name="Nagłówek 1 2 18 5" xfId="19063" xr:uid="{00000000-0005-0000-0000-0000684A0000}"/>
    <cellStyle name="Nagłówek 1 2 18 6" xfId="19064" xr:uid="{00000000-0005-0000-0000-0000694A0000}"/>
    <cellStyle name="Nagłówek 1 2 18 7" xfId="19065" xr:uid="{00000000-0005-0000-0000-00006A4A0000}"/>
    <cellStyle name="Nagłówek 1 2 19" xfId="19066" xr:uid="{00000000-0005-0000-0000-00006B4A0000}"/>
    <cellStyle name="Nagłówek 1 2 19 2" xfId="19067" xr:uid="{00000000-0005-0000-0000-00006C4A0000}"/>
    <cellStyle name="Nagłówek 1 2 19 3" xfId="19068" xr:uid="{00000000-0005-0000-0000-00006D4A0000}"/>
    <cellStyle name="Nagłówek 1 2 19 4" xfId="19069" xr:uid="{00000000-0005-0000-0000-00006E4A0000}"/>
    <cellStyle name="Nagłówek 1 2 19 5" xfId="19070" xr:uid="{00000000-0005-0000-0000-00006F4A0000}"/>
    <cellStyle name="Nagłówek 1 2 19 6" xfId="19071" xr:uid="{00000000-0005-0000-0000-0000704A0000}"/>
    <cellStyle name="Nagłówek 1 2 19 7" xfId="19072" xr:uid="{00000000-0005-0000-0000-0000714A0000}"/>
    <cellStyle name="Nagłówek 1 2 2" xfId="19073" xr:uid="{00000000-0005-0000-0000-0000724A0000}"/>
    <cellStyle name="Nagłówek 1 2 2 2" xfId="19074" xr:uid="{00000000-0005-0000-0000-0000734A0000}"/>
    <cellStyle name="Nagłówek 1 2 2 3" xfId="19075" xr:uid="{00000000-0005-0000-0000-0000744A0000}"/>
    <cellStyle name="Nagłówek 1 2 2 4" xfId="19076" xr:uid="{00000000-0005-0000-0000-0000754A0000}"/>
    <cellStyle name="Nagłówek 1 2 2 5" xfId="19077" xr:uid="{00000000-0005-0000-0000-0000764A0000}"/>
    <cellStyle name="Nagłówek 1 2 2 6" xfId="19078" xr:uid="{00000000-0005-0000-0000-0000774A0000}"/>
    <cellStyle name="Nagłówek 1 2 2 7" xfId="19079" xr:uid="{00000000-0005-0000-0000-0000784A0000}"/>
    <cellStyle name="Nagłówek 1 2 2 8" xfId="19080" xr:uid="{00000000-0005-0000-0000-0000794A0000}"/>
    <cellStyle name="Nagłówek 1 2 20" xfId="19081" xr:uid="{00000000-0005-0000-0000-00007A4A0000}"/>
    <cellStyle name="Nagłówek 1 2 20 2" xfId="19082" xr:uid="{00000000-0005-0000-0000-00007B4A0000}"/>
    <cellStyle name="Nagłówek 1 2 20 3" xfId="19083" xr:uid="{00000000-0005-0000-0000-00007C4A0000}"/>
    <cellStyle name="Nagłówek 1 2 20 4" xfId="19084" xr:uid="{00000000-0005-0000-0000-00007D4A0000}"/>
    <cellStyle name="Nagłówek 1 2 20 5" xfId="19085" xr:uid="{00000000-0005-0000-0000-00007E4A0000}"/>
    <cellStyle name="Nagłówek 1 2 20 6" xfId="19086" xr:uid="{00000000-0005-0000-0000-00007F4A0000}"/>
    <cellStyle name="Nagłówek 1 2 20 7" xfId="19087" xr:uid="{00000000-0005-0000-0000-0000804A0000}"/>
    <cellStyle name="Nagłówek 1 2 21" xfId="19088" xr:uid="{00000000-0005-0000-0000-0000814A0000}"/>
    <cellStyle name="Nagłówek 1 2 21 2" xfId="19089" xr:uid="{00000000-0005-0000-0000-0000824A0000}"/>
    <cellStyle name="Nagłówek 1 2 21 3" xfId="19090" xr:uid="{00000000-0005-0000-0000-0000834A0000}"/>
    <cellStyle name="Nagłówek 1 2 21 4" xfId="19091" xr:uid="{00000000-0005-0000-0000-0000844A0000}"/>
    <cellStyle name="Nagłówek 1 2 21 5" xfId="19092" xr:uid="{00000000-0005-0000-0000-0000854A0000}"/>
    <cellStyle name="Nagłówek 1 2 21 6" xfId="19093" xr:uid="{00000000-0005-0000-0000-0000864A0000}"/>
    <cellStyle name="Nagłówek 1 2 21 7" xfId="19094" xr:uid="{00000000-0005-0000-0000-0000874A0000}"/>
    <cellStyle name="Nagłówek 1 2 22" xfId="19095" xr:uid="{00000000-0005-0000-0000-0000884A0000}"/>
    <cellStyle name="Nagłówek 1 2 22 2" xfId="19096" xr:uid="{00000000-0005-0000-0000-0000894A0000}"/>
    <cellStyle name="Nagłówek 1 2 22 3" xfId="19097" xr:uid="{00000000-0005-0000-0000-00008A4A0000}"/>
    <cellStyle name="Nagłówek 1 2 22 4" xfId="19098" xr:uid="{00000000-0005-0000-0000-00008B4A0000}"/>
    <cellStyle name="Nagłówek 1 2 22 5" xfId="19099" xr:uid="{00000000-0005-0000-0000-00008C4A0000}"/>
    <cellStyle name="Nagłówek 1 2 22 6" xfId="19100" xr:uid="{00000000-0005-0000-0000-00008D4A0000}"/>
    <cellStyle name="Nagłówek 1 2 22 7" xfId="19101" xr:uid="{00000000-0005-0000-0000-00008E4A0000}"/>
    <cellStyle name="Nagłówek 1 2 23" xfId="19102" xr:uid="{00000000-0005-0000-0000-00008F4A0000}"/>
    <cellStyle name="Nagłówek 1 2 23 2" xfId="19103" xr:uid="{00000000-0005-0000-0000-0000904A0000}"/>
    <cellStyle name="Nagłówek 1 2 23 3" xfId="19104" xr:uid="{00000000-0005-0000-0000-0000914A0000}"/>
    <cellStyle name="Nagłówek 1 2 23 4" xfId="19105" xr:uid="{00000000-0005-0000-0000-0000924A0000}"/>
    <cellStyle name="Nagłówek 1 2 23 5" xfId="19106" xr:uid="{00000000-0005-0000-0000-0000934A0000}"/>
    <cellStyle name="Nagłówek 1 2 23 6" xfId="19107" xr:uid="{00000000-0005-0000-0000-0000944A0000}"/>
    <cellStyle name="Nagłówek 1 2 23 7" xfId="19108" xr:uid="{00000000-0005-0000-0000-0000954A0000}"/>
    <cellStyle name="Nagłówek 1 2 24" xfId="19109" xr:uid="{00000000-0005-0000-0000-0000964A0000}"/>
    <cellStyle name="Nagłówek 1 2 24 2" xfId="19110" xr:uid="{00000000-0005-0000-0000-0000974A0000}"/>
    <cellStyle name="Nagłówek 1 2 24 3" xfId="19111" xr:uid="{00000000-0005-0000-0000-0000984A0000}"/>
    <cellStyle name="Nagłówek 1 2 24 4" xfId="19112" xr:uid="{00000000-0005-0000-0000-0000994A0000}"/>
    <cellStyle name="Nagłówek 1 2 24 5" xfId="19113" xr:uid="{00000000-0005-0000-0000-00009A4A0000}"/>
    <cellStyle name="Nagłówek 1 2 24 6" xfId="19114" xr:uid="{00000000-0005-0000-0000-00009B4A0000}"/>
    <cellStyle name="Nagłówek 1 2 24 7" xfId="19115" xr:uid="{00000000-0005-0000-0000-00009C4A0000}"/>
    <cellStyle name="Nagłówek 1 2 25" xfId="19116" xr:uid="{00000000-0005-0000-0000-00009D4A0000}"/>
    <cellStyle name="Nagłówek 1 2 25 2" xfId="19117" xr:uid="{00000000-0005-0000-0000-00009E4A0000}"/>
    <cellStyle name="Nagłówek 1 2 25 3" xfId="19118" xr:uid="{00000000-0005-0000-0000-00009F4A0000}"/>
    <cellStyle name="Nagłówek 1 2 25 4" xfId="19119" xr:uid="{00000000-0005-0000-0000-0000A04A0000}"/>
    <cellStyle name="Nagłówek 1 2 25 5" xfId="19120" xr:uid="{00000000-0005-0000-0000-0000A14A0000}"/>
    <cellStyle name="Nagłówek 1 2 25 6" xfId="19121" xr:uid="{00000000-0005-0000-0000-0000A24A0000}"/>
    <cellStyle name="Nagłówek 1 2 25 7" xfId="19122" xr:uid="{00000000-0005-0000-0000-0000A34A0000}"/>
    <cellStyle name="Nagłówek 1 2 26" xfId="19123" xr:uid="{00000000-0005-0000-0000-0000A44A0000}"/>
    <cellStyle name="Nagłówek 1 2 26 2" xfId="19124" xr:uid="{00000000-0005-0000-0000-0000A54A0000}"/>
    <cellStyle name="Nagłówek 1 2 26 3" xfId="19125" xr:uid="{00000000-0005-0000-0000-0000A64A0000}"/>
    <cellStyle name="Nagłówek 1 2 26 4" xfId="19126" xr:uid="{00000000-0005-0000-0000-0000A74A0000}"/>
    <cellStyle name="Nagłówek 1 2 26 5" xfId="19127" xr:uid="{00000000-0005-0000-0000-0000A84A0000}"/>
    <cellStyle name="Nagłówek 1 2 26 6" xfId="19128" xr:uid="{00000000-0005-0000-0000-0000A94A0000}"/>
    <cellStyle name="Nagłówek 1 2 26 7" xfId="19129" xr:uid="{00000000-0005-0000-0000-0000AA4A0000}"/>
    <cellStyle name="Nagłówek 1 2 27" xfId="19130" xr:uid="{00000000-0005-0000-0000-0000AB4A0000}"/>
    <cellStyle name="Nagłówek 1 2 27 2" xfId="19131" xr:uid="{00000000-0005-0000-0000-0000AC4A0000}"/>
    <cellStyle name="Nagłówek 1 2 27 3" xfId="19132" xr:uid="{00000000-0005-0000-0000-0000AD4A0000}"/>
    <cellStyle name="Nagłówek 1 2 27 4" xfId="19133" xr:uid="{00000000-0005-0000-0000-0000AE4A0000}"/>
    <cellStyle name="Nagłówek 1 2 27 5" xfId="19134" xr:uid="{00000000-0005-0000-0000-0000AF4A0000}"/>
    <cellStyle name="Nagłówek 1 2 27 6" xfId="19135" xr:uid="{00000000-0005-0000-0000-0000B04A0000}"/>
    <cellStyle name="Nagłówek 1 2 27 7" xfId="19136" xr:uid="{00000000-0005-0000-0000-0000B14A0000}"/>
    <cellStyle name="Nagłówek 1 2 28" xfId="19137" xr:uid="{00000000-0005-0000-0000-0000B24A0000}"/>
    <cellStyle name="Nagłówek 1 2 28 2" xfId="19138" xr:uid="{00000000-0005-0000-0000-0000B34A0000}"/>
    <cellStyle name="Nagłówek 1 2 28 3" xfId="19139" xr:uid="{00000000-0005-0000-0000-0000B44A0000}"/>
    <cellStyle name="Nagłówek 1 2 28 4" xfId="19140" xr:uid="{00000000-0005-0000-0000-0000B54A0000}"/>
    <cellStyle name="Nagłówek 1 2 28 5" xfId="19141" xr:uid="{00000000-0005-0000-0000-0000B64A0000}"/>
    <cellStyle name="Nagłówek 1 2 28 6" xfId="19142" xr:uid="{00000000-0005-0000-0000-0000B74A0000}"/>
    <cellStyle name="Nagłówek 1 2 28 7" xfId="19143" xr:uid="{00000000-0005-0000-0000-0000B84A0000}"/>
    <cellStyle name="Nagłówek 1 2 29" xfId="19144" xr:uid="{00000000-0005-0000-0000-0000B94A0000}"/>
    <cellStyle name="Nagłówek 1 2 29 2" xfId="19145" xr:uid="{00000000-0005-0000-0000-0000BA4A0000}"/>
    <cellStyle name="Nagłówek 1 2 3" xfId="19146" xr:uid="{00000000-0005-0000-0000-0000BB4A0000}"/>
    <cellStyle name="Nagłówek 1 2 3 2" xfId="19147" xr:uid="{00000000-0005-0000-0000-0000BC4A0000}"/>
    <cellStyle name="Nagłówek 1 2 3 3" xfId="19148" xr:uid="{00000000-0005-0000-0000-0000BD4A0000}"/>
    <cellStyle name="Nagłówek 1 2 3 4" xfId="19149" xr:uid="{00000000-0005-0000-0000-0000BE4A0000}"/>
    <cellStyle name="Nagłówek 1 2 3 5" xfId="19150" xr:uid="{00000000-0005-0000-0000-0000BF4A0000}"/>
    <cellStyle name="Nagłówek 1 2 3 6" xfId="19151" xr:uid="{00000000-0005-0000-0000-0000C04A0000}"/>
    <cellStyle name="Nagłówek 1 2 3 7" xfId="19152" xr:uid="{00000000-0005-0000-0000-0000C14A0000}"/>
    <cellStyle name="Nagłówek 1 2 30" xfId="19153" xr:uid="{00000000-0005-0000-0000-0000C24A0000}"/>
    <cellStyle name="Nagłówek 1 2 30 2" xfId="19154" xr:uid="{00000000-0005-0000-0000-0000C34A0000}"/>
    <cellStyle name="Nagłówek 1 2 31" xfId="19155" xr:uid="{00000000-0005-0000-0000-0000C44A0000}"/>
    <cellStyle name="Nagłówek 1 2 31 2" xfId="19156" xr:uid="{00000000-0005-0000-0000-0000C54A0000}"/>
    <cellStyle name="Nagłówek 1 2 32" xfId="19157" xr:uid="{00000000-0005-0000-0000-0000C64A0000}"/>
    <cellStyle name="Nagłówek 1 2 32 2" xfId="19158" xr:uid="{00000000-0005-0000-0000-0000C74A0000}"/>
    <cellStyle name="Nagłówek 1 2 33" xfId="19159" xr:uid="{00000000-0005-0000-0000-0000C84A0000}"/>
    <cellStyle name="Nagłówek 1 2 34" xfId="19160" xr:uid="{00000000-0005-0000-0000-0000C94A0000}"/>
    <cellStyle name="Nagłówek 1 2 35" xfId="19161" xr:uid="{00000000-0005-0000-0000-0000CA4A0000}"/>
    <cellStyle name="Nagłówek 1 2 36" xfId="19162" xr:uid="{00000000-0005-0000-0000-0000CB4A0000}"/>
    <cellStyle name="Nagłówek 1 2 37" xfId="19163" xr:uid="{00000000-0005-0000-0000-0000CC4A0000}"/>
    <cellStyle name="Nagłówek 1 2 38" xfId="19164" xr:uid="{00000000-0005-0000-0000-0000CD4A0000}"/>
    <cellStyle name="Nagłówek 1 2 39" xfId="19165" xr:uid="{00000000-0005-0000-0000-0000CE4A0000}"/>
    <cellStyle name="Nagłówek 1 2 4" xfId="19166" xr:uid="{00000000-0005-0000-0000-0000CF4A0000}"/>
    <cellStyle name="Nagłówek 1 2 4 2" xfId="19167" xr:uid="{00000000-0005-0000-0000-0000D04A0000}"/>
    <cellStyle name="Nagłówek 1 2 4 3" xfId="19168" xr:uid="{00000000-0005-0000-0000-0000D14A0000}"/>
    <cellStyle name="Nagłówek 1 2 4 4" xfId="19169" xr:uid="{00000000-0005-0000-0000-0000D24A0000}"/>
    <cellStyle name="Nagłówek 1 2 4 5" xfId="19170" xr:uid="{00000000-0005-0000-0000-0000D34A0000}"/>
    <cellStyle name="Nagłówek 1 2 4 6" xfId="19171" xr:uid="{00000000-0005-0000-0000-0000D44A0000}"/>
    <cellStyle name="Nagłówek 1 2 4 7" xfId="19172" xr:uid="{00000000-0005-0000-0000-0000D54A0000}"/>
    <cellStyle name="Nagłówek 1 2 40" xfId="19173" xr:uid="{00000000-0005-0000-0000-0000D64A0000}"/>
    <cellStyle name="Nagłówek 1 2 41" xfId="19174" xr:uid="{00000000-0005-0000-0000-0000D74A0000}"/>
    <cellStyle name="Nagłówek 1 2 42" xfId="19175" xr:uid="{00000000-0005-0000-0000-0000D84A0000}"/>
    <cellStyle name="Nagłówek 1 2 43" xfId="19176" xr:uid="{00000000-0005-0000-0000-0000D94A0000}"/>
    <cellStyle name="Nagłówek 1 2 44" xfId="19177" xr:uid="{00000000-0005-0000-0000-0000DA4A0000}"/>
    <cellStyle name="Nagłówek 1 2 45" xfId="19178" xr:uid="{00000000-0005-0000-0000-0000DB4A0000}"/>
    <cellStyle name="Nagłówek 1 2 46" xfId="19179" xr:uid="{00000000-0005-0000-0000-0000DC4A0000}"/>
    <cellStyle name="Nagłówek 1 2 47" xfId="19180" xr:uid="{00000000-0005-0000-0000-0000DD4A0000}"/>
    <cellStyle name="Nagłówek 1 2 48" xfId="19181" xr:uid="{00000000-0005-0000-0000-0000DE4A0000}"/>
    <cellStyle name="Nagłówek 1 2 49" xfId="19182" xr:uid="{00000000-0005-0000-0000-0000DF4A0000}"/>
    <cellStyle name="Nagłówek 1 2 5" xfId="19183" xr:uid="{00000000-0005-0000-0000-0000E04A0000}"/>
    <cellStyle name="Nagłówek 1 2 5 2" xfId="19184" xr:uid="{00000000-0005-0000-0000-0000E14A0000}"/>
    <cellStyle name="Nagłówek 1 2 5 3" xfId="19185" xr:uid="{00000000-0005-0000-0000-0000E24A0000}"/>
    <cellStyle name="Nagłówek 1 2 5 4" xfId="19186" xr:uid="{00000000-0005-0000-0000-0000E34A0000}"/>
    <cellStyle name="Nagłówek 1 2 5 5" xfId="19187" xr:uid="{00000000-0005-0000-0000-0000E44A0000}"/>
    <cellStyle name="Nagłówek 1 2 5 6" xfId="19188" xr:uid="{00000000-0005-0000-0000-0000E54A0000}"/>
    <cellStyle name="Nagłówek 1 2 5 7" xfId="19189" xr:uid="{00000000-0005-0000-0000-0000E64A0000}"/>
    <cellStyle name="Nagłówek 1 2 50" xfId="19190" xr:uid="{00000000-0005-0000-0000-0000E74A0000}"/>
    <cellStyle name="Nagłówek 1 2 51" xfId="19191" xr:uid="{00000000-0005-0000-0000-0000E84A0000}"/>
    <cellStyle name="Nagłówek 1 2 52" xfId="19192" xr:uid="{00000000-0005-0000-0000-0000E94A0000}"/>
    <cellStyle name="Nagłówek 1 2 53" xfId="19193" xr:uid="{00000000-0005-0000-0000-0000EA4A0000}"/>
    <cellStyle name="Nagłówek 1 2 6" xfId="19194" xr:uid="{00000000-0005-0000-0000-0000EB4A0000}"/>
    <cellStyle name="Nagłówek 1 2 6 2" xfId="19195" xr:uid="{00000000-0005-0000-0000-0000EC4A0000}"/>
    <cellStyle name="Nagłówek 1 2 6 3" xfId="19196" xr:uid="{00000000-0005-0000-0000-0000ED4A0000}"/>
    <cellStyle name="Nagłówek 1 2 6 4" xfId="19197" xr:uid="{00000000-0005-0000-0000-0000EE4A0000}"/>
    <cellStyle name="Nagłówek 1 2 6 5" xfId="19198" xr:uid="{00000000-0005-0000-0000-0000EF4A0000}"/>
    <cellStyle name="Nagłówek 1 2 6 6" xfId="19199" xr:uid="{00000000-0005-0000-0000-0000F04A0000}"/>
    <cellStyle name="Nagłówek 1 2 6 7" xfId="19200" xr:uid="{00000000-0005-0000-0000-0000F14A0000}"/>
    <cellStyle name="Nagłówek 1 2 7" xfId="19201" xr:uid="{00000000-0005-0000-0000-0000F24A0000}"/>
    <cellStyle name="Nagłówek 1 2 7 2" xfId="19202" xr:uid="{00000000-0005-0000-0000-0000F34A0000}"/>
    <cellStyle name="Nagłówek 1 2 7 3" xfId="19203" xr:uid="{00000000-0005-0000-0000-0000F44A0000}"/>
    <cellStyle name="Nagłówek 1 2 7 4" xfId="19204" xr:uid="{00000000-0005-0000-0000-0000F54A0000}"/>
    <cellStyle name="Nagłówek 1 2 7 5" xfId="19205" xr:uid="{00000000-0005-0000-0000-0000F64A0000}"/>
    <cellStyle name="Nagłówek 1 2 7 6" xfId="19206" xr:uid="{00000000-0005-0000-0000-0000F74A0000}"/>
    <cellStyle name="Nagłówek 1 2 7 7" xfId="19207" xr:uid="{00000000-0005-0000-0000-0000F84A0000}"/>
    <cellStyle name="Nagłówek 1 2 8" xfId="19208" xr:uid="{00000000-0005-0000-0000-0000F94A0000}"/>
    <cellStyle name="Nagłówek 1 2 8 2" xfId="19209" xr:uid="{00000000-0005-0000-0000-0000FA4A0000}"/>
    <cellStyle name="Nagłówek 1 2 8 3" xfId="19210" xr:uid="{00000000-0005-0000-0000-0000FB4A0000}"/>
    <cellStyle name="Nagłówek 1 2 8 4" xfId="19211" xr:uid="{00000000-0005-0000-0000-0000FC4A0000}"/>
    <cellStyle name="Nagłówek 1 2 8 5" xfId="19212" xr:uid="{00000000-0005-0000-0000-0000FD4A0000}"/>
    <cellStyle name="Nagłówek 1 2 8 6" xfId="19213" xr:uid="{00000000-0005-0000-0000-0000FE4A0000}"/>
    <cellStyle name="Nagłówek 1 2 8 7" xfId="19214" xr:uid="{00000000-0005-0000-0000-0000FF4A0000}"/>
    <cellStyle name="Nagłówek 1 2 9" xfId="19215" xr:uid="{00000000-0005-0000-0000-0000004B0000}"/>
    <cellStyle name="Nagłówek 1 2 9 2" xfId="19216" xr:uid="{00000000-0005-0000-0000-0000014B0000}"/>
    <cellStyle name="Nagłówek 1 2 9 3" xfId="19217" xr:uid="{00000000-0005-0000-0000-0000024B0000}"/>
    <cellStyle name="Nagłówek 1 2 9 4" xfId="19218" xr:uid="{00000000-0005-0000-0000-0000034B0000}"/>
    <cellStyle name="Nagłówek 1 2 9 5" xfId="19219" xr:uid="{00000000-0005-0000-0000-0000044B0000}"/>
    <cellStyle name="Nagłówek 1 2 9 6" xfId="19220" xr:uid="{00000000-0005-0000-0000-0000054B0000}"/>
    <cellStyle name="Nagłówek 1 2 9 7" xfId="19221" xr:uid="{00000000-0005-0000-0000-0000064B0000}"/>
    <cellStyle name="Nagłówek 1 3" xfId="19222" xr:uid="{00000000-0005-0000-0000-0000074B0000}"/>
    <cellStyle name="Nagłówek 1 3 2" xfId="19223" xr:uid="{00000000-0005-0000-0000-0000084B0000}"/>
    <cellStyle name="Nagłówek 1 3 2 2" xfId="19224" xr:uid="{00000000-0005-0000-0000-0000094B0000}"/>
    <cellStyle name="Nagłówek 1 3 3" xfId="19225" xr:uid="{00000000-0005-0000-0000-00000A4B0000}"/>
    <cellStyle name="Nagłówek 1 3 4" xfId="19226" xr:uid="{00000000-0005-0000-0000-00000B4B0000}"/>
    <cellStyle name="Nagłówek 1 3 5" xfId="19227" xr:uid="{00000000-0005-0000-0000-00000C4B0000}"/>
    <cellStyle name="Nagłówek 1 4" xfId="19228" xr:uid="{00000000-0005-0000-0000-00000D4B0000}"/>
    <cellStyle name="Nagłówek 1 4 2" xfId="19229" xr:uid="{00000000-0005-0000-0000-00000E4B0000}"/>
    <cellStyle name="Nagłówek 1 4 3" xfId="19230" xr:uid="{00000000-0005-0000-0000-00000F4B0000}"/>
    <cellStyle name="Nagłówek 1 4 4" xfId="19231" xr:uid="{00000000-0005-0000-0000-0000104B0000}"/>
    <cellStyle name="Nagłówek 1 4 5" xfId="19232" xr:uid="{00000000-0005-0000-0000-0000114B0000}"/>
    <cellStyle name="Nagłówek 1 5" xfId="19233" xr:uid="{00000000-0005-0000-0000-0000124B0000}"/>
    <cellStyle name="Nagłówek 1 5 2" xfId="19234" xr:uid="{00000000-0005-0000-0000-0000134B0000}"/>
    <cellStyle name="Nagłówek 1 5 3" xfId="19235" xr:uid="{00000000-0005-0000-0000-0000144B0000}"/>
    <cellStyle name="Nagłówek 1 6" xfId="19236" xr:uid="{00000000-0005-0000-0000-0000154B0000}"/>
    <cellStyle name="Nagłówek 1 6 2" xfId="19237" xr:uid="{00000000-0005-0000-0000-0000164B0000}"/>
    <cellStyle name="Nagłówek 1 7" xfId="19238" xr:uid="{00000000-0005-0000-0000-0000174B0000}"/>
    <cellStyle name="Nagłówek 2 2" xfId="19239" xr:uid="{00000000-0005-0000-0000-0000184B0000}"/>
    <cellStyle name="Nagłówek 2 2 10" xfId="19240" xr:uid="{00000000-0005-0000-0000-0000194B0000}"/>
    <cellStyle name="Nagłówek 2 2 10 2" xfId="19241" xr:uid="{00000000-0005-0000-0000-00001A4B0000}"/>
    <cellStyle name="Nagłówek 2 2 10 3" xfId="19242" xr:uid="{00000000-0005-0000-0000-00001B4B0000}"/>
    <cellStyle name="Nagłówek 2 2 10 4" xfId="19243" xr:uid="{00000000-0005-0000-0000-00001C4B0000}"/>
    <cellStyle name="Nagłówek 2 2 10 5" xfId="19244" xr:uid="{00000000-0005-0000-0000-00001D4B0000}"/>
    <cellStyle name="Nagłówek 2 2 10 6" xfId="19245" xr:uid="{00000000-0005-0000-0000-00001E4B0000}"/>
    <cellStyle name="Nagłówek 2 2 10 7" xfId="19246" xr:uid="{00000000-0005-0000-0000-00001F4B0000}"/>
    <cellStyle name="Nagłówek 2 2 11" xfId="19247" xr:uid="{00000000-0005-0000-0000-0000204B0000}"/>
    <cellStyle name="Nagłówek 2 2 11 2" xfId="19248" xr:uid="{00000000-0005-0000-0000-0000214B0000}"/>
    <cellStyle name="Nagłówek 2 2 11 3" xfId="19249" xr:uid="{00000000-0005-0000-0000-0000224B0000}"/>
    <cellStyle name="Nagłówek 2 2 11 4" xfId="19250" xr:uid="{00000000-0005-0000-0000-0000234B0000}"/>
    <cellStyle name="Nagłówek 2 2 11 5" xfId="19251" xr:uid="{00000000-0005-0000-0000-0000244B0000}"/>
    <cellStyle name="Nagłówek 2 2 11 6" xfId="19252" xr:uid="{00000000-0005-0000-0000-0000254B0000}"/>
    <cellStyle name="Nagłówek 2 2 11 7" xfId="19253" xr:uid="{00000000-0005-0000-0000-0000264B0000}"/>
    <cellStyle name="Nagłówek 2 2 12" xfId="19254" xr:uid="{00000000-0005-0000-0000-0000274B0000}"/>
    <cellStyle name="Nagłówek 2 2 12 2" xfId="19255" xr:uid="{00000000-0005-0000-0000-0000284B0000}"/>
    <cellStyle name="Nagłówek 2 2 12 3" xfId="19256" xr:uid="{00000000-0005-0000-0000-0000294B0000}"/>
    <cellStyle name="Nagłówek 2 2 12 4" xfId="19257" xr:uid="{00000000-0005-0000-0000-00002A4B0000}"/>
    <cellStyle name="Nagłówek 2 2 12 5" xfId="19258" xr:uid="{00000000-0005-0000-0000-00002B4B0000}"/>
    <cellStyle name="Nagłówek 2 2 12 6" xfId="19259" xr:uid="{00000000-0005-0000-0000-00002C4B0000}"/>
    <cellStyle name="Nagłówek 2 2 12 7" xfId="19260" xr:uid="{00000000-0005-0000-0000-00002D4B0000}"/>
    <cellStyle name="Nagłówek 2 2 13" xfId="19261" xr:uid="{00000000-0005-0000-0000-00002E4B0000}"/>
    <cellStyle name="Nagłówek 2 2 13 2" xfId="19262" xr:uid="{00000000-0005-0000-0000-00002F4B0000}"/>
    <cellStyle name="Nagłówek 2 2 13 3" xfId="19263" xr:uid="{00000000-0005-0000-0000-0000304B0000}"/>
    <cellStyle name="Nagłówek 2 2 13 4" xfId="19264" xr:uid="{00000000-0005-0000-0000-0000314B0000}"/>
    <cellStyle name="Nagłówek 2 2 13 5" xfId="19265" xr:uid="{00000000-0005-0000-0000-0000324B0000}"/>
    <cellStyle name="Nagłówek 2 2 13 6" xfId="19266" xr:uid="{00000000-0005-0000-0000-0000334B0000}"/>
    <cellStyle name="Nagłówek 2 2 13 7" xfId="19267" xr:uid="{00000000-0005-0000-0000-0000344B0000}"/>
    <cellStyle name="Nagłówek 2 2 14" xfId="19268" xr:uid="{00000000-0005-0000-0000-0000354B0000}"/>
    <cellStyle name="Nagłówek 2 2 14 2" xfId="19269" xr:uid="{00000000-0005-0000-0000-0000364B0000}"/>
    <cellStyle name="Nagłówek 2 2 14 3" xfId="19270" xr:uid="{00000000-0005-0000-0000-0000374B0000}"/>
    <cellStyle name="Nagłówek 2 2 14 4" xfId="19271" xr:uid="{00000000-0005-0000-0000-0000384B0000}"/>
    <cellStyle name="Nagłówek 2 2 14 5" xfId="19272" xr:uid="{00000000-0005-0000-0000-0000394B0000}"/>
    <cellStyle name="Nagłówek 2 2 14 6" xfId="19273" xr:uid="{00000000-0005-0000-0000-00003A4B0000}"/>
    <cellStyle name="Nagłówek 2 2 14 7" xfId="19274" xr:uid="{00000000-0005-0000-0000-00003B4B0000}"/>
    <cellStyle name="Nagłówek 2 2 15" xfId="19275" xr:uid="{00000000-0005-0000-0000-00003C4B0000}"/>
    <cellStyle name="Nagłówek 2 2 15 2" xfId="19276" xr:uid="{00000000-0005-0000-0000-00003D4B0000}"/>
    <cellStyle name="Nagłówek 2 2 15 3" xfId="19277" xr:uid="{00000000-0005-0000-0000-00003E4B0000}"/>
    <cellStyle name="Nagłówek 2 2 15 4" xfId="19278" xr:uid="{00000000-0005-0000-0000-00003F4B0000}"/>
    <cellStyle name="Nagłówek 2 2 15 5" xfId="19279" xr:uid="{00000000-0005-0000-0000-0000404B0000}"/>
    <cellStyle name="Nagłówek 2 2 15 6" xfId="19280" xr:uid="{00000000-0005-0000-0000-0000414B0000}"/>
    <cellStyle name="Nagłówek 2 2 15 7" xfId="19281" xr:uid="{00000000-0005-0000-0000-0000424B0000}"/>
    <cellStyle name="Nagłówek 2 2 16" xfId="19282" xr:uid="{00000000-0005-0000-0000-0000434B0000}"/>
    <cellStyle name="Nagłówek 2 2 16 2" xfId="19283" xr:uid="{00000000-0005-0000-0000-0000444B0000}"/>
    <cellStyle name="Nagłówek 2 2 16 3" xfId="19284" xr:uid="{00000000-0005-0000-0000-0000454B0000}"/>
    <cellStyle name="Nagłówek 2 2 16 4" xfId="19285" xr:uid="{00000000-0005-0000-0000-0000464B0000}"/>
    <cellStyle name="Nagłówek 2 2 16 5" xfId="19286" xr:uid="{00000000-0005-0000-0000-0000474B0000}"/>
    <cellStyle name="Nagłówek 2 2 16 6" xfId="19287" xr:uid="{00000000-0005-0000-0000-0000484B0000}"/>
    <cellStyle name="Nagłówek 2 2 16 7" xfId="19288" xr:uid="{00000000-0005-0000-0000-0000494B0000}"/>
    <cellStyle name="Nagłówek 2 2 17" xfId="19289" xr:uid="{00000000-0005-0000-0000-00004A4B0000}"/>
    <cellStyle name="Nagłówek 2 2 17 2" xfId="19290" xr:uid="{00000000-0005-0000-0000-00004B4B0000}"/>
    <cellStyle name="Nagłówek 2 2 17 3" xfId="19291" xr:uid="{00000000-0005-0000-0000-00004C4B0000}"/>
    <cellStyle name="Nagłówek 2 2 17 4" xfId="19292" xr:uid="{00000000-0005-0000-0000-00004D4B0000}"/>
    <cellStyle name="Nagłówek 2 2 17 5" xfId="19293" xr:uid="{00000000-0005-0000-0000-00004E4B0000}"/>
    <cellStyle name="Nagłówek 2 2 17 6" xfId="19294" xr:uid="{00000000-0005-0000-0000-00004F4B0000}"/>
    <cellStyle name="Nagłówek 2 2 17 7" xfId="19295" xr:uid="{00000000-0005-0000-0000-0000504B0000}"/>
    <cellStyle name="Nagłówek 2 2 18" xfId="19296" xr:uid="{00000000-0005-0000-0000-0000514B0000}"/>
    <cellStyle name="Nagłówek 2 2 18 2" xfId="19297" xr:uid="{00000000-0005-0000-0000-0000524B0000}"/>
    <cellStyle name="Nagłówek 2 2 18 3" xfId="19298" xr:uid="{00000000-0005-0000-0000-0000534B0000}"/>
    <cellStyle name="Nagłówek 2 2 18 4" xfId="19299" xr:uid="{00000000-0005-0000-0000-0000544B0000}"/>
    <cellStyle name="Nagłówek 2 2 18 5" xfId="19300" xr:uid="{00000000-0005-0000-0000-0000554B0000}"/>
    <cellStyle name="Nagłówek 2 2 18 6" xfId="19301" xr:uid="{00000000-0005-0000-0000-0000564B0000}"/>
    <cellStyle name="Nagłówek 2 2 18 7" xfId="19302" xr:uid="{00000000-0005-0000-0000-0000574B0000}"/>
    <cellStyle name="Nagłówek 2 2 19" xfId="19303" xr:uid="{00000000-0005-0000-0000-0000584B0000}"/>
    <cellStyle name="Nagłówek 2 2 19 2" xfId="19304" xr:uid="{00000000-0005-0000-0000-0000594B0000}"/>
    <cellStyle name="Nagłówek 2 2 19 3" xfId="19305" xr:uid="{00000000-0005-0000-0000-00005A4B0000}"/>
    <cellStyle name="Nagłówek 2 2 19 4" xfId="19306" xr:uid="{00000000-0005-0000-0000-00005B4B0000}"/>
    <cellStyle name="Nagłówek 2 2 19 5" xfId="19307" xr:uid="{00000000-0005-0000-0000-00005C4B0000}"/>
    <cellStyle name="Nagłówek 2 2 19 6" xfId="19308" xr:uid="{00000000-0005-0000-0000-00005D4B0000}"/>
    <cellStyle name="Nagłówek 2 2 19 7" xfId="19309" xr:uid="{00000000-0005-0000-0000-00005E4B0000}"/>
    <cellStyle name="Nagłówek 2 2 2" xfId="19310" xr:uid="{00000000-0005-0000-0000-00005F4B0000}"/>
    <cellStyle name="Nagłówek 2 2 2 2" xfId="19311" xr:uid="{00000000-0005-0000-0000-0000604B0000}"/>
    <cellStyle name="Nagłówek 2 2 2 3" xfId="19312" xr:uid="{00000000-0005-0000-0000-0000614B0000}"/>
    <cellStyle name="Nagłówek 2 2 2 4" xfId="19313" xr:uid="{00000000-0005-0000-0000-0000624B0000}"/>
    <cellStyle name="Nagłówek 2 2 2 5" xfId="19314" xr:uid="{00000000-0005-0000-0000-0000634B0000}"/>
    <cellStyle name="Nagłówek 2 2 2 6" xfId="19315" xr:uid="{00000000-0005-0000-0000-0000644B0000}"/>
    <cellStyle name="Nagłówek 2 2 2 7" xfId="19316" xr:uid="{00000000-0005-0000-0000-0000654B0000}"/>
    <cellStyle name="Nagłówek 2 2 2 8" xfId="19317" xr:uid="{00000000-0005-0000-0000-0000664B0000}"/>
    <cellStyle name="Nagłówek 2 2 20" xfId="19318" xr:uid="{00000000-0005-0000-0000-0000674B0000}"/>
    <cellStyle name="Nagłówek 2 2 20 2" xfId="19319" xr:uid="{00000000-0005-0000-0000-0000684B0000}"/>
    <cellStyle name="Nagłówek 2 2 20 3" xfId="19320" xr:uid="{00000000-0005-0000-0000-0000694B0000}"/>
    <cellStyle name="Nagłówek 2 2 20 4" xfId="19321" xr:uid="{00000000-0005-0000-0000-00006A4B0000}"/>
    <cellStyle name="Nagłówek 2 2 20 5" xfId="19322" xr:uid="{00000000-0005-0000-0000-00006B4B0000}"/>
    <cellStyle name="Nagłówek 2 2 20 6" xfId="19323" xr:uid="{00000000-0005-0000-0000-00006C4B0000}"/>
    <cellStyle name="Nagłówek 2 2 20 7" xfId="19324" xr:uid="{00000000-0005-0000-0000-00006D4B0000}"/>
    <cellStyle name="Nagłówek 2 2 21" xfId="19325" xr:uid="{00000000-0005-0000-0000-00006E4B0000}"/>
    <cellStyle name="Nagłówek 2 2 21 2" xfId="19326" xr:uid="{00000000-0005-0000-0000-00006F4B0000}"/>
    <cellStyle name="Nagłówek 2 2 21 3" xfId="19327" xr:uid="{00000000-0005-0000-0000-0000704B0000}"/>
    <cellStyle name="Nagłówek 2 2 21 4" xfId="19328" xr:uid="{00000000-0005-0000-0000-0000714B0000}"/>
    <cellStyle name="Nagłówek 2 2 21 5" xfId="19329" xr:uid="{00000000-0005-0000-0000-0000724B0000}"/>
    <cellStyle name="Nagłówek 2 2 21 6" xfId="19330" xr:uid="{00000000-0005-0000-0000-0000734B0000}"/>
    <cellStyle name="Nagłówek 2 2 21 7" xfId="19331" xr:uid="{00000000-0005-0000-0000-0000744B0000}"/>
    <cellStyle name="Nagłówek 2 2 22" xfId="19332" xr:uid="{00000000-0005-0000-0000-0000754B0000}"/>
    <cellStyle name="Nagłówek 2 2 22 2" xfId="19333" xr:uid="{00000000-0005-0000-0000-0000764B0000}"/>
    <cellStyle name="Nagłówek 2 2 22 3" xfId="19334" xr:uid="{00000000-0005-0000-0000-0000774B0000}"/>
    <cellStyle name="Nagłówek 2 2 22 4" xfId="19335" xr:uid="{00000000-0005-0000-0000-0000784B0000}"/>
    <cellStyle name="Nagłówek 2 2 22 5" xfId="19336" xr:uid="{00000000-0005-0000-0000-0000794B0000}"/>
    <cellStyle name="Nagłówek 2 2 22 6" xfId="19337" xr:uid="{00000000-0005-0000-0000-00007A4B0000}"/>
    <cellStyle name="Nagłówek 2 2 22 7" xfId="19338" xr:uid="{00000000-0005-0000-0000-00007B4B0000}"/>
    <cellStyle name="Nagłówek 2 2 23" xfId="19339" xr:uid="{00000000-0005-0000-0000-00007C4B0000}"/>
    <cellStyle name="Nagłówek 2 2 23 2" xfId="19340" xr:uid="{00000000-0005-0000-0000-00007D4B0000}"/>
    <cellStyle name="Nagłówek 2 2 23 3" xfId="19341" xr:uid="{00000000-0005-0000-0000-00007E4B0000}"/>
    <cellStyle name="Nagłówek 2 2 23 4" xfId="19342" xr:uid="{00000000-0005-0000-0000-00007F4B0000}"/>
    <cellStyle name="Nagłówek 2 2 23 5" xfId="19343" xr:uid="{00000000-0005-0000-0000-0000804B0000}"/>
    <cellStyle name="Nagłówek 2 2 23 6" xfId="19344" xr:uid="{00000000-0005-0000-0000-0000814B0000}"/>
    <cellStyle name="Nagłówek 2 2 23 7" xfId="19345" xr:uid="{00000000-0005-0000-0000-0000824B0000}"/>
    <cellStyle name="Nagłówek 2 2 24" xfId="19346" xr:uid="{00000000-0005-0000-0000-0000834B0000}"/>
    <cellStyle name="Nagłówek 2 2 24 2" xfId="19347" xr:uid="{00000000-0005-0000-0000-0000844B0000}"/>
    <cellStyle name="Nagłówek 2 2 24 3" xfId="19348" xr:uid="{00000000-0005-0000-0000-0000854B0000}"/>
    <cellStyle name="Nagłówek 2 2 24 4" xfId="19349" xr:uid="{00000000-0005-0000-0000-0000864B0000}"/>
    <cellStyle name="Nagłówek 2 2 24 5" xfId="19350" xr:uid="{00000000-0005-0000-0000-0000874B0000}"/>
    <cellStyle name="Nagłówek 2 2 24 6" xfId="19351" xr:uid="{00000000-0005-0000-0000-0000884B0000}"/>
    <cellStyle name="Nagłówek 2 2 24 7" xfId="19352" xr:uid="{00000000-0005-0000-0000-0000894B0000}"/>
    <cellStyle name="Nagłówek 2 2 25" xfId="19353" xr:uid="{00000000-0005-0000-0000-00008A4B0000}"/>
    <cellStyle name="Nagłówek 2 2 25 2" xfId="19354" xr:uid="{00000000-0005-0000-0000-00008B4B0000}"/>
    <cellStyle name="Nagłówek 2 2 25 3" xfId="19355" xr:uid="{00000000-0005-0000-0000-00008C4B0000}"/>
    <cellStyle name="Nagłówek 2 2 25 4" xfId="19356" xr:uid="{00000000-0005-0000-0000-00008D4B0000}"/>
    <cellStyle name="Nagłówek 2 2 25 5" xfId="19357" xr:uid="{00000000-0005-0000-0000-00008E4B0000}"/>
    <cellStyle name="Nagłówek 2 2 25 6" xfId="19358" xr:uid="{00000000-0005-0000-0000-00008F4B0000}"/>
    <cellStyle name="Nagłówek 2 2 25 7" xfId="19359" xr:uid="{00000000-0005-0000-0000-0000904B0000}"/>
    <cellStyle name="Nagłówek 2 2 26" xfId="19360" xr:uid="{00000000-0005-0000-0000-0000914B0000}"/>
    <cellStyle name="Nagłówek 2 2 26 2" xfId="19361" xr:uid="{00000000-0005-0000-0000-0000924B0000}"/>
    <cellStyle name="Nagłówek 2 2 26 3" xfId="19362" xr:uid="{00000000-0005-0000-0000-0000934B0000}"/>
    <cellStyle name="Nagłówek 2 2 26 4" xfId="19363" xr:uid="{00000000-0005-0000-0000-0000944B0000}"/>
    <cellStyle name="Nagłówek 2 2 26 5" xfId="19364" xr:uid="{00000000-0005-0000-0000-0000954B0000}"/>
    <cellStyle name="Nagłówek 2 2 26 6" xfId="19365" xr:uid="{00000000-0005-0000-0000-0000964B0000}"/>
    <cellStyle name="Nagłówek 2 2 26 7" xfId="19366" xr:uid="{00000000-0005-0000-0000-0000974B0000}"/>
    <cellStyle name="Nagłówek 2 2 27" xfId="19367" xr:uid="{00000000-0005-0000-0000-0000984B0000}"/>
    <cellStyle name="Nagłówek 2 2 27 2" xfId="19368" xr:uid="{00000000-0005-0000-0000-0000994B0000}"/>
    <cellStyle name="Nagłówek 2 2 27 3" xfId="19369" xr:uid="{00000000-0005-0000-0000-00009A4B0000}"/>
    <cellStyle name="Nagłówek 2 2 27 4" xfId="19370" xr:uid="{00000000-0005-0000-0000-00009B4B0000}"/>
    <cellStyle name="Nagłówek 2 2 27 5" xfId="19371" xr:uid="{00000000-0005-0000-0000-00009C4B0000}"/>
    <cellStyle name="Nagłówek 2 2 27 6" xfId="19372" xr:uid="{00000000-0005-0000-0000-00009D4B0000}"/>
    <cellStyle name="Nagłówek 2 2 27 7" xfId="19373" xr:uid="{00000000-0005-0000-0000-00009E4B0000}"/>
    <cellStyle name="Nagłówek 2 2 28" xfId="19374" xr:uid="{00000000-0005-0000-0000-00009F4B0000}"/>
    <cellStyle name="Nagłówek 2 2 28 2" xfId="19375" xr:uid="{00000000-0005-0000-0000-0000A04B0000}"/>
    <cellStyle name="Nagłówek 2 2 28 3" xfId="19376" xr:uid="{00000000-0005-0000-0000-0000A14B0000}"/>
    <cellStyle name="Nagłówek 2 2 28 4" xfId="19377" xr:uid="{00000000-0005-0000-0000-0000A24B0000}"/>
    <cellStyle name="Nagłówek 2 2 28 5" xfId="19378" xr:uid="{00000000-0005-0000-0000-0000A34B0000}"/>
    <cellStyle name="Nagłówek 2 2 28 6" xfId="19379" xr:uid="{00000000-0005-0000-0000-0000A44B0000}"/>
    <cellStyle name="Nagłówek 2 2 28 7" xfId="19380" xr:uid="{00000000-0005-0000-0000-0000A54B0000}"/>
    <cellStyle name="Nagłówek 2 2 29" xfId="19381" xr:uid="{00000000-0005-0000-0000-0000A64B0000}"/>
    <cellStyle name="Nagłówek 2 2 29 2" xfId="19382" xr:uid="{00000000-0005-0000-0000-0000A74B0000}"/>
    <cellStyle name="Nagłówek 2 2 3" xfId="19383" xr:uid="{00000000-0005-0000-0000-0000A84B0000}"/>
    <cellStyle name="Nagłówek 2 2 3 2" xfId="19384" xr:uid="{00000000-0005-0000-0000-0000A94B0000}"/>
    <cellStyle name="Nagłówek 2 2 3 3" xfId="19385" xr:uid="{00000000-0005-0000-0000-0000AA4B0000}"/>
    <cellStyle name="Nagłówek 2 2 3 4" xfId="19386" xr:uid="{00000000-0005-0000-0000-0000AB4B0000}"/>
    <cellStyle name="Nagłówek 2 2 3 5" xfId="19387" xr:uid="{00000000-0005-0000-0000-0000AC4B0000}"/>
    <cellStyle name="Nagłówek 2 2 3 6" xfId="19388" xr:uid="{00000000-0005-0000-0000-0000AD4B0000}"/>
    <cellStyle name="Nagłówek 2 2 3 7" xfId="19389" xr:uid="{00000000-0005-0000-0000-0000AE4B0000}"/>
    <cellStyle name="Nagłówek 2 2 30" xfId="19390" xr:uid="{00000000-0005-0000-0000-0000AF4B0000}"/>
    <cellStyle name="Nagłówek 2 2 30 2" xfId="19391" xr:uid="{00000000-0005-0000-0000-0000B04B0000}"/>
    <cellStyle name="Nagłówek 2 2 31" xfId="19392" xr:uid="{00000000-0005-0000-0000-0000B14B0000}"/>
    <cellStyle name="Nagłówek 2 2 31 2" xfId="19393" xr:uid="{00000000-0005-0000-0000-0000B24B0000}"/>
    <cellStyle name="Nagłówek 2 2 32" xfId="19394" xr:uid="{00000000-0005-0000-0000-0000B34B0000}"/>
    <cellStyle name="Nagłówek 2 2 32 2" xfId="19395" xr:uid="{00000000-0005-0000-0000-0000B44B0000}"/>
    <cellStyle name="Nagłówek 2 2 33" xfId="19396" xr:uid="{00000000-0005-0000-0000-0000B54B0000}"/>
    <cellStyle name="Nagłówek 2 2 34" xfId="19397" xr:uid="{00000000-0005-0000-0000-0000B64B0000}"/>
    <cellStyle name="Nagłówek 2 2 35" xfId="19398" xr:uid="{00000000-0005-0000-0000-0000B74B0000}"/>
    <cellStyle name="Nagłówek 2 2 36" xfId="19399" xr:uid="{00000000-0005-0000-0000-0000B84B0000}"/>
    <cellStyle name="Nagłówek 2 2 37" xfId="19400" xr:uid="{00000000-0005-0000-0000-0000B94B0000}"/>
    <cellStyle name="Nagłówek 2 2 38" xfId="19401" xr:uid="{00000000-0005-0000-0000-0000BA4B0000}"/>
    <cellStyle name="Nagłówek 2 2 39" xfId="19402" xr:uid="{00000000-0005-0000-0000-0000BB4B0000}"/>
    <cellStyle name="Nagłówek 2 2 4" xfId="19403" xr:uid="{00000000-0005-0000-0000-0000BC4B0000}"/>
    <cellStyle name="Nagłówek 2 2 4 2" xfId="19404" xr:uid="{00000000-0005-0000-0000-0000BD4B0000}"/>
    <cellStyle name="Nagłówek 2 2 4 3" xfId="19405" xr:uid="{00000000-0005-0000-0000-0000BE4B0000}"/>
    <cellStyle name="Nagłówek 2 2 4 4" xfId="19406" xr:uid="{00000000-0005-0000-0000-0000BF4B0000}"/>
    <cellStyle name="Nagłówek 2 2 4 5" xfId="19407" xr:uid="{00000000-0005-0000-0000-0000C04B0000}"/>
    <cellStyle name="Nagłówek 2 2 4 6" xfId="19408" xr:uid="{00000000-0005-0000-0000-0000C14B0000}"/>
    <cellStyle name="Nagłówek 2 2 4 7" xfId="19409" xr:uid="{00000000-0005-0000-0000-0000C24B0000}"/>
    <cellStyle name="Nagłówek 2 2 40" xfId="19410" xr:uid="{00000000-0005-0000-0000-0000C34B0000}"/>
    <cellStyle name="Nagłówek 2 2 41" xfId="19411" xr:uid="{00000000-0005-0000-0000-0000C44B0000}"/>
    <cellStyle name="Nagłówek 2 2 42" xfId="19412" xr:uid="{00000000-0005-0000-0000-0000C54B0000}"/>
    <cellStyle name="Nagłówek 2 2 43" xfId="19413" xr:uid="{00000000-0005-0000-0000-0000C64B0000}"/>
    <cellStyle name="Nagłówek 2 2 44" xfId="19414" xr:uid="{00000000-0005-0000-0000-0000C74B0000}"/>
    <cellStyle name="Nagłówek 2 2 45" xfId="19415" xr:uid="{00000000-0005-0000-0000-0000C84B0000}"/>
    <cellStyle name="Nagłówek 2 2 46" xfId="19416" xr:uid="{00000000-0005-0000-0000-0000C94B0000}"/>
    <cellStyle name="Nagłówek 2 2 47" xfId="19417" xr:uid="{00000000-0005-0000-0000-0000CA4B0000}"/>
    <cellStyle name="Nagłówek 2 2 48" xfId="19418" xr:uid="{00000000-0005-0000-0000-0000CB4B0000}"/>
    <cellStyle name="Nagłówek 2 2 49" xfId="19419" xr:uid="{00000000-0005-0000-0000-0000CC4B0000}"/>
    <cellStyle name="Nagłówek 2 2 5" xfId="19420" xr:uid="{00000000-0005-0000-0000-0000CD4B0000}"/>
    <cellStyle name="Nagłówek 2 2 5 2" xfId="19421" xr:uid="{00000000-0005-0000-0000-0000CE4B0000}"/>
    <cellStyle name="Nagłówek 2 2 5 3" xfId="19422" xr:uid="{00000000-0005-0000-0000-0000CF4B0000}"/>
    <cellStyle name="Nagłówek 2 2 5 4" xfId="19423" xr:uid="{00000000-0005-0000-0000-0000D04B0000}"/>
    <cellStyle name="Nagłówek 2 2 5 5" xfId="19424" xr:uid="{00000000-0005-0000-0000-0000D14B0000}"/>
    <cellStyle name="Nagłówek 2 2 5 6" xfId="19425" xr:uid="{00000000-0005-0000-0000-0000D24B0000}"/>
    <cellStyle name="Nagłówek 2 2 5 7" xfId="19426" xr:uid="{00000000-0005-0000-0000-0000D34B0000}"/>
    <cellStyle name="Nagłówek 2 2 50" xfId="19427" xr:uid="{00000000-0005-0000-0000-0000D44B0000}"/>
    <cellStyle name="Nagłówek 2 2 51" xfId="19428" xr:uid="{00000000-0005-0000-0000-0000D54B0000}"/>
    <cellStyle name="Nagłówek 2 2 52" xfId="19429" xr:uid="{00000000-0005-0000-0000-0000D64B0000}"/>
    <cellStyle name="Nagłówek 2 2 53" xfId="19430" xr:uid="{00000000-0005-0000-0000-0000D74B0000}"/>
    <cellStyle name="Nagłówek 2 2 6" xfId="19431" xr:uid="{00000000-0005-0000-0000-0000D84B0000}"/>
    <cellStyle name="Nagłówek 2 2 6 2" xfId="19432" xr:uid="{00000000-0005-0000-0000-0000D94B0000}"/>
    <cellStyle name="Nagłówek 2 2 6 3" xfId="19433" xr:uid="{00000000-0005-0000-0000-0000DA4B0000}"/>
    <cellStyle name="Nagłówek 2 2 6 4" xfId="19434" xr:uid="{00000000-0005-0000-0000-0000DB4B0000}"/>
    <cellStyle name="Nagłówek 2 2 6 5" xfId="19435" xr:uid="{00000000-0005-0000-0000-0000DC4B0000}"/>
    <cellStyle name="Nagłówek 2 2 6 6" xfId="19436" xr:uid="{00000000-0005-0000-0000-0000DD4B0000}"/>
    <cellStyle name="Nagłówek 2 2 6 7" xfId="19437" xr:uid="{00000000-0005-0000-0000-0000DE4B0000}"/>
    <cellStyle name="Nagłówek 2 2 7" xfId="19438" xr:uid="{00000000-0005-0000-0000-0000DF4B0000}"/>
    <cellStyle name="Nagłówek 2 2 7 2" xfId="19439" xr:uid="{00000000-0005-0000-0000-0000E04B0000}"/>
    <cellStyle name="Nagłówek 2 2 7 3" xfId="19440" xr:uid="{00000000-0005-0000-0000-0000E14B0000}"/>
    <cellStyle name="Nagłówek 2 2 7 4" xfId="19441" xr:uid="{00000000-0005-0000-0000-0000E24B0000}"/>
    <cellStyle name="Nagłówek 2 2 7 5" xfId="19442" xr:uid="{00000000-0005-0000-0000-0000E34B0000}"/>
    <cellStyle name="Nagłówek 2 2 7 6" xfId="19443" xr:uid="{00000000-0005-0000-0000-0000E44B0000}"/>
    <cellStyle name="Nagłówek 2 2 7 7" xfId="19444" xr:uid="{00000000-0005-0000-0000-0000E54B0000}"/>
    <cellStyle name="Nagłówek 2 2 8" xfId="19445" xr:uid="{00000000-0005-0000-0000-0000E64B0000}"/>
    <cellStyle name="Nagłówek 2 2 8 2" xfId="19446" xr:uid="{00000000-0005-0000-0000-0000E74B0000}"/>
    <cellStyle name="Nagłówek 2 2 8 3" xfId="19447" xr:uid="{00000000-0005-0000-0000-0000E84B0000}"/>
    <cellStyle name="Nagłówek 2 2 8 4" xfId="19448" xr:uid="{00000000-0005-0000-0000-0000E94B0000}"/>
    <cellStyle name="Nagłówek 2 2 8 5" xfId="19449" xr:uid="{00000000-0005-0000-0000-0000EA4B0000}"/>
    <cellStyle name="Nagłówek 2 2 8 6" xfId="19450" xr:uid="{00000000-0005-0000-0000-0000EB4B0000}"/>
    <cellStyle name="Nagłówek 2 2 8 7" xfId="19451" xr:uid="{00000000-0005-0000-0000-0000EC4B0000}"/>
    <cellStyle name="Nagłówek 2 2 9" xfId="19452" xr:uid="{00000000-0005-0000-0000-0000ED4B0000}"/>
    <cellStyle name="Nagłówek 2 2 9 2" xfId="19453" xr:uid="{00000000-0005-0000-0000-0000EE4B0000}"/>
    <cellStyle name="Nagłówek 2 2 9 3" xfId="19454" xr:uid="{00000000-0005-0000-0000-0000EF4B0000}"/>
    <cellStyle name="Nagłówek 2 2 9 4" xfId="19455" xr:uid="{00000000-0005-0000-0000-0000F04B0000}"/>
    <cellStyle name="Nagłówek 2 2 9 5" xfId="19456" xr:uid="{00000000-0005-0000-0000-0000F14B0000}"/>
    <cellStyle name="Nagłówek 2 2 9 6" xfId="19457" xr:uid="{00000000-0005-0000-0000-0000F24B0000}"/>
    <cellStyle name="Nagłówek 2 2 9 7" xfId="19458" xr:uid="{00000000-0005-0000-0000-0000F34B0000}"/>
    <cellStyle name="Nagłówek 2 3" xfId="19459" xr:uid="{00000000-0005-0000-0000-0000F44B0000}"/>
    <cellStyle name="Nagłówek 2 3 2" xfId="19460" xr:uid="{00000000-0005-0000-0000-0000F54B0000}"/>
    <cellStyle name="Nagłówek 2 3 2 2" xfId="19461" xr:uid="{00000000-0005-0000-0000-0000F64B0000}"/>
    <cellStyle name="Nagłówek 2 3 3" xfId="19462" xr:uid="{00000000-0005-0000-0000-0000F74B0000}"/>
    <cellStyle name="Nagłówek 2 3 4" xfId="19463" xr:uid="{00000000-0005-0000-0000-0000F84B0000}"/>
    <cellStyle name="Nagłówek 2 3 5" xfId="19464" xr:uid="{00000000-0005-0000-0000-0000F94B0000}"/>
    <cellStyle name="Nagłówek 2 4" xfId="19465" xr:uid="{00000000-0005-0000-0000-0000FA4B0000}"/>
    <cellStyle name="Nagłówek 2 4 2" xfId="19466" xr:uid="{00000000-0005-0000-0000-0000FB4B0000}"/>
    <cellStyle name="Nagłówek 2 4 3" xfId="19467" xr:uid="{00000000-0005-0000-0000-0000FC4B0000}"/>
    <cellStyle name="Nagłówek 2 4 4" xfId="19468" xr:uid="{00000000-0005-0000-0000-0000FD4B0000}"/>
    <cellStyle name="Nagłówek 2 4 5" xfId="19469" xr:uid="{00000000-0005-0000-0000-0000FE4B0000}"/>
    <cellStyle name="Nagłówek 2 5" xfId="19470" xr:uid="{00000000-0005-0000-0000-0000FF4B0000}"/>
    <cellStyle name="Nagłówek 2 5 2" xfId="19471" xr:uid="{00000000-0005-0000-0000-0000004C0000}"/>
    <cellStyle name="Nagłówek 2 5 3" xfId="19472" xr:uid="{00000000-0005-0000-0000-0000014C0000}"/>
    <cellStyle name="Nagłówek 2 6" xfId="19473" xr:uid="{00000000-0005-0000-0000-0000024C0000}"/>
    <cellStyle name="Nagłówek 2 6 2" xfId="19474" xr:uid="{00000000-0005-0000-0000-0000034C0000}"/>
    <cellStyle name="Nagłówek 2 7" xfId="19475" xr:uid="{00000000-0005-0000-0000-0000044C0000}"/>
    <cellStyle name="Nagłówek 3 2" xfId="19476" xr:uid="{00000000-0005-0000-0000-0000054C0000}"/>
    <cellStyle name="Nagłówek 3 2 10" xfId="19477" xr:uid="{00000000-0005-0000-0000-0000064C0000}"/>
    <cellStyle name="Nagłówek 3 2 10 2" xfId="19478" xr:uid="{00000000-0005-0000-0000-0000074C0000}"/>
    <cellStyle name="Nagłówek 3 2 10 3" xfId="19479" xr:uid="{00000000-0005-0000-0000-0000084C0000}"/>
    <cellStyle name="Nagłówek 3 2 10 4" xfId="19480" xr:uid="{00000000-0005-0000-0000-0000094C0000}"/>
    <cellStyle name="Nagłówek 3 2 10 5" xfId="19481" xr:uid="{00000000-0005-0000-0000-00000A4C0000}"/>
    <cellStyle name="Nagłówek 3 2 10 6" xfId="19482" xr:uid="{00000000-0005-0000-0000-00000B4C0000}"/>
    <cellStyle name="Nagłówek 3 2 10 7" xfId="19483" xr:uid="{00000000-0005-0000-0000-00000C4C0000}"/>
    <cellStyle name="Nagłówek 3 2 11" xfId="19484" xr:uid="{00000000-0005-0000-0000-00000D4C0000}"/>
    <cellStyle name="Nagłówek 3 2 11 2" xfId="19485" xr:uid="{00000000-0005-0000-0000-00000E4C0000}"/>
    <cellStyle name="Nagłówek 3 2 11 3" xfId="19486" xr:uid="{00000000-0005-0000-0000-00000F4C0000}"/>
    <cellStyle name="Nagłówek 3 2 11 4" xfId="19487" xr:uid="{00000000-0005-0000-0000-0000104C0000}"/>
    <cellStyle name="Nagłówek 3 2 11 5" xfId="19488" xr:uid="{00000000-0005-0000-0000-0000114C0000}"/>
    <cellStyle name="Nagłówek 3 2 11 6" xfId="19489" xr:uid="{00000000-0005-0000-0000-0000124C0000}"/>
    <cellStyle name="Nagłówek 3 2 11 7" xfId="19490" xr:uid="{00000000-0005-0000-0000-0000134C0000}"/>
    <cellStyle name="Nagłówek 3 2 12" xfId="19491" xr:uid="{00000000-0005-0000-0000-0000144C0000}"/>
    <cellStyle name="Nagłówek 3 2 12 2" xfId="19492" xr:uid="{00000000-0005-0000-0000-0000154C0000}"/>
    <cellStyle name="Nagłówek 3 2 12 3" xfId="19493" xr:uid="{00000000-0005-0000-0000-0000164C0000}"/>
    <cellStyle name="Nagłówek 3 2 12 4" xfId="19494" xr:uid="{00000000-0005-0000-0000-0000174C0000}"/>
    <cellStyle name="Nagłówek 3 2 12 5" xfId="19495" xr:uid="{00000000-0005-0000-0000-0000184C0000}"/>
    <cellStyle name="Nagłówek 3 2 12 6" xfId="19496" xr:uid="{00000000-0005-0000-0000-0000194C0000}"/>
    <cellStyle name="Nagłówek 3 2 12 7" xfId="19497" xr:uid="{00000000-0005-0000-0000-00001A4C0000}"/>
    <cellStyle name="Nagłówek 3 2 13" xfId="19498" xr:uid="{00000000-0005-0000-0000-00001B4C0000}"/>
    <cellStyle name="Nagłówek 3 2 13 2" xfId="19499" xr:uid="{00000000-0005-0000-0000-00001C4C0000}"/>
    <cellStyle name="Nagłówek 3 2 13 3" xfId="19500" xr:uid="{00000000-0005-0000-0000-00001D4C0000}"/>
    <cellStyle name="Nagłówek 3 2 13 4" xfId="19501" xr:uid="{00000000-0005-0000-0000-00001E4C0000}"/>
    <cellStyle name="Nagłówek 3 2 13 5" xfId="19502" xr:uid="{00000000-0005-0000-0000-00001F4C0000}"/>
    <cellStyle name="Nagłówek 3 2 13 6" xfId="19503" xr:uid="{00000000-0005-0000-0000-0000204C0000}"/>
    <cellStyle name="Nagłówek 3 2 13 7" xfId="19504" xr:uid="{00000000-0005-0000-0000-0000214C0000}"/>
    <cellStyle name="Nagłówek 3 2 14" xfId="19505" xr:uid="{00000000-0005-0000-0000-0000224C0000}"/>
    <cellStyle name="Nagłówek 3 2 14 2" xfId="19506" xr:uid="{00000000-0005-0000-0000-0000234C0000}"/>
    <cellStyle name="Nagłówek 3 2 14 3" xfId="19507" xr:uid="{00000000-0005-0000-0000-0000244C0000}"/>
    <cellStyle name="Nagłówek 3 2 14 4" xfId="19508" xr:uid="{00000000-0005-0000-0000-0000254C0000}"/>
    <cellStyle name="Nagłówek 3 2 14 5" xfId="19509" xr:uid="{00000000-0005-0000-0000-0000264C0000}"/>
    <cellStyle name="Nagłówek 3 2 14 6" xfId="19510" xr:uid="{00000000-0005-0000-0000-0000274C0000}"/>
    <cellStyle name="Nagłówek 3 2 14 7" xfId="19511" xr:uid="{00000000-0005-0000-0000-0000284C0000}"/>
    <cellStyle name="Nagłówek 3 2 15" xfId="19512" xr:uid="{00000000-0005-0000-0000-0000294C0000}"/>
    <cellStyle name="Nagłówek 3 2 15 2" xfId="19513" xr:uid="{00000000-0005-0000-0000-00002A4C0000}"/>
    <cellStyle name="Nagłówek 3 2 15 3" xfId="19514" xr:uid="{00000000-0005-0000-0000-00002B4C0000}"/>
    <cellStyle name="Nagłówek 3 2 15 4" xfId="19515" xr:uid="{00000000-0005-0000-0000-00002C4C0000}"/>
    <cellStyle name="Nagłówek 3 2 15 5" xfId="19516" xr:uid="{00000000-0005-0000-0000-00002D4C0000}"/>
    <cellStyle name="Nagłówek 3 2 15 6" xfId="19517" xr:uid="{00000000-0005-0000-0000-00002E4C0000}"/>
    <cellStyle name="Nagłówek 3 2 15 7" xfId="19518" xr:uid="{00000000-0005-0000-0000-00002F4C0000}"/>
    <cellStyle name="Nagłówek 3 2 16" xfId="19519" xr:uid="{00000000-0005-0000-0000-0000304C0000}"/>
    <cellStyle name="Nagłówek 3 2 16 2" xfId="19520" xr:uid="{00000000-0005-0000-0000-0000314C0000}"/>
    <cellStyle name="Nagłówek 3 2 16 3" xfId="19521" xr:uid="{00000000-0005-0000-0000-0000324C0000}"/>
    <cellStyle name="Nagłówek 3 2 16 4" xfId="19522" xr:uid="{00000000-0005-0000-0000-0000334C0000}"/>
    <cellStyle name="Nagłówek 3 2 16 5" xfId="19523" xr:uid="{00000000-0005-0000-0000-0000344C0000}"/>
    <cellStyle name="Nagłówek 3 2 16 6" xfId="19524" xr:uid="{00000000-0005-0000-0000-0000354C0000}"/>
    <cellStyle name="Nagłówek 3 2 16 7" xfId="19525" xr:uid="{00000000-0005-0000-0000-0000364C0000}"/>
    <cellStyle name="Nagłówek 3 2 17" xfId="19526" xr:uid="{00000000-0005-0000-0000-0000374C0000}"/>
    <cellStyle name="Nagłówek 3 2 17 2" xfId="19527" xr:uid="{00000000-0005-0000-0000-0000384C0000}"/>
    <cellStyle name="Nagłówek 3 2 17 3" xfId="19528" xr:uid="{00000000-0005-0000-0000-0000394C0000}"/>
    <cellStyle name="Nagłówek 3 2 17 4" xfId="19529" xr:uid="{00000000-0005-0000-0000-00003A4C0000}"/>
    <cellStyle name="Nagłówek 3 2 17 5" xfId="19530" xr:uid="{00000000-0005-0000-0000-00003B4C0000}"/>
    <cellStyle name="Nagłówek 3 2 17 6" xfId="19531" xr:uid="{00000000-0005-0000-0000-00003C4C0000}"/>
    <cellStyle name="Nagłówek 3 2 17 7" xfId="19532" xr:uid="{00000000-0005-0000-0000-00003D4C0000}"/>
    <cellStyle name="Nagłówek 3 2 18" xfId="19533" xr:uid="{00000000-0005-0000-0000-00003E4C0000}"/>
    <cellStyle name="Nagłówek 3 2 18 2" xfId="19534" xr:uid="{00000000-0005-0000-0000-00003F4C0000}"/>
    <cellStyle name="Nagłówek 3 2 18 3" xfId="19535" xr:uid="{00000000-0005-0000-0000-0000404C0000}"/>
    <cellStyle name="Nagłówek 3 2 18 4" xfId="19536" xr:uid="{00000000-0005-0000-0000-0000414C0000}"/>
    <cellStyle name="Nagłówek 3 2 18 5" xfId="19537" xr:uid="{00000000-0005-0000-0000-0000424C0000}"/>
    <cellStyle name="Nagłówek 3 2 18 6" xfId="19538" xr:uid="{00000000-0005-0000-0000-0000434C0000}"/>
    <cellStyle name="Nagłówek 3 2 18 7" xfId="19539" xr:uid="{00000000-0005-0000-0000-0000444C0000}"/>
    <cellStyle name="Nagłówek 3 2 19" xfId="19540" xr:uid="{00000000-0005-0000-0000-0000454C0000}"/>
    <cellStyle name="Nagłówek 3 2 19 2" xfId="19541" xr:uid="{00000000-0005-0000-0000-0000464C0000}"/>
    <cellStyle name="Nagłówek 3 2 19 3" xfId="19542" xr:uid="{00000000-0005-0000-0000-0000474C0000}"/>
    <cellStyle name="Nagłówek 3 2 19 4" xfId="19543" xr:uid="{00000000-0005-0000-0000-0000484C0000}"/>
    <cellStyle name="Nagłówek 3 2 19 5" xfId="19544" xr:uid="{00000000-0005-0000-0000-0000494C0000}"/>
    <cellStyle name="Nagłówek 3 2 19 6" xfId="19545" xr:uid="{00000000-0005-0000-0000-00004A4C0000}"/>
    <cellStyle name="Nagłówek 3 2 19 7" xfId="19546" xr:uid="{00000000-0005-0000-0000-00004B4C0000}"/>
    <cellStyle name="Nagłówek 3 2 2" xfId="19547" xr:uid="{00000000-0005-0000-0000-00004C4C0000}"/>
    <cellStyle name="Nagłówek 3 2 2 2" xfId="19548" xr:uid="{00000000-0005-0000-0000-00004D4C0000}"/>
    <cellStyle name="Nagłówek 3 2 2 3" xfId="19549" xr:uid="{00000000-0005-0000-0000-00004E4C0000}"/>
    <cellStyle name="Nagłówek 3 2 2 4" xfId="19550" xr:uid="{00000000-0005-0000-0000-00004F4C0000}"/>
    <cellStyle name="Nagłówek 3 2 2 5" xfId="19551" xr:uid="{00000000-0005-0000-0000-0000504C0000}"/>
    <cellStyle name="Nagłówek 3 2 2 6" xfId="19552" xr:uid="{00000000-0005-0000-0000-0000514C0000}"/>
    <cellStyle name="Nagłówek 3 2 2 7" xfId="19553" xr:uid="{00000000-0005-0000-0000-0000524C0000}"/>
    <cellStyle name="Nagłówek 3 2 2 8" xfId="19554" xr:uid="{00000000-0005-0000-0000-0000534C0000}"/>
    <cellStyle name="Nagłówek 3 2 20" xfId="19555" xr:uid="{00000000-0005-0000-0000-0000544C0000}"/>
    <cellStyle name="Nagłówek 3 2 20 2" xfId="19556" xr:uid="{00000000-0005-0000-0000-0000554C0000}"/>
    <cellStyle name="Nagłówek 3 2 20 3" xfId="19557" xr:uid="{00000000-0005-0000-0000-0000564C0000}"/>
    <cellStyle name="Nagłówek 3 2 20 4" xfId="19558" xr:uid="{00000000-0005-0000-0000-0000574C0000}"/>
    <cellStyle name="Nagłówek 3 2 20 5" xfId="19559" xr:uid="{00000000-0005-0000-0000-0000584C0000}"/>
    <cellStyle name="Nagłówek 3 2 20 6" xfId="19560" xr:uid="{00000000-0005-0000-0000-0000594C0000}"/>
    <cellStyle name="Nagłówek 3 2 20 7" xfId="19561" xr:uid="{00000000-0005-0000-0000-00005A4C0000}"/>
    <cellStyle name="Nagłówek 3 2 21" xfId="19562" xr:uid="{00000000-0005-0000-0000-00005B4C0000}"/>
    <cellStyle name="Nagłówek 3 2 21 2" xfId="19563" xr:uid="{00000000-0005-0000-0000-00005C4C0000}"/>
    <cellStyle name="Nagłówek 3 2 21 3" xfId="19564" xr:uid="{00000000-0005-0000-0000-00005D4C0000}"/>
    <cellStyle name="Nagłówek 3 2 21 4" xfId="19565" xr:uid="{00000000-0005-0000-0000-00005E4C0000}"/>
    <cellStyle name="Nagłówek 3 2 21 5" xfId="19566" xr:uid="{00000000-0005-0000-0000-00005F4C0000}"/>
    <cellStyle name="Nagłówek 3 2 21 6" xfId="19567" xr:uid="{00000000-0005-0000-0000-0000604C0000}"/>
    <cellStyle name="Nagłówek 3 2 21 7" xfId="19568" xr:uid="{00000000-0005-0000-0000-0000614C0000}"/>
    <cellStyle name="Nagłówek 3 2 22" xfId="19569" xr:uid="{00000000-0005-0000-0000-0000624C0000}"/>
    <cellStyle name="Nagłówek 3 2 22 2" xfId="19570" xr:uid="{00000000-0005-0000-0000-0000634C0000}"/>
    <cellStyle name="Nagłówek 3 2 22 3" xfId="19571" xr:uid="{00000000-0005-0000-0000-0000644C0000}"/>
    <cellStyle name="Nagłówek 3 2 22 4" xfId="19572" xr:uid="{00000000-0005-0000-0000-0000654C0000}"/>
    <cellStyle name="Nagłówek 3 2 22 5" xfId="19573" xr:uid="{00000000-0005-0000-0000-0000664C0000}"/>
    <cellStyle name="Nagłówek 3 2 22 6" xfId="19574" xr:uid="{00000000-0005-0000-0000-0000674C0000}"/>
    <cellStyle name="Nagłówek 3 2 22 7" xfId="19575" xr:uid="{00000000-0005-0000-0000-0000684C0000}"/>
    <cellStyle name="Nagłówek 3 2 23" xfId="19576" xr:uid="{00000000-0005-0000-0000-0000694C0000}"/>
    <cellStyle name="Nagłówek 3 2 23 2" xfId="19577" xr:uid="{00000000-0005-0000-0000-00006A4C0000}"/>
    <cellStyle name="Nagłówek 3 2 23 3" xfId="19578" xr:uid="{00000000-0005-0000-0000-00006B4C0000}"/>
    <cellStyle name="Nagłówek 3 2 23 4" xfId="19579" xr:uid="{00000000-0005-0000-0000-00006C4C0000}"/>
    <cellStyle name="Nagłówek 3 2 23 5" xfId="19580" xr:uid="{00000000-0005-0000-0000-00006D4C0000}"/>
    <cellStyle name="Nagłówek 3 2 23 6" xfId="19581" xr:uid="{00000000-0005-0000-0000-00006E4C0000}"/>
    <cellStyle name="Nagłówek 3 2 23 7" xfId="19582" xr:uid="{00000000-0005-0000-0000-00006F4C0000}"/>
    <cellStyle name="Nagłówek 3 2 24" xfId="19583" xr:uid="{00000000-0005-0000-0000-0000704C0000}"/>
    <cellStyle name="Nagłówek 3 2 24 2" xfId="19584" xr:uid="{00000000-0005-0000-0000-0000714C0000}"/>
    <cellStyle name="Nagłówek 3 2 24 3" xfId="19585" xr:uid="{00000000-0005-0000-0000-0000724C0000}"/>
    <cellStyle name="Nagłówek 3 2 24 4" xfId="19586" xr:uid="{00000000-0005-0000-0000-0000734C0000}"/>
    <cellStyle name="Nagłówek 3 2 24 5" xfId="19587" xr:uid="{00000000-0005-0000-0000-0000744C0000}"/>
    <cellStyle name="Nagłówek 3 2 24 6" xfId="19588" xr:uid="{00000000-0005-0000-0000-0000754C0000}"/>
    <cellStyle name="Nagłówek 3 2 24 7" xfId="19589" xr:uid="{00000000-0005-0000-0000-0000764C0000}"/>
    <cellStyle name="Nagłówek 3 2 25" xfId="19590" xr:uid="{00000000-0005-0000-0000-0000774C0000}"/>
    <cellStyle name="Nagłówek 3 2 25 2" xfId="19591" xr:uid="{00000000-0005-0000-0000-0000784C0000}"/>
    <cellStyle name="Nagłówek 3 2 25 3" xfId="19592" xr:uid="{00000000-0005-0000-0000-0000794C0000}"/>
    <cellStyle name="Nagłówek 3 2 25 4" xfId="19593" xr:uid="{00000000-0005-0000-0000-00007A4C0000}"/>
    <cellStyle name="Nagłówek 3 2 25 5" xfId="19594" xr:uid="{00000000-0005-0000-0000-00007B4C0000}"/>
    <cellStyle name="Nagłówek 3 2 25 6" xfId="19595" xr:uid="{00000000-0005-0000-0000-00007C4C0000}"/>
    <cellStyle name="Nagłówek 3 2 25 7" xfId="19596" xr:uid="{00000000-0005-0000-0000-00007D4C0000}"/>
    <cellStyle name="Nagłówek 3 2 26" xfId="19597" xr:uid="{00000000-0005-0000-0000-00007E4C0000}"/>
    <cellStyle name="Nagłówek 3 2 26 2" xfId="19598" xr:uid="{00000000-0005-0000-0000-00007F4C0000}"/>
    <cellStyle name="Nagłówek 3 2 26 3" xfId="19599" xr:uid="{00000000-0005-0000-0000-0000804C0000}"/>
    <cellStyle name="Nagłówek 3 2 26 4" xfId="19600" xr:uid="{00000000-0005-0000-0000-0000814C0000}"/>
    <cellStyle name="Nagłówek 3 2 26 5" xfId="19601" xr:uid="{00000000-0005-0000-0000-0000824C0000}"/>
    <cellStyle name="Nagłówek 3 2 26 6" xfId="19602" xr:uid="{00000000-0005-0000-0000-0000834C0000}"/>
    <cellStyle name="Nagłówek 3 2 26 7" xfId="19603" xr:uid="{00000000-0005-0000-0000-0000844C0000}"/>
    <cellStyle name="Nagłówek 3 2 27" xfId="19604" xr:uid="{00000000-0005-0000-0000-0000854C0000}"/>
    <cellStyle name="Nagłówek 3 2 27 2" xfId="19605" xr:uid="{00000000-0005-0000-0000-0000864C0000}"/>
    <cellStyle name="Nagłówek 3 2 27 3" xfId="19606" xr:uid="{00000000-0005-0000-0000-0000874C0000}"/>
    <cellStyle name="Nagłówek 3 2 27 4" xfId="19607" xr:uid="{00000000-0005-0000-0000-0000884C0000}"/>
    <cellStyle name="Nagłówek 3 2 27 5" xfId="19608" xr:uid="{00000000-0005-0000-0000-0000894C0000}"/>
    <cellStyle name="Nagłówek 3 2 27 6" xfId="19609" xr:uid="{00000000-0005-0000-0000-00008A4C0000}"/>
    <cellStyle name="Nagłówek 3 2 27 7" xfId="19610" xr:uid="{00000000-0005-0000-0000-00008B4C0000}"/>
    <cellStyle name="Nagłówek 3 2 28" xfId="19611" xr:uid="{00000000-0005-0000-0000-00008C4C0000}"/>
    <cellStyle name="Nagłówek 3 2 28 2" xfId="19612" xr:uid="{00000000-0005-0000-0000-00008D4C0000}"/>
    <cellStyle name="Nagłówek 3 2 28 3" xfId="19613" xr:uid="{00000000-0005-0000-0000-00008E4C0000}"/>
    <cellStyle name="Nagłówek 3 2 28 4" xfId="19614" xr:uid="{00000000-0005-0000-0000-00008F4C0000}"/>
    <cellStyle name="Nagłówek 3 2 28 5" xfId="19615" xr:uid="{00000000-0005-0000-0000-0000904C0000}"/>
    <cellStyle name="Nagłówek 3 2 28 6" xfId="19616" xr:uid="{00000000-0005-0000-0000-0000914C0000}"/>
    <cellStyle name="Nagłówek 3 2 28 7" xfId="19617" xr:uid="{00000000-0005-0000-0000-0000924C0000}"/>
    <cellStyle name="Nagłówek 3 2 29" xfId="19618" xr:uid="{00000000-0005-0000-0000-0000934C0000}"/>
    <cellStyle name="Nagłówek 3 2 29 2" xfId="19619" xr:uid="{00000000-0005-0000-0000-0000944C0000}"/>
    <cellStyle name="Nagłówek 3 2 3" xfId="19620" xr:uid="{00000000-0005-0000-0000-0000954C0000}"/>
    <cellStyle name="Nagłówek 3 2 3 2" xfId="19621" xr:uid="{00000000-0005-0000-0000-0000964C0000}"/>
    <cellStyle name="Nagłówek 3 2 3 3" xfId="19622" xr:uid="{00000000-0005-0000-0000-0000974C0000}"/>
    <cellStyle name="Nagłówek 3 2 3 4" xfId="19623" xr:uid="{00000000-0005-0000-0000-0000984C0000}"/>
    <cellStyle name="Nagłówek 3 2 3 5" xfId="19624" xr:uid="{00000000-0005-0000-0000-0000994C0000}"/>
    <cellStyle name="Nagłówek 3 2 3 6" xfId="19625" xr:uid="{00000000-0005-0000-0000-00009A4C0000}"/>
    <cellStyle name="Nagłówek 3 2 3 7" xfId="19626" xr:uid="{00000000-0005-0000-0000-00009B4C0000}"/>
    <cellStyle name="Nagłówek 3 2 30" xfId="19627" xr:uid="{00000000-0005-0000-0000-00009C4C0000}"/>
    <cellStyle name="Nagłówek 3 2 30 2" xfId="19628" xr:uid="{00000000-0005-0000-0000-00009D4C0000}"/>
    <cellStyle name="Nagłówek 3 2 31" xfId="19629" xr:uid="{00000000-0005-0000-0000-00009E4C0000}"/>
    <cellStyle name="Nagłówek 3 2 31 2" xfId="19630" xr:uid="{00000000-0005-0000-0000-00009F4C0000}"/>
    <cellStyle name="Nagłówek 3 2 32" xfId="19631" xr:uid="{00000000-0005-0000-0000-0000A04C0000}"/>
    <cellStyle name="Nagłówek 3 2 32 2" xfId="19632" xr:uid="{00000000-0005-0000-0000-0000A14C0000}"/>
    <cellStyle name="Nagłówek 3 2 33" xfId="19633" xr:uid="{00000000-0005-0000-0000-0000A24C0000}"/>
    <cellStyle name="Nagłówek 3 2 34" xfId="19634" xr:uid="{00000000-0005-0000-0000-0000A34C0000}"/>
    <cellStyle name="Nagłówek 3 2 35" xfId="19635" xr:uid="{00000000-0005-0000-0000-0000A44C0000}"/>
    <cellStyle name="Nagłówek 3 2 36" xfId="19636" xr:uid="{00000000-0005-0000-0000-0000A54C0000}"/>
    <cellStyle name="Nagłówek 3 2 37" xfId="19637" xr:uid="{00000000-0005-0000-0000-0000A64C0000}"/>
    <cellStyle name="Nagłówek 3 2 38" xfId="19638" xr:uid="{00000000-0005-0000-0000-0000A74C0000}"/>
    <cellStyle name="Nagłówek 3 2 39" xfId="19639" xr:uid="{00000000-0005-0000-0000-0000A84C0000}"/>
    <cellStyle name="Nagłówek 3 2 4" xfId="19640" xr:uid="{00000000-0005-0000-0000-0000A94C0000}"/>
    <cellStyle name="Nagłówek 3 2 4 2" xfId="19641" xr:uid="{00000000-0005-0000-0000-0000AA4C0000}"/>
    <cellStyle name="Nagłówek 3 2 4 3" xfId="19642" xr:uid="{00000000-0005-0000-0000-0000AB4C0000}"/>
    <cellStyle name="Nagłówek 3 2 4 4" xfId="19643" xr:uid="{00000000-0005-0000-0000-0000AC4C0000}"/>
    <cellStyle name="Nagłówek 3 2 4 5" xfId="19644" xr:uid="{00000000-0005-0000-0000-0000AD4C0000}"/>
    <cellStyle name="Nagłówek 3 2 4 6" xfId="19645" xr:uid="{00000000-0005-0000-0000-0000AE4C0000}"/>
    <cellStyle name="Nagłówek 3 2 4 7" xfId="19646" xr:uid="{00000000-0005-0000-0000-0000AF4C0000}"/>
    <cellStyle name="Nagłówek 3 2 40" xfId="19647" xr:uid="{00000000-0005-0000-0000-0000B04C0000}"/>
    <cellStyle name="Nagłówek 3 2 41" xfId="19648" xr:uid="{00000000-0005-0000-0000-0000B14C0000}"/>
    <cellStyle name="Nagłówek 3 2 42" xfId="19649" xr:uid="{00000000-0005-0000-0000-0000B24C0000}"/>
    <cellStyle name="Nagłówek 3 2 43" xfId="19650" xr:uid="{00000000-0005-0000-0000-0000B34C0000}"/>
    <cellStyle name="Nagłówek 3 2 44" xfId="19651" xr:uid="{00000000-0005-0000-0000-0000B44C0000}"/>
    <cellStyle name="Nagłówek 3 2 45" xfId="19652" xr:uid="{00000000-0005-0000-0000-0000B54C0000}"/>
    <cellStyle name="Nagłówek 3 2 46" xfId="19653" xr:uid="{00000000-0005-0000-0000-0000B64C0000}"/>
    <cellStyle name="Nagłówek 3 2 47" xfId="19654" xr:uid="{00000000-0005-0000-0000-0000B74C0000}"/>
    <cellStyle name="Nagłówek 3 2 48" xfId="19655" xr:uid="{00000000-0005-0000-0000-0000B84C0000}"/>
    <cellStyle name="Nagłówek 3 2 49" xfId="19656" xr:uid="{00000000-0005-0000-0000-0000B94C0000}"/>
    <cellStyle name="Nagłówek 3 2 5" xfId="19657" xr:uid="{00000000-0005-0000-0000-0000BA4C0000}"/>
    <cellStyle name="Nagłówek 3 2 5 2" xfId="19658" xr:uid="{00000000-0005-0000-0000-0000BB4C0000}"/>
    <cellStyle name="Nagłówek 3 2 5 3" xfId="19659" xr:uid="{00000000-0005-0000-0000-0000BC4C0000}"/>
    <cellStyle name="Nagłówek 3 2 5 4" xfId="19660" xr:uid="{00000000-0005-0000-0000-0000BD4C0000}"/>
    <cellStyle name="Nagłówek 3 2 5 5" xfId="19661" xr:uid="{00000000-0005-0000-0000-0000BE4C0000}"/>
    <cellStyle name="Nagłówek 3 2 5 6" xfId="19662" xr:uid="{00000000-0005-0000-0000-0000BF4C0000}"/>
    <cellStyle name="Nagłówek 3 2 5 7" xfId="19663" xr:uid="{00000000-0005-0000-0000-0000C04C0000}"/>
    <cellStyle name="Nagłówek 3 2 50" xfId="19664" xr:uid="{00000000-0005-0000-0000-0000C14C0000}"/>
    <cellStyle name="Nagłówek 3 2 51" xfId="19665" xr:uid="{00000000-0005-0000-0000-0000C24C0000}"/>
    <cellStyle name="Nagłówek 3 2 52" xfId="19666" xr:uid="{00000000-0005-0000-0000-0000C34C0000}"/>
    <cellStyle name="Nagłówek 3 2 53" xfId="19667" xr:uid="{00000000-0005-0000-0000-0000C44C0000}"/>
    <cellStyle name="Nagłówek 3 2 6" xfId="19668" xr:uid="{00000000-0005-0000-0000-0000C54C0000}"/>
    <cellStyle name="Nagłówek 3 2 6 2" xfId="19669" xr:uid="{00000000-0005-0000-0000-0000C64C0000}"/>
    <cellStyle name="Nagłówek 3 2 6 3" xfId="19670" xr:uid="{00000000-0005-0000-0000-0000C74C0000}"/>
    <cellStyle name="Nagłówek 3 2 6 4" xfId="19671" xr:uid="{00000000-0005-0000-0000-0000C84C0000}"/>
    <cellStyle name="Nagłówek 3 2 6 5" xfId="19672" xr:uid="{00000000-0005-0000-0000-0000C94C0000}"/>
    <cellStyle name="Nagłówek 3 2 6 6" xfId="19673" xr:uid="{00000000-0005-0000-0000-0000CA4C0000}"/>
    <cellStyle name="Nagłówek 3 2 6 7" xfId="19674" xr:uid="{00000000-0005-0000-0000-0000CB4C0000}"/>
    <cellStyle name="Nagłówek 3 2 7" xfId="19675" xr:uid="{00000000-0005-0000-0000-0000CC4C0000}"/>
    <cellStyle name="Nagłówek 3 2 7 2" xfId="19676" xr:uid="{00000000-0005-0000-0000-0000CD4C0000}"/>
    <cellStyle name="Nagłówek 3 2 7 3" xfId="19677" xr:uid="{00000000-0005-0000-0000-0000CE4C0000}"/>
    <cellStyle name="Nagłówek 3 2 7 4" xfId="19678" xr:uid="{00000000-0005-0000-0000-0000CF4C0000}"/>
    <cellStyle name="Nagłówek 3 2 7 5" xfId="19679" xr:uid="{00000000-0005-0000-0000-0000D04C0000}"/>
    <cellStyle name="Nagłówek 3 2 7 6" xfId="19680" xr:uid="{00000000-0005-0000-0000-0000D14C0000}"/>
    <cellStyle name="Nagłówek 3 2 7 7" xfId="19681" xr:uid="{00000000-0005-0000-0000-0000D24C0000}"/>
    <cellStyle name="Nagłówek 3 2 8" xfId="19682" xr:uid="{00000000-0005-0000-0000-0000D34C0000}"/>
    <cellStyle name="Nagłówek 3 2 8 2" xfId="19683" xr:uid="{00000000-0005-0000-0000-0000D44C0000}"/>
    <cellStyle name="Nagłówek 3 2 8 3" xfId="19684" xr:uid="{00000000-0005-0000-0000-0000D54C0000}"/>
    <cellStyle name="Nagłówek 3 2 8 4" xfId="19685" xr:uid="{00000000-0005-0000-0000-0000D64C0000}"/>
    <cellStyle name="Nagłówek 3 2 8 5" xfId="19686" xr:uid="{00000000-0005-0000-0000-0000D74C0000}"/>
    <cellStyle name="Nagłówek 3 2 8 6" xfId="19687" xr:uid="{00000000-0005-0000-0000-0000D84C0000}"/>
    <cellStyle name="Nagłówek 3 2 8 7" xfId="19688" xr:uid="{00000000-0005-0000-0000-0000D94C0000}"/>
    <cellStyle name="Nagłówek 3 2 9" xfId="19689" xr:uid="{00000000-0005-0000-0000-0000DA4C0000}"/>
    <cellStyle name="Nagłówek 3 2 9 2" xfId="19690" xr:uid="{00000000-0005-0000-0000-0000DB4C0000}"/>
    <cellStyle name="Nagłówek 3 2 9 3" xfId="19691" xr:uid="{00000000-0005-0000-0000-0000DC4C0000}"/>
    <cellStyle name="Nagłówek 3 2 9 4" xfId="19692" xr:uid="{00000000-0005-0000-0000-0000DD4C0000}"/>
    <cellStyle name="Nagłówek 3 2 9 5" xfId="19693" xr:uid="{00000000-0005-0000-0000-0000DE4C0000}"/>
    <cellStyle name="Nagłówek 3 2 9 6" xfId="19694" xr:uid="{00000000-0005-0000-0000-0000DF4C0000}"/>
    <cellStyle name="Nagłówek 3 2 9 7" xfId="19695" xr:uid="{00000000-0005-0000-0000-0000E04C0000}"/>
    <cellStyle name="Nagłówek 3 3" xfId="19696" xr:uid="{00000000-0005-0000-0000-0000E14C0000}"/>
    <cellStyle name="Nagłówek 3 3 2" xfId="19697" xr:uid="{00000000-0005-0000-0000-0000E24C0000}"/>
    <cellStyle name="Nagłówek 3 3 2 2" xfId="19698" xr:uid="{00000000-0005-0000-0000-0000E34C0000}"/>
    <cellStyle name="Nagłówek 3 3 3" xfId="19699" xr:uid="{00000000-0005-0000-0000-0000E44C0000}"/>
    <cellStyle name="Nagłówek 3 3 4" xfId="19700" xr:uid="{00000000-0005-0000-0000-0000E54C0000}"/>
    <cellStyle name="Nagłówek 3 3 5" xfId="19701" xr:uid="{00000000-0005-0000-0000-0000E64C0000}"/>
    <cellStyle name="Nagłówek 3 4" xfId="19702" xr:uid="{00000000-0005-0000-0000-0000E74C0000}"/>
    <cellStyle name="Nagłówek 3 4 2" xfId="19703" xr:uid="{00000000-0005-0000-0000-0000E84C0000}"/>
    <cellStyle name="Nagłówek 3 4 3" xfId="19704" xr:uid="{00000000-0005-0000-0000-0000E94C0000}"/>
    <cellStyle name="Nagłówek 3 4 4" xfId="19705" xr:uid="{00000000-0005-0000-0000-0000EA4C0000}"/>
    <cellStyle name="Nagłówek 3 4 5" xfId="19706" xr:uid="{00000000-0005-0000-0000-0000EB4C0000}"/>
    <cellStyle name="Nagłówek 3 5" xfId="19707" xr:uid="{00000000-0005-0000-0000-0000EC4C0000}"/>
    <cellStyle name="Nagłówek 3 5 2" xfId="19708" xr:uid="{00000000-0005-0000-0000-0000ED4C0000}"/>
    <cellStyle name="Nagłówek 3 5 3" xfId="19709" xr:uid="{00000000-0005-0000-0000-0000EE4C0000}"/>
    <cellStyle name="Nagłówek 3 6" xfId="19710" xr:uid="{00000000-0005-0000-0000-0000EF4C0000}"/>
    <cellStyle name="Nagłówek 3 6 2" xfId="19711" xr:uid="{00000000-0005-0000-0000-0000F04C0000}"/>
    <cellStyle name="Nagłówek 3 7" xfId="19712" xr:uid="{00000000-0005-0000-0000-0000F14C0000}"/>
    <cellStyle name="Nagłówek 4 2" xfId="19713" xr:uid="{00000000-0005-0000-0000-0000F24C0000}"/>
    <cellStyle name="Nagłówek 4 2 10" xfId="19714" xr:uid="{00000000-0005-0000-0000-0000F34C0000}"/>
    <cellStyle name="Nagłówek 4 2 10 2" xfId="19715" xr:uid="{00000000-0005-0000-0000-0000F44C0000}"/>
    <cellStyle name="Nagłówek 4 2 10 3" xfId="19716" xr:uid="{00000000-0005-0000-0000-0000F54C0000}"/>
    <cellStyle name="Nagłówek 4 2 10 4" xfId="19717" xr:uid="{00000000-0005-0000-0000-0000F64C0000}"/>
    <cellStyle name="Nagłówek 4 2 10 5" xfId="19718" xr:uid="{00000000-0005-0000-0000-0000F74C0000}"/>
    <cellStyle name="Nagłówek 4 2 10 6" xfId="19719" xr:uid="{00000000-0005-0000-0000-0000F84C0000}"/>
    <cellStyle name="Nagłówek 4 2 10 7" xfId="19720" xr:uid="{00000000-0005-0000-0000-0000F94C0000}"/>
    <cellStyle name="Nagłówek 4 2 11" xfId="19721" xr:uid="{00000000-0005-0000-0000-0000FA4C0000}"/>
    <cellStyle name="Nagłówek 4 2 11 2" xfId="19722" xr:uid="{00000000-0005-0000-0000-0000FB4C0000}"/>
    <cellStyle name="Nagłówek 4 2 11 3" xfId="19723" xr:uid="{00000000-0005-0000-0000-0000FC4C0000}"/>
    <cellStyle name="Nagłówek 4 2 11 4" xfId="19724" xr:uid="{00000000-0005-0000-0000-0000FD4C0000}"/>
    <cellStyle name="Nagłówek 4 2 11 5" xfId="19725" xr:uid="{00000000-0005-0000-0000-0000FE4C0000}"/>
    <cellStyle name="Nagłówek 4 2 11 6" xfId="19726" xr:uid="{00000000-0005-0000-0000-0000FF4C0000}"/>
    <cellStyle name="Nagłówek 4 2 11 7" xfId="19727" xr:uid="{00000000-0005-0000-0000-0000004D0000}"/>
    <cellStyle name="Nagłówek 4 2 12" xfId="19728" xr:uid="{00000000-0005-0000-0000-0000014D0000}"/>
    <cellStyle name="Nagłówek 4 2 12 2" xfId="19729" xr:uid="{00000000-0005-0000-0000-0000024D0000}"/>
    <cellStyle name="Nagłówek 4 2 12 3" xfId="19730" xr:uid="{00000000-0005-0000-0000-0000034D0000}"/>
    <cellStyle name="Nagłówek 4 2 12 4" xfId="19731" xr:uid="{00000000-0005-0000-0000-0000044D0000}"/>
    <cellStyle name="Nagłówek 4 2 12 5" xfId="19732" xr:uid="{00000000-0005-0000-0000-0000054D0000}"/>
    <cellStyle name="Nagłówek 4 2 12 6" xfId="19733" xr:uid="{00000000-0005-0000-0000-0000064D0000}"/>
    <cellStyle name="Nagłówek 4 2 12 7" xfId="19734" xr:uid="{00000000-0005-0000-0000-0000074D0000}"/>
    <cellStyle name="Nagłówek 4 2 13" xfId="19735" xr:uid="{00000000-0005-0000-0000-0000084D0000}"/>
    <cellStyle name="Nagłówek 4 2 13 2" xfId="19736" xr:uid="{00000000-0005-0000-0000-0000094D0000}"/>
    <cellStyle name="Nagłówek 4 2 13 3" xfId="19737" xr:uid="{00000000-0005-0000-0000-00000A4D0000}"/>
    <cellStyle name="Nagłówek 4 2 13 4" xfId="19738" xr:uid="{00000000-0005-0000-0000-00000B4D0000}"/>
    <cellStyle name="Nagłówek 4 2 13 5" xfId="19739" xr:uid="{00000000-0005-0000-0000-00000C4D0000}"/>
    <cellStyle name="Nagłówek 4 2 13 6" xfId="19740" xr:uid="{00000000-0005-0000-0000-00000D4D0000}"/>
    <cellStyle name="Nagłówek 4 2 13 7" xfId="19741" xr:uid="{00000000-0005-0000-0000-00000E4D0000}"/>
    <cellStyle name="Nagłówek 4 2 14" xfId="19742" xr:uid="{00000000-0005-0000-0000-00000F4D0000}"/>
    <cellStyle name="Nagłówek 4 2 14 2" xfId="19743" xr:uid="{00000000-0005-0000-0000-0000104D0000}"/>
    <cellStyle name="Nagłówek 4 2 14 3" xfId="19744" xr:uid="{00000000-0005-0000-0000-0000114D0000}"/>
    <cellStyle name="Nagłówek 4 2 14 4" xfId="19745" xr:uid="{00000000-0005-0000-0000-0000124D0000}"/>
    <cellStyle name="Nagłówek 4 2 14 5" xfId="19746" xr:uid="{00000000-0005-0000-0000-0000134D0000}"/>
    <cellStyle name="Nagłówek 4 2 14 6" xfId="19747" xr:uid="{00000000-0005-0000-0000-0000144D0000}"/>
    <cellStyle name="Nagłówek 4 2 14 7" xfId="19748" xr:uid="{00000000-0005-0000-0000-0000154D0000}"/>
    <cellStyle name="Nagłówek 4 2 15" xfId="19749" xr:uid="{00000000-0005-0000-0000-0000164D0000}"/>
    <cellStyle name="Nagłówek 4 2 15 2" xfId="19750" xr:uid="{00000000-0005-0000-0000-0000174D0000}"/>
    <cellStyle name="Nagłówek 4 2 15 3" xfId="19751" xr:uid="{00000000-0005-0000-0000-0000184D0000}"/>
    <cellStyle name="Nagłówek 4 2 15 4" xfId="19752" xr:uid="{00000000-0005-0000-0000-0000194D0000}"/>
    <cellStyle name="Nagłówek 4 2 15 5" xfId="19753" xr:uid="{00000000-0005-0000-0000-00001A4D0000}"/>
    <cellStyle name="Nagłówek 4 2 15 6" xfId="19754" xr:uid="{00000000-0005-0000-0000-00001B4D0000}"/>
    <cellStyle name="Nagłówek 4 2 15 7" xfId="19755" xr:uid="{00000000-0005-0000-0000-00001C4D0000}"/>
    <cellStyle name="Nagłówek 4 2 16" xfId="19756" xr:uid="{00000000-0005-0000-0000-00001D4D0000}"/>
    <cellStyle name="Nagłówek 4 2 16 2" xfId="19757" xr:uid="{00000000-0005-0000-0000-00001E4D0000}"/>
    <cellStyle name="Nagłówek 4 2 16 3" xfId="19758" xr:uid="{00000000-0005-0000-0000-00001F4D0000}"/>
    <cellStyle name="Nagłówek 4 2 16 4" xfId="19759" xr:uid="{00000000-0005-0000-0000-0000204D0000}"/>
    <cellStyle name="Nagłówek 4 2 16 5" xfId="19760" xr:uid="{00000000-0005-0000-0000-0000214D0000}"/>
    <cellStyle name="Nagłówek 4 2 16 6" xfId="19761" xr:uid="{00000000-0005-0000-0000-0000224D0000}"/>
    <cellStyle name="Nagłówek 4 2 16 7" xfId="19762" xr:uid="{00000000-0005-0000-0000-0000234D0000}"/>
    <cellStyle name="Nagłówek 4 2 17" xfId="19763" xr:uid="{00000000-0005-0000-0000-0000244D0000}"/>
    <cellStyle name="Nagłówek 4 2 17 2" xfId="19764" xr:uid="{00000000-0005-0000-0000-0000254D0000}"/>
    <cellStyle name="Nagłówek 4 2 17 3" xfId="19765" xr:uid="{00000000-0005-0000-0000-0000264D0000}"/>
    <cellStyle name="Nagłówek 4 2 17 4" xfId="19766" xr:uid="{00000000-0005-0000-0000-0000274D0000}"/>
    <cellStyle name="Nagłówek 4 2 17 5" xfId="19767" xr:uid="{00000000-0005-0000-0000-0000284D0000}"/>
    <cellStyle name="Nagłówek 4 2 17 6" xfId="19768" xr:uid="{00000000-0005-0000-0000-0000294D0000}"/>
    <cellStyle name="Nagłówek 4 2 17 7" xfId="19769" xr:uid="{00000000-0005-0000-0000-00002A4D0000}"/>
    <cellStyle name="Nagłówek 4 2 18" xfId="19770" xr:uid="{00000000-0005-0000-0000-00002B4D0000}"/>
    <cellStyle name="Nagłówek 4 2 18 2" xfId="19771" xr:uid="{00000000-0005-0000-0000-00002C4D0000}"/>
    <cellStyle name="Nagłówek 4 2 18 3" xfId="19772" xr:uid="{00000000-0005-0000-0000-00002D4D0000}"/>
    <cellStyle name="Nagłówek 4 2 18 4" xfId="19773" xr:uid="{00000000-0005-0000-0000-00002E4D0000}"/>
    <cellStyle name="Nagłówek 4 2 18 5" xfId="19774" xr:uid="{00000000-0005-0000-0000-00002F4D0000}"/>
    <cellStyle name="Nagłówek 4 2 18 6" xfId="19775" xr:uid="{00000000-0005-0000-0000-0000304D0000}"/>
    <cellStyle name="Nagłówek 4 2 18 7" xfId="19776" xr:uid="{00000000-0005-0000-0000-0000314D0000}"/>
    <cellStyle name="Nagłówek 4 2 19" xfId="19777" xr:uid="{00000000-0005-0000-0000-0000324D0000}"/>
    <cellStyle name="Nagłówek 4 2 19 2" xfId="19778" xr:uid="{00000000-0005-0000-0000-0000334D0000}"/>
    <cellStyle name="Nagłówek 4 2 19 3" xfId="19779" xr:uid="{00000000-0005-0000-0000-0000344D0000}"/>
    <cellStyle name="Nagłówek 4 2 19 4" xfId="19780" xr:uid="{00000000-0005-0000-0000-0000354D0000}"/>
    <cellStyle name="Nagłówek 4 2 19 5" xfId="19781" xr:uid="{00000000-0005-0000-0000-0000364D0000}"/>
    <cellStyle name="Nagłówek 4 2 19 6" xfId="19782" xr:uid="{00000000-0005-0000-0000-0000374D0000}"/>
    <cellStyle name="Nagłówek 4 2 19 7" xfId="19783" xr:uid="{00000000-0005-0000-0000-0000384D0000}"/>
    <cellStyle name="Nagłówek 4 2 2" xfId="19784" xr:uid="{00000000-0005-0000-0000-0000394D0000}"/>
    <cellStyle name="Nagłówek 4 2 2 2" xfId="19785" xr:uid="{00000000-0005-0000-0000-00003A4D0000}"/>
    <cellStyle name="Nagłówek 4 2 2 3" xfId="19786" xr:uid="{00000000-0005-0000-0000-00003B4D0000}"/>
    <cellStyle name="Nagłówek 4 2 2 4" xfId="19787" xr:uid="{00000000-0005-0000-0000-00003C4D0000}"/>
    <cellStyle name="Nagłówek 4 2 2 5" xfId="19788" xr:uid="{00000000-0005-0000-0000-00003D4D0000}"/>
    <cellStyle name="Nagłówek 4 2 2 6" xfId="19789" xr:uid="{00000000-0005-0000-0000-00003E4D0000}"/>
    <cellStyle name="Nagłówek 4 2 2 7" xfId="19790" xr:uid="{00000000-0005-0000-0000-00003F4D0000}"/>
    <cellStyle name="Nagłówek 4 2 2 8" xfId="19791" xr:uid="{00000000-0005-0000-0000-0000404D0000}"/>
    <cellStyle name="Nagłówek 4 2 20" xfId="19792" xr:uid="{00000000-0005-0000-0000-0000414D0000}"/>
    <cellStyle name="Nagłówek 4 2 20 2" xfId="19793" xr:uid="{00000000-0005-0000-0000-0000424D0000}"/>
    <cellStyle name="Nagłówek 4 2 20 3" xfId="19794" xr:uid="{00000000-0005-0000-0000-0000434D0000}"/>
    <cellStyle name="Nagłówek 4 2 20 4" xfId="19795" xr:uid="{00000000-0005-0000-0000-0000444D0000}"/>
    <cellStyle name="Nagłówek 4 2 20 5" xfId="19796" xr:uid="{00000000-0005-0000-0000-0000454D0000}"/>
    <cellStyle name="Nagłówek 4 2 20 6" xfId="19797" xr:uid="{00000000-0005-0000-0000-0000464D0000}"/>
    <cellStyle name="Nagłówek 4 2 20 7" xfId="19798" xr:uid="{00000000-0005-0000-0000-0000474D0000}"/>
    <cellStyle name="Nagłówek 4 2 21" xfId="19799" xr:uid="{00000000-0005-0000-0000-0000484D0000}"/>
    <cellStyle name="Nagłówek 4 2 21 2" xfId="19800" xr:uid="{00000000-0005-0000-0000-0000494D0000}"/>
    <cellStyle name="Nagłówek 4 2 21 3" xfId="19801" xr:uid="{00000000-0005-0000-0000-00004A4D0000}"/>
    <cellStyle name="Nagłówek 4 2 21 4" xfId="19802" xr:uid="{00000000-0005-0000-0000-00004B4D0000}"/>
    <cellStyle name="Nagłówek 4 2 21 5" xfId="19803" xr:uid="{00000000-0005-0000-0000-00004C4D0000}"/>
    <cellStyle name="Nagłówek 4 2 21 6" xfId="19804" xr:uid="{00000000-0005-0000-0000-00004D4D0000}"/>
    <cellStyle name="Nagłówek 4 2 21 7" xfId="19805" xr:uid="{00000000-0005-0000-0000-00004E4D0000}"/>
    <cellStyle name="Nagłówek 4 2 22" xfId="19806" xr:uid="{00000000-0005-0000-0000-00004F4D0000}"/>
    <cellStyle name="Nagłówek 4 2 22 2" xfId="19807" xr:uid="{00000000-0005-0000-0000-0000504D0000}"/>
    <cellStyle name="Nagłówek 4 2 22 3" xfId="19808" xr:uid="{00000000-0005-0000-0000-0000514D0000}"/>
    <cellStyle name="Nagłówek 4 2 22 4" xfId="19809" xr:uid="{00000000-0005-0000-0000-0000524D0000}"/>
    <cellStyle name="Nagłówek 4 2 22 5" xfId="19810" xr:uid="{00000000-0005-0000-0000-0000534D0000}"/>
    <cellStyle name="Nagłówek 4 2 22 6" xfId="19811" xr:uid="{00000000-0005-0000-0000-0000544D0000}"/>
    <cellStyle name="Nagłówek 4 2 22 7" xfId="19812" xr:uid="{00000000-0005-0000-0000-0000554D0000}"/>
    <cellStyle name="Nagłówek 4 2 23" xfId="19813" xr:uid="{00000000-0005-0000-0000-0000564D0000}"/>
    <cellStyle name="Nagłówek 4 2 23 2" xfId="19814" xr:uid="{00000000-0005-0000-0000-0000574D0000}"/>
    <cellStyle name="Nagłówek 4 2 23 3" xfId="19815" xr:uid="{00000000-0005-0000-0000-0000584D0000}"/>
    <cellStyle name="Nagłówek 4 2 23 4" xfId="19816" xr:uid="{00000000-0005-0000-0000-0000594D0000}"/>
    <cellStyle name="Nagłówek 4 2 23 5" xfId="19817" xr:uid="{00000000-0005-0000-0000-00005A4D0000}"/>
    <cellStyle name="Nagłówek 4 2 23 6" xfId="19818" xr:uid="{00000000-0005-0000-0000-00005B4D0000}"/>
    <cellStyle name="Nagłówek 4 2 23 7" xfId="19819" xr:uid="{00000000-0005-0000-0000-00005C4D0000}"/>
    <cellStyle name="Nagłówek 4 2 24" xfId="19820" xr:uid="{00000000-0005-0000-0000-00005D4D0000}"/>
    <cellStyle name="Nagłówek 4 2 24 2" xfId="19821" xr:uid="{00000000-0005-0000-0000-00005E4D0000}"/>
    <cellStyle name="Nagłówek 4 2 24 3" xfId="19822" xr:uid="{00000000-0005-0000-0000-00005F4D0000}"/>
    <cellStyle name="Nagłówek 4 2 24 4" xfId="19823" xr:uid="{00000000-0005-0000-0000-0000604D0000}"/>
    <cellStyle name="Nagłówek 4 2 24 5" xfId="19824" xr:uid="{00000000-0005-0000-0000-0000614D0000}"/>
    <cellStyle name="Nagłówek 4 2 24 6" xfId="19825" xr:uid="{00000000-0005-0000-0000-0000624D0000}"/>
    <cellStyle name="Nagłówek 4 2 24 7" xfId="19826" xr:uid="{00000000-0005-0000-0000-0000634D0000}"/>
    <cellStyle name="Nagłówek 4 2 25" xfId="19827" xr:uid="{00000000-0005-0000-0000-0000644D0000}"/>
    <cellStyle name="Nagłówek 4 2 25 2" xfId="19828" xr:uid="{00000000-0005-0000-0000-0000654D0000}"/>
    <cellStyle name="Nagłówek 4 2 25 3" xfId="19829" xr:uid="{00000000-0005-0000-0000-0000664D0000}"/>
    <cellStyle name="Nagłówek 4 2 25 4" xfId="19830" xr:uid="{00000000-0005-0000-0000-0000674D0000}"/>
    <cellStyle name="Nagłówek 4 2 25 5" xfId="19831" xr:uid="{00000000-0005-0000-0000-0000684D0000}"/>
    <cellStyle name="Nagłówek 4 2 25 6" xfId="19832" xr:uid="{00000000-0005-0000-0000-0000694D0000}"/>
    <cellStyle name="Nagłówek 4 2 25 7" xfId="19833" xr:uid="{00000000-0005-0000-0000-00006A4D0000}"/>
    <cellStyle name="Nagłówek 4 2 26" xfId="19834" xr:uid="{00000000-0005-0000-0000-00006B4D0000}"/>
    <cellStyle name="Nagłówek 4 2 26 2" xfId="19835" xr:uid="{00000000-0005-0000-0000-00006C4D0000}"/>
    <cellStyle name="Nagłówek 4 2 26 3" xfId="19836" xr:uid="{00000000-0005-0000-0000-00006D4D0000}"/>
    <cellStyle name="Nagłówek 4 2 26 4" xfId="19837" xr:uid="{00000000-0005-0000-0000-00006E4D0000}"/>
    <cellStyle name="Nagłówek 4 2 26 5" xfId="19838" xr:uid="{00000000-0005-0000-0000-00006F4D0000}"/>
    <cellStyle name="Nagłówek 4 2 26 6" xfId="19839" xr:uid="{00000000-0005-0000-0000-0000704D0000}"/>
    <cellStyle name="Nagłówek 4 2 26 7" xfId="19840" xr:uid="{00000000-0005-0000-0000-0000714D0000}"/>
    <cellStyle name="Nagłówek 4 2 27" xfId="19841" xr:uid="{00000000-0005-0000-0000-0000724D0000}"/>
    <cellStyle name="Nagłówek 4 2 27 2" xfId="19842" xr:uid="{00000000-0005-0000-0000-0000734D0000}"/>
    <cellStyle name="Nagłówek 4 2 27 3" xfId="19843" xr:uid="{00000000-0005-0000-0000-0000744D0000}"/>
    <cellStyle name="Nagłówek 4 2 27 4" xfId="19844" xr:uid="{00000000-0005-0000-0000-0000754D0000}"/>
    <cellStyle name="Nagłówek 4 2 27 5" xfId="19845" xr:uid="{00000000-0005-0000-0000-0000764D0000}"/>
    <cellStyle name="Nagłówek 4 2 27 6" xfId="19846" xr:uid="{00000000-0005-0000-0000-0000774D0000}"/>
    <cellStyle name="Nagłówek 4 2 27 7" xfId="19847" xr:uid="{00000000-0005-0000-0000-0000784D0000}"/>
    <cellStyle name="Nagłówek 4 2 28" xfId="19848" xr:uid="{00000000-0005-0000-0000-0000794D0000}"/>
    <cellStyle name="Nagłówek 4 2 28 2" xfId="19849" xr:uid="{00000000-0005-0000-0000-00007A4D0000}"/>
    <cellStyle name="Nagłówek 4 2 28 3" xfId="19850" xr:uid="{00000000-0005-0000-0000-00007B4D0000}"/>
    <cellStyle name="Nagłówek 4 2 28 4" xfId="19851" xr:uid="{00000000-0005-0000-0000-00007C4D0000}"/>
    <cellStyle name="Nagłówek 4 2 28 5" xfId="19852" xr:uid="{00000000-0005-0000-0000-00007D4D0000}"/>
    <cellStyle name="Nagłówek 4 2 28 6" xfId="19853" xr:uid="{00000000-0005-0000-0000-00007E4D0000}"/>
    <cellStyle name="Nagłówek 4 2 28 7" xfId="19854" xr:uid="{00000000-0005-0000-0000-00007F4D0000}"/>
    <cellStyle name="Nagłówek 4 2 29" xfId="19855" xr:uid="{00000000-0005-0000-0000-0000804D0000}"/>
    <cellStyle name="Nagłówek 4 2 29 2" xfId="19856" xr:uid="{00000000-0005-0000-0000-0000814D0000}"/>
    <cellStyle name="Nagłówek 4 2 3" xfId="19857" xr:uid="{00000000-0005-0000-0000-0000824D0000}"/>
    <cellStyle name="Nagłówek 4 2 3 2" xfId="19858" xr:uid="{00000000-0005-0000-0000-0000834D0000}"/>
    <cellStyle name="Nagłówek 4 2 3 3" xfId="19859" xr:uid="{00000000-0005-0000-0000-0000844D0000}"/>
    <cellStyle name="Nagłówek 4 2 3 4" xfId="19860" xr:uid="{00000000-0005-0000-0000-0000854D0000}"/>
    <cellStyle name="Nagłówek 4 2 3 5" xfId="19861" xr:uid="{00000000-0005-0000-0000-0000864D0000}"/>
    <cellStyle name="Nagłówek 4 2 3 6" xfId="19862" xr:uid="{00000000-0005-0000-0000-0000874D0000}"/>
    <cellStyle name="Nagłówek 4 2 3 7" xfId="19863" xr:uid="{00000000-0005-0000-0000-0000884D0000}"/>
    <cellStyle name="Nagłówek 4 2 30" xfId="19864" xr:uid="{00000000-0005-0000-0000-0000894D0000}"/>
    <cellStyle name="Nagłówek 4 2 30 2" xfId="19865" xr:uid="{00000000-0005-0000-0000-00008A4D0000}"/>
    <cellStyle name="Nagłówek 4 2 31" xfId="19866" xr:uid="{00000000-0005-0000-0000-00008B4D0000}"/>
    <cellStyle name="Nagłówek 4 2 31 2" xfId="19867" xr:uid="{00000000-0005-0000-0000-00008C4D0000}"/>
    <cellStyle name="Nagłówek 4 2 32" xfId="19868" xr:uid="{00000000-0005-0000-0000-00008D4D0000}"/>
    <cellStyle name="Nagłówek 4 2 32 2" xfId="19869" xr:uid="{00000000-0005-0000-0000-00008E4D0000}"/>
    <cellStyle name="Nagłówek 4 2 33" xfId="19870" xr:uid="{00000000-0005-0000-0000-00008F4D0000}"/>
    <cellStyle name="Nagłówek 4 2 34" xfId="19871" xr:uid="{00000000-0005-0000-0000-0000904D0000}"/>
    <cellStyle name="Nagłówek 4 2 35" xfId="19872" xr:uid="{00000000-0005-0000-0000-0000914D0000}"/>
    <cellStyle name="Nagłówek 4 2 36" xfId="19873" xr:uid="{00000000-0005-0000-0000-0000924D0000}"/>
    <cellStyle name="Nagłówek 4 2 37" xfId="19874" xr:uid="{00000000-0005-0000-0000-0000934D0000}"/>
    <cellStyle name="Nagłówek 4 2 38" xfId="19875" xr:uid="{00000000-0005-0000-0000-0000944D0000}"/>
    <cellStyle name="Nagłówek 4 2 39" xfId="19876" xr:uid="{00000000-0005-0000-0000-0000954D0000}"/>
    <cellStyle name="Nagłówek 4 2 4" xfId="19877" xr:uid="{00000000-0005-0000-0000-0000964D0000}"/>
    <cellStyle name="Nagłówek 4 2 4 2" xfId="19878" xr:uid="{00000000-0005-0000-0000-0000974D0000}"/>
    <cellStyle name="Nagłówek 4 2 4 3" xfId="19879" xr:uid="{00000000-0005-0000-0000-0000984D0000}"/>
    <cellStyle name="Nagłówek 4 2 4 4" xfId="19880" xr:uid="{00000000-0005-0000-0000-0000994D0000}"/>
    <cellStyle name="Nagłówek 4 2 4 5" xfId="19881" xr:uid="{00000000-0005-0000-0000-00009A4D0000}"/>
    <cellStyle name="Nagłówek 4 2 4 6" xfId="19882" xr:uid="{00000000-0005-0000-0000-00009B4D0000}"/>
    <cellStyle name="Nagłówek 4 2 4 7" xfId="19883" xr:uid="{00000000-0005-0000-0000-00009C4D0000}"/>
    <cellStyle name="Nagłówek 4 2 40" xfId="19884" xr:uid="{00000000-0005-0000-0000-00009D4D0000}"/>
    <cellStyle name="Nagłówek 4 2 41" xfId="19885" xr:uid="{00000000-0005-0000-0000-00009E4D0000}"/>
    <cellStyle name="Nagłówek 4 2 42" xfId="19886" xr:uid="{00000000-0005-0000-0000-00009F4D0000}"/>
    <cellStyle name="Nagłówek 4 2 43" xfId="19887" xr:uid="{00000000-0005-0000-0000-0000A04D0000}"/>
    <cellStyle name="Nagłówek 4 2 44" xfId="19888" xr:uid="{00000000-0005-0000-0000-0000A14D0000}"/>
    <cellStyle name="Nagłówek 4 2 45" xfId="19889" xr:uid="{00000000-0005-0000-0000-0000A24D0000}"/>
    <cellStyle name="Nagłówek 4 2 46" xfId="19890" xr:uid="{00000000-0005-0000-0000-0000A34D0000}"/>
    <cellStyle name="Nagłówek 4 2 47" xfId="19891" xr:uid="{00000000-0005-0000-0000-0000A44D0000}"/>
    <cellStyle name="Nagłówek 4 2 48" xfId="19892" xr:uid="{00000000-0005-0000-0000-0000A54D0000}"/>
    <cellStyle name="Nagłówek 4 2 49" xfId="19893" xr:uid="{00000000-0005-0000-0000-0000A64D0000}"/>
    <cellStyle name="Nagłówek 4 2 5" xfId="19894" xr:uid="{00000000-0005-0000-0000-0000A74D0000}"/>
    <cellStyle name="Nagłówek 4 2 5 2" xfId="19895" xr:uid="{00000000-0005-0000-0000-0000A84D0000}"/>
    <cellStyle name="Nagłówek 4 2 5 3" xfId="19896" xr:uid="{00000000-0005-0000-0000-0000A94D0000}"/>
    <cellStyle name="Nagłówek 4 2 5 4" xfId="19897" xr:uid="{00000000-0005-0000-0000-0000AA4D0000}"/>
    <cellStyle name="Nagłówek 4 2 5 5" xfId="19898" xr:uid="{00000000-0005-0000-0000-0000AB4D0000}"/>
    <cellStyle name="Nagłówek 4 2 5 6" xfId="19899" xr:uid="{00000000-0005-0000-0000-0000AC4D0000}"/>
    <cellStyle name="Nagłówek 4 2 5 7" xfId="19900" xr:uid="{00000000-0005-0000-0000-0000AD4D0000}"/>
    <cellStyle name="Nagłówek 4 2 50" xfId="19901" xr:uid="{00000000-0005-0000-0000-0000AE4D0000}"/>
    <cellStyle name="Nagłówek 4 2 51" xfId="19902" xr:uid="{00000000-0005-0000-0000-0000AF4D0000}"/>
    <cellStyle name="Nagłówek 4 2 52" xfId="19903" xr:uid="{00000000-0005-0000-0000-0000B04D0000}"/>
    <cellStyle name="Nagłówek 4 2 53" xfId="19904" xr:uid="{00000000-0005-0000-0000-0000B14D0000}"/>
    <cellStyle name="Nagłówek 4 2 6" xfId="19905" xr:uid="{00000000-0005-0000-0000-0000B24D0000}"/>
    <cellStyle name="Nagłówek 4 2 6 2" xfId="19906" xr:uid="{00000000-0005-0000-0000-0000B34D0000}"/>
    <cellStyle name="Nagłówek 4 2 6 3" xfId="19907" xr:uid="{00000000-0005-0000-0000-0000B44D0000}"/>
    <cellStyle name="Nagłówek 4 2 6 4" xfId="19908" xr:uid="{00000000-0005-0000-0000-0000B54D0000}"/>
    <cellStyle name="Nagłówek 4 2 6 5" xfId="19909" xr:uid="{00000000-0005-0000-0000-0000B64D0000}"/>
    <cellStyle name="Nagłówek 4 2 6 6" xfId="19910" xr:uid="{00000000-0005-0000-0000-0000B74D0000}"/>
    <cellStyle name="Nagłówek 4 2 6 7" xfId="19911" xr:uid="{00000000-0005-0000-0000-0000B84D0000}"/>
    <cellStyle name="Nagłówek 4 2 7" xfId="19912" xr:uid="{00000000-0005-0000-0000-0000B94D0000}"/>
    <cellStyle name="Nagłówek 4 2 7 2" xfId="19913" xr:uid="{00000000-0005-0000-0000-0000BA4D0000}"/>
    <cellStyle name="Nagłówek 4 2 7 3" xfId="19914" xr:uid="{00000000-0005-0000-0000-0000BB4D0000}"/>
    <cellStyle name="Nagłówek 4 2 7 4" xfId="19915" xr:uid="{00000000-0005-0000-0000-0000BC4D0000}"/>
    <cellStyle name="Nagłówek 4 2 7 5" xfId="19916" xr:uid="{00000000-0005-0000-0000-0000BD4D0000}"/>
    <cellStyle name="Nagłówek 4 2 7 6" xfId="19917" xr:uid="{00000000-0005-0000-0000-0000BE4D0000}"/>
    <cellStyle name="Nagłówek 4 2 7 7" xfId="19918" xr:uid="{00000000-0005-0000-0000-0000BF4D0000}"/>
    <cellStyle name="Nagłówek 4 2 8" xfId="19919" xr:uid="{00000000-0005-0000-0000-0000C04D0000}"/>
    <cellStyle name="Nagłówek 4 2 8 2" xfId="19920" xr:uid="{00000000-0005-0000-0000-0000C14D0000}"/>
    <cellStyle name="Nagłówek 4 2 8 3" xfId="19921" xr:uid="{00000000-0005-0000-0000-0000C24D0000}"/>
    <cellStyle name="Nagłówek 4 2 8 4" xfId="19922" xr:uid="{00000000-0005-0000-0000-0000C34D0000}"/>
    <cellStyle name="Nagłówek 4 2 8 5" xfId="19923" xr:uid="{00000000-0005-0000-0000-0000C44D0000}"/>
    <cellStyle name="Nagłówek 4 2 8 6" xfId="19924" xr:uid="{00000000-0005-0000-0000-0000C54D0000}"/>
    <cellStyle name="Nagłówek 4 2 8 7" xfId="19925" xr:uid="{00000000-0005-0000-0000-0000C64D0000}"/>
    <cellStyle name="Nagłówek 4 2 9" xfId="19926" xr:uid="{00000000-0005-0000-0000-0000C74D0000}"/>
    <cellStyle name="Nagłówek 4 2 9 2" xfId="19927" xr:uid="{00000000-0005-0000-0000-0000C84D0000}"/>
    <cellStyle name="Nagłówek 4 2 9 3" xfId="19928" xr:uid="{00000000-0005-0000-0000-0000C94D0000}"/>
    <cellStyle name="Nagłówek 4 2 9 4" xfId="19929" xr:uid="{00000000-0005-0000-0000-0000CA4D0000}"/>
    <cellStyle name="Nagłówek 4 2 9 5" xfId="19930" xr:uid="{00000000-0005-0000-0000-0000CB4D0000}"/>
    <cellStyle name="Nagłówek 4 2 9 6" xfId="19931" xr:uid="{00000000-0005-0000-0000-0000CC4D0000}"/>
    <cellStyle name="Nagłówek 4 2 9 7" xfId="19932" xr:uid="{00000000-0005-0000-0000-0000CD4D0000}"/>
    <cellStyle name="Nagłówek 4 3" xfId="19933" xr:uid="{00000000-0005-0000-0000-0000CE4D0000}"/>
    <cellStyle name="Nagłówek 4 3 2" xfId="19934" xr:uid="{00000000-0005-0000-0000-0000CF4D0000}"/>
    <cellStyle name="Nagłówek 4 3 2 2" xfId="19935" xr:uid="{00000000-0005-0000-0000-0000D04D0000}"/>
    <cellStyle name="Nagłówek 4 3 3" xfId="19936" xr:uid="{00000000-0005-0000-0000-0000D14D0000}"/>
    <cellStyle name="Nagłówek 4 3 4" xfId="19937" xr:uid="{00000000-0005-0000-0000-0000D24D0000}"/>
    <cellStyle name="Nagłówek 4 3 5" xfId="19938" xr:uid="{00000000-0005-0000-0000-0000D34D0000}"/>
    <cellStyle name="Nagłówek 4 4" xfId="19939" xr:uid="{00000000-0005-0000-0000-0000D44D0000}"/>
    <cellStyle name="Nagłówek 4 4 2" xfId="19940" xr:uid="{00000000-0005-0000-0000-0000D54D0000}"/>
    <cellStyle name="Nagłówek 4 4 3" xfId="19941" xr:uid="{00000000-0005-0000-0000-0000D64D0000}"/>
    <cellStyle name="Nagłówek 4 4 4" xfId="19942" xr:uid="{00000000-0005-0000-0000-0000D74D0000}"/>
    <cellStyle name="Nagłówek 4 4 5" xfId="19943" xr:uid="{00000000-0005-0000-0000-0000D84D0000}"/>
    <cellStyle name="Nagłówek 4 5" xfId="19944" xr:uid="{00000000-0005-0000-0000-0000D94D0000}"/>
    <cellStyle name="Nagłówek 4 5 2" xfId="19945" xr:uid="{00000000-0005-0000-0000-0000DA4D0000}"/>
    <cellStyle name="Nagłówek 4 5 3" xfId="19946" xr:uid="{00000000-0005-0000-0000-0000DB4D0000}"/>
    <cellStyle name="Nagłówek 4 6" xfId="19947" xr:uid="{00000000-0005-0000-0000-0000DC4D0000}"/>
    <cellStyle name="Nagłówek 4 6 2" xfId="19948" xr:uid="{00000000-0005-0000-0000-0000DD4D0000}"/>
    <cellStyle name="Nagłówek 4 7" xfId="19949" xr:uid="{00000000-0005-0000-0000-0000DE4D0000}"/>
    <cellStyle name="Neutralne 2" xfId="19950" xr:uid="{00000000-0005-0000-0000-0000DF4D0000}"/>
    <cellStyle name="Neutralne 2 10" xfId="19951" xr:uid="{00000000-0005-0000-0000-0000E04D0000}"/>
    <cellStyle name="Neutralne 2 10 2" xfId="19952" xr:uid="{00000000-0005-0000-0000-0000E14D0000}"/>
    <cellStyle name="Neutralne 2 10 3" xfId="19953" xr:uid="{00000000-0005-0000-0000-0000E24D0000}"/>
    <cellStyle name="Neutralne 2 10 4" xfId="19954" xr:uid="{00000000-0005-0000-0000-0000E34D0000}"/>
    <cellStyle name="Neutralne 2 10 5" xfId="19955" xr:uid="{00000000-0005-0000-0000-0000E44D0000}"/>
    <cellStyle name="Neutralne 2 10 6" xfId="19956" xr:uid="{00000000-0005-0000-0000-0000E54D0000}"/>
    <cellStyle name="Neutralne 2 10 7" xfId="19957" xr:uid="{00000000-0005-0000-0000-0000E64D0000}"/>
    <cellStyle name="Neutralne 2 11" xfId="19958" xr:uid="{00000000-0005-0000-0000-0000E74D0000}"/>
    <cellStyle name="Neutralne 2 11 2" xfId="19959" xr:uid="{00000000-0005-0000-0000-0000E84D0000}"/>
    <cellStyle name="Neutralne 2 11 3" xfId="19960" xr:uid="{00000000-0005-0000-0000-0000E94D0000}"/>
    <cellStyle name="Neutralne 2 11 4" xfId="19961" xr:uid="{00000000-0005-0000-0000-0000EA4D0000}"/>
    <cellStyle name="Neutralne 2 11 5" xfId="19962" xr:uid="{00000000-0005-0000-0000-0000EB4D0000}"/>
    <cellStyle name="Neutralne 2 11 6" xfId="19963" xr:uid="{00000000-0005-0000-0000-0000EC4D0000}"/>
    <cellStyle name="Neutralne 2 11 7" xfId="19964" xr:uid="{00000000-0005-0000-0000-0000ED4D0000}"/>
    <cellStyle name="Neutralne 2 12" xfId="19965" xr:uid="{00000000-0005-0000-0000-0000EE4D0000}"/>
    <cellStyle name="Neutralne 2 12 2" xfId="19966" xr:uid="{00000000-0005-0000-0000-0000EF4D0000}"/>
    <cellStyle name="Neutralne 2 12 3" xfId="19967" xr:uid="{00000000-0005-0000-0000-0000F04D0000}"/>
    <cellStyle name="Neutralne 2 12 4" xfId="19968" xr:uid="{00000000-0005-0000-0000-0000F14D0000}"/>
    <cellStyle name="Neutralne 2 12 5" xfId="19969" xr:uid="{00000000-0005-0000-0000-0000F24D0000}"/>
    <cellStyle name="Neutralne 2 12 6" xfId="19970" xr:uid="{00000000-0005-0000-0000-0000F34D0000}"/>
    <cellStyle name="Neutralne 2 12 7" xfId="19971" xr:uid="{00000000-0005-0000-0000-0000F44D0000}"/>
    <cellStyle name="Neutralne 2 13" xfId="19972" xr:uid="{00000000-0005-0000-0000-0000F54D0000}"/>
    <cellStyle name="Neutralne 2 13 2" xfId="19973" xr:uid="{00000000-0005-0000-0000-0000F64D0000}"/>
    <cellStyle name="Neutralne 2 13 3" xfId="19974" xr:uid="{00000000-0005-0000-0000-0000F74D0000}"/>
    <cellStyle name="Neutralne 2 13 4" xfId="19975" xr:uid="{00000000-0005-0000-0000-0000F84D0000}"/>
    <cellStyle name="Neutralne 2 13 5" xfId="19976" xr:uid="{00000000-0005-0000-0000-0000F94D0000}"/>
    <cellStyle name="Neutralne 2 13 6" xfId="19977" xr:uid="{00000000-0005-0000-0000-0000FA4D0000}"/>
    <cellStyle name="Neutralne 2 13 7" xfId="19978" xr:uid="{00000000-0005-0000-0000-0000FB4D0000}"/>
    <cellStyle name="Neutralne 2 14" xfId="19979" xr:uid="{00000000-0005-0000-0000-0000FC4D0000}"/>
    <cellStyle name="Neutralne 2 14 2" xfId="19980" xr:uid="{00000000-0005-0000-0000-0000FD4D0000}"/>
    <cellStyle name="Neutralne 2 14 3" xfId="19981" xr:uid="{00000000-0005-0000-0000-0000FE4D0000}"/>
    <cellStyle name="Neutralne 2 14 4" xfId="19982" xr:uid="{00000000-0005-0000-0000-0000FF4D0000}"/>
    <cellStyle name="Neutralne 2 14 5" xfId="19983" xr:uid="{00000000-0005-0000-0000-0000004E0000}"/>
    <cellStyle name="Neutralne 2 14 6" xfId="19984" xr:uid="{00000000-0005-0000-0000-0000014E0000}"/>
    <cellStyle name="Neutralne 2 14 7" xfId="19985" xr:uid="{00000000-0005-0000-0000-0000024E0000}"/>
    <cellStyle name="Neutralne 2 15" xfId="19986" xr:uid="{00000000-0005-0000-0000-0000034E0000}"/>
    <cellStyle name="Neutralne 2 15 2" xfId="19987" xr:uid="{00000000-0005-0000-0000-0000044E0000}"/>
    <cellStyle name="Neutralne 2 15 3" xfId="19988" xr:uid="{00000000-0005-0000-0000-0000054E0000}"/>
    <cellStyle name="Neutralne 2 15 4" xfId="19989" xr:uid="{00000000-0005-0000-0000-0000064E0000}"/>
    <cellStyle name="Neutralne 2 15 5" xfId="19990" xr:uid="{00000000-0005-0000-0000-0000074E0000}"/>
    <cellStyle name="Neutralne 2 15 6" xfId="19991" xr:uid="{00000000-0005-0000-0000-0000084E0000}"/>
    <cellStyle name="Neutralne 2 15 7" xfId="19992" xr:uid="{00000000-0005-0000-0000-0000094E0000}"/>
    <cellStyle name="Neutralne 2 16" xfId="19993" xr:uid="{00000000-0005-0000-0000-00000A4E0000}"/>
    <cellStyle name="Neutralne 2 16 2" xfId="19994" xr:uid="{00000000-0005-0000-0000-00000B4E0000}"/>
    <cellStyle name="Neutralne 2 16 3" xfId="19995" xr:uid="{00000000-0005-0000-0000-00000C4E0000}"/>
    <cellStyle name="Neutralne 2 16 4" xfId="19996" xr:uid="{00000000-0005-0000-0000-00000D4E0000}"/>
    <cellStyle name="Neutralne 2 16 5" xfId="19997" xr:uid="{00000000-0005-0000-0000-00000E4E0000}"/>
    <cellStyle name="Neutralne 2 16 6" xfId="19998" xr:uid="{00000000-0005-0000-0000-00000F4E0000}"/>
    <cellStyle name="Neutralne 2 16 7" xfId="19999" xr:uid="{00000000-0005-0000-0000-0000104E0000}"/>
    <cellStyle name="Neutralne 2 17" xfId="20000" xr:uid="{00000000-0005-0000-0000-0000114E0000}"/>
    <cellStyle name="Neutralne 2 17 2" xfId="20001" xr:uid="{00000000-0005-0000-0000-0000124E0000}"/>
    <cellStyle name="Neutralne 2 17 3" xfId="20002" xr:uid="{00000000-0005-0000-0000-0000134E0000}"/>
    <cellStyle name="Neutralne 2 17 4" xfId="20003" xr:uid="{00000000-0005-0000-0000-0000144E0000}"/>
    <cellStyle name="Neutralne 2 17 5" xfId="20004" xr:uid="{00000000-0005-0000-0000-0000154E0000}"/>
    <cellStyle name="Neutralne 2 17 6" xfId="20005" xr:uid="{00000000-0005-0000-0000-0000164E0000}"/>
    <cellStyle name="Neutralne 2 17 7" xfId="20006" xr:uid="{00000000-0005-0000-0000-0000174E0000}"/>
    <cellStyle name="Neutralne 2 18" xfId="20007" xr:uid="{00000000-0005-0000-0000-0000184E0000}"/>
    <cellStyle name="Neutralne 2 18 2" xfId="20008" xr:uid="{00000000-0005-0000-0000-0000194E0000}"/>
    <cellStyle name="Neutralne 2 18 3" xfId="20009" xr:uid="{00000000-0005-0000-0000-00001A4E0000}"/>
    <cellStyle name="Neutralne 2 18 4" xfId="20010" xr:uid="{00000000-0005-0000-0000-00001B4E0000}"/>
    <cellStyle name="Neutralne 2 18 5" xfId="20011" xr:uid="{00000000-0005-0000-0000-00001C4E0000}"/>
    <cellStyle name="Neutralne 2 18 6" xfId="20012" xr:uid="{00000000-0005-0000-0000-00001D4E0000}"/>
    <cellStyle name="Neutralne 2 18 7" xfId="20013" xr:uid="{00000000-0005-0000-0000-00001E4E0000}"/>
    <cellStyle name="Neutralne 2 19" xfId="20014" xr:uid="{00000000-0005-0000-0000-00001F4E0000}"/>
    <cellStyle name="Neutralne 2 19 2" xfId="20015" xr:uid="{00000000-0005-0000-0000-0000204E0000}"/>
    <cellStyle name="Neutralne 2 19 3" xfId="20016" xr:uid="{00000000-0005-0000-0000-0000214E0000}"/>
    <cellStyle name="Neutralne 2 19 4" xfId="20017" xr:uid="{00000000-0005-0000-0000-0000224E0000}"/>
    <cellStyle name="Neutralne 2 19 5" xfId="20018" xr:uid="{00000000-0005-0000-0000-0000234E0000}"/>
    <cellStyle name="Neutralne 2 19 6" xfId="20019" xr:uid="{00000000-0005-0000-0000-0000244E0000}"/>
    <cellStyle name="Neutralne 2 19 7" xfId="20020" xr:uid="{00000000-0005-0000-0000-0000254E0000}"/>
    <cellStyle name="Neutralne 2 2" xfId="20021" xr:uid="{00000000-0005-0000-0000-0000264E0000}"/>
    <cellStyle name="Neutralne 2 2 2" xfId="20022" xr:uid="{00000000-0005-0000-0000-0000274E0000}"/>
    <cellStyle name="Neutralne 2 2 3" xfId="20023" xr:uid="{00000000-0005-0000-0000-0000284E0000}"/>
    <cellStyle name="Neutralne 2 2 4" xfId="20024" xr:uid="{00000000-0005-0000-0000-0000294E0000}"/>
    <cellStyle name="Neutralne 2 2 5" xfId="20025" xr:uid="{00000000-0005-0000-0000-00002A4E0000}"/>
    <cellStyle name="Neutralne 2 2 6" xfId="20026" xr:uid="{00000000-0005-0000-0000-00002B4E0000}"/>
    <cellStyle name="Neutralne 2 2 7" xfId="20027" xr:uid="{00000000-0005-0000-0000-00002C4E0000}"/>
    <cellStyle name="Neutralne 2 2 8" xfId="20028" xr:uid="{00000000-0005-0000-0000-00002D4E0000}"/>
    <cellStyle name="Neutralne 2 20" xfId="20029" xr:uid="{00000000-0005-0000-0000-00002E4E0000}"/>
    <cellStyle name="Neutralne 2 20 2" xfId="20030" xr:uid="{00000000-0005-0000-0000-00002F4E0000}"/>
    <cellStyle name="Neutralne 2 20 3" xfId="20031" xr:uid="{00000000-0005-0000-0000-0000304E0000}"/>
    <cellStyle name="Neutralne 2 20 4" xfId="20032" xr:uid="{00000000-0005-0000-0000-0000314E0000}"/>
    <cellStyle name="Neutralne 2 20 5" xfId="20033" xr:uid="{00000000-0005-0000-0000-0000324E0000}"/>
    <cellStyle name="Neutralne 2 20 6" xfId="20034" xr:uid="{00000000-0005-0000-0000-0000334E0000}"/>
    <cellStyle name="Neutralne 2 20 7" xfId="20035" xr:uid="{00000000-0005-0000-0000-0000344E0000}"/>
    <cellStyle name="Neutralne 2 21" xfId="20036" xr:uid="{00000000-0005-0000-0000-0000354E0000}"/>
    <cellStyle name="Neutralne 2 21 2" xfId="20037" xr:uid="{00000000-0005-0000-0000-0000364E0000}"/>
    <cellStyle name="Neutralne 2 21 3" xfId="20038" xr:uid="{00000000-0005-0000-0000-0000374E0000}"/>
    <cellStyle name="Neutralne 2 21 4" xfId="20039" xr:uid="{00000000-0005-0000-0000-0000384E0000}"/>
    <cellStyle name="Neutralne 2 21 5" xfId="20040" xr:uid="{00000000-0005-0000-0000-0000394E0000}"/>
    <cellStyle name="Neutralne 2 21 6" xfId="20041" xr:uid="{00000000-0005-0000-0000-00003A4E0000}"/>
    <cellStyle name="Neutralne 2 21 7" xfId="20042" xr:uid="{00000000-0005-0000-0000-00003B4E0000}"/>
    <cellStyle name="Neutralne 2 22" xfId="20043" xr:uid="{00000000-0005-0000-0000-00003C4E0000}"/>
    <cellStyle name="Neutralne 2 22 2" xfId="20044" xr:uid="{00000000-0005-0000-0000-00003D4E0000}"/>
    <cellStyle name="Neutralne 2 22 3" xfId="20045" xr:uid="{00000000-0005-0000-0000-00003E4E0000}"/>
    <cellStyle name="Neutralne 2 22 4" xfId="20046" xr:uid="{00000000-0005-0000-0000-00003F4E0000}"/>
    <cellStyle name="Neutralne 2 22 5" xfId="20047" xr:uid="{00000000-0005-0000-0000-0000404E0000}"/>
    <cellStyle name="Neutralne 2 22 6" xfId="20048" xr:uid="{00000000-0005-0000-0000-0000414E0000}"/>
    <cellStyle name="Neutralne 2 22 7" xfId="20049" xr:uid="{00000000-0005-0000-0000-0000424E0000}"/>
    <cellStyle name="Neutralne 2 23" xfId="20050" xr:uid="{00000000-0005-0000-0000-0000434E0000}"/>
    <cellStyle name="Neutralne 2 23 2" xfId="20051" xr:uid="{00000000-0005-0000-0000-0000444E0000}"/>
    <cellStyle name="Neutralne 2 23 3" xfId="20052" xr:uid="{00000000-0005-0000-0000-0000454E0000}"/>
    <cellStyle name="Neutralne 2 23 4" xfId="20053" xr:uid="{00000000-0005-0000-0000-0000464E0000}"/>
    <cellStyle name="Neutralne 2 23 5" xfId="20054" xr:uid="{00000000-0005-0000-0000-0000474E0000}"/>
    <cellStyle name="Neutralne 2 23 6" xfId="20055" xr:uid="{00000000-0005-0000-0000-0000484E0000}"/>
    <cellStyle name="Neutralne 2 23 7" xfId="20056" xr:uid="{00000000-0005-0000-0000-0000494E0000}"/>
    <cellStyle name="Neutralne 2 24" xfId="20057" xr:uid="{00000000-0005-0000-0000-00004A4E0000}"/>
    <cellStyle name="Neutralne 2 24 2" xfId="20058" xr:uid="{00000000-0005-0000-0000-00004B4E0000}"/>
    <cellStyle name="Neutralne 2 24 3" xfId="20059" xr:uid="{00000000-0005-0000-0000-00004C4E0000}"/>
    <cellStyle name="Neutralne 2 24 4" xfId="20060" xr:uid="{00000000-0005-0000-0000-00004D4E0000}"/>
    <cellStyle name="Neutralne 2 24 5" xfId="20061" xr:uid="{00000000-0005-0000-0000-00004E4E0000}"/>
    <cellStyle name="Neutralne 2 24 6" xfId="20062" xr:uid="{00000000-0005-0000-0000-00004F4E0000}"/>
    <cellStyle name="Neutralne 2 24 7" xfId="20063" xr:uid="{00000000-0005-0000-0000-0000504E0000}"/>
    <cellStyle name="Neutralne 2 25" xfId="20064" xr:uid="{00000000-0005-0000-0000-0000514E0000}"/>
    <cellStyle name="Neutralne 2 25 2" xfId="20065" xr:uid="{00000000-0005-0000-0000-0000524E0000}"/>
    <cellStyle name="Neutralne 2 25 3" xfId="20066" xr:uid="{00000000-0005-0000-0000-0000534E0000}"/>
    <cellStyle name="Neutralne 2 25 4" xfId="20067" xr:uid="{00000000-0005-0000-0000-0000544E0000}"/>
    <cellStyle name="Neutralne 2 25 5" xfId="20068" xr:uid="{00000000-0005-0000-0000-0000554E0000}"/>
    <cellStyle name="Neutralne 2 25 6" xfId="20069" xr:uid="{00000000-0005-0000-0000-0000564E0000}"/>
    <cellStyle name="Neutralne 2 25 7" xfId="20070" xr:uid="{00000000-0005-0000-0000-0000574E0000}"/>
    <cellStyle name="Neutralne 2 26" xfId="20071" xr:uid="{00000000-0005-0000-0000-0000584E0000}"/>
    <cellStyle name="Neutralne 2 26 2" xfId="20072" xr:uid="{00000000-0005-0000-0000-0000594E0000}"/>
    <cellStyle name="Neutralne 2 26 3" xfId="20073" xr:uid="{00000000-0005-0000-0000-00005A4E0000}"/>
    <cellStyle name="Neutralne 2 26 4" xfId="20074" xr:uid="{00000000-0005-0000-0000-00005B4E0000}"/>
    <cellStyle name="Neutralne 2 26 5" xfId="20075" xr:uid="{00000000-0005-0000-0000-00005C4E0000}"/>
    <cellStyle name="Neutralne 2 26 6" xfId="20076" xr:uid="{00000000-0005-0000-0000-00005D4E0000}"/>
    <cellStyle name="Neutralne 2 26 7" xfId="20077" xr:uid="{00000000-0005-0000-0000-00005E4E0000}"/>
    <cellStyle name="Neutralne 2 27" xfId="20078" xr:uid="{00000000-0005-0000-0000-00005F4E0000}"/>
    <cellStyle name="Neutralne 2 27 2" xfId="20079" xr:uid="{00000000-0005-0000-0000-0000604E0000}"/>
    <cellStyle name="Neutralne 2 27 3" xfId="20080" xr:uid="{00000000-0005-0000-0000-0000614E0000}"/>
    <cellStyle name="Neutralne 2 27 4" xfId="20081" xr:uid="{00000000-0005-0000-0000-0000624E0000}"/>
    <cellStyle name="Neutralne 2 27 5" xfId="20082" xr:uid="{00000000-0005-0000-0000-0000634E0000}"/>
    <cellStyle name="Neutralne 2 27 6" xfId="20083" xr:uid="{00000000-0005-0000-0000-0000644E0000}"/>
    <cellStyle name="Neutralne 2 27 7" xfId="20084" xr:uid="{00000000-0005-0000-0000-0000654E0000}"/>
    <cellStyle name="Neutralne 2 28" xfId="20085" xr:uid="{00000000-0005-0000-0000-0000664E0000}"/>
    <cellStyle name="Neutralne 2 28 2" xfId="20086" xr:uid="{00000000-0005-0000-0000-0000674E0000}"/>
    <cellStyle name="Neutralne 2 28 3" xfId="20087" xr:uid="{00000000-0005-0000-0000-0000684E0000}"/>
    <cellStyle name="Neutralne 2 28 4" xfId="20088" xr:uid="{00000000-0005-0000-0000-0000694E0000}"/>
    <cellStyle name="Neutralne 2 28 5" xfId="20089" xr:uid="{00000000-0005-0000-0000-00006A4E0000}"/>
    <cellStyle name="Neutralne 2 28 6" xfId="20090" xr:uid="{00000000-0005-0000-0000-00006B4E0000}"/>
    <cellStyle name="Neutralne 2 28 7" xfId="20091" xr:uid="{00000000-0005-0000-0000-00006C4E0000}"/>
    <cellStyle name="Neutralne 2 29" xfId="20092" xr:uid="{00000000-0005-0000-0000-00006D4E0000}"/>
    <cellStyle name="Neutralne 2 29 2" xfId="20093" xr:uid="{00000000-0005-0000-0000-00006E4E0000}"/>
    <cellStyle name="Neutralne 2 3" xfId="20094" xr:uid="{00000000-0005-0000-0000-00006F4E0000}"/>
    <cellStyle name="Neutralne 2 3 2" xfId="20095" xr:uid="{00000000-0005-0000-0000-0000704E0000}"/>
    <cellStyle name="Neutralne 2 3 3" xfId="20096" xr:uid="{00000000-0005-0000-0000-0000714E0000}"/>
    <cellStyle name="Neutralne 2 3 4" xfId="20097" xr:uid="{00000000-0005-0000-0000-0000724E0000}"/>
    <cellStyle name="Neutralne 2 3 5" xfId="20098" xr:uid="{00000000-0005-0000-0000-0000734E0000}"/>
    <cellStyle name="Neutralne 2 3 6" xfId="20099" xr:uid="{00000000-0005-0000-0000-0000744E0000}"/>
    <cellStyle name="Neutralne 2 3 7" xfId="20100" xr:uid="{00000000-0005-0000-0000-0000754E0000}"/>
    <cellStyle name="Neutralne 2 30" xfId="20101" xr:uid="{00000000-0005-0000-0000-0000764E0000}"/>
    <cellStyle name="Neutralne 2 30 2" xfId="20102" xr:uid="{00000000-0005-0000-0000-0000774E0000}"/>
    <cellStyle name="Neutralne 2 31" xfId="20103" xr:uid="{00000000-0005-0000-0000-0000784E0000}"/>
    <cellStyle name="Neutralne 2 31 2" xfId="20104" xr:uid="{00000000-0005-0000-0000-0000794E0000}"/>
    <cellStyle name="Neutralne 2 32" xfId="20105" xr:uid="{00000000-0005-0000-0000-00007A4E0000}"/>
    <cellStyle name="Neutralne 2 32 2" xfId="20106" xr:uid="{00000000-0005-0000-0000-00007B4E0000}"/>
    <cellStyle name="Neutralne 2 33" xfId="20107" xr:uid="{00000000-0005-0000-0000-00007C4E0000}"/>
    <cellStyle name="Neutralne 2 34" xfId="20108" xr:uid="{00000000-0005-0000-0000-00007D4E0000}"/>
    <cellStyle name="Neutralne 2 35" xfId="20109" xr:uid="{00000000-0005-0000-0000-00007E4E0000}"/>
    <cellStyle name="Neutralne 2 36" xfId="20110" xr:uid="{00000000-0005-0000-0000-00007F4E0000}"/>
    <cellStyle name="Neutralne 2 37" xfId="20111" xr:uid="{00000000-0005-0000-0000-0000804E0000}"/>
    <cellStyle name="Neutralne 2 38" xfId="20112" xr:uid="{00000000-0005-0000-0000-0000814E0000}"/>
    <cellStyle name="Neutralne 2 39" xfId="20113" xr:uid="{00000000-0005-0000-0000-0000824E0000}"/>
    <cellStyle name="Neutralne 2 4" xfId="20114" xr:uid="{00000000-0005-0000-0000-0000834E0000}"/>
    <cellStyle name="Neutralne 2 4 2" xfId="20115" xr:uid="{00000000-0005-0000-0000-0000844E0000}"/>
    <cellStyle name="Neutralne 2 4 3" xfId="20116" xr:uid="{00000000-0005-0000-0000-0000854E0000}"/>
    <cellStyle name="Neutralne 2 4 4" xfId="20117" xr:uid="{00000000-0005-0000-0000-0000864E0000}"/>
    <cellStyle name="Neutralne 2 4 5" xfId="20118" xr:uid="{00000000-0005-0000-0000-0000874E0000}"/>
    <cellStyle name="Neutralne 2 4 6" xfId="20119" xr:uid="{00000000-0005-0000-0000-0000884E0000}"/>
    <cellStyle name="Neutralne 2 4 7" xfId="20120" xr:uid="{00000000-0005-0000-0000-0000894E0000}"/>
    <cellStyle name="Neutralne 2 5" xfId="20121" xr:uid="{00000000-0005-0000-0000-00008A4E0000}"/>
    <cellStyle name="Neutralne 2 5 2" xfId="20122" xr:uid="{00000000-0005-0000-0000-00008B4E0000}"/>
    <cellStyle name="Neutralne 2 5 3" xfId="20123" xr:uid="{00000000-0005-0000-0000-00008C4E0000}"/>
    <cellStyle name="Neutralne 2 5 4" xfId="20124" xr:uid="{00000000-0005-0000-0000-00008D4E0000}"/>
    <cellStyle name="Neutralne 2 5 5" xfId="20125" xr:uid="{00000000-0005-0000-0000-00008E4E0000}"/>
    <cellStyle name="Neutralne 2 5 6" xfId="20126" xr:uid="{00000000-0005-0000-0000-00008F4E0000}"/>
    <cellStyle name="Neutralne 2 5 7" xfId="20127" xr:uid="{00000000-0005-0000-0000-0000904E0000}"/>
    <cellStyle name="Neutralne 2 6" xfId="20128" xr:uid="{00000000-0005-0000-0000-0000914E0000}"/>
    <cellStyle name="Neutralne 2 6 2" xfId="20129" xr:uid="{00000000-0005-0000-0000-0000924E0000}"/>
    <cellStyle name="Neutralne 2 6 3" xfId="20130" xr:uid="{00000000-0005-0000-0000-0000934E0000}"/>
    <cellStyle name="Neutralne 2 6 4" xfId="20131" xr:uid="{00000000-0005-0000-0000-0000944E0000}"/>
    <cellStyle name="Neutralne 2 6 5" xfId="20132" xr:uid="{00000000-0005-0000-0000-0000954E0000}"/>
    <cellStyle name="Neutralne 2 6 6" xfId="20133" xr:uid="{00000000-0005-0000-0000-0000964E0000}"/>
    <cellStyle name="Neutralne 2 6 7" xfId="20134" xr:uid="{00000000-0005-0000-0000-0000974E0000}"/>
    <cellStyle name="Neutralne 2 7" xfId="20135" xr:uid="{00000000-0005-0000-0000-0000984E0000}"/>
    <cellStyle name="Neutralne 2 7 2" xfId="20136" xr:uid="{00000000-0005-0000-0000-0000994E0000}"/>
    <cellStyle name="Neutralne 2 7 3" xfId="20137" xr:uid="{00000000-0005-0000-0000-00009A4E0000}"/>
    <cellStyle name="Neutralne 2 7 4" xfId="20138" xr:uid="{00000000-0005-0000-0000-00009B4E0000}"/>
    <cellStyle name="Neutralne 2 7 5" xfId="20139" xr:uid="{00000000-0005-0000-0000-00009C4E0000}"/>
    <cellStyle name="Neutralne 2 7 6" xfId="20140" xr:uid="{00000000-0005-0000-0000-00009D4E0000}"/>
    <cellStyle name="Neutralne 2 7 7" xfId="20141" xr:uid="{00000000-0005-0000-0000-00009E4E0000}"/>
    <cellStyle name="Neutralne 2 8" xfId="20142" xr:uid="{00000000-0005-0000-0000-00009F4E0000}"/>
    <cellStyle name="Neutralne 2 8 2" xfId="20143" xr:uid="{00000000-0005-0000-0000-0000A04E0000}"/>
    <cellStyle name="Neutralne 2 8 3" xfId="20144" xr:uid="{00000000-0005-0000-0000-0000A14E0000}"/>
    <cellStyle name="Neutralne 2 8 4" xfId="20145" xr:uid="{00000000-0005-0000-0000-0000A24E0000}"/>
    <cellStyle name="Neutralne 2 8 5" xfId="20146" xr:uid="{00000000-0005-0000-0000-0000A34E0000}"/>
    <cellStyle name="Neutralne 2 8 6" xfId="20147" xr:uid="{00000000-0005-0000-0000-0000A44E0000}"/>
    <cellStyle name="Neutralne 2 8 7" xfId="20148" xr:uid="{00000000-0005-0000-0000-0000A54E0000}"/>
    <cellStyle name="Neutralne 2 9" xfId="20149" xr:uid="{00000000-0005-0000-0000-0000A64E0000}"/>
    <cellStyle name="Neutralne 2 9 2" xfId="20150" xr:uid="{00000000-0005-0000-0000-0000A74E0000}"/>
    <cellStyle name="Neutralne 2 9 3" xfId="20151" xr:uid="{00000000-0005-0000-0000-0000A84E0000}"/>
    <cellStyle name="Neutralne 2 9 4" xfId="20152" xr:uid="{00000000-0005-0000-0000-0000A94E0000}"/>
    <cellStyle name="Neutralne 2 9 5" xfId="20153" xr:uid="{00000000-0005-0000-0000-0000AA4E0000}"/>
    <cellStyle name="Neutralne 2 9 6" xfId="20154" xr:uid="{00000000-0005-0000-0000-0000AB4E0000}"/>
    <cellStyle name="Neutralne 2 9 7" xfId="20155" xr:uid="{00000000-0005-0000-0000-0000AC4E0000}"/>
    <cellStyle name="Neutralne 3" xfId="20156" xr:uid="{00000000-0005-0000-0000-0000AD4E0000}"/>
    <cellStyle name="Neutralne 3 2" xfId="20157" xr:uid="{00000000-0005-0000-0000-0000AE4E0000}"/>
    <cellStyle name="Neutralne 3 2 2" xfId="20158" xr:uid="{00000000-0005-0000-0000-0000AF4E0000}"/>
    <cellStyle name="Neutralne 3 3" xfId="20159" xr:uid="{00000000-0005-0000-0000-0000B04E0000}"/>
    <cellStyle name="Neutralne 3 4" xfId="20160" xr:uid="{00000000-0005-0000-0000-0000B14E0000}"/>
    <cellStyle name="Neutralne 3 5" xfId="20161" xr:uid="{00000000-0005-0000-0000-0000B24E0000}"/>
    <cellStyle name="Neutralne 3 6" xfId="20162" xr:uid="{00000000-0005-0000-0000-0000B34E0000}"/>
    <cellStyle name="Neutralne 3 7" xfId="20163" xr:uid="{00000000-0005-0000-0000-0000B44E0000}"/>
    <cellStyle name="Neutralne 3 8" xfId="20164" xr:uid="{00000000-0005-0000-0000-0000B54E0000}"/>
    <cellStyle name="Neutralne 3 9" xfId="20165" xr:uid="{00000000-0005-0000-0000-0000B64E0000}"/>
    <cellStyle name="Neutralne 4" xfId="20166" xr:uid="{00000000-0005-0000-0000-0000B74E0000}"/>
    <cellStyle name="Neutralne 4 2" xfId="20167" xr:uid="{00000000-0005-0000-0000-0000B84E0000}"/>
    <cellStyle name="Neutralne 4 3" xfId="20168" xr:uid="{00000000-0005-0000-0000-0000B94E0000}"/>
    <cellStyle name="Neutralne 4 4" xfId="20169" xr:uid="{00000000-0005-0000-0000-0000BA4E0000}"/>
    <cellStyle name="Neutralne 4 5" xfId="20170" xr:uid="{00000000-0005-0000-0000-0000BB4E0000}"/>
    <cellStyle name="Neutralne 4 6" xfId="20171" xr:uid="{00000000-0005-0000-0000-0000BC4E0000}"/>
    <cellStyle name="Neutralne 4 7" xfId="20172" xr:uid="{00000000-0005-0000-0000-0000BD4E0000}"/>
    <cellStyle name="Neutralne 4 8" xfId="20173" xr:uid="{00000000-0005-0000-0000-0000BE4E0000}"/>
    <cellStyle name="Neutralne 4 9" xfId="20174" xr:uid="{00000000-0005-0000-0000-0000BF4E0000}"/>
    <cellStyle name="Neutralne 5" xfId="20175" xr:uid="{00000000-0005-0000-0000-0000C04E0000}"/>
    <cellStyle name="Neutralne 5 2" xfId="20176" xr:uid="{00000000-0005-0000-0000-0000C14E0000}"/>
    <cellStyle name="Neutralne 5 3" xfId="20177" xr:uid="{00000000-0005-0000-0000-0000C24E0000}"/>
    <cellStyle name="Neutralne 6" xfId="20178" xr:uid="{00000000-0005-0000-0000-0000C34E0000}"/>
    <cellStyle name="Neutralne 6 2" xfId="20179" xr:uid="{00000000-0005-0000-0000-0000C44E0000}"/>
    <cellStyle name="Neutralne 7" xfId="20180" xr:uid="{00000000-0005-0000-0000-0000C54E0000}"/>
    <cellStyle name="Nor}al" xfId="20181" xr:uid="{00000000-0005-0000-0000-0000C64E0000}"/>
    <cellStyle name="Normal - Style1" xfId="20182" xr:uid="{00000000-0005-0000-0000-0000C74E0000}"/>
    <cellStyle name="Normal 2" xfId="20183" xr:uid="{00000000-0005-0000-0000-0000C84E0000}"/>
    <cellStyle name="Normal 3" xfId="20184" xr:uid="{00000000-0005-0000-0000-0000C94E0000}"/>
    <cellStyle name="Normal 4" xfId="18" xr:uid="{00000000-0005-0000-0000-0000CA4E0000}"/>
    <cellStyle name="Normal_bilans_kardia" xfId="20185" xr:uid="{00000000-0005-0000-0000-0000CB4E0000}"/>
    <cellStyle name="Normál_cb-fr" xfId="20186" xr:uid="{00000000-0005-0000-0000-0000CC4E0000}"/>
    <cellStyle name="Normal_CC_SM_B" xfId="20187" xr:uid="{00000000-0005-0000-0000-0000CD4E0000}"/>
    <cellStyle name="Normale_INDIA_Allegato3" xfId="20188" xr:uid="{00000000-0005-0000-0000-0000CE4E0000}"/>
    <cellStyle name="normální_Kopie - Kalos_DD­_3" xfId="20189" xr:uid="{00000000-0005-0000-0000-0000CF4E0000}"/>
    <cellStyle name="Normalny" xfId="0" builtinId="0"/>
    <cellStyle name="Normalny 10" xfId="20190" xr:uid="{00000000-0005-0000-0000-0000D14E0000}"/>
    <cellStyle name="Normalny 10 10" xfId="20191" xr:uid="{00000000-0005-0000-0000-0000D24E0000}"/>
    <cellStyle name="Normalny 10 10 2" xfId="20192" xr:uid="{00000000-0005-0000-0000-0000D34E0000}"/>
    <cellStyle name="Normalny 10 11" xfId="20193" xr:uid="{00000000-0005-0000-0000-0000D44E0000}"/>
    <cellStyle name="Normalny 10 11 2" xfId="20194" xr:uid="{00000000-0005-0000-0000-0000D54E0000}"/>
    <cellStyle name="Normalny 10 12" xfId="20195" xr:uid="{00000000-0005-0000-0000-0000D64E0000}"/>
    <cellStyle name="Normalny 10 12 2" xfId="20196" xr:uid="{00000000-0005-0000-0000-0000D74E0000}"/>
    <cellStyle name="Normalny 10 13" xfId="20197" xr:uid="{00000000-0005-0000-0000-0000D84E0000}"/>
    <cellStyle name="Normalny 10 13 2" xfId="20198" xr:uid="{00000000-0005-0000-0000-0000D94E0000}"/>
    <cellStyle name="Normalny 10 14" xfId="20199" xr:uid="{00000000-0005-0000-0000-0000DA4E0000}"/>
    <cellStyle name="Normalny 10 14 2" xfId="20200" xr:uid="{00000000-0005-0000-0000-0000DB4E0000}"/>
    <cellStyle name="Normalny 10 15" xfId="20201" xr:uid="{00000000-0005-0000-0000-0000DC4E0000}"/>
    <cellStyle name="Normalny 10 15 2" xfId="20202" xr:uid="{00000000-0005-0000-0000-0000DD4E0000}"/>
    <cellStyle name="Normalny 10 16" xfId="20203" xr:uid="{00000000-0005-0000-0000-0000DE4E0000}"/>
    <cellStyle name="Normalny 10 16 2" xfId="20204" xr:uid="{00000000-0005-0000-0000-0000DF4E0000}"/>
    <cellStyle name="Normalny 10 17" xfId="20205" xr:uid="{00000000-0005-0000-0000-0000E04E0000}"/>
    <cellStyle name="Normalny 10 17 2" xfId="20206" xr:uid="{00000000-0005-0000-0000-0000E14E0000}"/>
    <cellStyle name="Normalny 10 18" xfId="20207" xr:uid="{00000000-0005-0000-0000-0000E24E0000}"/>
    <cellStyle name="Normalny 10 18 2" xfId="20208" xr:uid="{00000000-0005-0000-0000-0000E34E0000}"/>
    <cellStyle name="Normalny 10 19" xfId="20209" xr:uid="{00000000-0005-0000-0000-0000E44E0000}"/>
    <cellStyle name="Normalny 10 19 2" xfId="20210" xr:uid="{00000000-0005-0000-0000-0000E54E0000}"/>
    <cellStyle name="Normalny 10 2" xfId="20211" xr:uid="{00000000-0005-0000-0000-0000E64E0000}"/>
    <cellStyle name="Normalny 10 2 2" xfId="20212" xr:uid="{00000000-0005-0000-0000-0000E74E0000}"/>
    <cellStyle name="Normalny 10 2 3" xfId="20213" xr:uid="{00000000-0005-0000-0000-0000E84E0000}"/>
    <cellStyle name="Normalny 10 2 4" xfId="20214" xr:uid="{00000000-0005-0000-0000-0000E94E0000}"/>
    <cellStyle name="Normalny 10 20" xfId="20215" xr:uid="{00000000-0005-0000-0000-0000EA4E0000}"/>
    <cellStyle name="Normalny 10 20 2" xfId="20216" xr:uid="{00000000-0005-0000-0000-0000EB4E0000}"/>
    <cellStyle name="Normalny 10 21" xfId="20217" xr:uid="{00000000-0005-0000-0000-0000EC4E0000}"/>
    <cellStyle name="Normalny 10 21 2" xfId="20218" xr:uid="{00000000-0005-0000-0000-0000ED4E0000}"/>
    <cellStyle name="Normalny 10 22" xfId="20219" xr:uid="{00000000-0005-0000-0000-0000EE4E0000}"/>
    <cellStyle name="Normalny 10 22 2" xfId="20220" xr:uid="{00000000-0005-0000-0000-0000EF4E0000}"/>
    <cellStyle name="Normalny 10 23" xfId="20221" xr:uid="{00000000-0005-0000-0000-0000F04E0000}"/>
    <cellStyle name="Normalny 10 23 2" xfId="20222" xr:uid="{00000000-0005-0000-0000-0000F14E0000}"/>
    <cellStyle name="Normalny 10 24" xfId="20223" xr:uid="{00000000-0005-0000-0000-0000F24E0000}"/>
    <cellStyle name="Normalny 10 24 2" xfId="20224" xr:uid="{00000000-0005-0000-0000-0000F34E0000}"/>
    <cellStyle name="Normalny 10 25" xfId="20225" xr:uid="{00000000-0005-0000-0000-0000F44E0000}"/>
    <cellStyle name="Normalny 10 25 2" xfId="20226" xr:uid="{00000000-0005-0000-0000-0000F54E0000}"/>
    <cellStyle name="Normalny 10 26" xfId="20227" xr:uid="{00000000-0005-0000-0000-0000F64E0000}"/>
    <cellStyle name="Normalny 10 26 2" xfId="20228" xr:uid="{00000000-0005-0000-0000-0000F74E0000}"/>
    <cellStyle name="Normalny 10 27" xfId="20229" xr:uid="{00000000-0005-0000-0000-0000F84E0000}"/>
    <cellStyle name="Normalny 10 27 2" xfId="20230" xr:uid="{00000000-0005-0000-0000-0000F94E0000}"/>
    <cellStyle name="Normalny 10 28" xfId="20231" xr:uid="{00000000-0005-0000-0000-0000FA4E0000}"/>
    <cellStyle name="Normalny 10 29" xfId="20232" xr:uid="{00000000-0005-0000-0000-0000FB4E0000}"/>
    <cellStyle name="Normalny 10 3" xfId="20233" xr:uid="{00000000-0005-0000-0000-0000FC4E0000}"/>
    <cellStyle name="Normalny 10 3 2" xfId="20234" xr:uid="{00000000-0005-0000-0000-0000FD4E0000}"/>
    <cellStyle name="Normalny 10 3 3" xfId="20235" xr:uid="{00000000-0005-0000-0000-0000FE4E0000}"/>
    <cellStyle name="Normalny 10 3 4" xfId="20236" xr:uid="{00000000-0005-0000-0000-0000FF4E0000}"/>
    <cellStyle name="Normalny 10 30" xfId="20237" xr:uid="{00000000-0005-0000-0000-0000004F0000}"/>
    <cellStyle name="Normalny 10 31" xfId="20238" xr:uid="{00000000-0005-0000-0000-0000014F0000}"/>
    <cellStyle name="Normalny 10 32" xfId="20239" xr:uid="{00000000-0005-0000-0000-0000024F0000}"/>
    <cellStyle name="Normalny 10 33" xfId="20240" xr:uid="{00000000-0005-0000-0000-0000034F0000}"/>
    <cellStyle name="Normalny 10 34" xfId="20241" xr:uid="{00000000-0005-0000-0000-0000044F0000}"/>
    <cellStyle name="Normalny 10 35" xfId="20242" xr:uid="{00000000-0005-0000-0000-0000054F0000}"/>
    <cellStyle name="Normalny 10 36" xfId="20243" xr:uid="{00000000-0005-0000-0000-0000064F0000}"/>
    <cellStyle name="Normalny 10 37" xfId="20244" xr:uid="{00000000-0005-0000-0000-0000074F0000}"/>
    <cellStyle name="Normalny 10 38" xfId="20245" xr:uid="{00000000-0005-0000-0000-0000084F0000}"/>
    <cellStyle name="Normalny 10 39" xfId="20246" xr:uid="{00000000-0005-0000-0000-0000094F0000}"/>
    <cellStyle name="Normalny 10 4" xfId="20247" xr:uid="{00000000-0005-0000-0000-00000A4F0000}"/>
    <cellStyle name="Normalny 10 4 2" xfId="20248" xr:uid="{00000000-0005-0000-0000-00000B4F0000}"/>
    <cellStyle name="Normalny 10 4 3" xfId="20249" xr:uid="{00000000-0005-0000-0000-00000C4F0000}"/>
    <cellStyle name="Normalny 10 40" xfId="20250" xr:uid="{00000000-0005-0000-0000-00000D4F0000}"/>
    <cellStyle name="Normalny 10 41" xfId="20251" xr:uid="{00000000-0005-0000-0000-00000E4F0000}"/>
    <cellStyle name="Normalny 10 42" xfId="20252" xr:uid="{00000000-0005-0000-0000-00000F4F0000}"/>
    <cellStyle name="Normalny 10 43" xfId="20253" xr:uid="{00000000-0005-0000-0000-0000104F0000}"/>
    <cellStyle name="Normalny 10 44" xfId="20254" xr:uid="{00000000-0005-0000-0000-0000114F0000}"/>
    <cellStyle name="Normalny 10 45" xfId="20255" xr:uid="{00000000-0005-0000-0000-0000124F0000}"/>
    <cellStyle name="Normalny 10 46" xfId="20256" xr:uid="{00000000-0005-0000-0000-0000134F0000}"/>
    <cellStyle name="Normalny 10 47" xfId="20257" xr:uid="{00000000-0005-0000-0000-0000144F0000}"/>
    <cellStyle name="Normalny 10 48" xfId="20258" xr:uid="{00000000-0005-0000-0000-0000154F0000}"/>
    <cellStyle name="Normalny 10 49" xfId="20259" xr:uid="{00000000-0005-0000-0000-0000164F0000}"/>
    <cellStyle name="Normalny 10 5" xfId="20260" xr:uid="{00000000-0005-0000-0000-0000174F0000}"/>
    <cellStyle name="Normalny 10 5 2" xfId="20261" xr:uid="{00000000-0005-0000-0000-0000184F0000}"/>
    <cellStyle name="Normalny 10 5 3" xfId="20262" xr:uid="{00000000-0005-0000-0000-0000194F0000}"/>
    <cellStyle name="Normalny 10 50" xfId="20263" xr:uid="{00000000-0005-0000-0000-00001A4F0000}"/>
    <cellStyle name="Normalny 10 51" xfId="20264" xr:uid="{00000000-0005-0000-0000-00001B4F0000}"/>
    <cellStyle name="Normalny 10 52" xfId="20265" xr:uid="{00000000-0005-0000-0000-00001C4F0000}"/>
    <cellStyle name="Normalny 10 53" xfId="20266" xr:uid="{00000000-0005-0000-0000-00001D4F0000}"/>
    <cellStyle name="Normalny 10 54" xfId="20267" xr:uid="{00000000-0005-0000-0000-00001E4F0000}"/>
    <cellStyle name="Normalny 10 55" xfId="20268" xr:uid="{00000000-0005-0000-0000-00001F4F0000}"/>
    <cellStyle name="Normalny 10 56" xfId="20269" xr:uid="{00000000-0005-0000-0000-0000204F0000}"/>
    <cellStyle name="Normalny 10 57" xfId="20270" xr:uid="{00000000-0005-0000-0000-0000214F0000}"/>
    <cellStyle name="Normalny 10 58" xfId="20271" xr:uid="{00000000-0005-0000-0000-0000224F0000}"/>
    <cellStyle name="Normalny 10 59" xfId="20272" xr:uid="{00000000-0005-0000-0000-0000234F0000}"/>
    <cellStyle name="Normalny 10 6" xfId="20273" xr:uid="{00000000-0005-0000-0000-0000244F0000}"/>
    <cellStyle name="Normalny 10 6 2" xfId="20274" xr:uid="{00000000-0005-0000-0000-0000254F0000}"/>
    <cellStyle name="Normalny 10 60" xfId="20275" xr:uid="{00000000-0005-0000-0000-0000264F0000}"/>
    <cellStyle name="Normalny 10 61" xfId="20276" xr:uid="{00000000-0005-0000-0000-0000274F0000}"/>
    <cellStyle name="Normalny 10 62" xfId="20277" xr:uid="{00000000-0005-0000-0000-0000284F0000}"/>
    <cellStyle name="Normalny 10 63" xfId="20278" xr:uid="{00000000-0005-0000-0000-0000294F0000}"/>
    <cellStyle name="Normalny 10 64" xfId="20279" xr:uid="{00000000-0005-0000-0000-00002A4F0000}"/>
    <cellStyle name="Normalny 10 65" xfId="20280" xr:uid="{00000000-0005-0000-0000-00002B4F0000}"/>
    <cellStyle name="Normalny 10 66" xfId="20281" xr:uid="{00000000-0005-0000-0000-00002C4F0000}"/>
    <cellStyle name="Normalny 10 67" xfId="20282" xr:uid="{00000000-0005-0000-0000-00002D4F0000}"/>
    <cellStyle name="Normalny 10 68" xfId="20283" xr:uid="{00000000-0005-0000-0000-00002E4F0000}"/>
    <cellStyle name="Normalny 10 69" xfId="20284" xr:uid="{00000000-0005-0000-0000-00002F4F0000}"/>
    <cellStyle name="Normalny 10 7" xfId="20285" xr:uid="{00000000-0005-0000-0000-0000304F0000}"/>
    <cellStyle name="Normalny 10 7 2" xfId="20286" xr:uid="{00000000-0005-0000-0000-0000314F0000}"/>
    <cellStyle name="Normalny 10 70" xfId="20287" xr:uid="{00000000-0005-0000-0000-0000324F0000}"/>
    <cellStyle name="Normalny 10 71" xfId="20288" xr:uid="{00000000-0005-0000-0000-0000334F0000}"/>
    <cellStyle name="Normalny 10 72" xfId="20289" xr:uid="{00000000-0005-0000-0000-0000344F0000}"/>
    <cellStyle name="Normalny 10 73" xfId="20290" xr:uid="{00000000-0005-0000-0000-0000354F0000}"/>
    <cellStyle name="Normalny 10 74" xfId="20291" xr:uid="{00000000-0005-0000-0000-0000364F0000}"/>
    <cellStyle name="Normalny 10 75" xfId="20292" xr:uid="{00000000-0005-0000-0000-0000374F0000}"/>
    <cellStyle name="Normalny 10 8" xfId="20293" xr:uid="{00000000-0005-0000-0000-0000384F0000}"/>
    <cellStyle name="Normalny 10 8 2" xfId="20294" xr:uid="{00000000-0005-0000-0000-0000394F0000}"/>
    <cellStyle name="Normalny 10 9" xfId="20295" xr:uid="{00000000-0005-0000-0000-00003A4F0000}"/>
    <cellStyle name="Normalny 10 9 2" xfId="20296" xr:uid="{00000000-0005-0000-0000-00003B4F0000}"/>
    <cellStyle name="Normalny 100" xfId="20297" xr:uid="{00000000-0005-0000-0000-00003C4F0000}"/>
    <cellStyle name="Normalny 100 2" xfId="20298" xr:uid="{00000000-0005-0000-0000-00003D4F0000}"/>
    <cellStyle name="Normalny 101" xfId="20299" xr:uid="{00000000-0005-0000-0000-00003E4F0000}"/>
    <cellStyle name="Normalny 101 2" xfId="20300" xr:uid="{00000000-0005-0000-0000-00003F4F0000}"/>
    <cellStyle name="Normalny 102" xfId="20301" xr:uid="{00000000-0005-0000-0000-0000404F0000}"/>
    <cellStyle name="Normalny 102 2" xfId="20302" xr:uid="{00000000-0005-0000-0000-0000414F0000}"/>
    <cellStyle name="Normalny 103" xfId="20303" xr:uid="{00000000-0005-0000-0000-0000424F0000}"/>
    <cellStyle name="Normalny 103 2" xfId="20304" xr:uid="{00000000-0005-0000-0000-0000434F0000}"/>
    <cellStyle name="Normalny 104" xfId="20305" xr:uid="{00000000-0005-0000-0000-0000444F0000}"/>
    <cellStyle name="Normalny 104 2" xfId="20306" xr:uid="{00000000-0005-0000-0000-0000454F0000}"/>
    <cellStyle name="Normalny 105" xfId="20307" xr:uid="{00000000-0005-0000-0000-0000464F0000}"/>
    <cellStyle name="Normalny 105 2" xfId="20308" xr:uid="{00000000-0005-0000-0000-0000474F0000}"/>
    <cellStyle name="Normalny 106" xfId="20309" xr:uid="{00000000-0005-0000-0000-0000484F0000}"/>
    <cellStyle name="Normalny 106 2" xfId="20310" xr:uid="{00000000-0005-0000-0000-0000494F0000}"/>
    <cellStyle name="Normalny 107" xfId="20311" xr:uid="{00000000-0005-0000-0000-00004A4F0000}"/>
    <cellStyle name="Normalny 107 2" xfId="20312" xr:uid="{00000000-0005-0000-0000-00004B4F0000}"/>
    <cellStyle name="Normalny 108" xfId="20313" xr:uid="{00000000-0005-0000-0000-00004C4F0000}"/>
    <cellStyle name="Normalny 108 2" xfId="20314" xr:uid="{00000000-0005-0000-0000-00004D4F0000}"/>
    <cellStyle name="Normalny 109" xfId="20315" xr:uid="{00000000-0005-0000-0000-00004E4F0000}"/>
    <cellStyle name="Normalny 109 2" xfId="20316" xr:uid="{00000000-0005-0000-0000-00004F4F0000}"/>
    <cellStyle name="Normalny 11" xfId="20317" xr:uid="{00000000-0005-0000-0000-0000504F0000}"/>
    <cellStyle name="Normalny 11 2" xfId="20318" xr:uid="{00000000-0005-0000-0000-0000514F0000}"/>
    <cellStyle name="Normalny 11 2 2" xfId="20319" xr:uid="{00000000-0005-0000-0000-0000524F0000}"/>
    <cellStyle name="Normalny 11 2 3" xfId="20320" xr:uid="{00000000-0005-0000-0000-0000534F0000}"/>
    <cellStyle name="Normalny 11 3" xfId="20321" xr:uid="{00000000-0005-0000-0000-0000544F0000}"/>
    <cellStyle name="Normalny 11 3 2" xfId="20322" xr:uid="{00000000-0005-0000-0000-0000554F0000}"/>
    <cellStyle name="Normalny 11 4" xfId="20323" xr:uid="{00000000-0005-0000-0000-0000564F0000}"/>
    <cellStyle name="Normalny 11 5" xfId="20324" xr:uid="{00000000-0005-0000-0000-0000574F0000}"/>
    <cellStyle name="Normalny 110" xfId="20325" xr:uid="{00000000-0005-0000-0000-0000584F0000}"/>
    <cellStyle name="Normalny 110 2" xfId="20326" xr:uid="{00000000-0005-0000-0000-0000594F0000}"/>
    <cellStyle name="Normalny 111" xfId="20327" xr:uid="{00000000-0005-0000-0000-00005A4F0000}"/>
    <cellStyle name="Normalny 111 2" xfId="20328" xr:uid="{00000000-0005-0000-0000-00005B4F0000}"/>
    <cellStyle name="Normalny 112" xfId="20329" xr:uid="{00000000-0005-0000-0000-00005C4F0000}"/>
    <cellStyle name="Normalny 112 2" xfId="20330" xr:uid="{00000000-0005-0000-0000-00005D4F0000}"/>
    <cellStyle name="Normalny 113" xfId="20331" xr:uid="{00000000-0005-0000-0000-00005E4F0000}"/>
    <cellStyle name="Normalny 113 2" xfId="20332" xr:uid="{00000000-0005-0000-0000-00005F4F0000}"/>
    <cellStyle name="Normalny 114" xfId="20333" xr:uid="{00000000-0005-0000-0000-0000604F0000}"/>
    <cellStyle name="Normalny 114 2" xfId="20334" xr:uid="{00000000-0005-0000-0000-0000614F0000}"/>
    <cellStyle name="Normalny 115" xfId="20335" xr:uid="{00000000-0005-0000-0000-0000624F0000}"/>
    <cellStyle name="Normalny 115 2" xfId="20336" xr:uid="{00000000-0005-0000-0000-0000634F0000}"/>
    <cellStyle name="Normalny 116" xfId="20337" xr:uid="{00000000-0005-0000-0000-0000644F0000}"/>
    <cellStyle name="Normalny 116 2" xfId="20338" xr:uid="{00000000-0005-0000-0000-0000654F0000}"/>
    <cellStyle name="Normalny 117" xfId="20339" xr:uid="{00000000-0005-0000-0000-0000664F0000}"/>
    <cellStyle name="Normalny 117 2" xfId="20340" xr:uid="{00000000-0005-0000-0000-0000674F0000}"/>
    <cellStyle name="Normalny 118" xfId="20341" xr:uid="{00000000-0005-0000-0000-0000684F0000}"/>
    <cellStyle name="Normalny 118 2" xfId="20342" xr:uid="{00000000-0005-0000-0000-0000694F0000}"/>
    <cellStyle name="Normalny 119" xfId="20343" xr:uid="{00000000-0005-0000-0000-00006A4F0000}"/>
    <cellStyle name="Normalny 119 2" xfId="20344" xr:uid="{00000000-0005-0000-0000-00006B4F0000}"/>
    <cellStyle name="Normalny 12" xfId="20345" xr:uid="{00000000-0005-0000-0000-00006C4F0000}"/>
    <cellStyle name="Normalny 12 10" xfId="20346" xr:uid="{00000000-0005-0000-0000-00006D4F0000}"/>
    <cellStyle name="Normalny 12 10 2" xfId="20347" xr:uid="{00000000-0005-0000-0000-00006E4F0000}"/>
    <cellStyle name="Normalny 12 11" xfId="20348" xr:uid="{00000000-0005-0000-0000-00006F4F0000}"/>
    <cellStyle name="Normalny 12 11 2" xfId="20349" xr:uid="{00000000-0005-0000-0000-0000704F0000}"/>
    <cellStyle name="Normalny 12 12" xfId="20350" xr:uid="{00000000-0005-0000-0000-0000714F0000}"/>
    <cellStyle name="Normalny 12 12 2" xfId="20351" xr:uid="{00000000-0005-0000-0000-0000724F0000}"/>
    <cellStyle name="Normalny 12 13" xfId="20352" xr:uid="{00000000-0005-0000-0000-0000734F0000}"/>
    <cellStyle name="Normalny 12 13 2" xfId="20353" xr:uid="{00000000-0005-0000-0000-0000744F0000}"/>
    <cellStyle name="Normalny 12 14" xfId="20354" xr:uid="{00000000-0005-0000-0000-0000754F0000}"/>
    <cellStyle name="Normalny 12 14 2" xfId="20355" xr:uid="{00000000-0005-0000-0000-0000764F0000}"/>
    <cellStyle name="Normalny 12 15" xfId="20356" xr:uid="{00000000-0005-0000-0000-0000774F0000}"/>
    <cellStyle name="Normalny 12 15 2" xfId="20357" xr:uid="{00000000-0005-0000-0000-0000784F0000}"/>
    <cellStyle name="Normalny 12 16" xfId="20358" xr:uid="{00000000-0005-0000-0000-0000794F0000}"/>
    <cellStyle name="Normalny 12 16 2" xfId="20359" xr:uid="{00000000-0005-0000-0000-00007A4F0000}"/>
    <cellStyle name="Normalny 12 17" xfId="20360" xr:uid="{00000000-0005-0000-0000-00007B4F0000}"/>
    <cellStyle name="Normalny 12 17 2" xfId="20361" xr:uid="{00000000-0005-0000-0000-00007C4F0000}"/>
    <cellStyle name="Normalny 12 18" xfId="20362" xr:uid="{00000000-0005-0000-0000-00007D4F0000}"/>
    <cellStyle name="Normalny 12 18 2" xfId="20363" xr:uid="{00000000-0005-0000-0000-00007E4F0000}"/>
    <cellStyle name="Normalny 12 19" xfId="20364" xr:uid="{00000000-0005-0000-0000-00007F4F0000}"/>
    <cellStyle name="Normalny 12 19 2" xfId="20365" xr:uid="{00000000-0005-0000-0000-0000804F0000}"/>
    <cellStyle name="Normalny 12 2" xfId="20366" xr:uid="{00000000-0005-0000-0000-0000814F0000}"/>
    <cellStyle name="Normalny 12 2 2" xfId="20367" xr:uid="{00000000-0005-0000-0000-0000824F0000}"/>
    <cellStyle name="Normalny 12 2 3" xfId="20368" xr:uid="{00000000-0005-0000-0000-0000834F0000}"/>
    <cellStyle name="Normalny 12 2 4" xfId="20369" xr:uid="{00000000-0005-0000-0000-0000844F0000}"/>
    <cellStyle name="Normalny 12 20" xfId="20370" xr:uid="{00000000-0005-0000-0000-0000854F0000}"/>
    <cellStyle name="Normalny 12 20 2" xfId="20371" xr:uid="{00000000-0005-0000-0000-0000864F0000}"/>
    <cellStyle name="Normalny 12 21" xfId="20372" xr:uid="{00000000-0005-0000-0000-0000874F0000}"/>
    <cellStyle name="Normalny 12 21 2" xfId="20373" xr:uid="{00000000-0005-0000-0000-0000884F0000}"/>
    <cellStyle name="Normalny 12 22" xfId="20374" xr:uid="{00000000-0005-0000-0000-0000894F0000}"/>
    <cellStyle name="Normalny 12 22 2" xfId="20375" xr:uid="{00000000-0005-0000-0000-00008A4F0000}"/>
    <cellStyle name="Normalny 12 23" xfId="20376" xr:uid="{00000000-0005-0000-0000-00008B4F0000}"/>
    <cellStyle name="Normalny 12 23 2" xfId="20377" xr:uid="{00000000-0005-0000-0000-00008C4F0000}"/>
    <cellStyle name="Normalny 12 24" xfId="20378" xr:uid="{00000000-0005-0000-0000-00008D4F0000}"/>
    <cellStyle name="Normalny 12 24 2" xfId="20379" xr:uid="{00000000-0005-0000-0000-00008E4F0000}"/>
    <cellStyle name="Normalny 12 25" xfId="20380" xr:uid="{00000000-0005-0000-0000-00008F4F0000}"/>
    <cellStyle name="Normalny 12 25 2" xfId="20381" xr:uid="{00000000-0005-0000-0000-0000904F0000}"/>
    <cellStyle name="Normalny 12 26" xfId="20382" xr:uid="{00000000-0005-0000-0000-0000914F0000}"/>
    <cellStyle name="Normalny 12 26 2" xfId="20383" xr:uid="{00000000-0005-0000-0000-0000924F0000}"/>
    <cellStyle name="Normalny 12 27" xfId="20384" xr:uid="{00000000-0005-0000-0000-0000934F0000}"/>
    <cellStyle name="Normalny 12 27 2" xfId="20385" xr:uid="{00000000-0005-0000-0000-0000944F0000}"/>
    <cellStyle name="Normalny 12 28" xfId="20386" xr:uid="{00000000-0005-0000-0000-0000954F0000}"/>
    <cellStyle name="Normalny 12 29" xfId="20387" xr:uid="{00000000-0005-0000-0000-0000964F0000}"/>
    <cellStyle name="Normalny 12 3" xfId="20388" xr:uid="{00000000-0005-0000-0000-0000974F0000}"/>
    <cellStyle name="Normalny 12 3 2" xfId="20389" xr:uid="{00000000-0005-0000-0000-0000984F0000}"/>
    <cellStyle name="Normalny 12 3 3" xfId="20390" xr:uid="{00000000-0005-0000-0000-0000994F0000}"/>
    <cellStyle name="Normalny 12 30" xfId="20391" xr:uid="{00000000-0005-0000-0000-00009A4F0000}"/>
    <cellStyle name="Normalny 12 31" xfId="20392" xr:uid="{00000000-0005-0000-0000-00009B4F0000}"/>
    <cellStyle name="Normalny 12 32" xfId="20393" xr:uid="{00000000-0005-0000-0000-00009C4F0000}"/>
    <cellStyle name="Normalny 12 33" xfId="20394" xr:uid="{00000000-0005-0000-0000-00009D4F0000}"/>
    <cellStyle name="Normalny 12 34" xfId="20395" xr:uid="{00000000-0005-0000-0000-00009E4F0000}"/>
    <cellStyle name="Normalny 12 35" xfId="20396" xr:uid="{00000000-0005-0000-0000-00009F4F0000}"/>
    <cellStyle name="Normalny 12 36" xfId="20397" xr:uid="{00000000-0005-0000-0000-0000A04F0000}"/>
    <cellStyle name="Normalny 12 37" xfId="20398" xr:uid="{00000000-0005-0000-0000-0000A14F0000}"/>
    <cellStyle name="Normalny 12 38" xfId="20399" xr:uid="{00000000-0005-0000-0000-0000A24F0000}"/>
    <cellStyle name="Normalny 12 39" xfId="20400" xr:uid="{00000000-0005-0000-0000-0000A34F0000}"/>
    <cellStyle name="Normalny 12 4" xfId="20401" xr:uid="{00000000-0005-0000-0000-0000A44F0000}"/>
    <cellStyle name="Normalny 12 4 2" xfId="20402" xr:uid="{00000000-0005-0000-0000-0000A54F0000}"/>
    <cellStyle name="Normalny 12 4 3" xfId="20403" xr:uid="{00000000-0005-0000-0000-0000A64F0000}"/>
    <cellStyle name="Normalny 12 40" xfId="20404" xr:uid="{00000000-0005-0000-0000-0000A74F0000}"/>
    <cellStyle name="Normalny 12 41" xfId="20405" xr:uid="{00000000-0005-0000-0000-0000A84F0000}"/>
    <cellStyle name="Normalny 12 42" xfId="20406" xr:uid="{00000000-0005-0000-0000-0000A94F0000}"/>
    <cellStyle name="Normalny 12 43" xfId="20407" xr:uid="{00000000-0005-0000-0000-0000AA4F0000}"/>
    <cellStyle name="Normalny 12 44" xfId="20408" xr:uid="{00000000-0005-0000-0000-0000AB4F0000}"/>
    <cellStyle name="Normalny 12 45" xfId="20409" xr:uid="{00000000-0005-0000-0000-0000AC4F0000}"/>
    <cellStyle name="Normalny 12 46" xfId="20410" xr:uid="{00000000-0005-0000-0000-0000AD4F0000}"/>
    <cellStyle name="Normalny 12 47" xfId="20411" xr:uid="{00000000-0005-0000-0000-0000AE4F0000}"/>
    <cellStyle name="Normalny 12 48" xfId="20412" xr:uid="{00000000-0005-0000-0000-0000AF4F0000}"/>
    <cellStyle name="Normalny 12 49" xfId="20413" xr:uid="{00000000-0005-0000-0000-0000B04F0000}"/>
    <cellStyle name="Normalny 12 5" xfId="20414" xr:uid="{00000000-0005-0000-0000-0000B14F0000}"/>
    <cellStyle name="Normalny 12 5 2" xfId="20415" xr:uid="{00000000-0005-0000-0000-0000B24F0000}"/>
    <cellStyle name="Normalny 12 5 3" xfId="20416" xr:uid="{00000000-0005-0000-0000-0000B34F0000}"/>
    <cellStyle name="Normalny 12 50" xfId="20417" xr:uid="{00000000-0005-0000-0000-0000B44F0000}"/>
    <cellStyle name="Normalny 12 51" xfId="20418" xr:uid="{00000000-0005-0000-0000-0000B54F0000}"/>
    <cellStyle name="Normalny 12 52" xfId="20419" xr:uid="{00000000-0005-0000-0000-0000B64F0000}"/>
    <cellStyle name="Normalny 12 53" xfId="20420" xr:uid="{00000000-0005-0000-0000-0000B74F0000}"/>
    <cellStyle name="Normalny 12 54" xfId="20421" xr:uid="{00000000-0005-0000-0000-0000B84F0000}"/>
    <cellStyle name="Normalny 12 55" xfId="20422" xr:uid="{00000000-0005-0000-0000-0000B94F0000}"/>
    <cellStyle name="Normalny 12 56" xfId="20423" xr:uid="{00000000-0005-0000-0000-0000BA4F0000}"/>
    <cellStyle name="Normalny 12 57" xfId="20424" xr:uid="{00000000-0005-0000-0000-0000BB4F0000}"/>
    <cellStyle name="Normalny 12 58" xfId="20425" xr:uid="{00000000-0005-0000-0000-0000BC4F0000}"/>
    <cellStyle name="Normalny 12 59" xfId="20426" xr:uid="{00000000-0005-0000-0000-0000BD4F0000}"/>
    <cellStyle name="Normalny 12 6" xfId="20427" xr:uid="{00000000-0005-0000-0000-0000BE4F0000}"/>
    <cellStyle name="Normalny 12 6 2" xfId="20428" xr:uid="{00000000-0005-0000-0000-0000BF4F0000}"/>
    <cellStyle name="Normalny 12 60" xfId="20429" xr:uid="{00000000-0005-0000-0000-0000C04F0000}"/>
    <cellStyle name="Normalny 12 61" xfId="20430" xr:uid="{00000000-0005-0000-0000-0000C14F0000}"/>
    <cellStyle name="Normalny 12 62" xfId="20431" xr:uid="{00000000-0005-0000-0000-0000C24F0000}"/>
    <cellStyle name="Normalny 12 63" xfId="20432" xr:uid="{00000000-0005-0000-0000-0000C34F0000}"/>
    <cellStyle name="Normalny 12 64" xfId="20433" xr:uid="{00000000-0005-0000-0000-0000C44F0000}"/>
    <cellStyle name="Normalny 12 65" xfId="20434" xr:uid="{00000000-0005-0000-0000-0000C54F0000}"/>
    <cellStyle name="Normalny 12 66" xfId="20435" xr:uid="{00000000-0005-0000-0000-0000C64F0000}"/>
    <cellStyle name="Normalny 12 67" xfId="20436" xr:uid="{00000000-0005-0000-0000-0000C74F0000}"/>
    <cellStyle name="Normalny 12 68" xfId="20437" xr:uid="{00000000-0005-0000-0000-0000C84F0000}"/>
    <cellStyle name="Normalny 12 69" xfId="20438" xr:uid="{00000000-0005-0000-0000-0000C94F0000}"/>
    <cellStyle name="Normalny 12 7" xfId="20439" xr:uid="{00000000-0005-0000-0000-0000CA4F0000}"/>
    <cellStyle name="Normalny 12 7 2" xfId="20440" xr:uid="{00000000-0005-0000-0000-0000CB4F0000}"/>
    <cellStyle name="Normalny 12 70" xfId="20441" xr:uid="{00000000-0005-0000-0000-0000CC4F0000}"/>
    <cellStyle name="Normalny 12 71" xfId="20442" xr:uid="{00000000-0005-0000-0000-0000CD4F0000}"/>
    <cellStyle name="Normalny 12 72" xfId="20443" xr:uid="{00000000-0005-0000-0000-0000CE4F0000}"/>
    <cellStyle name="Normalny 12 73" xfId="20444" xr:uid="{00000000-0005-0000-0000-0000CF4F0000}"/>
    <cellStyle name="Normalny 12 74" xfId="20445" xr:uid="{00000000-0005-0000-0000-0000D04F0000}"/>
    <cellStyle name="Normalny 12 75" xfId="20446" xr:uid="{00000000-0005-0000-0000-0000D14F0000}"/>
    <cellStyle name="Normalny 12 8" xfId="20447" xr:uid="{00000000-0005-0000-0000-0000D24F0000}"/>
    <cellStyle name="Normalny 12 8 2" xfId="20448" xr:uid="{00000000-0005-0000-0000-0000D34F0000}"/>
    <cellStyle name="Normalny 12 9" xfId="20449" xr:uid="{00000000-0005-0000-0000-0000D44F0000}"/>
    <cellStyle name="Normalny 12 9 2" xfId="20450" xr:uid="{00000000-0005-0000-0000-0000D54F0000}"/>
    <cellStyle name="Normalny 120" xfId="20451" xr:uid="{00000000-0005-0000-0000-0000D64F0000}"/>
    <cellStyle name="Normalny 120 2" xfId="20452" xr:uid="{00000000-0005-0000-0000-0000D74F0000}"/>
    <cellStyle name="Normalny 121" xfId="20453" xr:uid="{00000000-0005-0000-0000-0000D84F0000}"/>
    <cellStyle name="Normalny 121 2" xfId="20454" xr:uid="{00000000-0005-0000-0000-0000D94F0000}"/>
    <cellStyle name="Normalny 121 2 2" xfId="20455" xr:uid="{00000000-0005-0000-0000-0000DA4F0000}"/>
    <cellStyle name="Normalny 122" xfId="20456" xr:uid="{00000000-0005-0000-0000-0000DB4F0000}"/>
    <cellStyle name="Normalny 122 2" xfId="20457" xr:uid="{00000000-0005-0000-0000-0000DC4F0000}"/>
    <cellStyle name="Normalny 123" xfId="16" xr:uid="{00000000-0005-0000-0000-0000DD4F0000}"/>
    <cellStyle name="Normalny 123 2" xfId="20458" xr:uid="{00000000-0005-0000-0000-0000DE4F0000}"/>
    <cellStyle name="Normalny 123 3" xfId="42849" xr:uid="{00000000-0005-0000-0000-0000DF4F0000}"/>
    <cellStyle name="Normalny 124" xfId="11" xr:uid="{00000000-0005-0000-0000-0000E04F0000}"/>
    <cellStyle name="Normalny 125" xfId="20459" xr:uid="{00000000-0005-0000-0000-0000E14F0000}"/>
    <cellStyle name="Normalny 126" xfId="12" xr:uid="{00000000-0005-0000-0000-0000E24F0000}"/>
    <cellStyle name="Normalny 127" xfId="14" xr:uid="{00000000-0005-0000-0000-0000E34F0000}"/>
    <cellStyle name="Normalny 128" xfId="20460" xr:uid="{00000000-0005-0000-0000-0000E44F0000}"/>
    <cellStyle name="Normalny 129" xfId="20461" xr:uid="{00000000-0005-0000-0000-0000E54F0000}"/>
    <cellStyle name="Normalny 13" xfId="20462" xr:uid="{00000000-0005-0000-0000-0000E64F0000}"/>
    <cellStyle name="Normalny 13 2" xfId="20463" xr:uid="{00000000-0005-0000-0000-0000E74F0000}"/>
    <cellStyle name="Normalny 13 2 2" xfId="20464" xr:uid="{00000000-0005-0000-0000-0000E84F0000}"/>
    <cellStyle name="Normalny 13 2 3" xfId="20465" xr:uid="{00000000-0005-0000-0000-0000E94F0000}"/>
    <cellStyle name="Normalny 13 3" xfId="20466" xr:uid="{00000000-0005-0000-0000-0000EA4F0000}"/>
    <cellStyle name="Normalny 13 3 2" xfId="20467" xr:uid="{00000000-0005-0000-0000-0000EB4F0000}"/>
    <cellStyle name="Normalny 13 4" xfId="20468" xr:uid="{00000000-0005-0000-0000-0000EC4F0000}"/>
    <cellStyle name="Normalny 130" xfId="20469" xr:uid="{00000000-0005-0000-0000-0000ED4F0000}"/>
    <cellStyle name="Normalny 131" xfId="20470" xr:uid="{00000000-0005-0000-0000-0000EE4F0000}"/>
    <cellStyle name="Normalny 132" xfId="20471" xr:uid="{00000000-0005-0000-0000-0000EF4F0000}"/>
    <cellStyle name="Normalny 133" xfId="20472" xr:uid="{00000000-0005-0000-0000-0000F04F0000}"/>
    <cellStyle name="Normalny 134" xfId="42845" xr:uid="{00000000-0005-0000-0000-0000F14F0000}"/>
    <cellStyle name="Normalny 135" xfId="42848" xr:uid="{00000000-0005-0000-0000-0000F24F0000}"/>
    <cellStyle name="Normalny 136" xfId="9" xr:uid="{00000000-0005-0000-0000-0000F34F0000}"/>
    <cellStyle name="Normalny 137" xfId="42851" xr:uid="{00000000-0005-0000-0000-0000F44F0000}"/>
    <cellStyle name="Normalny 138" xfId="42857" xr:uid="{00000000-0005-0000-0000-0000F54F0000}"/>
    <cellStyle name="Normalny 139" xfId="42858" xr:uid="{00000000-0005-0000-0000-0000F64F0000}"/>
    <cellStyle name="Normalny 14" xfId="20473" xr:uid="{00000000-0005-0000-0000-0000F74F0000}"/>
    <cellStyle name="Normalny 14 2" xfId="20474" xr:uid="{00000000-0005-0000-0000-0000F84F0000}"/>
    <cellStyle name="Normalny 14 2 2" xfId="20475" xr:uid="{00000000-0005-0000-0000-0000F94F0000}"/>
    <cellStyle name="Normalny 14 3" xfId="20476" xr:uid="{00000000-0005-0000-0000-0000FA4F0000}"/>
    <cellStyle name="Normalny 14 4" xfId="20477" xr:uid="{00000000-0005-0000-0000-0000FB4F0000}"/>
    <cellStyle name="Normalny 14 5" xfId="20478" xr:uid="{00000000-0005-0000-0000-0000FC4F0000}"/>
    <cellStyle name="Normalny 15" xfId="20479" xr:uid="{00000000-0005-0000-0000-0000FD4F0000}"/>
    <cellStyle name="Normalny 15 2" xfId="20480" xr:uid="{00000000-0005-0000-0000-0000FE4F0000}"/>
    <cellStyle name="Normalny 15 2 2" xfId="20481" xr:uid="{00000000-0005-0000-0000-0000FF4F0000}"/>
    <cellStyle name="Normalny 15 2 3" xfId="20482" xr:uid="{00000000-0005-0000-0000-000000500000}"/>
    <cellStyle name="Normalny 15 3" xfId="20483" xr:uid="{00000000-0005-0000-0000-000001500000}"/>
    <cellStyle name="Normalny 15 4" xfId="20484" xr:uid="{00000000-0005-0000-0000-000002500000}"/>
    <cellStyle name="Normalny 15 5" xfId="20485" xr:uid="{00000000-0005-0000-0000-000003500000}"/>
    <cellStyle name="Normalny 15 6" xfId="20486" xr:uid="{00000000-0005-0000-0000-000004500000}"/>
    <cellStyle name="Normalny 16" xfId="20487" xr:uid="{00000000-0005-0000-0000-000005500000}"/>
    <cellStyle name="Normalny 16 2" xfId="20488" xr:uid="{00000000-0005-0000-0000-000006500000}"/>
    <cellStyle name="Normalny 16 2 2" xfId="20489" xr:uid="{00000000-0005-0000-0000-000007500000}"/>
    <cellStyle name="Normalny 16 3" xfId="20490" xr:uid="{00000000-0005-0000-0000-000008500000}"/>
    <cellStyle name="Normalny 16 4" xfId="20491" xr:uid="{00000000-0005-0000-0000-000009500000}"/>
    <cellStyle name="Normalny 16 5" xfId="20492" xr:uid="{00000000-0005-0000-0000-00000A500000}"/>
    <cellStyle name="Normalny 17" xfId="15" xr:uid="{00000000-0005-0000-0000-00000B500000}"/>
    <cellStyle name="Normalny 17 2" xfId="20493" xr:uid="{00000000-0005-0000-0000-00000C500000}"/>
    <cellStyle name="Normalny 17 3" xfId="20494" xr:uid="{00000000-0005-0000-0000-00000D500000}"/>
    <cellStyle name="Normalny 17 4" xfId="20495" xr:uid="{00000000-0005-0000-0000-00000E500000}"/>
    <cellStyle name="Normalny 17 5" xfId="20496" xr:uid="{00000000-0005-0000-0000-00000F500000}"/>
    <cellStyle name="Normalny 18" xfId="20497" xr:uid="{00000000-0005-0000-0000-000010500000}"/>
    <cellStyle name="Normalny 18 2" xfId="20498" xr:uid="{00000000-0005-0000-0000-000011500000}"/>
    <cellStyle name="Normalny 18 3" xfId="20499" xr:uid="{00000000-0005-0000-0000-000012500000}"/>
    <cellStyle name="Normalny 18 4" xfId="20500" xr:uid="{00000000-0005-0000-0000-000013500000}"/>
    <cellStyle name="Normalny 19" xfId="20501" xr:uid="{00000000-0005-0000-0000-000014500000}"/>
    <cellStyle name="Normalny 19 2" xfId="20502" xr:uid="{00000000-0005-0000-0000-000015500000}"/>
    <cellStyle name="Normalny 19 2 2" xfId="20503" xr:uid="{00000000-0005-0000-0000-000016500000}"/>
    <cellStyle name="Normalny 19 2 3" xfId="20504" xr:uid="{00000000-0005-0000-0000-000017500000}"/>
    <cellStyle name="Normalny 19 3" xfId="20505" xr:uid="{00000000-0005-0000-0000-000018500000}"/>
    <cellStyle name="Normalny 19 4" xfId="20506" xr:uid="{00000000-0005-0000-0000-000019500000}"/>
    <cellStyle name="Normalny 19 5" xfId="20507" xr:uid="{00000000-0005-0000-0000-00001A500000}"/>
    <cellStyle name="Normalny 2" xfId="3" xr:uid="{00000000-0005-0000-0000-00001B500000}"/>
    <cellStyle name="Normalny 2 10" xfId="20509" xr:uid="{00000000-0005-0000-0000-00001C500000}"/>
    <cellStyle name="Normalny 2 10 2" xfId="20510" xr:uid="{00000000-0005-0000-0000-00001D500000}"/>
    <cellStyle name="Normalny 2 10 3" xfId="20511" xr:uid="{00000000-0005-0000-0000-00001E500000}"/>
    <cellStyle name="Normalny 2 10 4" xfId="20512" xr:uid="{00000000-0005-0000-0000-00001F500000}"/>
    <cellStyle name="Normalny 2 10 5" xfId="20513" xr:uid="{00000000-0005-0000-0000-000020500000}"/>
    <cellStyle name="Normalny 2 11" xfId="20514" xr:uid="{00000000-0005-0000-0000-000021500000}"/>
    <cellStyle name="Normalny 2 11 2" xfId="20515" xr:uid="{00000000-0005-0000-0000-000022500000}"/>
    <cellStyle name="Normalny 2 11 3" xfId="20516" xr:uid="{00000000-0005-0000-0000-000023500000}"/>
    <cellStyle name="Normalny 2 11 4" xfId="20517" xr:uid="{00000000-0005-0000-0000-000024500000}"/>
    <cellStyle name="Normalny 2 12" xfId="20518" xr:uid="{00000000-0005-0000-0000-000025500000}"/>
    <cellStyle name="Normalny 2 12 2" xfId="20519" xr:uid="{00000000-0005-0000-0000-000026500000}"/>
    <cellStyle name="Normalny 2 12 3" xfId="20520" xr:uid="{00000000-0005-0000-0000-000027500000}"/>
    <cellStyle name="Normalny 2 12 4" xfId="20521" xr:uid="{00000000-0005-0000-0000-000028500000}"/>
    <cellStyle name="Normalny 2 13" xfId="20522" xr:uid="{00000000-0005-0000-0000-000029500000}"/>
    <cellStyle name="Normalny 2 13 2" xfId="20523" xr:uid="{00000000-0005-0000-0000-00002A500000}"/>
    <cellStyle name="Normalny 2 13 3" xfId="20524" xr:uid="{00000000-0005-0000-0000-00002B500000}"/>
    <cellStyle name="Normalny 2 14" xfId="20525" xr:uid="{00000000-0005-0000-0000-00002C500000}"/>
    <cellStyle name="Normalny 2 14 2" xfId="20526" xr:uid="{00000000-0005-0000-0000-00002D500000}"/>
    <cellStyle name="Normalny 2 14 3" xfId="20527" xr:uid="{00000000-0005-0000-0000-00002E500000}"/>
    <cellStyle name="Normalny 2 15" xfId="20528" xr:uid="{00000000-0005-0000-0000-00002F500000}"/>
    <cellStyle name="Normalny 2 15 2" xfId="20529" xr:uid="{00000000-0005-0000-0000-000030500000}"/>
    <cellStyle name="Normalny 2 15 3" xfId="20530" xr:uid="{00000000-0005-0000-0000-000031500000}"/>
    <cellStyle name="Normalny 2 16" xfId="20531" xr:uid="{00000000-0005-0000-0000-000032500000}"/>
    <cellStyle name="Normalny 2 16 2" xfId="20532" xr:uid="{00000000-0005-0000-0000-000033500000}"/>
    <cellStyle name="Normalny 2 16 3" xfId="20533" xr:uid="{00000000-0005-0000-0000-000034500000}"/>
    <cellStyle name="Normalny 2 17" xfId="20534" xr:uid="{00000000-0005-0000-0000-000035500000}"/>
    <cellStyle name="Normalny 2 17 2" xfId="20535" xr:uid="{00000000-0005-0000-0000-000036500000}"/>
    <cellStyle name="Normalny 2 17 3" xfId="20536" xr:uid="{00000000-0005-0000-0000-000037500000}"/>
    <cellStyle name="Normalny 2 18" xfId="20537" xr:uid="{00000000-0005-0000-0000-000038500000}"/>
    <cellStyle name="Normalny 2 18 2" xfId="20538" xr:uid="{00000000-0005-0000-0000-000039500000}"/>
    <cellStyle name="Normalny 2 18 3" xfId="20539" xr:uid="{00000000-0005-0000-0000-00003A500000}"/>
    <cellStyle name="Normalny 2 19" xfId="20540" xr:uid="{00000000-0005-0000-0000-00003B500000}"/>
    <cellStyle name="Normalny 2 19 2" xfId="20541" xr:uid="{00000000-0005-0000-0000-00003C500000}"/>
    <cellStyle name="Normalny 2 19 3" xfId="20542" xr:uid="{00000000-0005-0000-0000-00003D500000}"/>
    <cellStyle name="Normalny 2 2" xfId="20543" xr:uid="{00000000-0005-0000-0000-00003E500000}"/>
    <cellStyle name="Normalny 2 2 10" xfId="20544" xr:uid="{00000000-0005-0000-0000-00003F500000}"/>
    <cellStyle name="Normalny 2 2 10 2" xfId="20545" xr:uid="{00000000-0005-0000-0000-000040500000}"/>
    <cellStyle name="Normalny 2 2 11" xfId="20546" xr:uid="{00000000-0005-0000-0000-000041500000}"/>
    <cellStyle name="Normalny 2 2 11 2" xfId="20547" xr:uid="{00000000-0005-0000-0000-000042500000}"/>
    <cellStyle name="Normalny 2 2 12" xfId="20548" xr:uid="{00000000-0005-0000-0000-000043500000}"/>
    <cellStyle name="Normalny 2 2 13" xfId="20549" xr:uid="{00000000-0005-0000-0000-000044500000}"/>
    <cellStyle name="Normalny 2 2 14" xfId="20550" xr:uid="{00000000-0005-0000-0000-000045500000}"/>
    <cellStyle name="Normalny 2 2 15" xfId="20551" xr:uid="{00000000-0005-0000-0000-000046500000}"/>
    <cellStyle name="Normalny 2 2 16" xfId="20552" xr:uid="{00000000-0005-0000-0000-000047500000}"/>
    <cellStyle name="Normalny 2 2 17" xfId="20553" xr:uid="{00000000-0005-0000-0000-000048500000}"/>
    <cellStyle name="Normalny 2 2 18" xfId="20554" xr:uid="{00000000-0005-0000-0000-000049500000}"/>
    <cellStyle name="Normalny 2 2 19" xfId="20555" xr:uid="{00000000-0005-0000-0000-00004A500000}"/>
    <cellStyle name="Normalny 2 2 2" xfId="20556" xr:uid="{00000000-0005-0000-0000-00004B500000}"/>
    <cellStyle name="Normalny 2 2 2 2" xfId="20557" xr:uid="{00000000-0005-0000-0000-00004C500000}"/>
    <cellStyle name="Normalny 2 2 2 2 2" xfId="20558" xr:uid="{00000000-0005-0000-0000-00004D500000}"/>
    <cellStyle name="Normalny 2 2 2 3" xfId="20559" xr:uid="{00000000-0005-0000-0000-00004E500000}"/>
    <cellStyle name="Normalny 2 2 2 3 2" xfId="20560" xr:uid="{00000000-0005-0000-0000-00004F500000}"/>
    <cellStyle name="Normalny 2 2 2 3 3" xfId="20561" xr:uid="{00000000-0005-0000-0000-000050500000}"/>
    <cellStyle name="Normalny 2 2 2 4" xfId="20562" xr:uid="{00000000-0005-0000-0000-000051500000}"/>
    <cellStyle name="Normalny 2 2 3" xfId="4" xr:uid="{00000000-0005-0000-0000-000052500000}"/>
    <cellStyle name="Normalny 2 2 3 2" xfId="20564" xr:uid="{00000000-0005-0000-0000-000053500000}"/>
    <cellStyle name="Normalny 2 2 3 2 2" xfId="20565" xr:uid="{00000000-0005-0000-0000-000054500000}"/>
    <cellStyle name="Normalny 2 2 3 3" xfId="20566" xr:uid="{00000000-0005-0000-0000-000055500000}"/>
    <cellStyle name="Normalny 2 2 3 4" xfId="20563" xr:uid="{00000000-0005-0000-0000-000056500000}"/>
    <cellStyle name="Normalny 2 2 4" xfId="20567" xr:uid="{00000000-0005-0000-0000-000057500000}"/>
    <cellStyle name="Normalny 2 2 4 2" xfId="20568" xr:uid="{00000000-0005-0000-0000-000058500000}"/>
    <cellStyle name="Normalny 2 2 5" xfId="20569" xr:uid="{00000000-0005-0000-0000-000059500000}"/>
    <cellStyle name="Normalny 2 2 5 2" xfId="20570" xr:uid="{00000000-0005-0000-0000-00005A500000}"/>
    <cellStyle name="Normalny 2 2 6" xfId="20571" xr:uid="{00000000-0005-0000-0000-00005B500000}"/>
    <cellStyle name="Normalny 2 2 6 2" xfId="20572" xr:uid="{00000000-0005-0000-0000-00005C500000}"/>
    <cellStyle name="Normalny 2 2 7" xfId="20573" xr:uid="{00000000-0005-0000-0000-00005D500000}"/>
    <cellStyle name="Normalny 2 2 7 2" xfId="20574" xr:uid="{00000000-0005-0000-0000-00005E500000}"/>
    <cellStyle name="Normalny 2 2 8" xfId="20575" xr:uid="{00000000-0005-0000-0000-00005F500000}"/>
    <cellStyle name="Normalny 2 2 8 2" xfId="20576" xr:uid="{00000000-0005-0000-0000-000060500000}"/>
    <cellStyle name="Normalny 2 2 9" xfId="20577" xr:uid="{00000000-0005-0000-0000-000061500000}"/>
    <cellStyle name="Normalny 2 2 9 2" xfId="20578" xr:uid="{00000000-0005-0000-0000-000062500000}"/>
    <cellStyle name="Normalny 2 20" xfId="20579" xr:uid="{00000000-0005-0000-0000-000063500000}"/>
    <cellStyle name="Normalny 2 20 2" xfId="20580" xr:uid="{00000000-0005-0000-0000-000064500000}"/>
    <cellStyle name="Normalny 2 20 3" xfId="20581" xr:uid="{00000000-0005-0000-0000-000065500000}"/>
    <cellStyle name="Normalny 2 21" xfId="20582" xr:uid="{00000000-0005-0000-0000-000066500000}"/>
    <cellStyle name="Normalny 2 21 2" xfId="20583" xr:uid="{00000000-0005-0000-0000-000067500000}"/>
    <cellStyle name="Normalny 2 21 3" xfId="20584" xr:uid="{00000000-0005-0000-0000-000068500000}"/>
    <cellStyle name="Normalny 2 22" xfId="20585" xr:uid="{00000000-0005-0000-0000-000069500000}"/>
    <cellStyle name="Normalny 2 22 2" xfId="20586" xr:uid="{00000000-0005-0000-0000-00006A500000}"/>
    <cellStyle name="Normalny 2 22 3" xfId="20587" xr:uid="{00000000-0005-0000-0000-00006B500000}"/>
    <cellStyle name="Normalny 2 23" xfId="20588" xr:uid="{00000000-0005-0000-0000-00006C500000}"/>
    <cellStyle name="Normalny 2 23 2" xfId="20589" xr:uid="{00000000-0005-0000-0000-00006D500000}"/>
    <cellStyle name="Normalny 2 23 3" xfId="20590" xr:uid="{00000000-0005-0000-0000-00006E500000}"/>
    <cellStyle name="Normalny 2 24" xfId="20591" xr:uid="{00000000-0005-0000-0000-00006F500000}"/>
    <cellStyle name="Normalny 2 24 2" xfId="20592" xr:uid="{00000000-0005-0000-0000-000070500000}"/>
    <cellStyle name="Normalny 2 24 3" xfId="20593" xr:uid="{00000000-0005-0000-0000-000071500000}"/>
    <cellStyle name="Normalny 2 25" xfId="20594" xr:uid="{00000000-0005-0000-0000-000072500000}"/>
    <cellStyle name="Normalny 2 25 2" xfId="20595" xr:uid="{00000000-0005-0000-0000-000073500000}"/>
    <cellStyle name="Normalny 2 25 3" xfId="20596" xr:uid="{00000000-0005-0000-0000-000074500000}"/>
    <cellStyle name="Normalny 2 26" xfId="20597" xr:uid="{00000000-0005-0000-0000-000075500000}"/>
    <cellStyle name="Normalny 2 26 2" xfId="20598" xr:uid="{00000000-0005-0000-0000-000076500000}"/>
    <cellStyle name="Normalny 2 26 3" xfId="20599" xr:uid="{00000000-0005-0000-0000-000077500000}"/>
    <cellStyle name="Normalny 2 27" xfId="20600" xr:uid="{00000000-0005-0000-0000-000078500000}"/>
    <cellStyle name="Normalny 2 27 2" xfId="20601" xr:uid="{00000000-0005-0000-0000-000079500000}"/>
    <cellStyle name="Normalny 2 28" xfId="20602" xr:uid="{00000000-0005-0000-0000-00007A500000}"/>
    <cellStyle name="Normalny 2 29" xfId="20603" xr:uid="{00000000-0005-0000-0000-00007B500000}"/>
    <cellStyle name="Normalny 2 3" xfId="20604" xr:uid="{00000000-0005-0000-0000-00007C500000}"/>
    <cellStyle name="Normalny 2 3 2" xfId="20605" xr:uid="{00000000-0005-0000-0000-00007D500000}"/>
    <cellStyle name="Normalny 2 3 2 2" xfId="20606" xr:uid="{00000000-0005-0000-0000-00007E500000}"/>
    <cellStyle name="Normalny 2 3 2 3" xfId="20607" xr:uid="{00000000-0005-0000-0000-00007F500000}"/>
    <cellStyle name="Normalny 2 3 3" xfId="20608" xr:uid="{00000000-0005-0000-0000-000080500000}"/>
    <cellStyle name="Normalny 2 3 3 2" xfId="20609" xr:uid="{00000000-0005-0000-0000-000081500000}"/>
    <cellStyle name="Normalny 2 3 4" xfId="20610" xr:uid="{00000000-0005-0000-0000-000082500000}"/>
    <cellStyle name="Normalny 2 3 5" xfId="20611" xr:uid="{00000000-0005-0000-0000-000083500000}"/>
    <cellStyle name="Normalny 2 3 6" xfId="20" xr:uid="{00000000-0005-0000-0000-000084500000}"/>
    <cellStyle name="Normalny 2 3 7" xfId="20612" xr:uid="{00000000-0005-0000-0000-000085500000}"/>
    <cellStyle name="Normalny 2 3 8" xfId="20613" xr:uid="{00000000-0005-0000-0000-000086500000}"/>
    <cellStyle name="Normalny 2 30" xfId="20614" xr:uid="{00000000-0005-0000-0000-000087500000}"/>
    <cellStyle name="Normalny 2 30 2" xfId="20615" xr:uid="{00000000-0005-0000-0000-000088500000}"/>
    <cellStyle name="Normalny 2 31" xfId="20616" xr:uid="{00000000-0005-0000-0000-000089500000}"/>
    <cellStyle name="Normalny 2 32" xfId="20617" xr:uid="{00000000-0005-0000-0000-00008A500000}"/>
    <cellStyle name="Normalny 2 33" xfId="20618" xr:uid="{00000000-0005-0000-0000-00008B500000}"/>
    <cellStyle name="Normalny 2 34" xfId="20508" xr:uid="{00000000-0005-0000-0000-00008C500000}"/>
    <cellStyle name="Normalny 2 35" xfId="42853" xr:uid="{00000000-0005-0000-0000-00008D500000}"/>
    <cellStyle name="Normalny 2 4" xfId="20619" xr:uid="{00000000-0005-0000-0000-00008E500000}"/>
    <cellStyle name="Normalny 2 4 10" xfId="20620" xr:uid="{00000000-0005-0000-0000-00008F500000}"/>
    <cellStyle name="Normalny 2 4 11" xfId="20621" xr:uid="{00000000-0005-0000-0000-000090500000}"/>
    <cellStyle name="Normalny 2 4 12" xfId="20622" xr:uid="{00000000-0005-0000-0000-000091500000}"/>
    <cellStyle name="Normalny 2 4 13" xfId="20623" xr:uid="{00000000-0005-0000-0000-000092500000}"/>
    <cellStyle name="Normalny 2 4 14" xfId="20624" xr:uid="{00000000-0005-0000-0000-000093500000}"/>
    <cellStyle name="Normalny 2 4 15" xfId="20625" xr:uid="{00000000-0005-0000-0000-000094500000}"/>
    <cellStyle name="Normalny 2 4 16" xfId="20626" xr:uid="{00000000-0005-0000-0000-000095500000}"/>
    <cellStyle name="Normalny 2 4 17" xfId="20627" xr:uid="{00000000-0005-0000-0000-000096500000}"/>
    <cellStyle name="Normalny 2 4 18" xfId="20628" xr:uid="{00000000-0005-0000-0000-000097500000}"/>
    <cellStyle name="Normalny 2 4 19" xfId="20629" xr:uid="{00000000-0005-0000-0000-000098500000}"/>
    <cellStyle name="Normalny 2 4 2" xfId="20630" xr:uid="{00000000-0005-0000-0000-000099500000}"/>
    <cellStyle name="Normalny 2 4 2 2" xfId="20631" xr:uid="{00000000-0005-0000-0000-00009A500000}"/>
    <cellStyle name="Normalny 2 4 2 3" xfId="20632" xr:uid="{00000000-0005-0000-0000-00009B500000}"/>
    <cellStyle name="Normalny 2 4 20" xfId="20633" xr:uid="{00000000-0005-0000-0000-00009C500000}"/>
    <cellStyle name="Normalny 2 4 21" xfId="20634" xr:uid="{00000000-0005-0000-0000-00009D500000}"/>
    <cellStyle name="Normalny 2 4 22" xfId="20635" xr:uid="{00000000-0005-0000-0000-00009E500000}"/>
    <cellStyle name="Normalny 2 4 23" xfId="20636" xr:uid="{00000000-0005-0000-0000-00009F500000}"/>
    <cellStyle name="Normalny 2 4 3" xfId="20637" xr:uid="{00000000-0005-0000-0000-0000A0500000}"/>
    <cellStyle name="Normalny 2 4 4" xfId="20638" xr:uid="{00000000-0005-0000-0000-0000A1500000}"/>
    <cellStyle name="Normalny 2 4 5" xfId="20639" xr:uid="{00000000-0005-0000-0000-0000A2500000}"/>
    <cellStyle name="Normalny 2 4 6" xfId="20640" xr:uid="{00000000-0005-0000-0000-0000A3500000}"/>
    <cellStyle name="Normalny 2 4 7" xfId="20641" xr:uid="{00000000-0005-0000-0000-0000A4500000}"/>
    <cellStyle name="Normalny 2 4 8" xfId="20642" xr:uid="{00000000-0005-0000-0000-0000A5500000}"/>
    <cellStyle name="Normalny 2 4 9" xfId="20643" xr:uid="{00000000-0005-0000-0000-0000A6500000}"/>
    <cellStyle name="Normalny 2 5" xfId="20644" xr:uid="{00000000-0005-0000-0000-0000A7500000}"/>
    <cellStyle name="Normalny 2 5 2" xfId="20645" xr:uid="{00000000-0005-0000-0000-0000A8500000}"/>
    <cellStyle name="Normalny 2 5 2 2" xfId="20646" xr:uid="{00000000-0005-0000-0000-0000A9500000}"/>
    <cellStyle name="Normalny 2 5 3" xfId="20647" xr:uid="{00000000-0005-0000-0000-0000AA500000}"/>
    <cellStyle name="Normalny 2 5 3 2" xfId="20648" xr:uid="{00000000-0005-0000-0000-0000AB500000}"/>
    <cellStyle name="Normalny 2 5 4" xfId="20649" xr:uid="{00000000-0005-0000-0000-0000AC500000}"/>
    <cellStyle name="Normalny 2 6" xfId="20650" xr:uid="{00000000-0005-0000-0000-0000AD500000}"/>
    <cellStyle name="Normalny 2 6 2" xfId="20651" xr:uid="{00000000-0005-0000-0000-0000AE500000}"/>
    <cellStyle name="Normalny 2 6 3" xfId="20652" xr:uid="{00000000-0005-0000-0000-0000AF500000}"/>
    <cellStyle name="Normalny 2 6 4" xfId="20653" xr:uid="{00000000-0005-0000-0000-0000B0500000}"/>
    <cellStyle name="Normalny 2 7" xfId="20654" xr:uid="{00000000-0005-0000-0000-0000B1500000}"/>
    <cellStyle name="Normalny 2 7 2" xfId="20655" xr:uid="{00000000-0005-0000-0000-0000B2500000}"/>
    <cellStyle name="Normalny 2 7 3" xfId="20656" xr:uid="{00000000-0005-0000-0000-0000B3500000}"/>
    <cellStyle name="Normalny 2 7 4" xfId="20657" xr:uid="{00000000-0005-0000-0000-0000B4500000}"/>
    <cellStyle name="Normalny 2 8" xfId="20658" xr:uid="{00000000-0005-0000-0000-0000B5500000}"/>
    <cellStyle name="Normalny 2 8 2" xfId="20659" xr:uid="{00000000-0005-0000-0000-0000B6500000}"/>
    <cellStyle name="Normalny 2 8 3" xfId="20660" xr:uid="{00000000-0005-0000-0000-0000B7500000}"/>
    <cellStyle name="Normalny 2 8 4" xfId="20661" xr:uid="{00000000-0005-0000-0000-0000B8500000}"/>
    <cellStyle name="Normalny 2 9" xfId="20662" xr:uid="{00000000-0005-0000-0000-0000B9500000}"/>
    <cellStyle name="Normalny 2 9 2" xfId="20663" xr:uid="{00000000-0005-0000-0000-0000BA500000}"/>
    <cellStyle name="Normalny 2 9 3" xfId="20664" xr:uid="{00000000-0005-0000-0000-0000BB500000}"/>
    <cellStyle name="Normalny 2 9 4" xfId="20665" xr:uid="{00000000-0005-0000-0000-0000BC500000}"/>
    <cellStyle name="Normalny 2_CHURN " xfId="20666" xr:uid="{00000000-0005-0000-0000-0000BD500000}"/>
    <cellStyle name="Normalny 20" xfId="20667" xr:uid="{00000000-0005-0000-0000-0000BE500000}"/>
    <cellStyle name="Normalny 20 2" xfId="20668" xr:uid="{00000000-0005-0000-0000-0000BF500000}"/>
    <cellStyle name="Normalny 20 2 2" xfId="20669" xr:uid="{00000000-0005-0000-0000-0000C0500000}"/>
    <cellStyle name="Normalny 20 2 3" xfId="20670" xr:uid="{00000000-0005-0000-0000-0000C1500000}"/>
    <cellStyle name="Normalny 20 3" xfId="20671" xr:uid="{00000000-0005-0000-0000-0000C2500000}"/>
    <cellStyle name="Normalny 20 4" xfId="20672" xr:uid="{00000000-0005-0000-0000-0000C3500000}"/>
    <cellStyle name="Normalny 20 5" xfId="20673" xr:uid="{00000000-0005-0000-0000-0000C4500000}"/>
    <cellStyle name="Normalny 20 6" xfId="20674" xr:uid="{00000000-0005-0000-0000-0000C5500000}"/>
    <cellStyle name="Normalny 21" xfId="20675" xr:uid="{00000000-0005-0000-0000-0000C6500000}"/>
    <cellStyle name="Normalny 21 2" xfId="20676" xr:uid="{00000000-0005-0000-0000-0000C7500000}"/>
    <cellStyle name="Normalny 21 2 2" xfId="20677" xr:uid="{00000000-0005-0000-0000-0000C8500000}"/>
    <cellStyle name="Normalny 21 2 3" xfId="20678" xr:uid="{00000000-0005-0000-0000-0000C9500000}"/>
    <cellStyle name="Normalny 21 3" xfId="20679" xr:uid="{00000000-0005-0000-0000-0000CA500000}"/>
    <cellStyle name="Normalny 21 4" xfId="20680" xr:uid="{00000000-0005-0000-0000-0000CB500000}"/>
    <cellStyle name="Normalny 21 5" xfId="20681" xr:uid="{00000000-0005-0000-0000-0000CC500000}"/>
    <cellStyle name="Normalny 21 6" xfId="20682" xr:uid="{00000000-0005-0000-0000-0000CD500000}"/>
    <cellStyle name="Normalny 22" xfId="20683" xr:uid="{00000000-0005-0000-0000-0000CE500000}"/>
    <cellStyle name="Normalny 22 2" xfId="20684" xr:uid="{00000000-0005-0000-0000-0000CF500000}"/>
    <cellStyle name="Normalny 22 2 2" xfId="20685" xr:uid="{00000000-0005-0000-0000-0000D0500000}"/>
    <cellStyle name="Normalny 22 2 3" xfId="20686" xr:uid="{00000000-0005-0000-0000-0000D1500000}"/>
    <cellStyle name="Normalny 22 3" xfId="20687" xr:uid="{00000000-0005-0000-0000-0000D2500000}"/>
    <cellStyle name="Normalny 22 4" xfId="20688" xr:uid="{00000000-0005-0000-0000-0000D3500000}"/>
    <cellStyle name="Normalny 22 5" xfId="20689" xr:uid="{00000000-0005-0000-0000-0000D4500000}"/>
    <cellStyle name="Normalny 22 6" xfId="20690" xr:uid="{00000000-0005-0000-0000-0000D5500000}"/>
    <cellStyle name="Normalny 23" xfId="20691" xr:uid="{00000000-0005-0000-0000-0000D6500000}"/>
    <cellStyle name="Normalny 23 2" xfId="20692" xr:uid="{00000000-0005-0000-0000-0000D7500000}"/>
    <cellStyle name="Normalny 23 2 2" xfId="20693" xr:uid="{00000000-0005-0000-0000-0000D8500000}"/>
    <cellStyle name="Normalny 23 2 3" xfId="20694" xr:uid="{00000000-0005-0000-0000-0000D9500000}"/>
    <cellStyle name="Normalny 23 3" xfId="20695" xr:uid="{00000000-0005-0000-0000-0000DA500000}"/>
    <cellStyle name="Normalny 23 4" xfId="20696" xr:uid="{00000000-0005-0000-0000-0000DB500000}"/>
    <cellStyle name="Normalny 23 5" xfId="20697" xr:uid="{00000000-0005-0000-0000-0000DC500000}"/>
    <cellStyle name="Normalny 23 6" xfId="20698" xr:uid="{00000000-0005-0000-0000-0000DD500000}"/>
    <cellStyle name="Normalny 24" xfId="20699" xr:uid="{00000000-0005-0000-0000-0000DE500000}"/>
    <cellStyle name="Normalny 24 2" xfId="20700" xr:uid="{00000000-0005-0000-0000-0000DF500000}"/>
    <cellStyle name="Normalny 24 2 2" xfId="20701" xr:uid="{00000000-0005-0000-0000-0000E0500000}"/>
    <cellStyle name="Normalny 24 2 3" xfId="20702" xr:uid="{00000000-0005-0000-0000-0000E1500000}"/>
    <cellStyle name="Normalny 24 3" xfId="20703" xr:uid="{00000000-0005-0000-0000-0000E2500000}"/>
    <cellStyle name="Normalny 24 4" xfId="20704" xr:uid="{00000000-0005-0000-0000-0000E3500000}"/>
    <cellStyle name="Normalny 24 5" xfId="20705" xr:uid="{00000000-0005-0000-0000-0000E4500000}"/>
    <cellStyle name="Normalny 24 6" xfId="20706" xr:uid="{00000000-0005-0000-0000-0000E5500000}"/>
    <cellStyle name="Normalny 25" xfId="20707" xr:uid="{00000000-0005-0000-0000-0000E6500000}"/>
    <cellStyle name="Normalny 25 2" xfId="20708" xr:uid="{00000000-0005-0000-0000-0000E7500000}"/>
    <cellStyle name="Normalny 25 3" xfId="20709" xr:uid="{00000000-0005-0000-0000-0000E8500000}"/>
    <cellStyle name="Normalny 25 4" xfId="20710" xr:uid="{00000000-0005-0000-0000-0000E9500000}"/>
    <cellStyle name="Normalny 26" xfId="20711" xr:uid="{00000000-0005-0000-0000-0000EA500000}"/>
    <cellStyle name="Normalny 26 2" xfId="20712" xr:uid="{00000000-0005-0000-0000-0000EB500000}"/>
    <cellStyle name="Normalny 26 3" xfId="20713" xr:uid="{00000000-0005-0000-0000-0000EC500000}"/>
    <cellStyle name="Normalny 26 4" xfId="20714" xr:uid="{00000000-0005-0000-0000-0000ED500000}"/>
    <cellStyle name="Normalny 27" xfId="20715" xr:uid="{00000000-0005-0000-0000-0000EE500000}"/>
    <cellStyle name="Normalny 27 2" xfId="20716" xr:uid="{00000000-0005-0000-0000-0000EF500000}"/>
    <cellStyle name="Normalny 27 3" xfId="20717" xr:uid="{00000000-0005-0000-0000-0000F0500000}"/>
    <cellStyle name="Normalny 27 4" xfId="20718" xr:uid="{00000000-0005-0000-0000-0000F1500000}"/>
    <cellStyle name="Normalny 28" xfId="20719" xr:uid="{00000000-0005-0000-0000-0000F2500000}"/>
    <cellStyle name="Normalny 28 2" xfId="20720" xr:uid="{00000000-0005-0000-0000-0000F3500000}"/>
    <cellStyle name="Normalny 28 3" xfId="20721" xr:uid="{00000000-0005-0000-0000-0000F4500000}"/>
    <cellStyle name="Normalny 28 4" xfId="20722" xr:uid="{00000000-0005-0000-0000-0000F5500000}"/>
    <cellStyle name="Normalny 29" xfId="20723" xr:uid="{00000000-0005-0000-0000-0000F6500000}"/>
    <cellStyle name="Normalny 29 2" xfId="20724" xr:uid="{00000000-0005-0000-0000-0000F7500000}"/>
    <cellStyle name="Normalny 29 2 2" xfId="20725" xr:uid="{00000000-0005-0000-0000-0000F8500000}"/>
    <cellStyle name="Normalny 29 2 3" xfId="20726" xr:uid="{00000000-0005-0000-0000-0000F9500000}"/>
    <cellStyle name="Normalny 29 3" xfId="20727" xr:uid="{00000000-0005-0000-0000-0000FA500000}"/>
    <cellStyle name="Normalny 29 4" xfId="20728" xr:uid="{00000000-0005-0000-0000-0000FB500000}"/>
    <cellStyle name="Normalny 3" xfId="20729" xr:uid="{00000000-0005-0000-0000-0000FC500000}"/>
    <cellStyle name="Normalny 3 10" xfId="20730" xr:uid="{00000000-0005-0000-0000-0000FD500000}"/>
    <cellStyle name="Normalny 3 10 2" xfId="20731" xr:uid="{00000000-0005-0000-0000-0000FE500000}"/>
    <cellStyle name="Normalny 3 11" xfId="20732" xr:uid="{00000000-0005-0000-0000-0000FF500000}"/>
    <cellStyle name="Normalny 3 12" xfId="42854" xr:uid="{00000000-0005-0000-0000-000000510000}"/>
    <cellStyle name="Normalny 3 2" xfId="20733" xr:uid="{00000000-0005-0000-0000-000001510000}"/>
    <cellStyle name="Normalny 3 2 10" xfId="20734" xr:uid="{00000000-0005-0000-0000-000002510000}"/>
    <cellStyle name="Normalny 3 2 11" xfId="20735" xr:uid="{00000000-0005-0000-0000-000003510000}"/>
    <cellStyle name="Normalny 3 2 12" xfId="20736" xr:uid="{00000000-0005-0000-0000-000004510000}"/>
    <cellStyle name="Normalny 3 2 13" xfId="20737" xr:uid="{00000000-0005-0000-0000-000005510000}"/>
    <cellStyle name="Normalny 3 2 14" xfId="20738" xr:uid="{00000000-0005-0000-0000-000006510000}"/>
    <cellStyle name="Normalny 3 2 15" xfId="20739" xr:uid="{00000000-0005-0000-0000-000007510000}"/>
    <cellStyle name="Normalny 3 2 16" xfId="20740" xr:uid="{00000000-0005-0000-0000-000008510000}"/>
    <cellStyle name="Normalny 3 2 17" xfId="20741" xr:uid="{00000000-0005-0000-0000-000009510000}"/>
    <cellStyle name="Normalny 3 2 18" xfId="20742" xr:uid="{00000000-0005-0000-0000-00000A510000}"/>
    <cellStyle name="Normalny 3 2 19" xfId="20743" xr:uid="{00000000-0005-0000-0000-00000B510000}"/>
    <cellStyle name="Normalny 3 2 2" xfId="20744" xr:uid="{00000000-0005-0000-0000-00000C510000}"/>
    <cellStyle name="Normalny 3 2 2 2" xfId="20745" xr:uid="{00000000-0005-0000-0000-00000D510000}"/>
    <cellStyle name="Normalny 3 2 20" xfId="20746" xr:uid="{00000000-0005-0000-0000-00000E510000}"/>
    <cellStyle name="Normalny 3 2 21" xfId="20747" xr:uid="{00000000-0005-0000-0000-00000F510000}"/>
    <cellStyle name="Normalny 3 2 22" xfId="20748" xr:uid="{00000000-0005-0000-0000-000010510000}"/>
    <cellStyle name="Normalny 3 2 23" xfId="20749" xr:uid="{00000000-0005-0000-0000-000011510000}"/>
    <cellStyle name="Normalny 3 2 24" xfId="20750" xr:uid="{00000000-0005-0000-0000-000012510000}"/>
    <cellStyle name="Normalny 3 2 3" xfId="20751" xr:uid="{00000000-0005-0000-0000-000013510000}"/>
    <cellStyle name="Normalny 3 2 4" xfId="20752" xr:uid="{00000000-0005-0000-0000-000014510000}"/>
    <cellStyle name="Normalny 3 2 5" xfId="20753" xr:uid="{00000000-0005-0000-0000-000015510000}"/>
    <cellStyle name="Normalny 3 2 6" xfId="20754" xr:uid="{00000000-0005-0000-0000-000016510000}"/>
    <cellStyle name="Normalny 3 2 7" xfId="20755" xr:uid="{00000000-0005-0000-0000-000017510000}"/>
    <cellStyle name="Normalny 3 2 8" xfId="20756" xr:uid="{00000000-0005-0000-0000-000018510000}"/>
    <cellStyle name="Normalny 3 2 9" xfId="20757" xr:uid="{00000000-0005-0000-0000-000019510000}"/>
    <cellStyle name="Normalny 3 3" xfId="20758" xr:uid="{00000000-0005-0000-0000-00001A510000}"/>
    <cellStyle name="Normalny 3 3 10" xfId="20759" xr:uid="{00000000-0005-0000-0000-00001B510000}"/>
    <cellStyle name="Normalny 3 3 11" xfId="20760" xr:uid="{00000000-0005-0000-0000-00001C510000}"/>
    <cellStyle name="Normalny 3 3 12" xfId="20761" xr:uid="{00000000-0005-0000-0000-00001D510000}"/>
    <cellStyle name="Normalny 3 3 13" xfId="20762" xr:uid="{00000000-0005-0000-0000-00001E510000}"/>
    <cellStyle name="Normalny 3 3 14" xfId="20763" xr:uid="{00000000-0005-0000-0000-00001F510000}"/>
    <cellStyle name="Normalny 3 3 15" xfId="20764" xr:uid="{00000000-0005-0000-0000-000020510000}"/>
    <cellStyle name="Normalny 3 3 16" xfId="20765" xr:uid="{00000000-0005-0000-0000-000021510000}"/>
    <cellStyle name="Normalny 3 3 17" xfId="20766" xr:uid="{00000000-0005-0000-0000-000022510000}"/>
    <cellStyle name="Normalny 3 3 18" xfId="20767" xr:uid="{00000000-0005-0000-0000-000023510000}"/>
    <cellStyle name="Normalny 3 3 19" xfId="20768" xr:uid="{00000000-0005-0000-0000-000024510000}"/>
    <cellStyle name="Normalny 3 3 2" xfId="20769" xr:uid="{00000000-0005-0000-0000-000025510000}"/>
    <cellStyle name="Normalny 3 3 2 2" xfId="20770" xr:uid="{00000000-0005-0000-0000-000026510000}"/>
    <cellStyle name="Normalny 3 3 20" xfId="20771" xr:uid="{00000000-0005-0000-0000-000027510000}"/>
    <cellStyle name="Normalny 3 3 21" xfId="20772" xr:uid="{00000000-0005-0000-0000-000028510000}"/>
    <cellStyle name="Normalny 3 3 3" xfId="20773" xr:uid="{00000000-0005-0000-0000-000029510000}"/>
    <cellStyle name="Normalny 3 3 4" xfId="20774" xr:uid="{00000000-0005-0000-0000-00002A510000}"/>
    <cellStyle name="Normalny 3 3 5" xfId="20775" xr:uid="{00000000-0005-0000-0000-00002B510000}"/>
    <cellStyle name="Normalny 3 3 6" xfId="20776" xr:uid="{00000000-0005-0000-0000-00002C510000}"/>
    <cellStyle name="Normalny 3 3 7" xfId="20777" xr:uid="{00000000-0005-0000-0000-00002D510000}"/>
    <cellStyle name="Normalny 3 3 8" xfId="20778" xr:uid="{00000000-0005-0000-0000-00002E510000}"/>
    <cellStyle name="Normalny 3 3 9" xfId="20779" xr:uid="{00000000-0005-0000-0000-00002F510000}"/>
    <cellStyle name="Normalny 3 4" xfId="20780" xr:uid="{00000000-0005-0000-0000-000030510000}"/>
    <cellStyle name="Normalny 3 4 2" xfId="20781" xr:uid="{00000000-0005-0000-0000-000031510000}"/>
    <cellStyle name="Normalny 3 4 2 2" xfId="20782" xr:uid="{00000000-0005-0000-0000-000032510000}"/>
    <cellStyle name="Normalny 3 4 3" xfId="20783" xr:uid="{00000000-0005-0000-0000-000033510000}"/>
    <cellStyle name="Normalny 3 4 4" xfId="20784" xr:uid="{00000000-0005-0000-0000-000034510000}"/>
    <cellStyle name="Normalny 3 4 5" xfId="20785" xr:uid="{00000000-0005-0000-0000-000035510000}"/>
    <cellStyle name="Normalny 3 4 6" xfId="20786" xr:uid="{00000000-0005-0000-0000-000036510000}"/>
    <cellStyle name="Normalny 3 5" xfId="20787" xr:uid="{00000000-0005-0000-0000-000037510000}"/>
    <cellStyle name="Normalny 3 5 2" xfId="20788" xr:uid="{00000000-0005-0000-0000-000038510000}"/>
    <cellStyle name="Normalny 3 5 3" xfId="20789" xr:uid="{00000000-0005-0000-0000-000039510000}"/>
    <cellStyle name="Normalny 3 6" xfId="20790" xr:uid="{00000000-0005-0000-0000-00003A510000}"/>
    <cellStyle name="Normalny 3 6 2" xfId="20791" xr:uid="{00000000-0005-0000-0000-00003B510000}"/>
    <cellStyle name="Normalny 3 6 3" xfId="20792" xr:uid="{00000000-0005-0000-0000-00003C510000}"/>
    <cellStyle name="Normalny 3 7" xfId="20793" xr:uid="{00000000-0005-0000-0000-00003D510000}"/>
    <cellStyle name="Normalny 3 7 2" xfId="20794" xr:uid="{00000000-0005-0000-0000-00003E510000}"/>
    <cellStyle name="Normalny 3 7 3" xfId="20795" xr:uid="{00000000-0005-0000-0000-00003F510000}"/>
    <cellStyle name="Normalny 3 8" xfId="20796" xr:uid="{00000000-0005-0000-0000-000040510000}"/>
    <cellStyle name="Normalny 3 8 2" xfId="20797" xr:uid="{00000000-0005-0000-0000-000041510000}"/>
    <cellStyle name="Normalny 3 8 3" xfId="20798" xr:uid="{00000000-0005-0000-0000-000042510000}"/>
    <cellStyle name="Normalny 3 9" xfId="20799" xr:uid="{00000000-0005-0000-0000-000043510000}"/>
    <cellStyle name="Normalny 3_CHURN " xfId="20800" xr:uid="{00000000-0005-0000-0000-000044510000}"/>
    <cellStyle name="Normalny 30" xfId="20801" xr:uid="{00000000-0005-0000-0000-000045510000}"/>
    <cellStyle name="Normalny 30 2" xfId="20802" xr:uid="{00000000-0005-0000-0000-000046510000}"/>
    <cellStyle name="Normalny 30 3" xfId="20803" xr:uid="{00000000-0005-0000-0000-000047510000}"/>
    <cellStyle name="Normalny 30 4" xfId="20804" xr:uid="{00000000-0005-0000-0000-000048510000}"/>
    <cellStyle name="Normalny 31" xfId="20805" xr:uid="{00000000-0005-0000-0000-000049510000}"/>
    <cellStyle name="Normalny 31 2" xfId="20806" xr:uid="{00000000-0005-0000-0000-00004A510000}"/>
    <cellStyle name="Normalny 31 2 2" xfId="20807" xr:uid="{00000000-0005-0000-0000-00004B510000}"/>
    <cellStyle name="Normalny 31 2 3" xfId="20808" xr:uid="{00000000-0005-0000-0000-00004C510000}"/>
    <cellStyle name="Normalny 31 3" xfId="20809" xr:uid="{00000000-0005-0000-0000-00004D510000}"/>
    <cellStyle name="Normalny 32" xfId="20810" xr:uid="{00000000-0005-0000-0000-00004E510000}"/>
    <cellStyle name="Normalny 32 2" xfId="20811" xr:uid="{00000000-0005-0000-0000-00004F510000}"/>
    <cellStyle name="Normalny 32 3" xfId="20812" xr:uid="{00000000-0005-0000-0000-000050510000}"/>
    <cellStyle name="Normalny 32 4" xfId="20813" xr:uid="{00000000-0005-0000-0000-000051510000}"/>
    <cellStyle name="Normalny 33" xfId="20814" xr:uid="{00000000-0005-0000-0000-000052510000}"/>
    <cellStyle name="Normalny 33 2" xfId="20815" xr:uid="{00000000-0005-0000-0000-000053510000}"/>
    <cellStyle name="Normalny 33 3" xfId="20816" xr:uid="{00000000-0005-0000-0000-000054510000}"/>
    <cellStyle name="Normalny 33 4" xfId="20817" xr:uid="{00000000-0005-0000-0000-000055510000}"/>
    <cellStyle name="Normalny 34" xfId="20818" xr:uid="{00000000-0005-0000-0000-000056510000}"/>
    <cellStyle name="Normalny 34 2" xfId="20819" xr:uid="{00000000-0005-0000-0000-000057510000}"/>
    <cellStyle name="Normalny 34 3" xfId="20820" xr:uid="{00000000-0005-0000-0000-000058510000}"/>
    <cellStyle name="Normalny 34 4" xfId="20821" xr:uid="{00000000-0005-0000-0000-000059510000}"/>
    <cellStyle name="Normalny 35" xfId="20822" xr:uid="{00000000-0005-0000-0000-00005A510000}"/>
    <cellStyle name="Normalny 35 2" xfId="20823" xr:uid="{00000000-0005-0000-0000-00005B510000}"/>
    <cellStyle name="Normalny 35 3" xfId="20824" xr:uid="{00000000-0005-0000-0000-00005C510000}"/>
    <cellStyle name="Normalny 35 4" xfId="20825" xr:uid="{00000000-0005-0000-0000-00005D510000}"/>
    <cellStyle name="Normalny 36" xfId="20826" xr:uid="{00000000-0005-0000-0000-00005E510000}"/>
    <cellStyle name="Normalny 36 2" xfId="20827" xr:uid="{00000000-0005-0000-0000-00005F510000}"/>
    <cellStyle name="Normalny 36 3" xfId="20828" xr:uid="{00000000-0005-0000-0000-000060510000}"/>
    <cellStyle name="Normalny 36 4" xfId="20829" xr:uid="{00000000-0005-0000-0000-000061510000}"/>
    <cellStyle name="Normalny 37" xfId="20830" xr:uid="{00000000-0005-0000-0000-000062510000}"/>
    <cellStyle name="Normalny 37 2" xfId="20831" xr:uid="{00000000-0005-0000-0000-000063510000}"/>
    <cellStyle name="Normalny 37 3" xfId="20832" xr:uid="{00000000-0005-0000-0000-000064510000}"/>
    <cellStyle name="Normalny 37 4" xfId="20833" xr:uid="{00000000-0005-0000-0000-000065510000}"/>
    <cellStyle name="Normalny 38" xfId="20834" xr:uid="{00000000-0005-0000-0000-000066510000}"/>
    <cellStyle name="Normalny 38 2" xfId="20835" xr:uid="{00000000-0005-0000-0000-000067510000}"/>
    <cellStyle name="Normalny 38 3" xfId="20836" xr:uid="{00000000-0005-0000-0000-000068510000}"/>
    <cellStyle name="Normalny 38 4" xfId="20837" xr:uid="{00000000-0005-0000-0000-000069510000}"/>
    <cellStyle name="Normalny 39" xfId="20838" xr:uid="{00000000-0005-0000-0000-00006A510000}"/>
    <cellStyle name="Normalny 39 2" xfId="20839" xr:uid="{00000000-0005-0000-0000-00006B510000}"/>
    <cellStyle name="Normalny 39 2 2" xfId="20840" xr:uid="{00000000-0005-0000-0000-00006C510000}"/>
    <cellStyle name="Normalny 39 2 3" xfId="20841" xr:uid="{00000000-0005-0000-0000-00006D510000}"/>
    <cellStyle name="Normalny 39 3" xfId="20842" xr:uid="{00000000-0005-0000-0000-00006E510000}"/>
    <cellStyle name="Normalny 4" xfId="20843" xr:uid="{00000000-0005-0000-0000-00006F510000}"/>
    <cellStyle name="Normalny 4 10" xfId="20844" xr:uid="{00000000-0005-0000-0000-000070510000}"/>
    <cellStyle name="Normalny 4 11" xfId="20845" xr:uid="{00000000-0005-0000-0000-000071510000}"/>
    <cellStyle name="Normalny 4 2" xfId="20846" xr:uid="{00000000-0005-0000-0000-000072510000}"/>
    <cellStyle name="Normalny 4 2 10" xfId="20847" xr:uid="{00000000-0005-0000-0000-000073510000}"/>
    <cellStyle name="Normalny 4 2 2" xfId="20848" xr:uid="{00000000-0005-0000-0000-000074510000}"/>
    <cellStyle name="Normalny 4 2 2 2" xfId="20849" xr:uid="{00000000-0005-0000-0000-000075510000}"/>
    <cellStyle name="Normalny 4 2 2 3" xfId="20850" xr:uid="{00000000-0005-0000-0000-000076510000}"/>
    <cellStyle name="Normalny 4 2 2 4" xfId="20851" xr:uid="{00000000-0005-0000-0000-000077510000}"/>
    <cellStyle name="Normalny 4 2 2 5" xfId="20852" xr:uid="{00000000-0005-0000-0000-000078510000}"/>
    <cellStyle name="Normalny 4 2 3" xfId="20853" xr:uid="{00000000-0005-0000-0000-000079510000}"/>
    <cellStyle name="Normalny 4 2 4" xfId="20854" xr:uid="{00000000-0005-0000-0000-00007A510000}"/>
    <cellStyle name="Normalny 4 2 5" xfId="20855" xr:uid="{00000000-0005-0000-0000-00007B510000}"/>
    <cellStyle name="Normalny 4 2 6" xfId="20856" xr:uid="{00000000-0005-0000-0000-00007C510000}"/>
    <cellStyle name="Normalny 4 2 7" xfId="20857" xr:uid="{00000000-0005-0000-0000-00007D510000}"/>
    <cellStyle name="Normalny 4 2 8" xfId="20858" xr:uid="{00000000-0005-0000-0000-00007E510000}"/>
    <cellStyle name="Normalny 4 2 9" xfId="20859" xr:uid="{00000000-0005-0000-0000-00007F510000}"/>
    <cellStyle name="Normalny 4 3" xfId="20860" xr:uid="{00000000-0005-0000-0000-000080510000}"/>
    <cellStyle name="Normalny 4 3 2" xfId="20861" xr:uid="{00000000-0005-0000-0000-000081510000}"/>
    <cellStyle name="Normalny 4 3 2 2" xfId="20862" xr:uid="{00000000-0005-0000-0000-000082510000}"/>
    <cellStyle name="Normalny 4 3 3" xfId="20863" xr:uid="{00000000-0005-0000-0000-000083510000}"/>
    <cellStyle name="Normalny 4 3 4" xfId="20864" xr:uid="{00000000-0005-0000-0000-000084510000}"/>
    <cellStyle name="Normalny 4 4" xfId="20865" xr:uid="{00000000-0005-0000-0000-000085510000}"/>
    <cellStyle name="Normalny 4 4 2" xfId="20866" xr:uid="{00000000-0005-0000-0000-000086510000}"/>
    <cellStyle name="Normalny 4 4 3" xfId="20867" xr:uid="{00000000-0005-0000-0000-000087510000}"/>
    <cellStyle name="Normalny 4 4 4" xfId="20868" xr:uid="{00000000-0005-0000-0000-000088510000}"/>
    <cellStyle name="Normalny 4 5" xfId="20869" xr:uid="{00000000-0005-0000-0000-000089510000}"/>
    <cellStyle name="Normalny 4 5 2" xfId="20870" xr:uid="{00000000-0005-0000-0000-00008A510000}"/>
    <cellStyle name="Normalny 4 5 3" xfId="20871" xr:uid="{00000000-0005-0000-0000-00008B510000}"/>
    <cellStyle name="Normalny 4 5 4" xfId="20872" xr:uid="{00000000-0005-0000-0000-00008C510000}"/>
    <cellStyle name="Normalny 4 6" xfId="20873" xr:uid="{00000000-0005-0000-0000-00008D510000}"/>
    <cellStyle name="Normalny 4 6 2" xfId="20874" xr:uid="{00000000-0005-0000-0000-00008E510000}"/>
    <cellStyle name="Normalny 4 6 3" xfId="20875" xr:uid="{00000000-0005-0000-0000-00008F510000}"/>
    <cellStyle name="Normalny 4 6 4" xfId="20876" xr:uid="{00000000-0005-0000-0000-000090510000}"/>
    <cellStyle name="Normalny 4 6 5" xfId="20877" xr:uid="{00000000-0005-0000-0000-000091510000}"/>
    <cellStyle name="Normalny 4 7" xfId="20878" xr:uid="{00000000-0005-0000-0000-000092510000}"/>
    <cellStyle name="Normalny 4 7 2" xfId="20879" xr:uid="{00000000-0005-0000-0000-000093510000}"/>
    <cellStyle name="Normalny 4 8" xfId="20880" xr:uid="{00000000-0005-0000-0000-000094510000}"/>
    <cellStyle name="Normalny 4 9" xfId="20881" xr:uid="{00000000-0005-0000-0000-000095510000}"/>
    <cellStyle name="Normalny 4_CHURN " xfId="20882" xr:uid="{00000000-0005-0000-0000-000096510000}"/>
    <cellStyle name="Normalny 40" xfId="20883" xr:uid="{00000000-0005-0000-0000-000097510000}"/>
    <cellStyle name="Normalny 40 2" xfId="20884" xr:uid="{00000000-0005-0000-0000-000098510000}"/>
    <cellStyle name="Normalny 40 2 2" xfId="20885" xr:uid="{00000000-0005-0000-0000-000099510000}"/>
    <cellStyle name="Normalny 40 2 3" xfId="20886" xr:uid="{00000000-0005-0000-0000-00009A510000}"/>
    <cellStyle name="Normalny 40 3" xfId="20887" xr:uid="{00000000-0005-0000-0000-00009B510000}"/>
    <cellStyle name="Normalny 40 4" xfId="20888" xr:uid="{00000000-0005-0000-0000-00009C510000}"/>
    <cellStyle name="Normalny 41" xfId="20889" xr:uid="{00000000-0005-0000-0000-00009D510000}"/>
    <cellStyle name="Normalny 41 2" xfId="20890" xr:uid="{00000000-0005-0000-0000-00009E510000}"/>
    <cellStyle name="Normalny 41 2 2" xfId="20891" xr:uid="{00000000-0005-0000-0000-00009F510000}"/>
    <cellStyle name="Normalny 41 3" xfId="20892" xr:uid="{00000000-0005-0000-0000-0000A0510000}"/>
    <cellStyle name="Normalny 42" xfId="20893" xr:uid="{00000000-0005-0000-0000-0000A1510000}"/>
    <cellStyle name="Normalny 42 2" xfId="20894" xr:uid="{00000000-0005-0000-0000-0000A2510000}"/>
    <cellStyle name="Normalny 42 2 2" xfId="20895" xr:uid="{00000000-0005-0000-0000-0000A3510000}"/>
    <cellStyle name="Normalny 42 3" xfId="20896" xr:uid="{00000000-0005-0000-0000-0000A4510000}"/>
    <cellStyle name="Normalny 43" xfId="20897" xr:uid="{00000000-0005-0000-0000-0000A5510000}"/>
    <cellStyle name="Normalny 43 2" xfId="20898" xr:uid="{00000000-0005-0000-0000-0000A6510000}"/>
    <cellStyle name="Normalny 43 2 2" xfId="20899" xr:uid="{00000000-0005-0000-0000-0000A7510000}"/>
    <cellStyle name="Normalny 43 3" xfId="20900" xr:uid="{00000000-0005-0000-0000-0000A8510000}"/>
    <cellStyle name="Normalny 44" xfId="20901" xr:uid="{00000000-0005-0000-0000-0000A9510000}"/>
    <cellStyle name="Normalny 44 2" xfId="20902" xr:uid="{00000000-0005-0000-0000-0000AA510000}"/>
    <cellStyle name="Normalny 44 2 2" xfId="20903" xr:uid="{00000000-0005-0000-0000-0000AB510000}"/>
    <cellStyle name="Normalny 44 3" xfId="20904" xr:uid="{00000000-0005-0000-0000-0000AC510000}"/>
    <cellStyle name="Normalny 44 4" xfId="20905" xr:uid="{00000000-0005-0000-0000-0000AD510000}"/>
    <cellStyle name="Normalny 45" xfId="20906" xr:uid="{00000000-0005-0000-0000-0000AE510000}"/>
    <cellStyle name="Normalny 45 2" xfId="20907" xr:uid="{00000000-0005-0000-0000-0000AF510000}"/>
    <cellStyle name="Normalny 45 2 2" xfId="20908" xr:uid="{00000000-0005-0000-0000-0000B0510000}"/>
    <cellStyle name="Normalny 45 3" xfId="20909" xr:uid="{00000000-0005-0000-0000-0000B1510000}"/>
    <cellStyle name="Normalny 45 4" xfId="20910" xr:uid="{00000000-0005-0000-0000-0000B2510000}"/>
    <cellStyle name="Normalny 46" xfId="20911" xr:uid="{00000000-0005-0000-0000-0000B3510000}"/>
    <cellStyle name="Normalny 46 2" xfId="20912" xr:uid="{00000000-0005-0000-0000-0000B4510000}"/>
    <cellStyle name="Normalny 46 2 2" xfId="20913" xr:uid="{00000000-0005-0000-0000-0000B5510000}"/>
    <cellStyle name="Normalny 46 3" xfId="20914" xr:uid="{00000000-0005-0000-0000-0000B6510000}"/>
    <cellStyle name="Normalny 46 4" xfId="20915" xr:uid="{00000000-0005-0000-0000-0000B7510000}"/>
    <cellStyle name="Normalny 47" xfId="13" xr:uid="{00000000-0005-0000-0000-0000B8510000}"/>
    <cellStyle name="Normalny 47 2" xfId="20916" xr:uid="{00000000-0005-0000-0000-0000B9510000}"/>
    <cellStyle name="Normalny 47 2 2" xfId="20917" xr:uid="{00000000-0005-0000-0000-0000BA510000}"/>
    <cellStyle name="Normalny 47 3" xfId="20918" xr:uid="{00000000-0005-0000-0000-0000BB510000}"/>
    <cellStyle name="Normalny 47 4" xfId="20919" xr:uid="{00000000-0005-0000-0000-0000BC510000}"/>
    <cellStyle name="Normalny 48" xfId="20920" xr:uid="{00000000-0005-0000-0000-0000BD510000}"/>
    <cellStyle name="Normalny 48 2" xfId="20921" xr:uid="{00000000-0005-0000-0000-0000BE510000}"/>
    <cellStyle name="Normalny 48 3" xfId="20922" xr:uid="{00000000-0005-0000-0000-0000BF510000}"/>
    <cellStyle name="Normalny 48 4" xfId="20923" xr:uid="{00000000-0005-0000-0000-0000C0510000}"/>
    <cellStyle name="Normalny 49" xfId="20924" xr:uid="{00000000-0005-0000-0000-0000C1510000}"/>
    <cellStyle name="Normalny 49 2" xfId="20925" xr:uid="{00000000-0005-0000-0000-0000C2510000}"/>
    <cellStyle name="Normalny 49 3" xfId="20926" xr:uid="{00000000-0005-0000-0000-0000C3510000}"/>
    <cellStyle name="Normalny 49 4" xfId="20927" xr:uid="{00000000-0005-0000-0000-0000C4510000}"/>
    <cellStyle name="Normalny 5" xfId="20928" xr:uid="{00000000-0005-0000-0000-0000C5510000}"/>
    <cellStyle name="Normalny 5 10" xfId="20929" xr:uid="{00000000-0005-0000-0000-0000C6510000}"/>
    <cellStyle name="Normalny 5 10 2" xfId="20930" xr:uid="{00000000-0005-0000-0000-0000C7510000}"/>
    <cellStyle name="Normalny 5 10 3" xfId="20931" xr:uid="{00000000-0005-0000-0000-0000C8510000}"/>
    <cellStyle name="Normalny 5 11" xfId="20932" xr:uid="{00000000-0005-0000-0000-0000C9510000}"/>
    <cellStyle name="Normalny 5 11 2" xfId="20933" xr:uid="{00000000-0005-0000-0000-0000CA510000}"/>
    <cellStyle name="Normalny 5 12" xfId="20934" xr:uid="{00000000-0005-0000-0000-0000CB510000}"/>
    <cellStyle name="Normalny 5 13" xfId="20935" xr:uid="{00000000-0005-0000-0000-0000CC510000}"/>
    <cellStyle name="Normalny 5 14" xfId="20936" xr:uid="{00000000-0005-0000-0000-0000CD510000}"/>
    <cellStyle name="Normalny 5 15" xfId="20937" xr:uid="{00000000-0005-0000-0000-0000CE510000}"/>
    <cellStyle name="Normalny 5 16" xfId="20938" xr:uid="{00000000-0005-0000-0000-0000CF510000}"/>
    <cellStyle name="Normalny 5 17" xfId="20939" xr:uid="{00000000-0005-0000-0000-0000D0510000}"/>
    <cellStyle name="Normalny 5 18" xfId="20940" xr:uid="{00000000-0005-0000-0000-0000D1510000}"/>
    <cellStyle name="Normalny 5 19" xfId="20941" xr:uid="{00000000-0005-0000-0000-0000D2510000}"/>
    <cellStyle name="Normalny 5 2" xfId="20942" xr:uid="{00000000-0005-0000-0000-0000D3510000}"/>
    <cellStyle name="Normalny 5 2 10" xfId="20943" xr:uid="{00000000-0005-0000-0000-0000D4510000}"/>
    <cellStyle name="Normalny 5 2 11" xfId="20944" xr:uid="{00000000-0005-0000-0000-0000D5510000}"/>
    <cellStyle name="Normalny 5 2 12" xfId="20945" xr:uid="{00000000-0005-0000-0000-0000D6510000}"/>
    <cellStyle name="Normalny 5 2 13" xfId="20946" xr:uid="{00000000-0005-0000-0000-0000D7510000}"/>
    <cellStyle name="Normalny 5 2 14" xfId="20947" xr:uid="{00000000-0005-0000-0000-0000D8510000}"/>
    <cellStyle name="Normalny 5 2 15" xfId="20948" xr:uid="{00000000-0005-0000-0000-0000D9510000}"/>
    <cellStyle name="Normalny 5 2 16" xfId="20949" xr:uid="{00000000-0005-0000-0000-0000DA510000}"/>
    <cellStyle name="Normalny 5 2 17" xfId="20950" xr:uid="{00000000-0005-0000-0000-0000DB510000}"/>
    <cellStyle name="Normalny 5 2 18" xfId="20951" xr:uid="{00000000-0005-0000-0000-0000DC510000}"/>
    <cellStyle name="Normalny 5 2 19" xfId="20952" xr:uid="{00000000-0005-0000-0000-0000DD510000}"/>
    <cellStyle name="Normalny 5 2 2" xfId="20953" xr:uid="{00000000-0005-0000-0000-0000DE510000}"/>
    <cellStyle name="Normalny 5 2 2 2" xfId="20954" xr:uid="{00000000-0005-0000-0000-0000DF510000}"/>
    <cellStyle name="Normalny 5 2 2 3" xfId="20955" xr:uid="{00000000-0005-0000-0000-0000E0510000}"/>
    <cellStyle name="Normalny 5 2 20" xfId="20956" xr:uid="{00000000-0005-0000-0000-0000E1510000}"/>
    <cellStyle name="Normalny 5 2 21" xfId="20957" xr:uid="{00000000-0005-0000-0000-0000E2510000}"/>
    <cellStyle name="Normalny 5 2 22" xfId="20958" xr:uid="{00000000-0005-0000-0000-0000E3510000}"/>
    <cellStyle name="Normalny 5 2 3" xfId="20959" xr:uid="{00000000-0005-0000-0000-0000E4510000}"/>
    <cellStyle name="Normalny 5 2 4" xfId="20960" xr:uid="{00000000-0005-0000-0000-0000E5510000}"/>
    <cellStyle name="Normalny 5 2 5" xfId="20961" xr:uid="{00000000-0005-0000-0000-0000E6510000}"/>
    <cellStyle name="Normalny 5 2 6" xfId="20962" xr:uid="{00000000-0005-0000-0000-0000E7510000}"/>
    <cellStyle name="Normalny 5 2 7" xfId="20963" xr:uid="{00000000-0005-0000-0000-0000E8510000}"/>
    <cellStyle name="Normalny 5 2 8" xfId="20964" xr:uid="{00000000-0005-0000-0000-0000E9510000}"/>
    <cellStyle name="Normalny 5 2 9" xfId="20965" xr:uid="{00000000-0005-0000-0000-0000EA510000}"/>
    <cellStyle name="Normalny 5 20" xfId="20966" xr:uid="{00000000-0005-0000-0000-0000EB510000}"/>
    <cellStyle name="Normalny 5 21" xfId="20967" xr:uid="{00000000-0005-0000-0000-0000EC510000}"/>
    <cellStyle name="Normalny 5 22" xfId="20968" xr:uid="{00000000-0005-0000-0000-0000ED510000}"/>
    <cellStyle name="Normalny 5 23" xfId="20969" xr:uid="{00000000-0005-0000-0000-0000EE510000}"/>
    <cellStyle name="Normalny 5 3" xfId="20970" xr:uid="{00000000-0005-0000-0000-0000EF510000}"/>
    <cellStyle name="Normalny 5 3 2" xfId="20971" xr:uid="{00000000-0005-0000-0000-0000F0510000}"/>
    <cellStyle name="Normalny 5 3 2 2" xfId="20972" xr:uid="{00000000-0005-0000-0000-0000F1510000}"/>
    <cellStyle name="Normalny 5 3 3" xfId="20973" xr:uid="{00000000-0005-0000-0000-0000F2510000}"/>
    <cellStyle name="Normalny 5 4" xfId="20974" xr:uid="{00000000-0005-0000-0000-0000F3510000}"/>
    <cellStyle name="Normalny 5 4 2" xfId="20975" xr:uid="{00000000-0005-0000-0000-0000F4510000}"/>
    <cellStyle name="Normalny 5 4 3" xfId="20976" xr:uid="{00000000-0005-0000-0000-0000F5510000}"/>
    <cellStyle name="Normalny 5 5" xfId="20977" xr:uid="{00000000-0005-0000-0000-0000F6510000}"/>
    <cellStyle name="Normalny 5 5 2" xfId="20978" xr:uid="{00000000-0005-0000-0000-0000F7510000}"/>
    <cellStyle name="Normalny 5 6" xfId="20979" xr:uid="{00000000-0005-0000-0000-0000F8510000}"/>
    <cellStyle name="Normalny 5 6 2" xfId="20980" xr:uid="{00000000-0005-0000-0000-0000F9510000}"/>
    <cellStyle name="Normalny 5 7" xfId="20981" xr:uid="{00000000-0005-0000-0000-0000FA510000}"/>
    <cellStyle name="Normalny 5 7 2" xfId="20982" xr:uid="{00000000-0005-0000-0000-0000FB510000}"/>
    <cellStyle name="Normalny 5 8" xfId="20983" xr:uid="{00000000-0005-0000-0000-0000FC510000}"/>
    <cellStyle name="Normalny 5 8 2" xfId="20984" xr:uid="{00000000-0005-0000-0000-0000FD510000}"/>
    <cellStyle name="Normalny 5 9" xfId="20985" xr:uid="{00000000-0005-0000-0000-0000FE510000}"/>
    <cellStyle name="Normalny 5 9 2" xfId="20986" xr:uid="{00000000-0005-0000-0000-0000FF510000}"/>
    <cellStyle name="Normalny 5_CHURN " xfId="20987" xr:uid="{00000000-0005-0000-0000-000000520000}"/>
    <cellStyle name="Normalny 50" xfId="20988" xr:uid="{00000000-0005-0000-0000-000001520000}"/>
    <cellStyle name="Normalny 50 2" xfId="20989" xr:uid="{00000000-0005-0000-0000-000002520000}"/>
    <cellStyle name="Normalny 50 3" xfId="20990" xr:uid="{00000000-0005-0000-0000-000003520000}"/>
    <cellStyle name="Normalny 50 4" xfId="20991" xr:uid="{00000000-0005-0000-0000-000004520000}"/>
    <cellStyle name="Normalny 51" xfId="20992" xr:uid="{00000000-0005-0000-0000-000005520000}"/>
    <cellStyle name="Normalny 51 2" xfId="20993" xr:uid="{00000000-0005-0000-0000-000006520000}"/>
    <cellStyle name="Normalny 51 3" xfId="20994" xr:uid="{00000000-0005-0000-0000-000007520000}"/>
    <cellStyle name="Normalny 51 4" xfId="20995" xr:uid="{00000000-0005-0000-0000-000008520000}"/>
    <cellStyle name="Normalny 52" xfId="20996" xr:uid="{00000000-0005-0000-0000-000009520000}"/>
    <cellStyle name="Normalny 52 2" xfId="20997" xr:uid="{00000000-0005-0000-0000-00000A520000}"/>
    <cellStyle name="Normalny 52 3" xfId="20998" xr:uid="{00000000-0005-0000-0000-00000B520000}"/>
    <cellStyle name="Normalny 52 4" xfId="20999" xr:uid="{00000000-0005-0000-0000-00000C520000}"/>
    <cellStyle name="Normalny 53" xfId="21000" xr:uid="{00000000-0005-0000-0000-00000D520000}"/>
    <cellStyle name="Normalny 53 2" xfId="21001" xr:uid="{00000000-0005-0000-0000-00000E520000}"/>
    <cellStyle name="Normalny 53 3" xfId="21002" xr:uid="{00000000-0005-0000-0000-00000F520000}"/>
    <cellStyle name="Normalny 53 4" xfId="21003" xr:uid="{00000000-0005-0000-0000-000010520000}"/>
    <cellStyle name="Normalny 54" xfId="21004" xr:uid="{00000000-0005-0000-0000-000011520000}"/>
    <cellStyle name="Normalny 54 2" xfId="21005" xr:uid="{00000000-0005-0000-0000-000012520000}"/>
    <cellStyle name="Normalny 54 3" xfId="21006" xr:uid="{00000000-0005-0000-0000-000013520000}"/>
    <cellStyle name="Normalny 54 4" xfId="21007" xr:uid="{00000000-0005-0000-0000-000014520000}"/>
    <cellStyle name="Normalny 55" xfId="21008" xr:uid="{00000000-0005-0000-0000-000015520000}"/>
    <cellStyle name="Normalny 55 2" xfId="21009" xr:uid="{00000000-0005-0000-0000-000016520000}"/>
    <cellStyle name="Normalny 55 3" xfId="21010" xr:uid="{00000000-0005-0000-0000-000017520000}"/>
    <cellStyle name="Normalny 55 4" xfId="21011" xr:uid="{00000000-0005-0000-0000-000018520000}"/>
    <cellStyle name="Normalny 56" xfId="21012" xr:uid="{00000000-0005-0000-0000-000019520000}"/>
    <cellStyle name="Normalny 56 2" xfId="21013" xr:uid="{00000000-0005-0000-0000-00001A520000}"/>
    <cellStyle name="Normalny 56 3" xfId="21014" xr:uid="{00000000-0005-0000-0000-00001B520000}"/>
    <cellStyle name="Normalny 56 4" xfId="21015" xr:uid="{00000000-0005-0000-0000-00001C520000}"/>
    <cellStyle name="Normalny 57" xfId="21016" xr:uid="{00000000-0005-0000-0000-00001D520000}"/>
    <cellStyle name="Normalny 57 2" xfId="21017" xr:uid="{00000000-0005-0000-0000-00001E520000}"/>
    <cellStyle name="Normalny 57 3" xfId="21018" xr:uid="{00000000-0005-0000-0000-00001F520000}"/>
    <cellStyle name="Normalny 57 4" xfId="21019" xr:uid="{00000000-0005-0000-0000-000020520000}"/>
    <cellStyle name="Normalny 58" xfId="21020" xr:uid="{00000000-0005-0000-0000-000021520000}"/>
    <cellStyle name="Normalny 58 2" xfId="21021" xr:uid="{00000000-0005-0000-0000-000022520000}"/>
    <cellStyle name="Normalny 58 3" xfId="21022" xr:uid="{00000000-0005-0000-0000-000023520000}"/>
    <cellStyle name="Normalny 58 4" xfId="21023" xr:uid="{00000000-0005-0000-0000-000024520000}"/>
    <cellStyle name="Normalny 59" xfId="21024" xr:uid="{00000000-0005-0000-0000-000025520000}"/>
    <cellStyle name="Normalny 59 2" xfId="21025" xr:uid="{00000000-0005-0000-0000-000026520000}"/>
    <cellStyle name="Normalny 6" xfId="21026" xr:uid="{00000000-0005-0000-0000-000027520000}"/>
    <cellStyle name="Normalny 6 10" xfId="21027" xr:uid="{00000000-0005-0000-0000-000028520000}"/>
    <cellStyle name="Normalny 6 10 2" xfId="21028" xr:uid="{00000000-0005-0000-0000-000029520000}"/>
    <cellStyle name="Normalny 6 10 3" xfId="21029" xr:uid="{00000000-0005-0000-0000-00002A520000}"/>
    <cellStyle name="Normalny 6 11" xfId="21030" xr:uid="{00000000-0005-0000-0000-00002B520000}"/>
    <cellStyle name="Normalny 6 11 2" xfId="21031" xr:uid="{00000000-0005-0000-0000-00002C520000}"/>
    <cellStyle name="Normalny 6 12" xfId="21032" xr:uid="{00000000-0005-0000-0000-00002D520000}"/>
    <cellStyle name="Normalny 6 12 2" xfId="21033" xr:uid="{00000000-0005-0000-0000-00002E520000}"/>
    <cellStyle name="Normalny 6 12 3" xfId="21034" xr:uid="{00000000-0005-0000-0000-00002F520000}"/>
    <cellStyle name="Normalny 6 13" xfId="21035" xr:uid="{00000000-0005-0000-0000-000030520000}"/>
    <cellStyle name="Normalny 6 13 2" xfId="21036" xr:uid="{00000000-0005-0000-0000-000031520000}"/>
    <cellStyle name="Normalny 6 14" xfId="21037" xr:uid="{00000000-0005-0000-0000-000032520000}"/>
    <cellStyle name="Normalny 6 15" xfId="21038" xr:uid="{00000000-0005-0000-0000-000033520000}"/>
    <cellStyle name="Normalny 6 16" xfId="21039" xr:uid="{00000000-0005-0000-0000-000034520000}"/>
    <cellStyle name="Normalny 6 17" xfId="21040" xr:uid="{00000000-0005-0000-0000-000035520000}"/>
    <cellStyle name="Normalny 6 18" xfId="21041" xr:uid="{00000000-0005-0000-0000-000036520000}"/>
    <cellStyle name="Normalny 6 19" xfId="21042" xr:uid="{00000000-0005-0000-0000-000037520000}"/>
    <cellStyle name="Normalny 6 2" xfId="21043" xr:uid="{00000000-0005-0000-0000-000038520000}"/>
    <cellStyle name="Normalny 6 2 10" xfId="21044" xr:uid="{00000000-0005-0000-0000-000039520000}"/>
    <cellStyle name="Normalny 6 2 10 2" xfId="21045" xr:uid="{00000000-0005-0000-0000-00003A520000}"/>
    <cellStyle name="Normalny 6 2 11" xfId="21046" xr:uid="{00000000-0005-0000-0000-00003B520000}"/>
    <cellStyle name="Normalny 6 2 11 2" xfId="21047" xr:uid="{00000000-0005-0000-0000-00003C520000}"/>
    <cellStyle name="Normalny 6 2 12" xfId="21048" xr:uid="{00000000-0005-0000-0000-00003D520000}"/>
    <cellStyle name="Normalny 6 2 12 2" xfId="21049" xr:uid="{00000000-0005-0000-0000-00003E520000}"/>
    <cellStyle name="Normalny 6 2 13" xfId="21050" xr:uid="{00000000-0005-0000-0000-00003F520000}"/>
    <cellStyle name="Normalny 6 2 14" xfId="21051" xr:uid="{00000000-0005-0000-0000-000040520000}"/>
    <cellStyle name="Normalny 6 2 15" xfId="21052" xr:uid="{00000000-0005-0000-0000-000041520000}"/>
    <cellStyle name="Normalny 6 2 16" xfId="21053" xr:uid="{00000000-0005-0000-0000-000042520000}"/>
    <cellStyle name="Normalny 6 2 17" xfId="21054" xr:uid="{00000000-0005-0000-0000-000043520000}"/>
    <cellStyle name="Normalny 6 2 18" xfId="21055" xr:uid="{00000000-0005-0000-0000-000044520000}"/>
    <cellStyle name="Normalny 6 2 19" xfId="21056" xr:uid="{00000000-0005-0000-0000-000045520000}"/>
    <cellStyle name="Normalny 6 2 2" xfId="21057" xr:uid="{00000000-0005-0000-0000-000046520000}"/>
    <cellStyle name="Normalny 6 2 2 2" xfId="21058" xr:uid="{00000000-0005-0000-0000-000047520000}"/>
    <cellStyle name="Normalny 6 2 2 2 2" xfId="21059" xr:uid="{00000000-0005-0000-0000-000048520000}"/>
    <cellStyle name="Normalny 6 2 2 3" xfId="21060" xr:uid="{00000000-0005-0000-0000-000049520000}"/>
    <cellStyle name="Normalny 6 2 20" xfId="21061" xr:uid="{00000000-0005-0000-0000-00004A520000}"/>
    <cellStyle name="Normalny 6 2 21" xfId="21062" xr:uid="{00000000-0005-0000-0000-00004B520000}"/>
    <cellStyle name="Normalny 6 2 22" xfId="21063" xr:uid="{00000000-0005-0000-0000-00004C520000}"/>
    <cellStyle name="Normalny 6 2 23" xfId="21064" xr:uid="{00000000-0005-0000-0000-00004D520000}"/>
    <cellStyle name="Normalny 6 2 24" xfId="21065" xr:uid="{00000000-0005-0000-0000-00004E520000}"/>
    <cellStyle name="Normalny 6 2 3" xfId="21066" xr:uid="{00000000-0005-0000-0000-00004F520000}"/>
    <cellStyle name="Normalny 6 2 3 2" xfId="21067" xr:uid="{00000000-0005-0000-0000-000050520000}"/>
    <cellStyle name="Normalny 6 2 3 3" xfId="21068" xr:uid="{00000000-0005-0000-0000-000051520000}"/>
    <cellStyle name="Normalny 6 2 4" xfId="21069" xr:uid="{00000000-0005-0000-0000-000052520000}"/>
    <cellStyle name="Normalny 6 2 4 2" xfId="21070" xr:uid="{00000000-0005-0000-0000-000053520000}"/>
    <cellStyle name="Normalny 6 2 5" xfId="21071" xr:uid="{00000000-0005-0000-0000-000054520000}"/>
    <cellStyle name="Normalny 6 2 5 2" xfId="21072" xr:uid="{00000000-0005-0000-0000-000055520000}"/>
    <cellStyle name="Normalny 6 2 6" xfId="21073" xr:uid="{00000000-0005-0000-0000-000056520000}"/>
    <cellStyle name="Normalny 6 2 6 2" xfId="21074" xr:uid="{00000000-0005-0000-0000-000057520000}"/>
    <cellStyle name="Normalny 6 2 7" xfId="21075" xr:uid="{00000000-0005-0000-0000-000058520000}"/>
    <cellStyle name="Normalny 6 2 7 2" xfId="21076" xr:uid="{00000000-0005-0000-0000-000059520000}"/>
    <cellStyle name="Normalny 6 2 8" xfId="21077" xr:uid="{00000000-0005-0000-0000-00005A520000}"/>
    <cellStyle name="Normalny 6 2 8 2" xfId="21078" xr:uid="{00000000-0005-0000-0000-00005B520000}"/>
    <cellStyle name="Normalny 6 2 9" xfId="21079" xr:uid="{00000000-0005-0000-0000-00005C520000}"/>
    <cellStyle name="Normalny 6 2 9 2" xfId="21080" xr:uid="{00000000-0005-0000-0000-00005D520000}"/>
    <cellStyle name="Normalny 6 3" xfId="21081" xr:uid="{00000000-0005-0000-0000-00005E520000}"/>
    <cellStyle name="Normalny 6 3 10" xfId="21082" xr:uid="{00000000-0005-0000-0000-00005F520000}"/>
    <cellStyle name="Normalny 6 3 11" xfId="21083" xr:uid="{00000000-0005-0000-0000-000060520000}"/>
    <cellStyle name="Normalny 6 3 12" xfId="21084" xr:uid="{00000000-0005-0000-0000-000061520000}"/>
    <cellStyle name="Normalny 6 3 13" xfId="21085" xr:uid="{00000000-0005-0000-0000-000062520000}"/>
    <cellStyle name="Normalny 6 3 14" xfId="21086" xr:uid="{00000000-0005-0000-0000-000063520000}"/>
    <cellStyle name="Normalny 6 3 15" xfId="21087" xr:uid="{00000000-0005-0000-0000-000064520000}"/>
    <cellStyle name="Normalny 6 3 16" xfId="21088" xr:uid="{00000000-0005-0000-0000-000065520000}"/>
    <cellStyle name="Normalny 6 3 17" xfId="21089" xr:uid="{00000000-0005-0000-0000-000066520000}"/>
    <cellStyle name="Normalny 6 3 18" xfId="21090" xr:uid="{00000000-0005-0000-0000-000067520000}"/>
    <cellStyle name="Normalny 6 3 19" xfId="21091" xr:uid="{00000000-0005-0000-0000-000068520000}"/>
    <cellStyle name="Normalny 6 3 2" xfId="21092" xr:uid="{00000000-0005-0000-0000-000069520000}"/>
    <cellStyle name="Normalny 6 3 2 2" xfId="21093" xr:uid="{00000000-0005-0000-0000-00006A520000}"/>
    <cellStyle name="Normalny 6 3 20" xfId="21094" xr:uid="{00000000-0005-0000-0000-00006B520000}"/>
    <cellStyle name="Normalny 6 3 21" xfId="21095" xr:uid="{00000000-0005-0000-0000-00006C520000}"/>
    <cellStyle name="Normalny 6 3 22" xfId="21096" xr:uid="{00000000-0005-0000-0000-00006D520000}"/>
    <cellStyle name="Normalny 6 3 23" xfId="21097" xr:uid="{00000000-0005-0000-0000-00006E520000}"/>
    <cellStyle name="Normalny 6 3 24" xfId="21098" xr:uid="{00000000-0005-0000-0000-00006F520000}"/>
    <cellStyle name="Normalny 6 3 3" xfId="21099" xr:uid="{00000000-0005-0000-0000-000070520000}"/>
    <cellStyle name="Normalny 6 3 4" xfId="21100" xr:uid="{00000000-0005-0000-0000-000071520000}"/>
    <cellStyle name="Normalny 6 3 5" xfId="21101" xr:uid="{00000000-0005-0000-0000-000072520000}"/>
    <cellStyle name="Normalny 6 3 6" xfId="21102" xr:uid="{00000000-0005-0000-0000-000073520000}"/>
    <cellStyle name="Normalny 6 3 7" xfId="21103" xr:uid="{00000000-0005-0000-0000-000074520000}"/>
    <cellStyle name="Normalny 6 3 8" xfId="21104" xr:uid="{00000000-0005-0000-0000-000075520000}"/>
    <cellStyle name="Normalny 6 3 9" xfId="21105" xr:uid="{00000000-0005-0000-0000-000076520000}"/>
    <cellStyle name="Normalny 6 4" xfId="21106" xr:uid="{00000000-0005-0000-0000-000077520000}"/>
    <cellStyle name="Normalny 6 4 2" xfId="21107" xr:uid="{00000000-0005-0000-0000-000078520000}"/>
    <cellStyle name="Normalny 6 4 2 2" xfId="21108" xr:uid="{00000000-0005-0000-0000-000079520000}"/>
    <cellStyle name="Normalny 6 4 3" xfId="21109" xr:uid="{00000000-0005-0000-0000-00007A520000}"/>
    <cellStyle name="Normalny 6 4 4" xfId="21110" xr:uid="{00000000-0005-0000-0000-00007B520000}"/>
    <cellStyle name="Normalny 6 4 5" xfId="21111" xr:uid="{00000000-0005-0000-0000-00007C520000}"/>
    <cellStyle name="Normalny 6 5" xfId="21112" xr:uid="{00000000-0005-0000-0000-00007D520000}"/>
    <cellStyle name="Normalny 6 5 2" xfId="21113" xr:uid="{00000000-0005-0000-0000-00007E520000}"/>
    <cellStyle name="Normalny 6 5 2 2" xfId="21114" xr:uid="{00000000-0005-0000-0000-00007F520000}"/>
    <cellStyle name="Normalny 6 5 3" xfId="21115" xr:uid="{00000000-0005-0000-0000-000080520000}"/>
    <cellStyle name="Normalny 6 5 4" xfId="21116" xr:uid="{00000000-0005-0000-0000-000081520000}"/>
    <cellStyle name="Normalny 6 5 5" xfId="21117" xr:uid="{00000000-0005-0000-0000-000082520000}"/>
    <cellStyle name="Normalny 6 6" xfId="21118" xr:uid="{00000000-0005-0000-0000-000083520000}"/>
    <cellStyle name="Normalny 6 6 2" xfId="21119" xr:uid="{00000000-0005-0000-0000-000084520000}"/>
    <cellStyle name="Normalny 6 6 2 2" xfId="21120" xr:uid="{00000000-0005-0000-0000-000085520000}"/>
    <cellStyle name="Normalny 6 6 3" xfId="21121" xr:uid="{00000000-0005-0000-0000-000086520000}"/>
    <cellStyle name="Normalny 6 6 4" xfId="21122" xr:uid="{00000000-0005-0000-0000-000087520000}"/>
    <cellStyle name="Normalny 6 6 5" xfId="21123" xr:uid="{00000000-0005-0000-0000-000088520000}"/>
    <cellStyle name="Normalny 6 7" xfId="21124" xr:uid="{00000000-0005-0000-0000-000089520000}"/>
    <cellStyle name="Normalny 6 7 2" xfId="21125" xr:uid="{00000000-0005-0000-0000-00008A520000}"/>
    <cellStyle name="Normalny 6 7 3" xfId="21126" xr:uid="{00000000-0005-0000-0000-00008B520000}"/>
    <cellStyle name="Normalny 6 8" xfId="21127" xr:uid="{00000000-0005-0000-0000-00008C520000}"/>
    <cellStyle name="Normalny 6 8 2" xfId="21128" xr:uid="{00000000-0005-0000-0000-00008D520000}"/>
    <cellStyle name="Normalny 6 8 3" xfId="21129" xr:uid="{00000000-0005-0000-0000-00008E520000}"/>
    <cellStyle name="Normalny 6 9" xfId="21130" xr:uid="{00000000-0005-0000-0000-00008F520000}"/>
    <cellStyle name="Normalny 6 9 2" xfId="21131" xr:uid="{00000000-0005-0000-0000-000090520000}"/>
    <cellStyle name="Normalny 6 9 3" xfId="21132" xr:uid="{00000000-0005-0000-0000-000091520000}"/>
    <cellStyle name="Normalny 6_CHURN " xfId="21133" xr:uid="{00000000-0005-0000-0000-000092520000}"/>
    <cellStyle name="Normalny 60" xfId="21134" xr:uid="{00000000-0005-0000-0000-000093520000}"/>
    <cellStyle name="Normalny 60 2" xfId="21135" xr:uid="{00000000-0005-0000-0000-000094520000}"/>
    <cellStyle name="Normalny 60 3" xfId="21136" xr:uid="{00000000-0005-0000-0000-000095520000}"/>
    <cellStyle name="Normalny 61" xfId="21137" xr:uid="{00000000-0005-0000-0000-000096520000}"/>
    <cellStyle name="Normalny 61 2" xfId="21138" xr:uid="{00000000-0005-0000-0000-000097520000}"/>
    <cellStyle name="Normalny 61 3" xfId="21139" xr:uid="{00000000-0005-0000-0000-000098520000}"/>
    <cellStyle name="Normalny 62" xfId="21140" xr:uid="{00000000-0005-0000-0000-000099520000}"/>
    <cellStyle name="Normalny 62 2" xfId="21141" xr:uid="{00000000-0005-0000-0000-00009A520000}"/>
    <cellStyle name="Normalny 62 3" xfId="21142" xr:uid="{00000000-0005-0000-0000-00009B520000}"/>
    <cellStyle name="Normalny 63" xfId="21143" xr:uid="{00000000-0005-0000-0000-00009C520000}"/>
    <cellStyle name="Normalny 63 2" xfId="21144" xr:uid="{00000000-0005-0000-0000-00009D520000}"/>
    <cellStyle name="Normalny 63 2 2" xfId="21145" xr:uid="{00000000-0005-0000-0000-00009E520000}"/>
    <cellStyle name="Normalny 63 3" xfId="21146" xr:uid="{00000000-0005-0000-0000-00009F520000}"/>
    <cellStyle name="Normalny 63 4" xfId="21147" xr:uid="{00000000-0005-0000-0000-0000A0520000}"/>
    <cellStyle name="Normalny 64" xfId="21148" xr:uid="{00000000-0005-0000-0000-0000A1520000}"/>
    <cellStyle name="Normalny 64 2" xfId="21149" xr:uid="{00000000-0005-0000-0000-0000A2520000}"/>
    <cellStyle name="Normalny 64 3" xfId="21150" xr:uid="{00000000-0005-0000-0000-0000A3520000}"/>
    <cellStyle name="Normalny 65" xfId="21151" xr:uid="{00000000-0005-0000-0000-0000A4520000}"/>
    <cellStyle name="Normalny 65 2" xfId="21152" xr:uid="{00000000-0005-0000-0000-0000A5520000}"/>
    <cellStyle name="Normalny 65 3" xfId="21153" xr:uid="{00000000-0005-0000-0000-0000A6520000}"/>
    <cellStyle name="Normalny 66" xfId="5" xr:uid="{00000000-0005-0000-0000-0000A7520000}"/>
    <cellStyle name="Normalny 66 2" xfId="21155" xr:uid="{00000000-0005-0000-0000-0000A8520000}"/>
    <cellStyle name="Normalny 66 3" xfId="21154" xr:uid="{00000000-0005-0000-0000-0000A9520000}"/>
    <cellStyle name="Normalny 67" xfId="21156" xr:uid="{00000000-0005-0000-0000-0000AA520000}"/>
    <cellStyle name="Normalny 67 2" xfId="21157" xr:uid="{00000000-0005-0000-0000-0000AB520000}"/>
    <cellStyle name="Normalny 68" xfId="21158" xr:uid="{00000000-0005-0000-0000-0000AC520000}"/>
    <cellStyle name="Normalny 68 2" xfId="21159" xr:uid="{00000000-0005-0000-0000-0000AD520000}"/>
    <cellStyle name="Normalny 69" xfId="21160" xr:uid="{00000000-0005-0000-0000-0000AE520000}"/>
    <cellStyle name="Normalny 69 2" xfId="21161" xr:uid="{00000000-0005-0000-0000-0000AF520000}"/>
    <cellStyle name="Normalny 7" xfId="21162" xr:uid="{00000000-0005-0000-0000-0000B0520000}"/>
    <cellStyle name="Normalny 7 10" xfId="21163" xr:uid="{00000000-0005-0000-0000-0000B1520000}"/>
    <cellStyle name="Normalny 7 11" xfId="21164" xr:uid="{00000000-0005-0000-0000-0000B2520000}"/>
    <cellStyle name="Normalny 7 12" xfId="21165" xr:uid="{00000000-0005-0000-0000-0000B3520000}"/>
    <cellStyle name="Normalny 7 13" xfId="21166" xr:uid="{00000000-0005-0000-0000-0000B4520000}"/>
    <cellStyle name="Normalny 7 14" xfId="21167" xr:uid="{00000000-0005-0000-0000-0000B5520000}"/>
    <cellStyle name="Normalny 7 2" xfId="21168" xr:uid="{00000000-0005-0000-0000-0000B6520000}"/>
    <cellStyle name="Normalny 7 2 2" xfId="21169" xr:uid="{00000000-0005-0000-0000-0000B7520000}"/>
    <cellStyle name="Normalny 7 2 2 2" xfId="21170" xr:uid="{00000000-0005-0000-0000-0000B8520000}"/>
    <cellStyle name="Normalny 7 2 3" xfId="21171" xr:uid="{00000000-0005-0000-0000-0000B9520000}"/>
    <cellStyle name="Normalny 7 2 4" xfId="21172" xr:uid="{00000000-0005-0000-0000-0000BA520000}"/>
    <cellStyle name="Normalny 7 2 5" xfId="21173" xr:uid="{00000000-0005-0000-0000-0000BB520000}"/>
    <cellStyle name="Normalny 7 2 6" xfId="21174" xr:uid="{00000000-0005-0000-0000-0000BC520000}"/>
    <cellStyle name="Normalny 7 3" xfId="21175" xr:uid="{00000000-0005-0000-0000-0000BD520000}"/>
    <cellStyle name="Normalny 7 3 2" xfId="21176" xr:uid="{00000000-0005-0000-0000-0000BE520000}"/>
    <cellStyle name="Normalny 7 3 2 2" xfId="21177" xr:uid="{00000000-0005-0000-0000-0000BF520000}"/>
    <cellStyle name="Normalny 7 3 3" xfId="21178" xr:uid="{00000000-0005-0000-0000-0000C0520000}"/>
    <cellStyle name="Normalny 7 3 4" xfId="21179" xr:uid="{00000000-0005-0000-0000-0000C1520000}"/>
    <cellStyle name="Normalny 7 3 5" xfId="21180" xr:uid="{00000000-0005-0000-0000-0000C2520000}"/>
    <cellStyle name="Normalny 7 4" xfId="21181" xr:uid="{00000000-0005-0000-0000-0000C3520000}"/>
    <cellStyle name="Normalny 7 4 2" xfId="21182" xr:uid="{00000000-0005-0000-0000-0000C4520000}"/>
    <cellStyle name="Normalny 7 5" xfId="21183" xr:uid="{00000000-0005-0000-0000-0000C5520000}"/>
    <cellStyle name="Normalny 7 5 2" xfId="21184" xr:uid="{00000000-0005-0000-0000-0000C6520000}"/>
    <cellStyle name="Normalny 7 6" xfId="21185" xr:uid="{00000000-0005-0000-0000-0000C7520000}"/>
    <cellStyle name="Normalny 7 7" xfId="21186" xr:uid="{00000000-0005-0000-0000-0000C8520000}"/>
    <cellStyle name="Normalny 7 8" xfId="21187" xr:uid="{00000000-0005-0000-0000-0000C9520000}"/>
    <cellStyle name="Normalny 7 9" xfId="21188" xr:uid="{00000000-0005-0000-0000-0000CA520000}"/>
    <cellStyle name="Normalny 7_CHURN " xfId="21189" xr:uid="{00000000-0005-0000-0000-0000CB520000}"/>
    <cellStyle name="Normalny 70" xfId="21190" xr:uid="{00000000-0005-0000-0000-0000CC520000}"/>
    <cellStyle name="Normalny 70 2" xfId="21191" xr:uid="{00000000-0005-0000-0000-0000CD520000}"/>
    <cellStyle name="Normalny 71" xfId="21192" xr:uid="{00000000-0005-0000-0000-0000CE520000}"/>
    <cellStyle name="Normalny 71 2" xfId="21193" xr:uid="{00000000-0005-0000-0000-0000CF520000}"/>
    <cellStyle name="Normalny 72" xfId="21194" xr:uid="{00000000-0005-0000-0000-0000D0520000}"/>
    <cellStyle name="Normalny 72 2" xfId="21195" xr:uid="{00000000-0005-0000-0000-0000D1520000}"/>
    <cellStyle name="Normalny 73" xfId="21196" xr:uid="{00000000-0005-0000-0000-0000D2520000}"/>
    <cellStyle name="Normalny 73 2" xfId="21197" xr:uid="{00000000-0005-0000-0000-0000D3520000}"/>
    <cellStyle name="Normalny 74" xfId="21198" xr:uid="{00000000-0005-0000-0000-0000D4520000}"/>
    <cellStyle name="Normalny 74 2" xfId="21199" xr:uid="{00000000-0005-0000-0000-0000D5520000}"/>
    <cellStyle name="Normalny 75" xfId="21200" xr:uid="{00000000-0005-0000-0000-0000D6520000}"/>
    <cellStyle name="Normalny 75 2" xfId="21201" xr:uid="{00000000-0005-0000-0000-0000D7520000}"/>
    <cellStyle name="Normalny 76" xfId="21202" xr:uid="{00000000-0005-0000-0000-0000D8520000}"/>
    <cellStyle name="Normalny 76 2" xfId="21203" xr:uid="{00000000-0005-0000-0000-0000D9520000}"/>
    <cellStyle name="Normalny 77" xfId="21204" xr:uid="{00000000-0005-0000-0000-0000DA520000}"/>
    <cellStyle name="Normalny 77 2" xfId="21205" xr:uid="{00000000-0005-0000-0000-0000DB520000}"/>
    <cellStyle name="Normalny 78" xfId="21206" xr:uid="{00000000-0005-0000-0000-0000DC520000}"/>
    <cellStyle name="Normalny 78 2" xfId="21207" xr:uid="{00000000-0005-0000-0000-0000DD520000}"/>
    <cellStyle name="Normalny 79" xfId="21208" xr:uid="{00000000-0005-0000-0000-0000DE520000}"/>
    <cellStyle name="Normalny 79 2" xfId="21209" xr:uid="{00000000-0005-0000-0000-0000DF520000}"/>
    <cellStyle name="Normalny 8" xfId="21210" xr:uid="{00000000-0005-0000-0000-0000E0520000}"/>
    <cellStyle name="Normalny 8 10" xfId="21211" xr:uid="{00000000-0005-0000-0000-0000E1520000}"/>
    <cellStyle name="Normalny 8 11" xfId="21212" xr:uid="{00000000-0005-0000-0000-0000E2520000}"/>
    <cellStyle name="Normalny 8 12" xfId="21213" xr:uid="{00000000-0005-0000-0000-0000E3520000}"/>
    <cellStyle name="Normalny 8 13" xfId="21214" xr:uid="{00000000-0005-0000-0000-0000E4520000}"/>
    <cellStyle name="Normalny 8 13 2" xfId="21215" xr:uid="{00000000-0005-0000-0000-0000E5520000}"/>
    <cellStyle name="Normalny 8 14" xfId="21216" xr:uid="{00000000-0005-0000-0000-0000E6520000}"/>
    <cellStyle name="Normalny 8 2" xfId="21217" xr:uid="{00000000-0005-0000-0000-0000E7520000}"/>
    <cellStyle name="Normalny 8 2 10" xfId="21218" xr:uid="{00000000-0005-0000-0000-0000E8520000}"/>
    <cellStyle name="Normalny 8 2 11" xfId="21219" xr:uid="{00000000-0005-0000-0000-0000E9520000}"/>
    <cellStyle name="Normalny 8 2 12" xfId="21220" xr:uid="{00000000-0005-0000-0000-0000EA520000}"/>
    <cellStyle name="Normalny 8 2 13" xfId="21221" xr:uid="{00000000-0005-0000-0000-0000EB520000}"/>
    <cellStyle name="Normalny 8 2 14" xfId="21222" xr:uid="{00000000-0005-0000-0000-0000EC520000}"/>
    <cellStyle name="Normalny 8 2 15" xfId="21223" xr:uid="{00000000-0005-0000-0000-0000ED520000}"/>
    <cellStyle name="Normalny 8 2 16" xfId="21224" xr:uid="{00000000-0005-0000-0000-0000EE520000}"/>
    <cellStyle name="Normalny 8 2 17" xfId="21225" xr:uid="{00000000-0005-0000-0000-0000EF520000}"/>
    <cellStyle name="Normalny 8 2 18" xfId="21226" xr:uid="{00000000-0005-0000-0000-0000F0520000}"/>
    <cellStyle name="Normalny 8 2 19" xfId="21227" xr:uid="{00000000-0005-0000-0000-0000F1520000}"/>
    <cellStyle name="Normalny 8 2 2" xfId="21228" xr:uid="{00000000-0005-0000-0000-0000F2520000}"/>
    <cellStyle name="Normalny 8 2 2 2" xfId="21229" xr:uid="{00000000-0005-0000-0000-0000F3520000}"/>
    <cellStyle name="Normalny 8 2 20" xfId="21230" xr:uid="{00000000-0005-0000-0000-0000F4520000}"/>
    <cellStyle name="Normalny 8 2 21" xfId="21231" xr:uid="{00000000-0005-0000-0000-0000F5520000}"/>
    <cellStyle name="Normalny 8 2 22" xfId="21232" xr:uid="{00000000-0005-0000-0000-0000F6520000}"/>
    <cellStyle name="Normalny 8 2 23" xfId="21233" xr:uid="{00000000-0005-0000-0000-0000F7520000}"/>
    <cellStyle name="Normalny 8 2 24" xfId="21234" xr:uid="{00000000-0005-0000-0000-0000F8520000}"/>
    <cellStyle name="Normalny 8 2 3" xfId="21235" xr:uid="{00000000-0005-0000-0000-0000F9520000}"/>
    <cellStyle name="Normalny 8 2 4" xfId="21236" xr:uid="{00000000-0005-0000-0000-0000FA520000}"/>
    <cellStyle name="Normalny 8 2 5" xfId="21237" xr:uid="{00000000-0005-0000-0000-0000FB520000}"/>
    <cellStyle name="Normalny 8 2 6" xfId="21238" xr:uid="{00000000-0005-0000-0000-0000FC520000}"/>
    <cellStyle name="Normalny 8 2 7" xfId="21239" xr:uid="{00000000-0005-0000-0000-0000FD520000}"/>
    <cellStyle name="Normalny 8 2 8" xfId="21240" xr:uid="{00000000-0005-0000-0000-0000FE520000}"/>
    <cellStyle name="Normalny 8 2 9" xfId="21241" xr:uid="{00000000-0005-0000-0000-0000FF520000}"/>
    <cellStyle name="Normalny 8 3" xfId="21242" xr:uid="{00000000-0005-0000-0000-000000530000}"/>
    <cellStyle name="Normalny 8 3 2" xfId="21243" xr:uid="{00000000-0005-0000-0000-000001530000}"/>
    <cellStyle name="Normalny 8 3 2 2" xfId="21244" xr:uid="{00000000-0005-0000-0000-000002530000}"/>
    <cellStyle name="Normalny 8 3 3" xfId="21245" xr:uid="{00000000-0005-0000-0000-000003530000}"/>
    <cellStyle name="Normalny 8 3 4" xfId="21246" xr:uid="{00000000-0005-0000-0000-000004530000}"/>
    <cellStyle name="Normalny 8 3 5" xfId="21247" xr:uid="{00000000-0005-0000-0000-000005530000}"/>
    <cellStyle name="Normalny 8 4" xfId="21248" xr:uid="{00000000-0005-0000-0000-000006530000}"/>
    <cellStyle name="Normalny 8 4 2" xfId="21249" xr:uid="{00000000-0005-0000-0000-000007530000}"/>
    <cellStyle name="Normalny 8 5" xfId="21250" xr:uid="{00000000-0005-0000-0000-000008530000}"/>
    <cellStyle name="Normalny 8 5 2" xfId="21251" xr:uid="{00000000-0005-0000-0000-000009530000}"/>
    <cellStyle name="Normalny 8 6" xfId="21252" xr:uid="{00000000-0005-0000-0000-00000A530000}"/>
    <cellStyle name="Normalny 8 7" xfId="21253" xr:uid="{00000000-0005-0000-0000-00000B530000}"/>
    <cellStyle name="Normalny 8 8" xfId="21254" xr:uid="{00000000-0005-0000-0000-00000C530000}"/>
    <cellStyle name="Normalny 8 9" xfId="21255" xr:uid="{00000000-0005-0000-0000-00000D530000}"/>
    <cellStyle name="Normalny 8_CHURN " xfId="21256" xr:uid="{00000000-0005-0000-0000-00000E530000}"/>
    <cellStyle name="Normalny 80" xfId="21257" xr:uid="{00000000-0005-0000-0000-00000F530000}"/>
    <cellStyle name="Normalny 80 2" xfId="21258" xr:uid="{00000000-0005-0000-0000-000010530000}"/>
    <cellStyle name="Normalny 81" xfId="21259" xr:uid="{00000000-0005-0000-0000-000011530000}"/>
    <cellStyle name="Normalny 81 2" xfId="21260" xr:uid="{00000000-0005-0000-0000-000012530000}"/>
    <cellStyle name="Normalny 82" xfId="19" xr:uid="{00000000-0005-0000-0000-000013530000}"/>
    <cellStyle name="Normalny 82 2" xfId="21261" xr:uid="{00000000-0005-0000-0000-000014530000}"/>
    <cellStyle name="Normalny 83" xfId="21262" xr:uid="{00000000-0005-0000-0000-000015530000}"/>
    <cellStyle name="Normalny 83 2" xfId="21263" xr:uid="{00000000-0005-0000-0000-000016530000}"/>
    <cellStyle name="Normalny 84" xfId="21264" xr:uid="{00000000-0005-0000-0000-000017530000}"/>
    <cellStyle name="Normalny 84 2" xfId="21265" xr:uid="{00000000-0005-0000-0000-000018530000}"/>
    <cellStyle name="Normalny 85" xfId="21266" xr:uid="{00000000-0005-0000-0000-000019530000}"/>
    <cellStyle name="Normalny 85 2" xfId="21267" xr:uid="{00000000-0005-0000-0000-00001A530000}"/>
    <cellStyle name="Normalny 86" xfId="21268" xr:uid="{00000000-0005-0000-0000-00001B530000}"/>
    <cellStyle name="Normalny 86 2" xfId="21269" xr:uid="{00000000-0005-0000-0000-00001C530000}"/>
    <cellStyle name="Normalny 87" xfId="21270" xr:uid="{00000000-0005-0000-0000-00001D530000}"/>
    <cellStyle name="Normalny 87 2" xfId="21271" xr:uid="{00000000-0005-0000-0000-00001E530000}"/>
    <cellStyle name="Normalny 88" xfId="21272" xr:uid="{00000000-0005-0000-0000-00001F530000}"/>
    <cellStyle name="Normalny 88 2" xfId="21273" xr:uid="{00000000-0005-0000-0000-000020530000}"/>
    <cellStyle name="Normalny 89" xfId="21274" xr:uid="{00000000-0005-0000-0000-000021530000}"/>
    <cellStyle name="Normalny 89 2" xfId="21275" xr:uid="{00000000-0005-0000-0000-000022530000}"/>
    <cellStyle name="Normalny 9" xfId="21276" xr:uid="{00000000-0005-0000-0000-000023530000}"/>
    <cellStyle name="Normalny 9 2" xfId="21277" xr:uid="{00000000-0005-0000-0000-000024530000}"/>
    <cellStyle name="Normalny 9 2 2" xfId="21278" xr:uid="{00000000-0005-0000-0000-000025530000}"/>
    <cellStyle name="Normalny 9 3" xfId="21279" xr:uid="{00000000-0005-0000-0000-000026530000}"/>
    <cellStyle name="Normalny 9 3 2" xfId="21280" xr:uid="{00000000-0005-0000-0000-000027530000}"/>
    <cellStyle name="Normalny 9 4" xfId="21281" xr:uid="{00000000-0005-0000-0000-000028530000}"/>
    <cellStyle name="Normalny 9 5" xfId="21282" xr:uid="{00000000-0005-0000-0000-000029530000}"/>
    <cellStyle name="Normalny 9 5 2" xfId="21283" xr:uid="{00000000-0005-0000-0000-00002A530000}"/>
    <cellStyle name="Normalny 9 6" xfId="21284" xr:uid="{00000000-0005-0000-0000-00002B530000}"/>
    <cellStyle name="Normalny 90" xfId="21285" xr:uid="{00000000-0005-0000-0000-00002C530000}"/>
    <cellStyle name="Normalny 90 2" xfId="21286" xr:uid="{00000000-0005-0000-0000-00002D530000}"/>
    <cellStyle name="Normalny 91" xfId="21287" xr:uid="{00000000-0005-0000-0000-00002E530000}"/>
    <cellStyle name="Normalny 91 2" xfId="21288" xr:uid="{00000000-0005-0000-0000-00002F530000}"/>
    <cellStyle name="Normalny 92" xfId="21289" xr:uid="{00000000-0005-0000-0000-000030530000}"/>
    <cellStyle name="Normalny 92 2" xfId="21290" xr:uid="{00000000-0005-0000-0000-000031530000}"/>
    <cellStyle name="Normalny 93" xfId="21291" xr:uid="{00000000-0005-0000-0000-000032530000}"/>
    <cellStyle name="Normalny 93 2" xfId="21292" xr:uid="{00000000-0005-0000-0000-000033530000}"/>
    <cellStyle name="Normalny 94" xfId="21293" xr:uid="{00000000-0005-0000-0000-000034530000}"/>
    <cellStyle name="Normalny 94 2" xfId="21294" xr:uid="{00000000-0005-0000-0000-000035530000}"/>
    <cellStyle name="Normalny 95" xfId="21295" xr:uid="{00000000-0005-0000-0000-000036530000}"/>
    <cellStyle name="Normalny 95 2" xfId="21296" xr:uid="{00000000-0005-0000-0000-000037530000}"/>
    <cellStyle name="Normalny 96" xfId="21297" xr:uid="{00000000-0005-0000-0000-000038530000}"/>
    <cellStyle name="Normalny 96 2" xfId="21298" xr:uid="{00000000-0005-0000-0000-000039530000}"/>
    <cellStyle name="Normalny 97" xfId="21299" xr:uid="{00000000-0005-0000-0000-00003A530000}"/>
    <cellStyle name="Normalny 97 2" xfId="21300" xr:uid="{00000000-0005-0000-0000-00003B530000}"/>
    <cellStyle name="Normalny 98" xfId="21301" xr:uid="{00000000-0005-0000-0000-00003C530000}"/>
    <cellStyle name="Normalny 98 2" xfId="21302" xr:uid="{00000000-0005-0000-0000-00003D530000}"/>
    <cellStyle name="Normalny 99" xfId="21303" xr:uid="{00000000-0005-0000-0000-00003E530000}"/>
    <cellStyle name="Normalny 99 2" xfId="21304" xr:uid="{00000000-0005-0000-0000-00003F530000}"/>
    <cellStyle name="Note 2" xfId="21305" xr:uid="{00000000-0005-0000-0000-000040530000}"/>
    <cellStyle name="Note 3" xfId="21306" xr:uid="{00000000-0005-0000-0000-000041530000}"/>
    <cellStyle name="NoteMark" xfId="21307" xr:uid="{00000000-0005-0000-0000-000042530000}"/>
    <cellStyle name="Obliczenia 2" xfId="21308" xr:uid="{00000000-0005-0000-0000-000043530000}"/>
    <cellStyle name="Obliczenia 2 10" xfId="21309" xr:uid="{00000000-0005-0000-0000-000044530000}"/>
    <cellStyle name="Obliczenia 2 10 10" xfId="21310" xr:uid="{00000000-0005-0000-0000-000045530000}"/>
    <cellStyle name="Obliczenia 2 10 10 2" xfId="21311" xr:uid="{00000000-0005-0000-0000-000046530000}"/>
    <cellStyle name="Obliczenia 2 10 10 3" xfId="21312" xr:uid="{00000000-0005-0000-0000-000047530000}"/>
    <cellStyle name="Obliczenia 2 10 10 4" xfId="21313" xr:uid="{00000000-0005-0000-0000-000048530000}"/>
    <cellStyle name="Obliczenia 2 10 11" xfId="21314" xr:uid="{00000000-0005-0000-0000-000049530000}"/>
    <cellStyle name="Obliczenia 2 10 11 2" xfId="21315" xr:uid="{00000000-0005-0000-0000-00004A530000}"/>
    <cellStyle name="Obliczenia 2 10 11 3" xfId="21316" xr:uid="{00000000-0005-0000-0000-00004B530000}"/>
    <cellStyle name="Obliczenia 2 10 11 4" xfId="21317" xr:uid="{00000000-0005-0000-0000-00004C530000}"/>
    <cellStyle name="Obliczenia 2 10 12" xfId="21318" xr:uid="{00000000-0005-0000-0000-00004D530000}"/>
    <cellStyle name="Obliczenia 2 10 12 2" xfId="21319" xr:uid="{00000000-0005-0000-0000-00004E530000}"/>
    <cellStyle name="Obliczenia 2 10 12 3" xfId="21320" xr:uid="{00000000-0005-0000-0000-00004F530000}"/>
    <cellStyle name="Obliczenia 2 10 12 4" xfId="21321" xr:uid="{00000000-0005-0000-0000-000050530000}"/>
    <cellStyle name="Obliczenia 2 10 13" xfId="21322" xr:uid="{00000000-0005-0000-0000-000051530000}"/>
    <cellStyle name="Obliczenia 2 10 13 2" xfId="21323" xr:uid="{00000000-0005-0000-0000-000052530000}"/>
    <cellStyle name="Obliczenia 2 10 13 3" xfId="21324" xr:uid="{00000000-0005-0000-0000-000053530000}"/>
    <cellStyle name="Obliczenia 2 10 13 4" xfId="21325" xr:uid="{00000000-0005-0000-0000-000054530000}"/>
    <cellStyle name="Obliczenia 2 10 14" xfId="21326" xr:uid="{00000000-0005-0000-0000-000055530000}"/>
    <cellStyle name="Obliczenia 2 10 14 2" xfId="21327" xr:uid="{00000000-0005-0000-0000-000056530000}"/>
    <cellStyle name="Obliczenia 2 10 14 3" xfId="21328" xr:uid="{00000000-0005-0000-0000-000057530000}"/>
    <cellStyle name="Obliczenia 2 10 14 4" xfId="21329" xr:uid="{00000000-0005-0000-0000-000058530000}"/>
    <cellStyle name="Obliczenia 2 10 15" xfId="21330" xr:uid="{00000000-0005-0000-0000-000059530000}"/>
    <cellStyle name="Obliczenia 2 10 15 2" xfId="21331" xr:uid="{00000000-0005-0000-0000-00005A530000}"/>
    <cellStyle name="Obliczenia 2 10 15 3" xfId="21332" xr:uid="{00000000-0005-0000-0000-00005B530000}"/>
    <cellStyle name="Obliczenia 2 10 15 4" xfId="21333" xr:uid="{00000000-0005-0000-0000-00005C530000}"/>
    <cellStyle name="Obliczenia 2 10 16" xfId="21334" xr:uid="{00000000-0005-0000-0000-00005D530000}"/>
    <cellStyle name="Obliczenia 2 10 16 2" xfId="21335" xr:uid="{00000000-0005-0000-0000-00005E530000}"/>
    <cellStyle name="Obliczenia 2 10 16 3" xfId="21336" xr:uid="{00000000-0005-0000-0000-00005F530000}"/>
    <cellStyle name="Obliczenia 2 10 16 4" xfId="21337" xr:uid="{00000000-0005-0000-0000-000060530000}"/>
    <cellStyle name="Obliczenia 2 10 17" xfId="21338" xr:uid="{00000000-0005-0000-0000-000061530000}"/>
    <cellStyle name="Obliczenia 2 10 17 2" xfId="21339" xr:uid="{00000000-0005-0000-0000-000062530000}"/>
    <cellStyle name="Obliczenia 2 10 17 3" xfId="21340" xr:uid="{00000000-0005-0000-0000-000063530000}"/>
    <cellStyle name="Obliczenia 2 10 17 4" xfId="21341" xr:uid="{00000000-0005-0000-0000-000064530000}"/>
    <cellStyle name="Obliczenia 2 10 18" xfId="21342" xr:uid="{00000000-0005-0000-0000-000065530000}"/>
    <cellStyle name="Obliczenia 2 10 18 2" xfId="21343" xr:uid="{00000000-0005-0000-0000-000066530000}"/>
    <cellStyle name="Obliczenia 2 10 18 3" xfId="21344" xr:uid="{00000000-0005-0000-0000-000067530000}"/>
    <cellStyle name="Obliczenia 2 10 18 4" xfId="21345" xr:uid="{00000000-0005-0000-0000-000068530000}"/>
    <cellStyle name="Obliczenia 2 10 19" xfId="21346" xr:uid="{00000000-0005-0000-0000-000069530000}"/>
    <cellStyle name="Obliczenia 2 10 19 2" xfId="21347" xr:uid="{00000000-0005-0000-0000-00006A530000}"/>
    <cellStyle name="Obliczenia 2 10 19 3" xfId="21348" xr:uid="{00000000-0005-0000-0000-00006B530000}"/>
    <cellStyle name="Obliczenia 2 10 19 4" xfId="21349" xr:uid="{00000000-0005-0000-0000-00006C530000}"/>
    <cellStyle name="Obliczenia 2 10 2" xfId="21350" xr:uid="{00000000-0005-0000-0000-00006D530000}"/>
    <cellStyle name="Obliczenia 2 10 2 2" xfId="21351" xr:uid="{00000000-0005-0000-0000-00006E530000}"/>
    <cellStyle name="Obliczenia 2 10 2 3" xfId="21352" xr:uid="{00000000-0005-0000-0000-00006F530000}"/>
    <cellStyle name="Obliczenia 2 10 2 4" xfId="21353" xr:uid="{00000000-0005-0000-0000-000070530000}"/>
    <cellStyle name="Obliczenia 2 10 20" xfId="21354" xr:uid="{00000000-0005-0000-0000-000071530000}"/>
    <cellStyle name="Obliczenia 2 10 20 2" xfId="21355" xr:uid="{00000000-0005-0000-0000-000072530000}"/>
    <cellStyle name="Obliczenia 2 10 20 3" xfId="21356" xr:uid="{00000000-0005-0000-0000-000073530000}"/>
    <cellStyle name="Obliczenia 2 10 20 4" xfId="21357" xr:uid="{00000000-0005-0000-0000-000074530000}"/>
    <cellStyle name="Obliczenia 2 10 21" xfId="21358" xr:uid="{00000000-0005-0000-0000-000075530000}"/>
    <cellStyle name="Obliczenia 2 10 21 2" xfId="21359" xr:uid="{00000000-0005-0000-0000-000076530000}"/>
    <cellStyle name="Obliczenia 2 10 21 3" xfId="21360" xr:uid="{00000000-0005-0000-0000-000077530000}"/>
    <cellStyle name="Obliczenia 2 10 22" xfId="21361" xr:uid="{00000000-0005-0000-0000-000078530000}"/>
    <cellStyle name="Obliczenia 2 10 22 2" xfId="21362" xr:uid="{00000000-0005-0000-0000-000079530000}"/>
    <cellStyle name="Obliczenia 2 10 22 3" xfId="21363" xr:uid="{00000000-0005-0000-0000-00007A530000}"/>
    <cellStyle name="Obliczenia 2 10 23" xfId="21364" xr:uid="{00000000-0005-0000-0000-00007B530000}"/>
    <cellStyle name="Obliczenia 2 10 23 2" xfId="21365" xr:uid="{00000000-0005-0000-0000-00007C530000}"/>
    <cellStyle name="Obliczenia 2 10 23 3" xfId="21366" xr:uid="{00000000-0005-0000-0000-00007D530000}"/>
    <cellStyle name="Obliczenia 2 10 24" xfId="21367" xr:uid="{00000000-0005-0000-0000-00007E530000}"/>
    <cellStyle name="Obliczenia 2 10 24 2" xfId="21368" xr:uid="{00000000-0005-0000-0000-00007F530000}"/>
    <cellStyle name="Obliczenia 2 10 24 3" xfId="21369" xr:uid="{00000000-0005-0000-0000-000080530000}"/>
    <cellStyle name="Obliczenia 2 10 25" xfId="21370" xr:uid="{00000000-0005-0000-0000-000081530000}"/>
    <cellStyle name="Obliczenia 2 10 25 2" xfId="21371" xr:uid="{00000000-0005-0000-0000-000082530000}"/>
    <cellStyle name="Obliczenia 2 10 25 3" xfId="21372" xr:uid="{00000000-0005-0000-0000-000083530000}"/>
    <cellStyle name="Obliczenia 2 10 26" xfId="21373" xr:uid="{00000000-0005-0000-0000-000084530000}"/>
    <cellStyle name="Obliczenia 2 10 26 2" xfId="21374" xr:uid="{00000000-0005-0000-0000-000085530000}"/>
    <cellStyle name="Obliczenia 2 10 26 3" xfId="21375" xr:uid="{00000000-0005-0000-0000-000086530000}"/>
    <cellStyle name="Obliczenia 2 10 27" xfId="21376" xr:uid="{00000000-0005-0000-0000-000087530000}"/>
    <cellStyle name="Obliczenia 2 10 27 2" xfId="21377" xr:uid="{00000000-0005-0000-0000-000088530000}"/>
    <cellStyle name="Obliczenia 2 10 27 3" xfId="21378" xr:uid="{00000000-0005-0000-0000-000089530000}"/>
    <cellStyle name="Obliczenia 2 10 28" xfId="21379" xr:uid="{00000000-0005-0000-0000-00008A530000}"/>
    <cellStyle name="Obliczenia 2 10 28 2" xfId="21380" xr:uid="{00000000-0005-0000-0000-00008B530000}"/>
    <cellStyle name="Obliczenia 2 10 28 3" xfId="21381" xr:uid="{00000000-0005-0000-0000-00008C530000}"/>
    <cellStyle name="Obliczenia 2 10 29" xfId="21382" xr:uid="{00000000-0005-0000-0000-00008D530000}"/>
    <cellStyle name="Obliczenia 2 10 29 2" xfId="21383" xr:uid="{00000000-0005-0000-0000-00008E530000}"/>
    <cellStyle name="Obliczenia 2 10 29 3" xfId="21384" xr:uid="{00000000-0005-0000-0000-00008F530000}"/>
    <cellStyle name="Obliczenia 2 10 3" xfId="21385" xr:uid="{00000000-0005-0000-0000-000090530000}"/>
    <cellStyle name="Obliczenia 2 10 3 2" xfId="21386" xr:uid="{00000000-0005-0000-0000-000091530000}"/>
    <cellStyle name="Obliczenia 2 10 3 3" xfId="21387" xr:uid="{00000000-0005-0000-0000-000092530000}"/>
    <cellStyle name="Obliczenia 2 10 3 4" xfId="21388" xr:uid="{00000000-0005-0000-0000-000093530000}"/>
    <cellStyle name="Obliczenia 2 10 30" xfId="21389" xr:uid="{00000000-0005-0000-0000-000094530000}"/>
    <cellStyle name="Obliczenia 2 10 30 2" xfId="21390" xr:uid="{00000000-0005-0000-0000-000095530000}"/>
    <cellStyle name="Obliczenia 2 10 30 3" xfId="21391" xr:uid="{00000000-0005-0000-0000-000096530000}"/>
    <cellStyle name="Obliczenia 2 10 31" xfId="21392" xr:uid="{00000000-0005-0000-0000-000097530000}"/>
    <cellStyle name="Obliczenia 2 10 31 2" xfId="21393" xr:uid="{00000000-0005-0000-0000-000098530000}"/>
    <cellStyle name="Obliczenia 2 10 31 3" xfId="21394" xr:uid="{00000000-0005-0000-0000-000099530000}"/>
    <cellStyle name="Obliczenia 2 10 32" xfId="21395" xr:uid="{00000000-0005-0000-0000-00009A530000}"/>
    <cellStyle name="Obliczenia 2 10 32 2" xfId="21396" xr:uid="{00000000-0005-0000-0000-00009B530000}"/>
    <cellStyle name="Obliczenia 2 10 32 3" xfId="21397" xr:uid="{00000000-0005-0000-0000-00009C530000}"/>
    <cellStyle name="Obliczenia 2 10 33" xfId="21398" xr:uid="{00000000-0005-0000-0000-00009D530000}"/>
    <cellStyle name="Obliczenia 2 10 33 2" xfId="21399" xr:uid="{00000000-0005-0000-0000-00009E530000}"/>
    <cellStyle name="Obliczenia 2 10 33 3" xfId="21400" xr:uid="{00000000-0005-0000-0000-00009F530000}"/>
    <cellStyle name="Obliczenia 2 10 34" xfId="21401" xr:uid="{00000000-0005-0000-0000-0000A0530000}"/>
    <cellStyle name="Obliczenia 2 10 34 2" xfId="21402" xr:uid="{00000000-0005-0000-0000-0000A1530000}"/>
    <cellStyle name="Obliczenia 2 10 34 3" xfId="21403" xr:uid="{00000000-0005-0000-0000-0000A2530000}"/>
    <cellStyle name="Obliczenia 2 10 35" xfId="21404" xr:uid="{00000000-0005-0000-0000-0000A3530000}"/>
    <cellStyle name="Obliczenia 2 10 35 2" xfId="21405" xr:uid="{00000000-0005-0000-0000-0000A4530000}"/>
    <cellStyle name="Obliczenia 2 10 35 3" xfId="21406" xr:uid="{00000000-0005-0000-0000-0000A5530000}"/>
    <cellStyle name="Obliczenia 2 10 36" xfId="21407" xr:uid="{00000000-0005-0000-0000-0000A6530000}"/>
    <cellStyle name="Obliczenia 2 10 36 2" xfId="21408" xr:uid="{00000000-0005-0000-0000-0000A7530000}"/>
    <cellStyle name="Obliczenia 2 10 36 3" xfId="21409" xr:uid="{00000000-0005-0000-0000-0000A8530000}"/>
    <cellStyle name="Obliczenia 2 10 37" xfId="21410" xr:uid="{00000000-0005-0000-0000-0000A9530000}"/>
    <cellStyle name="Obliczenia 2 10 37 2" xfId="21411" xr:uid="{00000000-0005-0000-0000-0000AA530000}"/>
    <cellStyle name="Obliczenia 2 10 37 3" xfId="21412" xr:uid="{00000000-0005-0000-0000-0000AB530000}"/>
    <cellStyle name="Obliczenia 2 10 38" xfId="21413" xr:uid="{00000000-0005-0000-0000-0000AC530000}"/>
    <cellStyle name="Obliczenia 2 10 38 2" xfId="21414" xr:uid="{00000000-0005-0000-0000-0000AD530000}"/>
    <cellStyle name="Obliczenia 2 10 38 3" xfId="21415" xr:uid="{00000000-0005-0000-0000-0000AE530000}"/>
    <cellStyle name="Obliczenia 2 10 39" xfId="21416" xr:uid="{00000000-0005-0000-0000-0000AF530000}"/>
    <cellStyle name="Obliczenia 2 10 39 2" xfId="21417" xr:uid="{00000000-0005-0000-0000-0000B0530000}"/>
    <cellStyle name="Obliczenia 2 10 39 3" xfId="21418" xr:uid="{00000000-0005-0000-0000-0000B1530000}"/>
    <cellStyle name="Obliczenia 2 10 4" xfId="21419" xr:uid="{00000000-0005-0000-0000-0000B2530000}"/>
    <cellStyle name="Obliczenia 2 10 4 2" xfId="21420" xr:uid="{00000000-0005-0000-0000-0000B3530000}"/>
    <cellStyle name="Obliczenia 2 10 4 3" xfId="21421" xr:uid="{00000000-0005-0000-0000-0000B4530000}"/>
    <cellStyle name="Obliczenia 2 10 4 4" xfId="21422" xr:uid="{00000000-0005-0000-0000-0000B5530000}"/>
    <cellStyle name="Obliczenia 2 10 40" xfId="21423" xr:uid="{00000000-0005-0000-0000-0000B6530000}"/>
    <cellStyle name="Obliczenia 2 10 40 2" xfId="21424" xr:uid="{00000000-0005-0000-0000-0000B7530000}"/>
    <cellStyle name="Obliczenia 2 10 40 3" xfId="21425" xr:uid="{00000000-0005-0000-0000-0000B8530000}"/>
    <cellStyle name="Obliczenia 2 10 41" xfId="21426" xr:uid="{00000000-0005-0000-0000-0000B9530000}"/>
    <cellStyle name="Obliczenia 2 10 41 2" xfId="21427" xr:uid="{00000000-0005-0000-0000-0000BA530000}"/>
    <cellStyle name="Obliczenia 2 10 41 3" xfId="21428" xr:uid="{00000000-0005-0000-0000-0000BB530000}"/>
    <cellStyle name="Obliczenia 2 10 42" xfId="21429" xr:uid="{00000000-0005-0000-0000-0000BC530000}"/>
    <cellStyle name="Obliczenia 2 10 42 2" xfId="21430" xr:uid="{00000000-0005-0000-0000-0000BD530000}"/>
    <cellStyle name="Obliczenia 2 10 42 3" xfId="21431" xr:uid="{00000000-0005-0000-0000-0000BE530000}"/>
    <cellStyle name="Obliczenia 2 10 43" xfId="21432" xr:uid="{00000000-0005-0000-0000-0000BF530000}"/>
    <cellStyle name="Obliczenia 2 10 43 2" xfId="21433" xr:uid="{00000000-0005-0000-0000-0000C0530000}"/>
    <cellStyle name="Obliczenia 2 10 43 3" xfId="21434" xr:uid="{00000000-0005-0000-0000-0000C1530000}"/>
    <cellStyle name="Obliczenia 2 10 44" xfId="21435" xr:uid="{00000000-0005-0000-0000-0000C2530000}"/>
    <cellStyle name="Obliczenia 2 10 44 2" xfId="21436" xr:uid="{00000000-0005-0000-0000-0000C3530000}"/>
    <cellStyle name="Obliczenia 2 10 44 3" xfId="21437" xr:uid="{00000000-0005-0000-0000-0000C4530000}"/>
    <cellStyle name="Obliczenia 2 10 45" xfId="21438" xr:uid="{00000000-0005-0000-0000-0000C5530000}"/>
    <cellStyle name="Obliczenia 2 10 45 2" xfId="21439" xr:uid="{00000000-0005-0000-0000-0000C6530000}"/>
    <cellStyle name="Obliczenia 2 10 45 3" xfId="21440" xr:uid="{00000000-0005-0000-0000-0000C7530000}"/>
    <cellStyle name="Obliczenia 2 10 46" xfId="21441" xr:uid="{00000000-0005-0000-0000-0000C8530000}"/>
    <cellStyle name="Obliczenia 2 10 46 2" xfId="21442" xr:uid="{00000000-0005-0000-0000-0000C9530000}"/>
    <cellStyle name="Obliczenia 2 10 46 3" xfId="21443" xr:uid="{00000000-0005-0000-0000-0000CA530000}"/>
    <cellStyle name="Obliczenia 2 10 47" xfId="21444" xr:uid="{00000000-0005-0000-0000-0000CB530000}"/>
    <cellStyle name="Obliczenia 2 10 47 2" xfId="21445" xr:uid="{00000000-0005-0000-0000-0000CC530000}"/>
    <cellStyle name="Obliczenia 2 10 47 3" xfId="21446" xr:uid="{00000000-0005-0000-0000-0000CD530000}"/>
    <cellStyle name="Obliczenia 2 10 48" xfId="21447" xr:uid="{00000000-0005-0000-0000-0000CE530000}"/>
    <cellStyle name="Obliczenia 2 10 48 2" xfId="21448" xr:uid="{00000000-0005-0000-0000-0000CF530000}"/>
    <cellStyle name="Obliczenia 2 10 48 3" xfId="21449" xr:uid="{00000000-0005-0000-0000-0000D0530000}"/>
    <cellStyle name="Obliczenia 2 10 49" xfId="21450" xr:uid="{00000000-0005-0000-0000-0000D1530000}"/>
    <cellStyle name="Obliczenia 2 10 49 2" xfId="21451" xr:uid="{00000000-0005-0000-0000-0000D2530000}"/>
    <cellStyle name="Obliczenia 2 10 49 3" xfId="21452" xr:uid="{00000000-0005-0000-0000-0000D3530000}"/>
    <cellStyle name="Obliczenia 2 10 5" xfId="21453" xr:uid="{00000000-0005-0000-0000-0000D4530000}"/>
    <cellStyle name="Obliczenia 2 10 5 2" xfId="21454" xr:uid="{00000000-0005-0000-0000-0000D5530000}"/>
    <cellStyle name="Obliczenia 2 10 5 3" xfId="21455" xr:uid="{00000000-0005-0000-0000-0000D6530000}"/>
    <cellStyle name="Obliczenia 2 10 5 4" xfId="21456" xr:uid="{00000000-0005-0000-0000-0000D7530000}"/>
    <cellStyle name="Obliczenia 2 10 50" xfId="21457" xr:uid="{00000000-0005-0000-0000-0000D8530000}"/>
    <cellStyle name="Obliczenia 2 10 50 2" xfId="21458" xr:uid="{00000000-0005-0000-0000-0000D9530000}"/>
    <cellStyle name="Obliczenia 2 10 50 3" xfId="21459" xr:uid="{00000000-0005-0000-0000-0000DA530000}"/>
    <cellStyle name="Obliczenia 2 10 51" xfId="21460" xr:uid="{00000000-0005-0000-0000-0000DB530000}"/>
    <cellStyle name="Obliczenia 2 10 51 2" xfId="21461" xr:uid="{00000000-0005-0000-0000-0000DC530000}"/>
    <cellStyle name="Obliczenia 2 10 51 3" xfId="21462" xr:uid="{00000000-0005-0000-0000-0000DD530000}"/>
    <cellStyle name="Obliczenia 2 10 52" xfId="21463" xr:uid="{00000000-0005-0000-0000-0000DE530000}"/>
    <cellStyle name="Obliczenia 2 10 52 2" xfId="21464" xr:uid="{00000000-0005-0000-0000-0000DF530000}"/>
    <cellStyle name="Obliczenia 2 10 52 3" xfId="21465" xr:uid="{00000000-0005-0000-0000-0000E0530000}"/>
    <cellStyle name="Obliczenia 2 10 53" xfId="21466" xr:uid="{00000000-0005-0000-0000-0000E1530000}"/>
    <cellStyle name="Obliczenia 2 10 53 2" xfId="21467" xr:uid="{00000000-0005-0000-0000-0000E2530000}"/>
    <cellStyle name="Obliczenia 2 10 53 3" xfId="21468" xr:uid="{00000000-0005-0000-0000-0000E3530000}"/>
    <cellStyle name="Obliczenia 2 10 54" xfId="21469" xr:uid="{00000000-0005-0000-0000-0000E4530000}"/>
    <cellStyle name="Obliczenia 2 10 54 2" xfId="21470" xr:uid="{00000000-0005-0000-0000-0000E5530000}"/>
    <cellStyle name="Obliczenia 2 10 54 3" xfId="21471" xr:uid="{00000000-0005-0000-0000-0000E6530000}"/>
    <cellStyle name="Obliczenia 2 10 55" xfId="21472" xr:uid="{00000000-0005-0000-0000-0000E7530000}"/>
    <cellStyle name="Obliczenia 2 10 55 2" xfId="21473" xr:uid="{00000000-0005-0000-0000-0000E8530000}"/>
    <cellStyle name="Obliczenia 2 10 55 3" xfId="21474" xr:uid="{00000000-0005-0000-0000-0000E9530000}"/>
    <cellStyle name="Obliczenia 2 10 56" xfId="21475" xr:uid="{00000000-0005-0000-0000-0000EA530000}"/>
    <cellStyle name="Obliczenia 2 10 56 2" xfId="21476" xr:uid="{00000000-0005-0000-0000-0000EB530000}"/>
    <cellStyle name="Obliczenia 2 10 56 3" xfId="21477" xr:uid="{00000000-0005-0000-0000-0000EC530000}"/>
    <cellStyle name="Obliczenia 2 10 57" xfId="21478" xr:uid="{00000000-0005-0000-0000-0000ED530000}"/>
    <cellStyle name="Obliczenia 2 10 58" xfId="21479" xr:uid="{00000000-0005-0000-0000-0000EE530000}"/>
    <cellStyle name="Obliczenia 2 10 6" xfId="21480" xr:uid="{00000000-0005-0000-0000-0000EF530000}"/>
    <cellStyle name="Obliczenia 2 10 6 2" xfId="21481" xr:uid="{00000000-0005-0000-0000-0000F0530000}"/>
    <cellStyle name="Obliczenia 2 10 6 3" xfId="21482" xr:uid="{00000000-0005-0000-0000-0000F1530000}"/>
    <cellStyle name="Obliczenia 2 10 6 4" xfId="21483" xr:uid="{00000000-0005-0000-0000-0000F2530000}"/>
    <cellStyle name="Obliczenia 2 10 7" xfId="21484" xr:uid="{00000000-0005-0000-0000-0000F3530000}"/>
    <cellStyle name="Obliczenia 2 10 7 2" xfId="21485" xr:uid="{00000000-0005-0000-0000-0000F4530000}"/>
    <cellStyle name="Obliczenia 2 10 7 3" xfId="21486" xr:uid="{00000000-0005-0000-0000-0000F5530000}"/>
    <cellStyle name="Obliczenia 2 10 7 4" xfId="21487" xr:uid="{00000000-0005-0000-0000-0000F6530000}"/>
    <cellStyle name="Obliczenia 2 10 8" xfId="21488" xr:uid="{00000000-0005-0000-0000-0000F7530000}"/>
    <cellStyle name="Obliczenia 2 10 8 2" xfId="21489" xr:uid="{00000000-0005-0000-0000-0000F8530000}"/>
    <cellStyle name="Obliczenia 2 10 8 3" xfId="21490" xr:uid="{00000000-0005-0000-0000-0000F9530000}"/>
    <cellStyle name="Obliczenia 2 10 8 4" xfId="21491" xr:uid="{00000000-0005-0000-0000-0000FA530000}"/>
    <cellStyle name="Obliczenia 2 10 9" xfId="21492" xr:uid="{00000000-0005-0000-0000-0000FB530000}"/>
    <cellStyle name="Obliczenia 2 10 9 2" xfId="21493" xr:uid="{00000000-0005-0000-0000-0000FC530000}"/>
    <cellStyle name="Obliczenia 2 10 9 3" xfId="21494" xr:uid="{00000000-0005-0000-0000-0000FD530000}"/>
    <cellStyle name="Obliczenia 2 10 9 4" xfId="21495" xr:uid="{00000000-0005-0000-0000-0000FE530000}"/>
    <cellStyle name="Obliczenia 2 11" xfId="21496" xr:uid="{00000000-0005-0000-0000-0000FF530000}"/>
    <cellStyle name="Obliczenia 2 11 10" xfId="21497" xr:uid="{00000000-0005-0000-0000-000000540000}"/>
    <cellStyle name="Obliczenia 2 11 10 2" xfId="21498" xr:uid="{00000000-0005-0000-0000-000001540000}"/>
    <cellStyle name="Obliczenia 2 11 10 3" xfId="21499" xr:uid="{00000000-0005-0000-0000-000002540000}"/>
    <cellStyle name="Obliczenia 2 11 10 4" xfId="21500" xr:uid="{00000000-0005-0000-0000-000003540000}"/>
    <cellStyle name="Obliczenia 2 11 11" xfId="21501" xr:uid="{00000000-0005-0000-0000-000004540000}"/>
    <cellStyle name="Obliczenia 2 11 11 2" xfId="21502" xr:uid="{00000000-0005-0000-0000-000005540000}"/>
    <cellStyle name="Obliczenia 2 11 11 3" xfId="21503" xr:uid="{00000000-0005-0000-0000-000006540000}"/>
    <cellStyle name="Obliczenia 2 11 11 4" xfId="21504" xr:uid="{00000000-0005-0000-0000-000007540000}"/>
    <cellStyle name="Obliczenia 2 11 12" xfId="21505" xr:uid="{00000000-0005-0000-0000-000008540000}"/>
    <cellStyle name="Obliczenia 2 11 12 2" xfId="21506" xr:uid="{00000000-0005-0000-0000-000009540000}"/>
    <cellStyle name="Obliczenia 2 11 12 3" xfId="21507" xr:uid="{00000000-0005-0000-0000-00000A540000}"/>
    <cellStyle name="Obliczenia 2 11 12 4" xfId="21508" xr:uid="{00000000-0005-0000-0000-00000B540000}"/>
    <cellStyle name="Obliczenia 2 11 13" xfId="21509" xr:uid="{00000000-0005-0000-0000-00000C540000}"/>
    <cellStyle name="Obliczenia 2 11 13 2" xfId="21510" xr:uid="{00000000-0005-0000-0000-00000D540000}"/>
    <cellStyle name="Obliczenia 2 11 13 3" xfId="21511" xr:uid="{00000000-0005-0000-0000-00000E540000}"/>
    <cellStyle name="Obliczenia 2 11 13 4" xfId="21512" xr:uid="{00000000-0005-0000-0000-00000F540000}"/>
    <cellStyle name="Obliczenia 2 11 14" xfId="21513" xr:uid="{00000000-0005-0000-0000-000010540000}"/>
    <cellStyle name="Obliczenia 2 11 14 2" xfId="21514" xr:uid="{00000000-0005-0000-0000-000011540000}"/>
    <cellStyle name="Obliczenia 2 11 14 3" xfId="21515" xr:uid="{00000000-0005-0000-0000-000012540000}"/>
    <cellStyle name="Obliczenia 2 11 14 4" xfId="21516" xr:uid="{00000000-0005-0000-0000-000013540000}"/>
    <cellStyle name="Obliczenia 2 11 15" xfId="21517" xr:uid="{00000000-0005-0000-0000-000014540000}"/>
    <cellStyle name="Obliczenia 2 11 15 2" xfId="21518" xr:uid="{00000000-0005-0000-0000-000015540000}"/>
    <cellStyle name="Obliczenia 2 11 15 3" xfId="21519" xr:uid="{00000000-0005-0000-0000-000016540000}"/>
    <cellStyle name="Obliczenia 2 11 15 4" xfId="21520" xr:uid="{00000000-0005-0000-0000-000017540000}"/>
    <cellStyle name="Obliczenia 2 11 16" xfId="21521" xr:uid="{00000000-0005-0000-0000-000018540000}"/>
    <cellStyle name="Obliczenia 2 11 16 2" xfId="21522" xr:uid="{00000000-0005-0000-0000-000019540000}"/>
    <cellStyle name="Obliczenia 2 11 16 3" xfId="21523" xr:uid="{00000000-0005-0000-0000-00001A540000}"/>
    <cellStyle name="Obliczenia 2 11 16 4" xfId="21524" xr:uid="{00000000-0005-0000-0000-00001B540000}"/>
    <cellStyle name="Obliczenia 2 11 17" xfId="21525" xr:uid="{00000000-0005-0000-0000-00001C540000}"/>
    <cellStyle name="Obliczenia 2 11 17 2" xfId="21526" xr:uid="{00000000-0005-0000-0000-00001D540000}"/>
    <cellStyle name="Obliczenia 2 11 17 3" xfId="21527" xr:uid="{00000000-0005-0000-0000-00001E540000}"/>
    <cellStyle name="Obliczenia 2 11 17 4" xfId="21528" xr:uid="{00000000-0005-0000-0000-00001F540000}"/>
    <cellStyle name="Obliczenia 2 11 18" xfId="21529" xr:uid="{00000000-0005-0000-0000-000020540000}"/>
    <cellStyle name="Obliczenia 2 11 18 2" xfId="21530" xr:uid="{00000000-0005-0000-0000-000021540000}"/>
    <cellStyle name="Obliczenia 2 11 18 3" xfId="21531" xr:uid="{00000000-0005-0000-0000-000022540000}"/>
    <cellStyle name="Obliczenia 2 11 18 4" xfId="21532" xr:uid="{00000000-0005-0000-0000-000023540000}"/>
    <cellStyle name="Obliczenia 2 11 19" xfId="21533" xr:uid="{00000000-0005-0000-0000-000024540000}"/>
    <cellStyle name="Obliczenia 2 11 19 2" xfId="21534" xr:uid="{00000000-0005-0000-0000-000025540000}"/>
    <cellStyle name="Obliczenia 2 11 19 3" xfId="21535" xr:uid="{00000000-0005-0000-0000-000026540000}"/>
    <cellStyle name="Obliczenia 2 11 19 4" xfId="21536" xr:uid="{00000000-0005-0000-0000-000027540000}"/>
    <cellStyle name="Obliczenia 2 11 2" xfId="21537" xr:uid="{00000000-0005-0000-0000-000028540000}"/>
    <cellStyle name="Obliczenia 2 11 2 2" xfId="21538" xr:uid="{00000000-0005-0000-0000-000029540000}"/>
    <cellStyle name="Obliczenia 2 11 2 3" xfId="21539" xr:uid="{00000000-0005-0000-0000-00002A540000}"/>
    <cellStyle name="Obliczenia 2 11 2 4" xfId="21540" xr:uid="{00000000-0005-0000-0000-00002B540000}"/>
    <cellStyle name="Obliczenia 2 11 20" xfId="21541" xr:uid="{00000000-0005-0000-0000-00002C540000}"/>
    <cellStyle name="Obliczenia 2 11 20 2" xfId="21542" xr:uid="{00000000-0005-0000-0000-00002D540000}"/>
    <cellStyle name="Obliczenia 2 11 20 3" xfId="21543" xr:uid="{00000000-0005-0000-0000-00002E540000}"/>
    <cellStyle name="Obliczenia 2 11 20 4" xfId="21544" xr:uid="{00000000-0005-0000-0000-00002F540000}"/>
    <cellStyle name="Obliczenia 2 11 21" xfId="21545" xr:uid="{00000000-0005-0000-0000-000030540000}"/>
    <cellStyle name="Obliczenia 2 11 21 2" xfId="21546" xr:uid="{00000000-0005-0000-0000-000031540000}"/>
    <cellStyle name="Obliczenia 2 11 21 3" xfId="21547" xr:uid="{00000000-0005-0000-0000-000032540000}"/>
    <cellStyle name="Obliczenia 2 11 22" xfId="21548" xr:uid="{00000000-0005-0000-0000-000033540000}"/>
    <cellStyle name="Obliczenia 2 11 22 2" xfId="21549" xr:uid="{00000000-0005-0000-0000-000034540000}"/>
    <cellStyle name="Obliczenia 2 11 22 3" xfId="21550" xr:uid="{00000000-0005-0000-0000-000035540000}"/>
    <cellStyle name="Obliczenia 2 11 23" xfId="21551" xr:uid="{00000000-0005-0000-0000-000036540000}"/>
    <cellStyle name="Obliczenia 2 11 23 2" xfId="21552" xr:uid="{00000000-0005-0000-0000-000037540000}"/>
    <cellStyle name="Obliczenia 2 11 23 3" xfId="21553" xr:uid="{00000000-0005-0000-0000-000038540000}"/>
    <cellStyle name="Obliczenia 2 11 24" xfId="21554" xr:uid="{00000000-0005-0000-0000-000039540000}"/>
    <cellStyle name="Obliczenia 2 11 24 2" xfId="21555" xr:uid="{00000000-0005-0000-0000-00003A540000}"/>
    <cellStyle name="Obliczenia 2 11 24 3" xfId="21556" xr:uid="{00000000-0005-0000-0000-00003B540000}"/>
    <cellStyle name="Obliczenia 2 11 25" xfId="21557" xr:uid="{00000000-0005-0000-0000-00003C540000}"/>
    <cellStyle name="Obliczenia 2 11 25 2" xfId="21558" xr:uid="{00000000-0005-0000-0000-00003D540000}"/>
    <cellStyle name="Obliczenia 2 11 25 3" xfId="21559" xr:uid="{00000000-0005-0000-0000-00003E540000}"/>
    <cellStyle name="Obliczenia 2 11 26" xfId="21560" xr:uid="{00000000-0005-0000-0000-00003F540000}"/>
    <cellStyle name="Obliczenia 2 11 26 2" xfId="21561" xr:uid="{00000000-0005-0000-0000-000040540000}"/>
    <cellStyle name="Obliczenia 2 11 26 3" xfId="21562" xr:uid="{00000000-0005-0000-0000-000041540000}"/>
    <cellStyle name="Obliczenia 2 11 27" xfId="21563" xr:uid="{00000000-0005-0000-0000-000042540000}"/>
    <cellStyle name="Obliczenia 2 11 27 2" xfId="21564" xr:uid="{00000000-0005-0000-0000-000043540000}"/>
    <cellStyle name="Obliczenia 2 11 27 3" xfId="21565" xr:uid="{00000000-0005-0000-0000-000044540000}"/>
    <cellStyle name="Obliczenia 2 11 28" xfId="21566" xr:uid="{00000000-0005-0000-0000-000045540000}"/>
    <cellStyle name="Obliczenia 2 11 28 2" xfId="21567" xr:uid="{00000000-0005-0000-0000-000046540000}"/>
    <cellStyle name="Obliczenia 2 11 28 3" xfId="21568" xr:uid="{00000000-0005-0000-0000-000047540000}"/>
    <cellStyle name="Obliczenia 2 11 29" xfId="21569" xr:uid="{00000000-0005-0000-0000-000048540000}"/>
    <cellStyle name="Obliczenia 2 11 29 2" xfId="21570" xr:uid="{00000000-0005-0000-0000-000049540000}"/>
    <cellStyle name="Obliczenia 2 11 29 3" xfId="21571" xr:uid="{00000000-0005-0000-0000-00004A540000}"/>
    <cellStyle name="Obliczenia 2 11 3" xfId="21572" xr:uid="{00000000-0005-0000-0000-00004B540000}"/>
    <cellStyle name="Obliczenia 2 11 3 2" xfId="21573" xr:uid="{00000000-0005-0000-0000-00004C540000}"/>
    <cellStyle name="Obliczenia 2 11 3 3" xfId="21574" xr:uid="{00000000-0005-0000-0000-00004D540000}"/>
    <cellStyle name="Obliczenia 2 11 3 4" xfId="21575" xr:uid="{00000000-0005-0000-0000-00004E540000}"/>
    <cellStyle name="Obliczenia 2 11 30" xfId="21576" xr:uid="{00000000-0005-0000-0000-00004F540000}"/>
    <cellStyle name="Obliczenia 2 11 30 2" xfId="21577" xr:uid="{00000000-0005-0000-0000-000050540000}"/>
    <cellStyle name="Obliczenia 2 11 30 3" xfId="21578" xr:uid="{00000000-0005-0000-0000-000051540000}"/>
    <cellStyle name="Obliczenia 2 11 31" xfId="21579" xr:uid="{00000000-0005-0000-0000-000052540000}"/>
    <cellStyle name="Obliczenia 2 11 31 2" xfId="21580" xr:uid="{00000000-0005-0000-0000-000053540000}"/>
    <cellStyle name="Obliczenia 2 11 31 3" xfId="21581" xr:uid="{00000000-0005-0000-0000-000054540000}"/>
    <cellStyle name="Obliczenia 2 11 32" xfId="21582" xr:uid="{00000000-0005-0000-0000-000055540000}"/>
    <cellStyle name="Obliczenia 2 11 32 2" xfId="21583" xr:uid="{00000000-0005-0000-0000-000056540000}"/>
    <cellStyle name="Obliczenia 2 11 32 3" xfId="21584" xr:uid="{00000000-0005-0000-0000-000057540000}"/>
    <cellStyle name="Obliczenia 2 11 33" xfId="21585" xr:uid="{00000000-0005-0000-0000-000058540000}"/>
    <cellStyle name="Obliczenia 2 11 33 2" xfId="21586" xr:uid="{00000000-0005-0000-0000-000059540000}"/>
    <cellStyle name="Obliczenia 2 11 33 3" xfId="21587" xr:uid="{00000000-0005-0000-0000-00005A540000}"/>
    <cellStyle name="Obliczenia 2 11 34" xfId="21588" xr:uid="{00000000-0005-0000-0000-00005B540000}"/>
    <cellStyle name="Obliczenia 2 11 34 2" xfId="21589" xr:uid="{00000000-0005-0000-0000-00005C540000}"/>
    <cellStyle name="Obliczenia 2 11 34 3" xfId="21590" xr:uid="{00000000-0005-0000-0000-00005D540000}"/>
    <cellStyle name="Obliczenia 2 11 35" xfId="21591" xr:uid="{00000000-0005-0000-0000-00005E540000}"/>
    <cellStyle name="Obliczenia 2 11 35 2" xfId="21592" xr:uid="{00000000-0005-0000-0000-00005F540000}"/>
    <cellStyle name="Obliczenia 2 11 35 3" xfId="21593" xr:uid="{00000000-0005-0000-0000-000060540000}"/>
    <cellStyle name="Obliczenia 2 11 36" xfId="21594" xr:uid="{00000000-0005-0000-0000-000061540000}"/>
    <cellStyle name="Obliczenia 2 11 36 2" xfId="21595" xr:uid="{00000000-0005-0000-0000-000062540000}"/>
    <cellStyle name="Obliczenia 2 11 36 3" xfId="21596" xr:uid="{00000000-0005-0000-0000-000063540000}"/>
    <cellStyle name="Obliczenia 2 11 37" xfId="21597" xr:uid="{00000000-0005-0000-0000-000064540000}"/>
    <cellStyle name="Obliczenia 2 11 37 2" xfId="21598" xr:uid="{00000000-0005-0000-0000-000065540000}"/>
    <cellStyle name="Obliczenia 2 11 37 3" xfId="21599" xr:uid="{00000000-0005-0000-0000-000066540000}"/>
    <cellStyle name="Obliczenia 2 11 38" xfId="21600" xr:uid="{00000000-0005-0000-0000-000067540000}"/>
    <cellStyle name="Obliczenia 2 11 38 2" xfId="21601" xr:uid="{00000000-0005-0000-0000-000068540000}"/>
    <cellStyle name="Obliczenia 2 11 38 3" xfId="21602" xr:uid="{00000000-0005-0000-0000-000069540000}"/>
    <cellStyle name="Obliczenia 2 11 39" xfId="21603" xr:uid="{00000000-0005-0000-0000-00006A540000}"/>
    <cellStyle name="Obliczenia 2 11 39 2" xfId="21604" xr:uid="{00000000-0005-0000-0000-00006B540000}"/>
    <cellStyle name="Obliczenia 2 11 39 3" xfId="21605" xr:uid="{00000000-0005-0000-0000-00006C540000}"/>
    <cellStyle name="Obliczenia 2 11 4" xfId="21606" xr:uid="{00000000-0005-0000-0000-00006D540000}"/>
    <cellStyle name="Obliczenia 2 11 4 2" xfId="21607" xr:uid="{00000000-0005-0000-0000-00006E540000}"/>
    <cellStyle name="Obliczenia 2 11 4 3" xfId="21608" xr:uid="{00000000-0005-0000-0000-00006F540000}"/>
    <cellStyle name="Obliczenia 2 11 4 4" xfId="21609" xr:uid="{00000000-0005-0000-0000-000070540000}"/>
    <cellStyle name="Obliczenia 2 11 40" xfId="21610" xr:uid="{00000000-0005-0000-0000-000071540000}"/>
    <cellStyle name="Obliczenia 2 11 40 2" xfId="21611" xr:uid="{00000000-0005-0000-0000-000072540000}"/>
    <cellStyle name="Obliczenia 2 11 40 3" xfId="21612" xr:uid="{00000000-0005-0000-0000-000073540000}"/>
    <cellStyle name="Obliczenia 2 11 41" xfId="21613" xr:uid="{00000000-0005-0000-0000-000074540000}"/>
    <cellStyle name="Obliczenia 2 11 41 2" xfId="21614" xr:uid="{00000000-0005-0000-0000-000075540000}"/>
    <cellStyle name="Obliczenia 2 11 41 3" xfId="21615" xr:uid="{00000000-0005-0000-0000-000076540000}"/>
    <cellStyle name="Obliczenia 2 11 42" xfId="21616" xr:uid="{00000000-0005-0000-0000-000077540000}"/>
    <cellStyle name="Obliczenia 2 11 42 2" xfId="21617" xr:uid="{00000000-0005-0000-0000-000078540000}"/>
    <cellStyle name="Obliczenia 2 11 42 3" xfId="21618" xr:uid="{00000000-0005-0000-0000-000079540000}"/>
    <cellStyle name="Obliczenia 2 11 43" xfId="21619" xr:uid="{00000000-0005-0000-0000-00007A540000}"/>
    <cellStyle name="Obliczenia 2 11 43 2" xfId="21620" xr:uid="{00000000-0005-0000-0000-00007B540000}"/>
    <cellStyle name="Obliczenia 2 11 43 3" xfId="21621" xr:uid="{00000000-0005-0000-0000-00007C540000}"/>
    <cellStyle name="Obliczenia 2 11 44" xfId="21622" xr:uid="{00000000-0005-0000-0000-00007D540000}"/>
    <cellStyle name="Obliczenia 2 11 44 2" xfId="21623" xr:uid="{00000000-0005-0000-0000-00007E540000}"/>
    <cellStyle name="Obliczenia 2 11 44 3" xfId="21624" xr:uid="{00000000-0005-0000-0000-00007F540000}"/>
    <cellStyle name="Obliczenia 2 11 45" xfId="21625" xr:uid="{00000000-0005-0000-0000-000080540000}"/>
    <cellStyle name="Obliczenia 2 11 45 2" xfId="21626" xr:uid="{00000000-0005-0000-0000-000081540000}"/>
    <cellStyle name="Obliczenia 2 11 45 3" xfId="21627" xr:uid="{00000000-0005-0000-0000-000082540000}"/>
    <cellStyle name="Obliczenia 2 11 46" xfId="21628" xr:uid="{00000000-0005-0000-0000-000083540000}"/>
    <cellStyle name="Obliczenia 2 11 46 2" xfId="21629" xr:uid="{00000000-0005-0000-0000-000084540000}"/>
    <cellStyle name="Obliczenia 2 11 46 3" xfId="21630" xr:uid="{00000000-0005-0000-0000-000085540000}"/>
    <cellStyle name="Obliczenia 2 11 47" xfId="21631" xr:uid="{00000000-0005-0000-0000-000086540000}"/>
    <cellStyle name="Obliczenia 2 11 47 2" xfId="21632" xr:uid="{00000000-0005-0000-0000-000087540000}"/>
    <cellStyle name="Obliczenia 2 11 47 3" xfId="21633" xr:uid="{00000000-0005-0000-0000-000088540000}"/>
    <cellStyle name="Obliczenia 2 11 48" xfId="21634" xr:uid="{00000000-0005-0000-0000-000089540000}"/>
    <cellStyle name="Obliczenia 2 11 48 2" xfId="21635" xr:uid="{00000000-0005-0000-0000-00008A540000}"/>
    <cellStyle name="Obliczenia 2 11 48 3" xfId="21636" xr:uid="{00000000-0005-0000-0000-00008B540000}"/>
    <cellStyle name="Obliczenia 2 11 49" xfId="21637" xr:uid="{00000000-0005-0000-0000-00008C540000}"/>
    <cellStyle name="Obliczenia 2 11 49 2" xfId="21638" xr:uid="{00000000-0005-0000-0000-00008D540000}"/>
    <cellStyle name="Obliczenia 2 11 49 3" xfId="21639" xr:uid="{00000000-0005-0000-0000-00008E540000}"/>
    <cellStyle name="Obliczenia 2 11 5" xfId="21640" xr:uid="{00000000-0005-0000-0000-00008F540000}"/>
    <cellStyle name="Obliczenia 2 11 5 2" xfId="21641" xr:uid="{00000000-0005-0000-0000-000090540000}"/>
    <cellStyle name="Obliczenia 2 11 5 3" xfId="21642" xr:uid="{00000000-0005-0000-0000-000091540000}"/>
    <cellStyle name="Obliczenia 2 11 5 4" xfId="21643" xr:uid="{00000000-0005-0000-0000-000092540000}"/>
    <cellStyle name="Obliczenia 2 11 50" xfId="21644" xr:uid="{00000000-0005-0000-0000-000093540000}"/>
    <cellStyle name="Obliczenia 2 11 50 2" xfId="21645" xr:uid="{00000000-0005-0000-0000-000094540000}"/>
    <cellStyle name="Obliczenia 2 11 50 3" xfId="21646" xr:uid="{00000000-0005-0000-0000-000095540000}"/>
    <cellStyle name="Obliczenia 2 11 51" xfId="21647" xr:uid="{00000000-0005-0000-0000-000096540000}"/>
    <cellStyle name="Obliczenia 2 11 51 2" xfId="21648" xr:uid="{00000000-0005-0000-0000-000097540000}"/>
    <cellStyle name="Obliczenia 2 11 51 3" xfId="21649" xr:uid="{00000000-0005-0000-0000-000098540000}"/>
    <cellStyle name="Obliczenia 2 11 52" xfId="21650" xr:uid="{00000000-0005-0000-0000-000099540000}"/>
    <cellStyle name="Obliczenia 2 11 52 2" xfId="21651" xr:uid="{00000000-0005-0000-0000-00009A540000}"/>
    <cellStyle name="Obliczenia 2 11 52 3" xfId="21652" xr:uid="{00000000-0005-0000-0000-00009B540000}"/>
    <cellStyle name="Obliczenia 2 11 53" xfId="21653" xr:uid="{00000000-0005-0000-0000-00009C540000}"/>
    <cellStyle name="Obliczenia 2 11 53 2" xfId="21654" xr:uid="{00000000-0005-0000-0000-00009D540000}"/>
    <cellStyle name="Obliczenia 2 11 53 3" xfId="21655" xr:uid="{00000000-0005-0000-0000-00009E540000}"/>
    <cellStyle name="Obliczenia 2 11 54" xfId="21656" xr:uid="{00000000-0005-0000-0000-00009F540000}"/>
    <cellStyle name="Obliczenia 2 11 54 2" xfId="21657" xr:uid="{00000000-0005-0000-0000-0000A0540000}"/>
    <cellStyle name="Obliczenia 2 11 54 3" xfId="21658" xr:uid="{00000000-0005-0000-0000-0000A1540000}"/>
    <cellStyle name="Obliczenia 2 11 55" xfId="21659" xr:uid="{00000000-0005-0000-0000-0000A2540000}"/>
    <cellStyle name="Obliczenia 2 11 55 2" xfId="21660" xr:uid="{00000000-0005-0000-0000-0000A3540000}"/>
    <cellStyle name="Obliczenia 2 11 55 3" xfId="21661" xr:uid="{00000000-0005-0000-0000-0000A4540000}"/>
    <cellStyle name="Obliczenia 2 11 56" xfId="21662" xr:uid="{00000000-0005-0000-0000-0000A5540000}"/>
    <cellStyle name="Obliczenia 2 11 56 2" xfId="21663" xr:uid="{00000000-0005-0000-0000-0000A6540000}"/>
    <cellStyle name="Obliczenia 2 11 56 3" xfId="21664" xr:uid="{00000000-0005-0000-0000-0000A7540000}"/>
    <cellStyle name="Obliczenia 2 11 57" xfId="21665" xr:uid="{00000000-0005-0000-0000-0000A8540000}"/>
    <cellStyle name="Obliczenia 2 11 58" xfId="21666" xr:uid="{00000000-0005-0000-0000-0000A9540000}"/>
    <cellStyle name="Obliczenia 2 11 6" xfId="21667" xr:uid="{00000000-0005-0000-0000-0000AA540000}"/>
    <cellStyle name="Obliczenia 2 11 6 2" xfId="21668" xr:uid="{00000000-0005-0000-0000-0000AB540000}"/>
    <cellStyle name="Obliczenia 2 11 6 3" xfId="21669" xr:uid="{00000000-0005-0000-0000-0000AC540000}"/>
    <cellStyle name="Obliczenia 2 11 6 4" xfId="21670" xr:uid="{00000000-0005-0000-0000-0000AD540000}"/>
    <cellStyle name="Obliczenia 2 11 7" xfId="21671" xr:uid="{00000000-0005-0000-0000-0000AE540000}"/>
    <cellStyle name="Obliczenia 2 11 7 2" xfId="21672" xr:uid="{00000000-0005-0000-0000-0000AF540000}"/>
    <cellStyle name="Obliczenia 2 11 7 3" xfId="21673" xr:uid="{00000000-0005-0000-0000-0000B0540000}"/>
    <cellStyle name="Obliczenia 2 11 7 4" xfId="21674" xr:uid="{00000000-0005-0000-0000-0000B1540000}"/>
    <cellStyle name="Obliczenia 2 11 8" xfId="21675" xr:uid="{00000000-0005-0000-0000-0000B2540000}"/>
    <cellStyle name="Obliczenia 2 11 8 2" xfId="21676" xr:uid="{00000000-0005-0000-0000-0000B3540000}"/>
    <cellStyle name="Obliczenia 2 11 8 3" xfId="21677" xr:uid="{00000000-0005-0000-0000-0000B4540000}"/>
    <cellStyle name="Obliczenia 2 11 8 4" xfId="21678" xr:uid="{00000000-0005-0000-0000-0000B5540000}"/>
    <cellStyle name="Obliczenia 2 11 9" xfId="21679" xr:uid="{00000000-0005-0000-0000-0000B6540000}"/>
    <cellStyle name="Obliczenia 2 11 9 2" xfId="21680" xr:uid="{00000000-0005-0000-0000-0000B7540000}"/>
    <cellStyle name="Obliczenia 2 11 9 3" xfId="21681" xr:uid="{00000000-0005-0000-0000-0000B8540000}"/>
    <cellStyle name="Obliczenia 2 11 9 4" xfId="21682" xr:uid="{00000000-0005-0000-0000-0000B9540000}"/>
    <cellStyle name="Obliczenia 2 12" xfId="21683" xr:uid="{00000000-0005-0000-0000-0000BA540000}"/>
    <cellStyle name="Obliczenia 2 12 10" xfId="21684" xr:uid="{00000000-0005-0000-0000-0000BB540000}"/>
    <cellStyle name="Obliczenia 2 12 10 2" xfId="21685" xr:uid="{00000000-0005-0000-0000-0000BC540000}"/>
    <cellStyle name="Obliczenia 2 12 10 3" xfId="21686" xr:uid="{00000000-0005-0000-0000-0000BD540000}"/>
    <cellStyle name="Obliczenia 2 12 10 4" xfId="21687" xr:uid="{00000000-0005-0000-0000-0000BE540000}"/>
    <cellStyle name="Obliczenia 2 12 11" xfId="21688" xr:uid="{00000000-0005-0000-0000-0000BF540000}"/>
    <cellStyle name="Obliczenia 2 12 11 2" xfId="21689" xr:uid="{00000000-0005-0000-0000-0000C0540000}"/>
    <cellStyle name="Obliczenia 2 12 11 3" xfId="21690" xr:uid="{00000000-0005-0000-0000-0000C1540000}"/>
    <cellStyle name="Obliczenia 2 12 11 4" xfId="21691" xr:uid="{00000000-0005-0000-0000-0000C2540000}"/>
    <cellStyle name="Obliczenia 2 12 12" xfId="21692" xr:uid="{00000000-0005-0000-0000-0000C3540000}"/>
    <cellStyle name="Obliczenia 2 12 12 2" xfId="21693" xr:uid="{00000000-0005-0000-0000-0000C4540000}"/>
    <cellStyle name="Obliczenia 2 12 12 3" xfId="21694" xr:uid="{00000000-0005-0000-0000-0000C5540000}"/>
    <cellStyle name="Obliczenia 2 12 12 4" xfId="21695" xr:uid="{00000000-0005-0000-0000-0000C6540000}"/>
    <cellStyle name="Obliczenia 2 12 13" xfId="21696" xr:uid="{00000000-0005-0000-0000-0000C7540000}"/>
    <cellStyle name="Obliczenia 2 12 13 2" xfId="21697" xr:uid="{00000000-0005-0000-0000-0000C8540000}"/>
    <cellStyle name="Obliczenia 2 12 13 3" xfId="21698" xr:uid="{00000000-0005-0000-0000-0000C9540000}"/>
    <cellStyle name="Obliczenia 2 12 13 4" xfId="21699" xr:uid="{00000000-0005-0000-0000-0000CA540000}"/>
    <cellStyle name="Obliczenia 2 12 14" xfId="21700" xr:uid="{00000000-0005-0000-0000-0000CB540000}"/>
    <cellStyle name="Obliczenia 2 12 14 2" xfId="21701" xr:uid="{00000000-0005-0000-0000-0000CC540000}"/>
    <cellStyle name="Obliczenia 2 12 14 3" xfId="21702" xr:uid="{00000000-0005-0000-0000-0000CD540000}"/>
    <cellStyle name="Obliczenia 2 12 14 4" xfId="21703" xr:uid="{00000000-0005-0000-0000-0000CE540000}"/>
    <cellStyle name="Obliczenia 2 12 15" xfId="21704" xr:uid="{00000000-0005-0000-0000-0000CF540000}"/>
    <cellStyle name="Obliczenia 2 12 15 2" xfId="21705" xr:uid="{00000000-0005-0000-0000-0000D0540000}"/>
    <cellStyle name="Obliczenia 2 12 15 3" xfId="21706" xr:uid="{00000000-0005-0000-0000-0000D1540000}"/>
    <cellStyle name="Obliczenia 2 12 15 4" xfId="21707" xr:uid="{00000000-0005-0000-0000-0000D2540000}"/>
    <cellStyle name="Obliczenia 2 12 16" xfId="21708" xr:uid="{00000000-0005-0000-0000-0000D3540000}"/>
    <cellStyle name="Obliczenia 2 12 16 2" xfId="21709" xr:uid="{00000000-0005-0000-0000-0000D4540000}"/>
    <cellStyle name="Obliczenia 2 12 16 3" xfId="21710" xr:uid="{00000000-0005-0000-0000-0000D5540000}"/>
    <cellStyle name="Obliczenia 2 12 16 4" xfId="21711" xr:uid="{00000000-0005-0000-0000-0000D6540000}"/>
    <cellStyle name="Obliczenia 2 12 17" xfId="21712" xr:uid="{00000000-0005-0000-0000-0000D7540000}"/>
    <cellStyle name="Obliczenia 2 12 17 2" xfId="21713" xr:uid="{00000000-0005-0000-0000-0000D8540000}"/>
    <cellStyle name="Obliczenia 2 12 17 3" xfId="21714" xr:uid="{00000000-0005-0000-0000-0000D9540000}"/>
    <cellStyle name="Obliczenia 2 12 17 4" xfId="21715" xr:uid="{00000000-0005-0000-0000-0000DA540000}"/>
    <cellStyle name="Obliczenia 2 12 18" xfId="21716" xr:uid="{00000000-0005-0000-0000-0000DB540000}"/>
    <cellStyle name="Obliczenia 2 12 18 2" xfId="21717" xr:uid="{00000000-0005-0000-0000-0000DC540000}"/>
    <cellStyle name="Obliczenia 2 12 18 3" xfId="21718" xr:uid="{00000000-0005-0000-0000-0000DD540000}"/>
    <cellStyle name="Obliczenia 2 12 18 4" xfId="21719" xr:uid="{00000000-0005-0000-0000-0000DE540000}"/>
    <cellStyle name="Obliczenia 2 12 19" xfId="21720" xr:uid="{00000000-0005-0000-0000-0000DF540000}"/>
    <cellStyle name="Obliczenia 2 12 19 2" xfId="21721" xr:uid="{00000000-0005-0000-0000-0000E0540000}"/>
    <cellStyle name="Obliczenia 2 12 19 3" xfId="21722" xr:uid="{00000000-0005-0000-0000-0000E1540000}"/>
    <cellStyle name="Obliczenia 2 12 19 4" xfId="21723" xr:uid="{00000000-0005-0000-0000-0000E2540000}"/>
    <cellStyle name="Obliczenia 2 12 2" xfId="21724" xr:uid="{00000000-0005-0000-0000-0000E3540000}"/>
    <cellStyle name="Obliczenia 2 12 2 2" xfId="21725" xr:uid="{00000000-0005-0000-0000-0000E4540000}"/>
    <cellStyle name="Obliczenia 2 12 2 3" xfId="21726" xr:uid="{00000000-0005-0000-0000-0000E5540000}"/>
    <cellStyle name="Obliczenia 2 12 2 4" xfId="21727" xr:uid="{00000000-0005-0000-0000-0000E6540000}"/>
    <cellStyle name="Obliczenia 2 12 20" xfId="21728" xr:uid="{00000000-0005-0000-0000-0000E7540000}"/>
    <cellStyle name="Obliczenia 2 12 20 2" xfId="21729" xr:uid="{00000000-0005-0000-0000-0000E8540000}"/>
    <cellStyle name="Obliczenia 2 12 20 3" xfId="21730" xr:uid="{00000000-0005-0000-0000-0000E9540000}"/>
    <cellStyle name="Obliczenia 2 12 20 4" xfId="21731" xr:uid="{00000000-0005-0000-0000-0000EA540000}"/>
    <cellStyle name="Obliczenia 2 12 21" xfId="21732" xr:uid="{00000000-0005-0000-0000-0000EB540000}"/>
    <cellStyle name="Obliczenia 2 12 21 2" xfId="21733" xr:uid="{00000000-0005-0000-0000-0000EC540000}"/>
    <cellStyle name="Obliczenia 2 12 21 3" xfId="21734" xr:uid="{00000000-0005-0000-0000-0000ED540000}"/>
    <cellStyle name="Obliczenia 2 12 22" xfId="21735" xr:uid="{00000000-0005-0000-0000-0000EE540000}"/>
    <cellStyle name="Obliczenia 2 12 22 2" xfId="21736" xr:uid="{00000000-0005-0000-0000-0000EF540000}"/>
    <cellStyle name="Obliczenia 2 12 22 3" xfId="21737" xr:uid="{00000000-0005-0000-0000-0000F0540000}"/>
    <cellStyle name="Obliczenia 2 12 23" xfId="21738" xr:uid="{00000000-0005-0000-0000-0000F1540000}"/>
    <cellStyle name="Obliczenia 2 12 23 2" xfId="21739" xr:uid="{00000000-0005-0000-0000-0000F2540000}"/>
    <cellStyle name="Obliczenia 2 12 23 3" xfId="21740" xr:uid="{00000000-0005-0000-0000-0000F3540000}"/>
    <cellStyle name="Obliczenia 2 12 24" xfId="21741" xr:uid="{00000000-0005-0000-0000-0000F4540000}"/>
    <cellStyle name="Obliczenia 2 12 24 2" xfId="21742" xr:uid="{00000000-0005-0000-0000-0000F5540000}"/>
    <cellStyle name="Obliczenia 2 12 24 3" xfId="21743" xr:uid="{00000000-0005-0000-0000-0000F6540000}"/>
    <cellStyle name="Obliczenia 2 12 25" xfId="21744" xr:uid="{00000000-0005-0000-0000-0000F7540000}"/>
    <cellStyle name="Obliczenia 2 12 25 2" xfId="21745" xr:uid="{00000000-0005-0000-0000-0000F8540000}"/>
    <cellStyle name="Obliczenia 2 12 25 3" xfId="21746" xr:uid="{00000000-0005-0000-0000-0000F9540000}"/>
    <cellStyle name="Obliczenia 2 12 26" xfId="21747" xr:uid="{00000000-0005-0000-0000-0000FA540000}"/>
    <cellStyle name="Obliczenia 2 12 26 2" xfId="21748" xr:uid="{00000000-0005-0000-0000-0000FB540000}"/>
    <cellStyle name="Obliczenia 2 12 26 3" xfId="21749" xr:uid="{00000000-0005-0000-0000-0000FC540000}"/>
    <cellStyle name="Obliczenia 2 12 27" xfId="21750" xr:uid="{00000000-0005-0000-0000-0000FD540000}"/>
    <cellStyle name="Obliczenia 2 12 27 2" xfId="21751" xr:uid="{00000000-0005-0000-0000-0000FE540000}"/>
    <cellStyle name="Obliczenia 2 12 27 3" xfId="21752" xr:uid="{00000000-0005-0000-0000-0000FF540000}"/>
    <cellStyle name="Obliczenia 2 12 28" xfId="21753" xr:uid="{00000000-0005-0000-0000-000000550000}"/>
    <cellStyle name="Obliczenia 2 12 28 2" xfId="21754" xr:uid="{00000000-0005-0000-0000-000001550000}"/>
    <cellStyle name="Obliczenia 2 12 28 3" xfId="21755" xr:uid="{00000000-0005-0000-0000-000002550000}"/>
    <cellStyle name="Obliczenia 2 12 29" xfId="21756" xr:uid="{00000000-0005-0000-0000-000003550000}"/>
    <cellStyle name="Obliczenia 2 12 29 2" xfId="21757" xr:uid="{00000000-0005-0000-0000-000004550000}"/>
    <cellStyle name="Obliczenia 2 12 29 3" xfId="21758" xr:uid="{00000000-0005-0000-0000-000005550000}"/>
    <cellStyle name="Obliczenia 2 12 3" xfId="21759" xr:uid="{00000000-0005-0000-0000-000006550000}"/>
    <cellStyle name="Obliczenia 2 12 3 2" xfId="21760" xr:uid="{00000000-0005-0000-0000-000007550000}"/>
    <cellStyle name="Obliczenia 2 12 3 3" xfId="21761" xr:uid="{00000000-0005-0000-0000-000008550000}"/>
    <cellStyle name="Obliczenia 2 12 3 4" xfId="21762" xr:uid="{00000000-0005-0000-0000-000009550000}"/>
    <cellStyle name="Obliczenia 2 12 30" xfId="21763" xr:uid="{00000000-0005-0000-0000-00000A550000}"/>
    <cellStyle name="Obliczenia 2 12 30 2" xfId="21764" xr:uid="{00000000-0005-0000-0000-00000B550000}"/>
    <cellStyle name="Obliczenia 2 12 30 3" xfId="21765" xr:uid="{00000000-0005-0000-0000-00000C550000}"/>
    <cellStyle name="Obliczenia 2 12 31" xfId="21766" xr:uid="{00000000-0005-0000-0000-00000D550000}"/>
    <cellStyle name="Obliczenia 2 12 31 2" xfId="21767" xr:uid="{00000000-0005-0000-0000-00000E550000}"/>
    <cellStyle name="Obliczenia 2 12 31 3" xfId="21768" xr:uid="{00000000-0005-0000-0000-00000F550000}"/>
    <cellStyle name="Obliczenia 2 12 32" xfId="21769" xr:uid="{00000000-0005-0000-0000-000010550000}"/>
    <cellStyle name="Obliczenia 2 12 32 2" xfId="21770" xr:uid="{00000000-0005-0000-0000-000011550000}"/>
    <cellStyle name="Obliczenia 2 12 32 3" xfId="21771" xr:uid="{00000000-0005-0000-0000-000012550000}"/>
    <cellStyle name="Obliczenia 2 12 33" xfId="21772" xr:uid="{00000000-0005-0000-0000-000013550000}"/>
    <cellStyle name="Obliczenia 2 12 33 2" xfId="21773" xr:uid="{00000000-0005-0000-0000-000014550000}"/>
    <cellStyle name="Obliczenia 2 12 33 3" xfId="21774" xr:uid="{00000000-0005-0000-0000-000015550000}"/>
    <cellStyle name="Obliczenia 2 12 34" xfId="21775" xr:uid="{00000000-0005-0000-0000-000016550000}"/>
    <cellStyle name="Obliczenia 2 12 34 2" xfId="21776" xr:uid="{00000000-0005-0000-0000-000017550000}"/>
    <cellStyle name="Obliczenia 2 12 34 3" xfId="21777" xr:uid="{00000000-0005-0000-0000-000018550000}"/>
    <cellStyle name="Obliczenia 2 12 35" xfId="21778" xr:uid="{00000000-0005-0000-0000-000019550000}"/>
    <cellStyle name="Obliczenia 2 12 35 2" xfId="21779" xr:uid="{00000000-0005-0000-0000-00001A550000}"/>
    <cellStyle name="Obliczenia 2 12 35 3" xfId="21780" xr:uid="{00000000-0005-0000-0000-00001B550000}"/>
    <cellStyle name="Obliczenia 2 12 36" xfId="21781" xr:uid="{00000000-0005-0000-0000-00001C550000}"/>
    <cellStyle name="Obliczenia 2 12 36 2" xfId="21782" xr:uid="{00000000-0005-0000-0000-00001D550000}"/>
    <cellStyle name="Obliczenia 2 12 36 3" xfId="21783" xr:uid="{00000000-0005-0000-0000-00001E550000}"/>
    <cellStyle name="Obliczenia 2 12 37" xfId="21784" xr:uid="{00000000-0005-0000-0000-00001F550000}"/>
    <cellStyle name="Obliczenia 2 12 37 2" xfId="21785" xr:uid="{00000000-0005-0000-0000-000020550000}"/>
    <cellStyle name="Obliczenia 2 12 37 3" xfId="21786" xr:uid="{00000000-0005-0000-0000-000021550000}"/>
    <cellStyle name="Obliczenia 2 12 38" xfId="21787" xr:uid="{00000000-0005-0000-0000-000022550000}"/>
    <cellStyle name="Obliczenia 2 12 38 2" xfId="21788" xr:uid="{00000000-0005-0000-0000-000023550000}"/>
    <cellStyle name="Obliczenia 2 12 38 3" xfId="21789" xr:uid="{00000000-0005-0000-0000-000024550000}"/>
    <cellStyle name="Obliczenia 2 12 39" xfId="21790" xr:uid="{00000000-0005-0000-0000-000025550000}"/>
    <cellStyle name="Obliczenia 2 12 39 2" xfId="21791" xr:uid="{00000000-0005-0000-0000-000026550000}"/>
    <cellStyle name="Obliczenia 2 12 39 3" xfId="21792" xr:uid="{00000000-0005-0000-0000-000027550000}"/>
    <cellStyle name="Obliczenia 2 12 4" xfId="21793" xr:uid="{00000000-0005-0000-0000-000028550000}"/>
    <cellStyle name="Obliczenia 2 12 4 2" xfId="21794" xr:uid="{00000000-0005-0000-0000-000029550000}"/>
    <cellStyle name="Obliczenia 2 12 4 3" xfId="21795" xr:uid="{00000000-0005-0000-0000-00002A550000}"/>
    <cellStyle name="Obliczenia 2 12 4 4" xfId="21796" xr:uid="{00000000-0005-0000-0000-00002B550000}"/>
    <cellStyle name="Obliczenia 2 12 40" xfId="21797" xr:uid="{00000000-0005-0000-0000-00002C550000}"/>
    <cellStyle name="Obliczenia 2 12 40 2" xfId="21798" xr:uid="{00000000-0005-0000-0000-00002D550000}"/>
    <cellStyle name="Obliczenia 2 12 40 3" xfId="21799" xr:uid="{00000000-0005-0000-0000-00002E550000}"/>
    <cellStyle name="Obliczenia 2 12 41" xfId="21800" xr:uid="{00000000-0005-0000-0000-00002F550000}"/>
    <cellStyle name="Obliczenia 2 12 41 2" xfId="21801" xr:uid="{00000000-0005-0000-0000-000030550000}"/>
    <cellStyle name="Obliczenia 2 12 41 3" xfId="21802" xr:uid="{00000000-0005-0000-0000-000031550000}"/>
    <cellStyle name="Obliczenia 2 12 42" xfId="21803" xr:uid="{00000000-0005-0000-0000-000032550000}"/>
    <cellStyle name="Obliczenia 2 12 42 2" xfId="21804" xr:uid="{00000000-0005-0000-0000-000033550000}"/>
    <cellStyle name="Obliczenia 2 12 42 3" xfId="21805" xr:uid="{00000000-0005-0000-0000-000034550000}"/>
    <cellStyle name="Obliczenia 2 12 43" xfId="21806" xr:uid="{00000000-0005-0000-0000-000035550000}"/>
    <cellStyle name="Obliczenia 2 12 43 2" xfId="21807" xr:uid="{00000000-0005-0000-0000-000036550000}"/>
    <cellStyle name="Obliczenia 2 12 43 3" xfId="21808" xr:uid="{00000000-0005-0000-0000-000037550000}"/>
    <cellStyle name="Obliczenia 2 12 44" xfId="21809" xr:uid="{00000000-0005-0000-0000-000038550000}"/>
    <cellStyle name="Obliczenia 2 12 44 2" xfId="21810" xr:uid="{00000000-0005-0000-0000-000039550000}"/>
    <cellStyle name="Obliczenia 2 12 44 3" xfId="21811" xr:uid="{00000000-0005-0000-0000-00003A550000}"/>
    <cellStyle name="Obliczenia 2 12 45" xfId="21812" xr:uid="{00000000-0005-0000-0000-00003B550000}"/>
    <cellStyle name="Obliczenia 2 12 45 2" xfId="21813" xr:uid="{00000000-0005-0000-0000-00003C550000}"/>
    <cellStyle name="Obliczenia 2 12 45 3" xfId="21814" xr:uid="{00000000-0005-0000-0000-00003D550000}"/>
    <cellStyle name="Obliczenia 2 12 46" xfId="21815" xr:uid="{00000000-0005-0000-0000-00003E550000}"/>
    <cellStyle name="Obliczenia 2 12 46 2" xfId="21816" xr:uid="{00000000-0005-0000-0000-00003F550000}"/>
    <cellStyle name="Obliczenia 2 12 46 3" xfId="21817" xr:uid="{00000000-0005-0000-0000-000040550000}"/>
    <cellStyle name="Obliczenia 2 12 47" xfId="21818" xr:uid="{00000000-0005-0000-0000-000041550000}"/>
    <cellStyle name="Obliczenia 2 12 47 2" xfId="21819" xr:uid="{00000000-0005-0000-0000-000042550000}"/>
    <cellStyle name="Obliczenia 2 12 47 3" xfId="21820" xr:uid="{00000000-0005-0000-0000-000043550000}"/>
    <cellStyle name="Obliczenia 2 12 48" xfId="21821" xr:uid="{00000000-0005-0000-0000-000044550000}"/>
    <cellStyle name="Obliczenia 2 12 48 2" xfId="21822" xr:uid="{00000000-0005-0000-0000-000045550000}"/>
    <cellStyle name="Obliczenia 2 12 48 3" xfId="21823" xr:uid="{00000000-0005-0000-0000-000046550000}"/>
    <cellStyle name="Obliczenia 2 12 49" xfId="21824" xr:uid="{00000000-0005-0000-0000-000047550000}"/>
    <cellStyle name="Obliczenia 2 12 49 2" xfId="21825" xr:uid="{00000000-0005-0000-0000-000048550000}"/>
    <cellStyle name="Obliczenia 2 12 49 3" xfId="21826" xr:uid="{00000000-0005-0000-0000-000049550000}"/>
    <cellStyle name="Obliczenia 2 12 5" xfId="21827" xr:uid="{00000000-0005-0000-0000-00004A550000}"/>
    <cellStyle name="Obliczenia 2 12 5 2" xfId="21828" xr:uid="{00000000-0005-0000-0000-00004B550000}"/>
    <cellStyle name="Obliczenia 2 12 5 3" xfId="21829" xr:uid="{00000000-0005-0000-0000-00004C550000}"/>
    <cellStyle name="Obliczenia 2 12 5 4" xfId="21830" xr:uid="{00000000-0005-0000-0000-00004D550000}"/>
    <cellStyle name="Obliczenia 2 12 50" xfId="21831" xr:uid="{00000000-0005-0000-0000-00004E550000}"/>
    <cellStyle name="Obliczenia 2 12 50 2" xfId="21832" xr:uid="{00000000-0005-0000-0000-00004F550000}"/>
    <cellStyle name="Obliczenia 2 12 50 3" xfId="21833" xr:uid="{00000000-0005-0000-0000-000050550000}"/>
    <cellStyle name="Obliczenia 2 12 51" xfId="21834" xr:uid="{00000000-0005-0000-0000-000051550000}"/>
    <cellStyle name="Obliczenia 2 12 51 2" xfId="21835" xr:uid="{00000000-0005-0000-0000-000052550000}"/>
    <cellStyle name="Obliczenia 2 12 51 3" xfId="21836" xr:uid="{00000000-0005-0000-0000-000053550000}"/>
    <cellStyle name="Obliczenia 2 12 52" xfId="21837" xr:uid="{00000000-0005-0000-0000-000054550000}"/>
    <cellStyle name="Obliczenia 2 12 52 2" xfId="21838" xr:uid="{00000000-0005-0000-0000-000055550000}"/>
    <cellStyle name="Obliczenia 2 12 52 3" xfId="21839" xr:uid="{00000000-0005-0000-0000-000056550000}"/>
    <cellStyle name="Obliczenia 2 12 53" xfId="21840" xr:uid="{00000000-0005-0000-0000-000057550000}"/>
    <cellStyle name="Obliczenia 2 12 53 2" xfId="21841" xr:uid="{00000000-0005-0000-0000-000058550000}"/>
    <cellStyle name="Obliczenia 2 12 53 3" xfId="21842" xr:uid="{00000000-0005-0000-0000-000059550000}"/>
    <cellStyle name="Obliczenia 2 12 54" xfId="21843" xr:uid="{00000000-0005-0000-0000-00005A550000}"/>
    <cellStyle name="Obliczenia 2 12 54 2" xfId="21844" xr:uid="{00000000-0005-0000-0000-00005B550000}"/>
    <cellStyle name="Obliczenia 2 12 54 3" xfId="21845" xr:uid="{00000000-0005-0000-0000-00005C550000}"/>
    <cellStyle name="Obliczenia 2 12 55" xfId="21846" xr:uid="{00000000-0005-0000-0000-00005D550000}"/>
    <cellStyle name="Obliczenia 2 12 55 2" xfId="21847" xr:uid="{00000000-0005-0000-0000-00005E550000}"/>
    <cellStyle name="Obliczenia 2 12 55 3" xfId="21848" xr:uid="{00000000-0005-0000-0000-00005F550000}"/>
    <cellStyle name="Obliczenia 2 12 56" xfId="21849" xr:uid="{00000000-0005-0000-0000-000060550000}"/>
    <cellStyle name="Obliczenia 2 12 56 2" xfId="21850" xr:uid="{00000000-0005-0000-0000-000061550000}"/>
    <cellStyle name="Obliczenia 2 12 56 3" xfId="21851" xr:uid="{00000000-0005-0000-0000-000062550000}"/>
    <cellStyle name="Obliczenia 2 12 57" xfId="21852" xr:uid="{00000000-0005-0000-0000-000063550000}"/>
    <cellStyle name="Obliczenia 2 12 58" xfId="21853" xr:uid="{00000000-0005-0000-0000-000064550000}"/>
    <cellStyle name="Obliczenia 2 12 6" xfId="21854" xr:uid="{00000000-0005-0000-0000-000065550000}"/>
    <cellStyle name="Obliczenia 2 12 6 2" xfId="21855" xr:uid="{00000000-0005-0000-0000-000066550000}"/>
    <cellStyle name="Obliczenia 2 12 6 3" xfId="21856" xr:uid="{00000000-0005-0000-0000-000067550000}"/>
    <cellStyle name="Obliczenia 2 12 6 4" xfId="21857" xr:uid="{00000000-0005-0000-0000-000068550000}"/>
    <cellStyle name="Obliczenia 2 12 7" xfId="21858" xr:uid="{00000000-0005-0000-0000-000069550000}"/>
    <cellStyle name="Obliczenia 2 12 7 2" xfId="21859" xr:uid="{00000000-0005-0000-0000-00006A550000}"/>
    <cellStyle name="Obliczenia 2 12 7 3" xfId="21860" xr:uid="{00000000-0005-0000-0000-00006B550000}"/>
    <cellStyle name="Obliczenia 2 12 7 4" xfId="21861" xr:uid="{00000000-0005-0000-0000-00006C550000}"/>
    <cellStyle name="Obliczenia 2 12 8" xfId="21862" xr:uid="{00000000-0005-0000-0000-00006D550000}"/>
    <cellStyle name="Obliczenia 2 12 8 2" xfId="21863" xr:uid="{00000000-0005-0000-0000-00006E550000}"/>
    <cellStyle name="Obliczenia 2 12 8 3" xfId="21864" xr:uid="{00000000-0005-0000-0000-00006F550000}"/>
    <cellStyle name="Obliczenia 2 12 8 4" xfId="21865" xr:uid="{00000000-0005-0000-0000-000070550000}"/>
    <cellStyle name="Obliczenia 2 12 9" xfId="21866" xr:uid="{00000000-0005-0000-0000-000071550000}"/>
    <cellStyle name="Obliczenia 2 12 9 2" xfId="21867" xr:uid="{00000000-0005-0000-0000-000072550000}"/>
    <cellStyle name="Obliczenia 2 12 9 3" xfId="21868" xr:uid="{00000000-0005-0000-0000-000073550000}"/>
    <cellStyle name="Obliczenia 2 12 9 4" xfId="21869" xr:uid="{00000000-0005-0000-0000-000074550000}"/>
    <cellStyle name="Obliczenia 2 13" xfId="21870" xr:uid="{00000000-0005-0000-0000-000075550000}"/>
    <cellStyle name="Obliczenia 2 13 10" xfId="21871" xr:uid="{00000000-0005-0000-0000-000076550000}"/>
    <cellStyle name="Obliczenia 2 13 10 2" xfId="21872" xr:uid="{00000000-0005-0000-0000-000077550000}"/>
    <cellStyle name="Obliczenia 2 13 10 3" xfId="21873" xr:uid="{00000000-0005-0000-0000-000078550000}"/>
    <cellStyle name="Obliczenia 2 13 10 4" xfId="21874" xr:uid="{00000000-0005-0000-0000-000079550000}"/>
    <cellStyle name="Obliczenia 2 13 11" xfId="21875" xr:uid="{00000000-0005-0000-0000-00007A550000}"/>
    <cellStyle name="Obliczenia 2 13 11 2" xfId="21876" xr:uid="{00000000-0005-0000-0000-00007B550000}"/>
    <cellStyle name="Obliczenia 2 13 11 3" xfId="21877" xr:uid="{00000000-0005-0000-0000-00007C550000}"/>
    <cellStyle name="Obliczenia 2 13 11 4" xfId="21878" xr:uid="{00000000-0005-0000-0000-00007D550000}"/>
    <cellStyle name="Obliczenia 2 13 12" xfId="21879" xr:uid="{00000000-0005-0000-0000-00007E550000}"/>
    <cellStyle name="Obliczenia 2 13 12 2" xfId="21880" xr:uid="{00000000-0005-0000-0000-00007F550000}"/>
    <cellStyle name="Obliczenia 2 13 12 3" xfId="21881" xr:uid="{00000000-0005-0000-0000-000080550000}"/>
    <cellStyle name="Obliczenia 2 13 12 4" xfId="21882" xr:uid="{00000000-0005-0000-0000-000081550000}"/>
    <cellStyle name="Obliczenia 2 13 13" xfId="21883" xr:uid="{00000000-0005-0000-0000-000082550000}"/>
    <cellStyle name="Obliczenia 2 13 13 2" xfId="21884" xr:uid="{00000000-0005-0000-0000-000083550000}"/>
    <cellStyle name="Obliczenia 2 13 13 3" xfId="21885" xr:uid="{00000000-0005-0000-0000-000084550000}"/>
    <cellStyle name="Obliczenia 2 13 13 4" xfId="21886" xr:uid="{00000000-0005-0000-0000-000085550000}"/>
    <cellStyle name="Obliczenia 2 13 14" xfId="21887" xr:uid="{00000000-0005-0000-0000-000086550000}"/>
    <cellStyle name="Obliczenia 2 13 14 2" xfId="21888" xr:uid="{00000000-0005-0000-0000-000087550000}"/>
    <cellStyle name="Obliczenia 2 13 14 3" xfId="21889" xr:uid="{00000000-0005-0000-0000-000088550000}"/>
    <cellStyle name="Obliczenia 2 13 14 4" xfId="21890" xr:uid="{00000000-0005-0000-0000-000089550000}"/>
    <cellStyle name="Obliczenia 2 13 15" xfId="21891" xr:uid="{00000000-0005-0000-0000-00008A550000}"/>
    <cellStyle name="Obliczenia 2 13 15 2" xfId="21892" xr:uid="{00000000-0005-0000-0000-00008B550000}"/>
    <cellStyle name="Obliczenia 2 13 15 3" xfId="21893" xr:uid="{00000000-0005-0000-0000-00008C550000}"/>
    <cellStyle name="Obliczenia 2 13 15 4" xfId="21894" xr:uid="{00000000-0005-0000-0000-00008D550000}"/>
    <cellStyle name="Obliczenia 2 13 16" xfId="21895" xr:uid="{00000000-0005-0000-0000-00008E550000}"/>
    <cellStyle name="Obliczenia 2 13 16 2" xfId="21896" xr:uid="{00000000-0005-0000-0000-00008F550000}"/>
    <cellStyle name="Obliczenia 2 13 16 3" xfId="21897" xr:uid="{00000000-0005-0000-0000-000090550000}"/>
    <cellStyle name="Obliczenia 2 13 16 4" xfId="21898" xr:uid="{00000000-0005-0000-0000-000091550000}"/>
    <cellStyle name="Obliczenia 2 13 17" xfId="21899" xr:uid="{00000000-0005-0000-0000-000092550000}"/>
    <cellStyle name="Obliczenia 2 13 17 2" xfId="21900" xr:uid="{00000000-0005-0000-0000-000093550000}"/>
    <cellStyle name="Obliczenia 2 13 17 3" xfId="21901" xr:uid="{00000000-0005-0000-0000-000094550000}"/>
    <cellStyle name="Obliczenia 2 13 17 4" xfId="21902" xr:uid="{00000000-0005-0000-0000-000095550000}"/>
    <cellStyle name="Obliczenia 2 13 18" xfId="21903" xr:uid="{00000000-0005-0000-0000-000096550000}"/>
    <cellStyle name="Obliczenia 2 13 18 2" xfId="21904" xr:uid="{00000000-0005-0000-0000-000097550000}"/>
    <cellStyle name="Obliczenia 2 13 18 3" xfId="21905" xr:uid="{00000000-0005-0000-0000-000098550000}"/>
    <cellStyle name="Obliczenia 2 13 18 4" xfId="21906" xr:uid="{00000000-0005-0000-0000-000099550000}"/>
    <cellStyle name="Obliczenia 2 13 19" xfId="21907" xr:uid="{00000000-0005-0000-0000-00009A550000}"/>
    <cellStyle name="Obliczenia 2 13 19 2" xfId="21908" xr:uid="{00000000-0005-0000-0000-00009B550000}"/>
    <cellStyle name="Obliczenia 2 13 19 3" xfId="21909" xr:uid="{00000000-0005-0000-0000-00009C550000}"/>
    <cellStyle name="Obliczenia 2 13 19 4" xfId="21910" xr:uid="{00000000-0005-0000-0000-00009D550000}"/>
    <cellStyle name="Obliczenia 2 13 2" xfId="21911" xr:uid="{00000000-0005-0000-0000-00009E550000}"/>
    <cellStyle name="Obliczenia 2 13 2 2" xfId="21912" xr:uid="{00000000-0005-0000-0000-00009F550000}"/>
    <cellStyle name="Obliczenia 2 13 2 3" xfId="21913" xr:uid="{00000000-0005-0000-0000-0000A0550000}"/>
    <cellStyle name="Obliczenia 2 13 2 4" xfId="21914" xr:uid="{00000000-0005-0000-0000-0000A1550000}"/>
    <cellStyle name="Obliczenia 2 13 20" xfId="21915" xr:uid="{00000000-0005-0000-0000-0000A2550000}"/>
    <cellStyle name="Obliczenia 2 13 20 2" xfId="21916" xr:uid="{00000000-0005-0000-0000-0000A3550000}"/>
    <cellStyle name="Obliczenia 2 13 20 3" xfId="21917" xr:uid="{00000000-0005-0000-0000-0000A4550000}"/>
    <cellStyle name="Obliczenia 2 13 20 4" xfId="21918" xr:uid="{00000000-0005-0000-0000-0000A5550000}"/>
    <cellStyle name="Obliczenia 2 13 21" xfId="21919" xr:uid="{00000000-0005-0000-0000-0000A6550000}"/>
    <cellStyle name="Obliczenia 2 13 21 2" xfId="21920" xr:uid="{00000000-0005-0000-0000-0000A7550000}"/>
    <cellStyle name="Obliczenia 2 13 21 3" xfId="21921" xr:uid="{00000000-0005-0000-0000-0000A8550000}"/>
    <cellStyle name="Obliczenia 2 13 22" xfId="21922" xr:uid="{00000000-0005-0000-0000-0000A9550000}"/>
    <cellStyle name="Obliczenia 2 13 22 2" xfId="21923" xr:uid="{00000000-0005-0000-0000-0000AA550000}"/>
    <cellStyle name="Obliczenia 2 13 22 3" xfId="21924" xr:uid="{00000000-0005-0000-0000-0000AB550000}"/>
    <cellStyle name="Obliczenia 2 13 23" xfId="21925" xr:uid="{00000000-0005-0000-0000-0000AC550000}"/>
    <cellStyle name="Obliczenia 2 13 23 2" xfId="21926" xr:uid="{00000000-0005-0000-0000-0000AD550000}"/>
    <cellStyle name="Obliczenia 2 13 23 3" xfId="21927" xr:uid="{00000000-0005-0000-0000-0000AE550000}"/>
    <cellStyle name="Obliczenia 2 13 24" xfId="21928" xr:uid="{00000000-0005-0000-0000-0000AF550000}"/>
    <cellStyle name="Obliczenia 2 13 24 2" xfId="21929" xr:uid="{00000000-0005-0000-0000-0000B0550000}"/>
    <cellStyle name="Obliczenia 2 13 24 3" xfId="21930" xr:uid="{00000000-0005-0000-0000-0000B1550000}"/>
    <cellStyle name="Obliczenia 2 13 25" xfId="21931" xr:uid="{00000000-0005-0000-0000-0000B2550000}"/>
    <cellStyle name="Obliczenia 2 13 25 2" xfId="21932" xr:uid="{00000000-0005-0000-0000-0000B3550000}"/>
    <cellStyle name="Obliczenia 2 13 25 3" xfId="21933" xr:uid="{00000000-0005-0000-0000-0000B4550000}"/>
    <cellStyle name="Obliczenia 2 13 26" xfId="21934" xr:uid="{00000000-0005-0000-0000-0000B5550000}"/>
    <cellStyle name="Obliczenia 2 13 26 2" xfId="21935" xr:uid="{00000000-0005-0000-0000-0000B6550000}"/>
    <cellStyle name="Obliczenia 2 13 26 3" xfId="21936" xr:uid="{00000000-0005-0000-0000-0000B7550000}"/>
    <cellStyle name="Obliczenia 2 13 27" xfId="21937" xr:uid="{00000000-0005-0000-0000-0000B8550000}"/>
    <cellStyle name="Obliczenia 2 13 27 2" xfId="21938" xr:uid="{00000000-0005-0000-0000-0000B9550000}"/>
    <cellStyle name="Obliczenia 2 13 27 3" xfId="21939" xr:uid="{00000000-0005-0000-0000-0000BA550000}"/>
    <cellStyle name="Obliczenia 2 13 28" xfId="21940" xr:uid="{00000000-0005-0000-0000-0000BB550000}"/>
    <cellStyle name="Obliczenia 2 13 28 2" xfId="21941" xr:uid="{00000000-0005-0000-0000-0000BC550000}"/>
    <cellStyle name="Obliczenia 2 13 28 3" xfId="21942" xr:uid="{00000000-0005-0000-0000-0000BD550000}"/>
    <cellStyle name="Obliczenia 2 13 29" xfId="21943" xr:uid="{00000000-0005-0000-0000-0000BE550000}"/>
    <cellStyle name="Obliczenia 2 13 29 2" xfId="21944" xr:uid="{00000000-0005-0000-0000-0000BF550000}"/>
    <cellStyle name="Obliczenia 2 13 29 3" xfId="21945" xr:uid="{00000000-0005-0000-0000-0000C0550000}"/>
    <cellStyle name="Obliczenia 2 13 3" xfId="21946" xr:uid="{00000000-0005-0000-0000-0000C1550000}"/>
    <cellStyle name="Obliczenia 2 13 3 2" xfId="21947" xr:uid="{00000000-0005-0000-0000-0000C2550000}"/>
    <cellStyle name="Obliczenia 2 13 3 3" xfId="21948" xr:uid="{00000000-0005-0000-0000-0000C3550000}"/>
    <cellStyle name="Obliczenia 2 13 3 4" xfId="21949" xr:uid="{00000000-0005-0000-0000-0000C4550000}"/>
    <cellStyle name="Obliczenia 2 13 30" xfId="21950" xr:uid="{00000000-0005-0000-0000-0000C5550000}"/>
    <cellStyle name="Obliczenia 2 13 30 2" xfId="21951" xr:uid="{00000000-0005-0000-0000-0000C6550000}"/>
    <cellStyle name="Obliczenia 2 13 30 3" xfId="21952" xr:uid="{00000000-0005-0000-0000-0000C7550000}"/>
    <cellStyle name="Obliczenia 2 13 31" xfId="21953" xr:uid="{00000000-0005-0000-0000-0000C8550000}"/>
    <cellStyle name="Obliczenia 2 13 31 2" xfId="21954" xr:uid="{00000000-0005-0000-0000-0000C9550000}"/>
    <cellStyle name="Obliczenia 2 13 31 3" xfId="21955" xr:uid="{00000000-0005-0000-0000-0000CA550000}"/>
    <cellStyle name="Obliczenia 2 13 32" xfId="21956" xr:uid="{00000000-0005-0000-0000-0000CB550000}"/>
    <cellStyle name="Obliczenia 2 13 32 2" xfId="21957" xr:uid="{00000000-0005-0000-0000-0000CC550000}"/>
    <cellStyle name="Obliczenia 2 13 32 3" xfId="21958" xr:uid="{00000000-0005-0000-0000-0000CD550000}"/>
    <cellStyle name="Obliczenia 2 13 33" xfId="21959" xr:uid="{00000000-0005-0000-0000-0000CE550000}"/>
    <cellStyle name="Obliczenia 2 13 33 2" xfId="21960" xr:uid="{00000000-0005-0000-0000-0000CF550000}"/>
    <cellStyle name="Obliczenia 2 13 33 3" xfId="21961" xr:uid="{00000000-0005-0000-0000-0000D0550000}"/>
    <cellStyle name="Obliczenia 2 13 34" xfId="21962" xr:uid="{00000000-0005-0000-0000-0000D1550000}"/>
    <cellStyle name="Obliczenia 2 13 34 2" xfId="21963" xr:uid="{00000000-0005-0000-0000-0000D2550000}"/>
    <cellStyle name="Obliczenia 2 13 34 3" xfId="21964" xr:uid="{00000000-0005-0000-0000-0000D3550000}"/>
    <cellStyle name="Obliczenia 2 13 35" xfId="21965" xr:uid="{00000000-0005-0000-0000-0000D4550000}"/>
    <cellStyle name="Obliczenia 2 13 35 2" xfId="21966" xr:uid="{00000000-0005-0000-0000-0000D5550000}"/>
    <cellStyle name="Obliczenia 2 13 35 3" xfId="21967" xr:uid="{00000000-0005-0000-0000-0000D6550000}"/>
    <cellStyle name="Obliczenia 2 13 36" xfId="21968" xr:uid="{00000000-0005-0000-0000-0000D7550000}"/>
    <cellStyle name="Obliczenia 2 13 36 2" xfId="21969" xr:uid="{00000000-0005-0000-0000-0000D8550000}"/>
    <cellStyle name="Obliczenia 2 13 36 3" xfId="21970" xr:uid="{00000000-0005-0000-0000-0000D9550000}"/>
    <cellStyle name="Obliczenia 2 13 37" xfId="21971" xr:uid="{00000000-0005-0000-0000-0000DA550000}"/>
    <cellStyle name="Obliczenia 2 13 37 2" xfId="21972" xr:uid="{00000000-0005-0000-0000-0000DB550000}"/>
    <cellStyle name="Obliczenia 2 13 37 3" xfId="21973" xr:uid="{00000000-0005-0000-0000-0000DC550000}"/>
    <cellStyle name="Obliczenia 2 13 38" xfId="21974" xr:uid="{00000000-0005-0000-0000-0000DD550000}"/>
    <cellStyle name="Obliczenia 2 13 38 2" xfId="21975" xr:uid="{00000000-0005-0000-0000-0000DE550000}"/>
    <cellStyle name="Obliczenia 2 13 38 3" xfId="21976" xr:uid="{00000000-0005-0000-0000-0000DF550000}"/>
    <cellStyle name="Obliczenia 2 13 39" xfId="21977" xr:uid="{00000000-0005-0000-0000-0000E0550000}"/>
    <cellStyle name="Obliczenia 2 13 39 2" xfId="21978" xr:uid="{00000000-0005-0000-0000-0000E1550000}"/>
    <cellStyle name="Obliczenia 2 13 39 3" xfId="21979" xr:uid="{00000000-0005-0000-0000-0000E2550000}"/>
    <cellStyle name="Obliczenia 2 13 4" xfId="21980" xr:uid="{00000000-0005-0000-0000-0000E3550000}"/>
    <cellStyle name="Obliczenia 2 13 4 2" xfId="21981" xr:uid="{00000000-0005-0000-0000-0000E4550000}"/>
    <cellStyle name="Obliczenia 2 13 4 3" xfId="21982" xr:uid="{00000000-0005-0000-0000-0000E5550000}"/>
    <cellStyle name="Obliczenia 2 13 4 4" xfId="21983" xr:uid="{00000000-0005-0000-0000-0000E6550000}"/>
    <cellStyle name="Obliczenia 2 13 40" xfId="21984" xr:uid="{00000000-0005-0000-0000-0000E7550000}"/>
    <cellStyle name="Obliczenia 2 13 40 2" xfId="21985" xr:uid="{00000000-0005-0000-0000-0000E8550000}"/>
    <cellStyle name="Obliczenia 2 13 40 3" xfId="21986" xr:uid="{00000000-0005-0000-0000-0000E9550000}"/>
    <cellStyle name="Obliczenia 2 13 41" xfId="21987" xr:uid="{00000000-0005-0000-0000-0000EA550000}"/>
    <cellStyle name="Obliczenia 2 13 41 2" xfId="21988" xr:uid="{00000000-0005-0000-0000-0000EB550000}"/>
    <cellStyle name="Obliczenia 2 13 41 3" xfId="21989" xr:uid="{00000000-0005-0000-0000-0000EC550000}"/>
    <cellStyle name="Obliczenia 2 13 42" xfId="21990" xr:uid="{00000000-0005-0000-0000-0000ED550000}"/>
    <cellStyle name="Obliczenia 2 13 42 2" xfId="21991" xr:uid="{00000000-0005-0000-0000-0000EE550000}"/>
    <cellStyle name="Obliczenia 2 13 42 3" xfId="21992" xr:uid="{00000000-0005-0000-0000-0000EF550000}"/>
    <cellStyle name="Obliczenia 2 13 43" xfId="21993" xr:uid="{00000000-0005-0000-0000-0000F0550000}"/>
    <cellStyle name="Obliczenia 2 13 43 2" xfId="21994" xr:uid="{00000000-0005-0000-0000-0000F1550000}"/>
    <cellStyle name="Obliczenia 2 13 43 3" xfId="21995" xr:uid="{00000000-0005-0000-0000-0000F2550000}"/>
    <cellStyle name="Obliczenia 2 13 44" xfId="21996" xr:uid="{00000000-0005-0000-0000-0000F3550000}"/>
    <cellStyle name="Obliczenia 2 13 44 2" xfId="21997" xr:uid="{00000000-0005-0000-0000-0000F4550000}"/>
    <cellStyle name="Obliczenia 2 13 44 3" xfId="21998" xr:uid="{00000000-0005-0000-0000-0000F5550000}"/>
    <cellStyle name="Obliczenia 2 13 45" xfId="21999" xr:uid="{00000000-0005-0000-0000-0000F6550000}"/>
    <cellStyle name="Obliczenia 2 13 45 2" xfId="22000" xr:uid="{00000000-0005-0000-0000-0000F7550000}"/>
    <cellStyle name="Obliczenia 2 13 45 3" xfId="22001" xr:uid="{00000000-0005-0000-0000-0000F8550000}"/>
    <cellStyle name="Obliczenia 2 13 46" xfId="22002" xr:uid="{00000000-0005-0000-0000-0000F9550000}"/>
    <cellStyle name="Obliczenia 2 13 46 2" xfId="22003" xr:uid="{00000000-0005-0000-0000-0000FA550000}"/>
    <cellStyle name="Obliczenia 2 13 46 3" xfId="22004" xr:uid="{00000000-0005-0000-0000-0000FB550000}"/>
    <cellStyle name="Obliczenia 2 13 47" xfId="22005" xr:uid="{00000000-0005-0000-0000-0000FC550000}"/>
    <cellStyle name="Obliczenia 2 13 47 2" xfId="22006" xr:uid="{00000000-0005-0000-0000-0000FD550000}"/>
    <cellStyle name="Obliczenia 2 13 47 3" xfId="22007" xr:uid="{00000000-0005-0000-0000-0000FE550000}"/>
    <cellStyle name="Obliczenia 2 13 48" xfId="22008" xr:uid="{00000000-0005-0000-0000-0000FF550000}"/>
    <cellStyle name="Obliczenia 2 13 48 2" xfId="22009" xr:uid="{00000000-0005-0000-0000-000000560000}"/>
    <cellStyle name="Obliczenia 2 13 48 3" xfId="22010" xr:uid="{00000000-0005-0000-0000-000001560000}"/>
    <cellStyle name="Obliczenia 2 13 49" xfId="22011" xr:uid="{00000000-0005-0000-0000-000002560000}"/>
    <cellStyle name="Obliczenia 2 13 49 2" xfId="22012" xr:uid="{00000000-0005-0000-0000-000003560000}"/>
    <cellStyle name="Obliczenia 2 13 49 3" xfId="22013" xr:uid="{00000000-0005-0000-0000-000004560000}"/>
    <cellStyle name="Obliczenia 2 13 5" xfId="22014" xr:uid="{00000000-0005-0000-0000-000005560000}"/>
    <cellStyle name="Obliczenia 2 13 5 2" xfId="22015" xr:uid="{00000000-0005-0000-0000-000006560000}"/>
    <cellStyle name="Obliczenia 2 13 5 3" xfId="22016" xr:uid="{00000000-0005-0000-0000-000007560000}"/>
    <cellStyle name="Obliczenia 2 13 5 4" xfId="22017" xr:uid="{00000000-0005-0000-0000-000008560000}"/>
    <cellStyle name="Obliczenia 2 13 50" xfId="22018" xr:uid="{00000000-0005-0000-0000-000009560000}"/>
    <cellStyle name="Obliczenia 2 13 50 2" xfId="22019" xr:uid="{00000000-0005-0000-0000-00000A560000}"/>
    <cellStyle name="Obliczenia 2 13 50 3" xfId="22020" xr:uid="{00000000-0005-0000-0000-00000B560000}"/>
    <cellStyle name="Obliczenia 2 13 51" xfId="22021" xr:uid="{00000000-0005-0000-0000-00000C560000}"/>
    <cellStyle name="Obliczenia 2 13 51 2" xfId="22022" xr:uid="{00000000-0005-0000-0000-00000D560000}"/>
    <cellStyle name="Obliczenia 2 13 51 3" xfId="22023" xr:uid="{00000000-0005-0000-0000-00000E560000}"/>
    <cellStyle name="Obliczenia 2 13 52" xfId="22024" xr:uid="{00000000-0005-0000-0000-00000F560000}"/>
    <cellStyle name="Obliczenia 2 13 52 2" xfId="22025" xr:uid="{00000000-0005-0000-0000-000010560000}"/>
    <cellStyle name="Obliczenia 2 13 52 3" xfId="22026" xr:uid="{00000000-0005-0000-0000-000011560000}"/>
    <cellStyle name="Obliczenia 2 13 53" xfId="22027" xr:uid="{00000000-0005-0000-0000-000012560000}"/>
    <cellStyle name="Obliczenia 2 13 53 2" xfId="22028" xr:uid="{00000000-0005-0000-0000-000013560000}"/>
    <cellStyle name="Obliczenia 2 13 53 3" xfId="22029" xr:uid="{00000000-0005-0000-0000-000014560000}"/>
    <cellStyle name="Obliczenia 2 13 54" xfId="22030" xr:uid="{00000000-0005-0000-0000-000015560000}"/>
    <cellStyle name="Obliczenia 2 13 54 2" xfId="22031" xr:uid="{00000000-0005-0000-0000-000016560000}"/>
    <cellStyle name="Obliczenia 2 13 54 3" xfId="22032" xr:uid="{00000000-0005-0000-0000-000017560000}"/>
    <cellStyle name="Obliczenia 2 13 55" xfId="22033" xr:uid="{00000000-0005-0000-0000-000018560000}"/>
    <cellStyle name="Obliczenia 2 13 55 2" xfId="22034" xr:uid="{00000000-0005-0000-0000-000019560000}"/>
    <cellStyle name="Obliczenia 2 13 55 3" xfId="22035" xr:uid="{00000000-0005-0000-0000-00001A560000}"/>
    <cellStyle name="Obliczenia 2 13 56" xfId="22036" xr:uid="{00000000-0005-0000-0000-00001B560000}"/>
    <cellStyle name="Obliczenia 2 13 56 2" xfId="22037" xr:uid="{00000000-0005-0000-0000-00001C560000}"/>
    <cellStyle name="Obliczenia 2 13 56 3" xfId="22038" xr:uid="{00000000-0005-0000-0000-00001D560000}"/>
    <cellStyle name="Obliczenia 2 13 57" xfId="22039" xr:uid="{00000000-0005-0000-0000-00001E560000}"/>
    <cellStyle name="Obliczenia 2 13 58" xfId="22040" xr:uid="{00000000-0005-0000-0000-00001F560000}"/>
    <cellStyle name="Obliczenia 2 13 6" xfId="22041" xr:uid="{00000000-0005-0000-0000-000020560000}"/>
    <cellStyle name="Obliczenia 2 13 6 2" xfId="22042" xr:uid="{00000000-0005-0000-0000-000021560000}"/>
    <cellStyle name="Obliczenia 2 13 6 3" xfId="22043" xr:uid="{00000000-0005-0000-0000-000022560000}"/>
    <cellStyle name="Obliczenia 2 13 6 4" xfId="22044" xr:uid="{00000000-0005-0000-0000-000023560000}"/>
    <cellStyle name="Obliczenia 2 13 7" xfId="22045" xr:uid="{00000000-0005-0000-0000-000024560000}"/>
    <cellStyle name="Obliczenia 2 13 7 2" xfId="22046" xr:uid="{00000000-0005-0000-0000-000025560000}"/>
    <cellStyle name="Obliczenia 2 13 7 3" xfId="22047" xr:uid="{00000000-0005-0000-0000-000026560000}"/>
    <cellStyle name="Obliczenia 2 13 7 4" xfId="22048" xr:uid="{00000000-0005-0000-0000-000027560000}"/>
    <cellStyle name="Obliczenia 2 13 8" xfId="22049" xr:uid="{00000000-0005-0000-0000-000028560000}"/>
    <cellStyle name="Obliczenia 2 13 8 2" xfId="22050" xr:uid="{00000000-0005-0000-0000-000029560000}"/>
    <cellStyle name="Obliczenia 2 13 8 3" xfId="22051" xr:uid="{00000000-0005-0000-0000-00002A560000}"/>
    <cellStyle name="Obliczenia 2 13 8 4" xfId="22052" xr:uid="{00000000-0005-0000-0000-00002B560000}"/>
    <cellStyle name="Obliczenia 2 13 9" xfId="22053" xr:uid="{00000000-0005-0000-0000-00002C560000}"/>
    <cellStyle name="Obliczenia 2 13 9 2" xfId="22054" xr:uid="{00000000-0005-0000-0000-00002D560000}"/>
    <cellStyle name="Obliczenia 2 13 9 3" xfId="22055" xr:uid="{00000000-0005-0000-0000-00002E560000}"/>
    <cellStyle name="Obliczenia 2 13 9 4" xfId="22056" xr:uid="{00000000-0005-0000-0000-00002F560000}"/>
    <cellStyle name="Obliczenia 2 14" xfId="22057" xr:uid="{00000000-0005-0000-0000-000030560000}"/>
    <cellStyle name="Obliczenia 2 14 10" xfId="22058" xr:uid="{00000000-0005-0000-0000-000031560000}"/>
    <cellStyle name="Obliczenia 2 14 10 2" xfId="22059" xr:uid="{00000000-0005-0000-0000-000032560000}"/>
    <cellStyle name="Obliczenia 2 14 10 3" xfId="22060" xr:uid="{00000000-0005-0000-0000-000033560000}"/>
    <cellStyle name="Obliczenia 2 14 10 4" xfId="22061" xr:uid="{00000000-0005-0000-0000-000034560000}"/>
    <cellStyle name="Obliczenia 2 14 11" xfId="22062" xr:uid="{00000000-0005-0000-0000-000035560000}"/>
    <cellStyle name="Obliczenia 2 14 11 2" xfId="22063" xr:uid="{00000000-0005-0000-0000-000036560000}"/>
    <cellStyle name="Obliczenia 2 14 11 3" xfId="22064" xr:uid="{00000000-0005-0000-0000-000037560000}"/>
    <cellStyle name="Obliczenia 2 14 11 4" xfId="22065" xr:uid="{00000000-0005-0000-0000-000038560000}"/>
    <cellStyle name="Obliczenia 2 14 12" xfId="22066" xr:uid="{00000000-0005-0000-0000-000039560000}"/>
    <cellStyle name="Obliczenia 2 14 12 2" xfId="22067" xr:uid="{00000000-0005-0000-0000-00003A560000}"/>
    <cellStyle name="Obliczenia 2 14 12 3" xfId="22068" xr:uid="{00000000-0005-0000-0000-00003B560000}"/>
    <cellStyle name="Obliczenia 2 14 12 4" xfId="22069" xr:uid="{00000000-0005-0000-0000-00003C560000}"/>
    <cellStyle name="Obliczenia 2 14 13" xfId="22070" xr:uid="{00000000-0005-0000-0000-00003D560000}"/>
    <cellStyle name="Obliczenia 2 14 13 2" xfId="22071" xr:uid="{00000000-0005-0000-0000-00003E560000}"/>
    <cellStyle name="Obliczenia 2 14 13 3" xfId="22072" xr:uid="{00000000-0005-0000-0000-00003F560000}"/>
    <cellStyle name="Obliczenia 2 14 13 4" xfId="22073" xr:uid="{00000000-0005-0000-0000-000040560000}"/>
    <cellStyle name="Obliczenia 2 14 14" xfId="22074" xr:uid="{00000000-0005-0000-0000-000041560000}"/>
    <cellStyle name="Obliczenia 2 14 14 2" xfId="22075" xr:uid="{00000000-0005-0000-0000-000042560000}"/>
    <cellStyle name="Obliczenia 2 14 14 3" xfId="22076" xr:uid="{00000000-0005-0000-0000-000043560000}"/>
    <cellStyle name="Obliczenia 2 14 14 4" xfId="22077" xr:uid="{00000000-0005-0000-0000-000044560000}"/>
    <cellStyle name="Obliczenia 2 14 15" xfId="22078" xr:uid="{00000000-0005-0000-0000-000045560000}"/>
    <cellStyle name="Obliczenia 2 14 15 2" xfId="22079" xr:uid="{00000000-0005-0000-0000-000046560000}"/>
    <cellStyle name="Obliczenia 2 14 15 3" xfId="22080" xr:uid="{00000000-0005-0000-0000-000047560000}"/>
    <cellStyle name="Obliczenia 2 14 15 4" xfId="22081" xr:uid="{00000000-0005-0000-0000-000048560000}"/>
    <cellStyle name="Obliczenia 2 14 16" xfId="22082" xr:uid="{00000000-0005-0000-0000-000049560000}"/>
    <cellStyle name="Obliczenia 2 14 16 2" xfId="22083" xr:uid="{00000000-0005-0000-0000-00004A560000}"/>
    <cellStyle name="Obliczenia 2 14 16 3" xfId="22084" xr:uid="{00000000-0005-0000-0000-00004B560000}"/>
    <cellStyle name="Obliczenia 2 14 16 4" xfId="22085" xr:uid="{00000000-0005-0000-0000-00004C560000}"/>
    <cellStyle name="Obliczenia 2 14 17" xfId="22086" xr:uid="{00000000-0005-0000-0000-00004D560000}"/>
    <cellStyle name="Obliczenia 2 14 17 2" xfId="22087" xr:uid="{00000000-0005-0000-0000-00004E560000}"/>
    <cellStyle name="Obliczenia 2 14 17 3" xfId="22088" xr:uid="{00000000-0005-0000-0000-00004F560000}"/>
    <cellStyle name="Obliczenia 2 14 17 4" xfId="22089" xr:uid="{00000000-0005-0000-0000-000050560000}"/>
    <cellStyle name="Obliczenia 2 14 18" xfId="22090" xr:uid="{00000000-0005-0000-0000-000051560000}"/>
    <cellStyle name="Obliczenia 2 14 18 2" xfId="22091" xr:uid="{00000000-0005-0000-0000-000052560000}"/>
    <cellStyle name="Obliczenia 2 14 18 3" xfId="22092" xr:uid="{00000000-0005-0000-0000-000053560000}"/>
    <cellStyle name="Obliczenia 2 14 18 4" xfId="22093" xr:uid="{00000000-0005-0000-0000-000054560000}"/>
    <cellStyle name="Obliczenia 2 14 19" xfId="22094" xr:uid="{00000000-0005-0000-0000-000055560000}"/>
    <cellStyle name="Obliczenia 2 14 19 2" xfId="22095" xr:uid="{00000000-0005-0000-0000-000056560000}"/>
    <cellStyle name="Obliczenia 2 14 19 3" xfId="22096" xr:uid="{00000000-0005-0000-0000-000057560000}"/>
    <cellStyle name="Obliczenia 2 14 19 4" xfId="22097" xr:uid="{00000000-0005-0000-0000-000058560000}"/>
    <cellStyle name="Obliczenia 2 14 2" xfId="22098" xr:uid="{00000000-0005-0000-0000-000059560000}"/>
    <cellStyle name="Obliczenia 2 14 2 2" xfId="22099" xr:uid="{00000000-0005-0000-0000-00005A560000}"/>
    <cellStyle name="Obliczenia 2 14 2 3" xfId="22100" xr:uid="{00000000-0005-0000-0000-00005B560000}"/>
    <cellStyle name="Obliczenia 2 14 2 4" xfId="22101" xr:uid="{00000000-0005-0000-0000-00005C560000}"/>
    <cellStyle name="Obliczenia 2 14 20" xfId="22102" xr:uid="{00000000-0005-0000-0000-00005D560000}"/>
    <cellStyle name="Obliczenia 2 14 20 2" xfId="22103" xr:uid="{00000000-0005-0000-0000-00005E560000}"/>
    <cellStyle name="Obliczenia 2 14 20 3" xfId="22104" xr:uid="{00000000-0005-0000-0000-00005F560000}"/>
    <cellStyle name="Obliczenia 2 14 20 4" xfId="22105" xr:uid="{00000000-0005-0000-0000-000060560000}"/>
    <cellStyle name="Obliczenia 2 14 21" xfId="22106" xr:uid="{00000000-0005-0000-0000-000061560000}"/>
    <cellStyle name="Obliczenia 2 14 21 2" xfId="22107" xr:uid="{00000000-0005-0000-0000-000062560000}"/>
    <cellStyle name="Obliczenia 2 14 21 3" xfId="22108" xr:uid="{00000000-0005-0000-0000-000063560000}"/>
    <cellStyle name="Obliczenia 2 14 22" xfId="22109" xr:uid="{00000000-0005-0000-0000-000064560000}"/>
    <cellStyle name="Obliczenia 2 14 22 2" xfId="22110" xr:uid="{00000000-0005-0000-0000-000065560000}"/>
    <cellStyle name="Obliczenia 2 14 22 3" xfId="22111" xr:uid="{00000000-0005-0000-0000-000066560000}"/>
    <cellStyle name="Obliczenia 2 14 23" xfId="22112" xr:uid="{00000000-0005-0000-0000-000067560000}"/>
    <cellStyle name="Obliczenia 2 14 23 2" xfId="22113" xr:uid="{00000000-0005-0000-0000-000068560000}"/>
    <cellStyle name="Obliczenia 2 14 23 3" xfId="22114" xr:uid="{00000000-0005-0000-0000-000069560000}"/>
    <cellStyle name="Obliczenia 2 14 24" xfId="22115" xr:uid="{00000000-0005-0000-0000-00006A560000}"/>
    <cellStyle name="Obliczenia 2 14 24 2" xfId="22116" xr:uid="{00000000-0005-0000-0000-00006B560000}"/>
    <cellStyle name="Obliczenia 2 14 24 3" xfId="22117" xr:uid="{00000000-0005-0000-0000-00006C560000}"/>
    <cellStyle name="Obliczenia 2 14 25" xfId="22118" xr:uid="{00000000-0005-0000-0000-00006D560000}"/>
    <cellStyle name="Obliczenia 2 14 25 2" xfId="22119" xr:uid="{00000000-0005-0000-0000-00006E560000}"/>
    <cellStyle name="Obliczenia 2 14 25 3" xfId="22120" xr:uid="{00000000-0005-0000-0000-00006F560000}"/>
    <cellStyle name="Obliczenia 2 14 26" xfId="22121" xr:uid="{00000000-0005-0000-0000-000070560000}"/>
    <cellStyle name="Obliczenia 2 14 26 2" xfId="22122" xr:uid="{00000000-0005-0000-0000-000071560000}"/>
    <cellStyle name="Obliczenia 2 14 26 3" xfId="22123" xr:uid="{00000000-0005-0000-0000-000072560000}"/>
    <cellStyle name="Obliczenia 2 14 27" xfId="22124" xr:uid="{00000000-0005-0000-0000-000073560000}"/>
    <cellStyle name="Obliczenia 2 14 27 2" xfId="22125" xr:uid="{00000000-0005-0000-0000-000074560000}"/>
    <cellStyle name="Obliczenia 2 14 27 3" xfId="22126" xr:uid="{00000000-0005-0000-0000-000075560000}"/>
    <cellStyle name="Obliczenia 2 14 28" xfId="22127" xr:uid="{00000000-0005-0000-0000-000076560000}"/>
    <cellStyle name="Obliczenia 2 14 28 2" xfId="22128" xr:uid="{00000000-0005-0000-0000-000077560000}"/>
    <cellStyle name="Obliczenia 2 14 28 3" xfId="22129" xr:uid="{00000000-0005-0000-0000-000078560000}"/>
    <cellStyle name="Obliczenia 2 14 29" xfId="22130" xr:uid="{00000000-0005-0000-0000-000079560000}"/>
    <cellStyle name="Obliczenia 2 14 29 2" xfId="22131" xr:uid="{00000000-0005-0000-0000-00007A560000}"/>
    <cellStyle name="Obliczenia 2 14 29 3" xfId="22132" xr:uid="{00000000-0005-0000-0000-00007B560000}"/>
    <cellStyle name="Obliczenia 2 14 3" xfId="22133" xr:uid="{00000000-0005-0000-0000-00007C560000}"/>
    <cellStyle name="Obliczenia 2 14 3 2" xfId="22134" xr:uid="{00000000-0005-0000-0000-00007D560000}"/>
    <cellStyle name="Obliczenia 2 14 3 3" xfId="22135" xr:uid="{00000000-0005-0000-0000-00007E560000}"/>
    <cellStyle name="Obliczenia 2 14 3 4" xfId="22136" xr:uid="{00000000-0005-0000-0000-00007F560000}"/>
    <cellStyle name="Obliczenia 2 14 30" xfId="22137" xr:uid="{00000000-0005-0000-0000-000080560000}"/>
    <cellStyle name="Obliczenia 2 14 30 2" xfId="22138" xr:uid="{00000000-0005-0000-0000-000081560000}"/>
    <cellStyle name="Obliczenia 2 14 30 3" xfId="22139" xr:uid="{00000000-0005-0000-0000-000082560000}"/>
    <cellStyle name="Obliczenia 2 14 31" xfId="22140" xr:uid="{00000000-0005-0000-0000-000083560000}"/>
    <cellStyle name="Obliczenia 2 14 31 2" xfId="22141" xr:uid="{00000000-0005-0000-0000-000084560000}"/>
    <cellStyle name="Obliczenia 2 14 31 3" xfId="22142" xr:uid="{00000000-0005-0000-0000-000085560000}"/>
    <cellStyle name="Obliczenia 2 14 32" xfId="22143" xr:uid="{00000000-0005-0000-0000-000086560000}"/>
    <cellStyle name="Obliczenia 2 14 32 2" xfId="22144" xr:uid="{00000000-0005-0000-0000-000087560000}"/>
    <cellStyle name="Obliczenia 2 14 32 3" xfId="22145" xr:uid="{00000000-0005-0000-0000-000088560000}"/>
    <cellStyle name="Obliczenia 2 14 33" xfId="22146" xr:uid="{00000000-0005-0000-0000-000089560000}"/>
    <cellStyle name="Obliczenia 2 14 33 2" xfId="22147" xr:uid="{00000000-0005-0000-0000-00008A560000}"/>
    <cellStyle name="Obliczenia 2 14 33 3" xfId="22148" xr:uid="{00000000-0005-0000-0000-00008B560000}"/>
    <cellStyle name="Obliczenia 2 14 34" xfId="22149" xr:uid="{00000000-0005-0000-0000-00008C560000}"/>
    <cellStyle name="Obliczenia 2 14 34 2" xfId="22150" xr:uid="{00000000-0005-0000-0000-00008D560000}"/>
    <cellStyle name="Obliczenia 2 14 34 3" xfId="22151" xr:uid="{00000000-0005-0000-0000-00008E560000}"/>
    <cellStyle name="Obliczenia 2 14 35" xfId="22152" xr:uid="{00000000-0005-0000-0000-00008F560000}"/>
    <cellStyle name="Obliczenia 2 14 35 2" xfId="22153" xr:uid="{00000000-0005-0000-0000-000090560000}"/>
    <cellStyle name="Obliczenia 2 14 35 3" xfId="22154" xr:uid="{00000000-0005-0000-0000-000091560000}"/>
    <cellStyle name="Obliczenia 2 14 36" xfId="22155" xr:uid="{00000000-0005-0000-0000-000092560000}"/>
    <cellStyle name="Obliczenia 2 14 36 2" xfId="22156" xr:uid="{00000000-0005-0000-0000-000093560000}"/>
    <cellStyle name="Obliczenia 2 14 36 3" xfId="22157" xr:uid="{00000000-0005-0000-0000-000094560000}"/>
    <cellStyle name="Obliczenia 2 14 37" xfId="22158" xr:uid="{00000000-0005-0000-0000-000095560000}"/>
    <cellStyle name="Obliczenia 2 14 37 2" xfId="22159" xr:uid="{00000000-0005-0000-0000-000096560000}"/>
    <cellStyle name="Obliczenia 2 14 37 3" xfId="22160" xr:uid="{00000000-0005-0000-0000-000097560000}"/>
    <cellStyle name="Obliczenia 2 14 38" xfId="22161" xr:uid="{00000000-0005-0000-0000-000098560000}"/>
    <cellStyle name="Obliczenia 2 14 38 2" xfId="22162" xr:uid="{00000000-0005-0000-0000-000099560000}"/>
    <cellStyle name="Obliczenia 2 14 38 3" xfId="22163" xr:uid="{00000000-0005-0000-0000-00009A560000}"/>
    <cellStyle name="Obliczenia 2 14 39" xfId="22164" xr:uid="{00000000-0005-0000-0000-00009B560000}"/>
    <cellStyle name="Obliczenia 2 14 39 2" xfId="22165" xr:uid="{00000000-0005-0000-0000-00009C560000}"/>
    <cellStyle name="Obliczenia 2 14 39 3" xfId="22166" xr:uid="{00000000-0005-0000-0000-00009D560000}"/>
    <cellStyle name="Obliczenia 2 14 4" xfId="22167" xr:uid="{00000000-0005-0000-0000-00009E560000}"/>
    <cellStyle name="Obliczenia 2 14 4 2" xfId="22168" xr:uid="{00000000-0005-0000-0000-00009F560000}"/>
    <cellStyle name="Obliczenia 2 14 4 3" xfId="22169" xr:uid="{00000000-0005-0000-0000-0000A0560000}"/>
    <cellStyle name="Obliczenia 2 14 4 4" xfId="22170" xr:uid="{00000000-0005-0000-0000-0000A1560000}"/>
    <cellStyle name="Obliczenia 2 14 40" xfId="22171" xr:uid="{00000000-0005-0000-0000-0000A2560000}"/>
    <cellStyle name="Obliczenia 2 14 40 2" xfId="22172" xr:uid="{00000000-0005-0000-0000-0000A3560000}"/>
    <cellStyle name="Obliczenia 2 14 40 3" xfId="22173" xr:uid="{00000000-0005-0000-0000-0000A4560000}"/>
    <cellStyle name="Obliczenia 2 14 41" xfId="22174" xr:uid="{00000000-0005-0000-0000-0000A5560000}"/>
    <cellStyle name="Obliczenia 2 14 41 2" xfId="22175" xr:uid="{00000000-0005-0000-0000-0000A6560000}"/>
    <cellStyle name="Obliczenia 2 14 41 3" xfId="22176" xr:uid="{00000000-0005-0000-0000-0000A7560000}"/>
    <cellStyle name="Obliczenia 2 14 42" xfId="22177" xr:uid="{00000000-0005-0000-0000-0000A8560000}"/>
    <cellStyle name="Obliczenia 2 14 42 2" xfId="22178" xr:uid="{00000000-0005-0000-0000-0000A9560000}"/>
    <cellStyle name="Obliczenia 2 14 42 3" xfId="22179" xr:uid="{00000000-0005-0000-0000-0000AA560000}"/>
    <cellStyle name="Obliczenia 2 14 43" xfId="22180" xr:uid="{00000000-0005-0000-0000-0000AB560000}"/>
    <cellStyle name="Obliczenia 2 14 43 2" xfId="22181" xr:uid="{00000000-0005-0000-0000-0000AC560000}"/>
    <cellStyle name="Obliczenia 2 14 43 3" xfId="22182" xr:uid="{00000000-0005-0000-0000-0000AD560000}"/>
    <cellStyle name="Obliczenia 2 14 44" xfId="22183" xr:uid="{00000000-0005-0000-0000-0000AE560000}"/>
    <cellStyle name="Obliczenia 2 14 44 2" xfId="22184" xr:uid="{00000000-0005-0000-0000-0000AF560000}"/>
    <cellStyle name="Obliczenia 2 14 44 3" xfId="22185" xr:uid="{00000000-0005-0000-0000-0000B0560000}"/>
    <cellStyle name="Obliczenia 2 14 45" xfId="22186" xr:uid="{00000000-0005-0000-0000-0000B1560000}"/>
    <cellStyle name="Obliczenia 2 14 45 2" xfId="22187" xr:uid="{00000000-0005-0000-0000-0000B2560000}"/>
    <cellStyle name="Obliczenia 2 14 45 3" xfId="22188" xr:uid="{00000000-0005-0000-0000-0000B3560000}"/>
    <cellStyle name="Obliczenia 2 14 46" xfId="22189" xr:uid="{00000000-0005-0000-0000-0000B4560000}"/>
    <cellStyle name="Obliczenia 2 14 46 2" xfId="22190" xr:uid="{00000000-0005-0000-0000-0000B5560000}"/>
    <cellStyle name="Obliczenia 2 14 46 3" xfId="22191" xr:uid="{00000000-0005-0000-0000-0000B6560000}"/>
    <cellStyle name="Obliczenia 2 14 47" xfId="22192" xr:uid="{00000000-0005-0000-0000-0000B7560000}"/>
    <cellStyle name="Obliczenia 2 14 47 2" xfId="22193" xr:uid="{00000000-0005-0000-0000-0000B8560000}"/>
    <cellStyle name="Obliczenia 2 14 47 3" xfId="22194" xr:uid="{00000000-0005-0000-0000-0000B9560000}"/>
    <cellStyle name="Obliczenia 2 14 48" xfId="22195" xr:uid="{00000000-0005-0000-0000-0000BA560000}"/>
    <cellStyle name="Obliczenia 2 14 48 2" xfId="22196" xr:uid="{00000000-0005-0000-0000-0000BB560000}"/>
    <cellStyle name="Obliczenia 2 14 48 3" xfId="22197" xr:uid="{00000000-0005-0000-0000-0000BC560000}"/>
    <cellStyle name="Obliczenia 2 14 49" xfId="22198" xr:uid="{00000000-0005-0000-0000-0000BD560000}"/>
    <cellStyle name="Obliczenia 2 14 49 2" xfId="22199" xr:uid="{00000000-0005-0000-0000-0000BE560000}"/>
    <cellStyle name="Obliczenia 2 14 49 3" xfId="22200" xr:uid="{00000000-0005-0000-0000-0000BF560000}"/>
    <cellStyle name="Obliczenia 2 14 5" xfId="22201" xr:uid="{00000000-0005-0000-0000-0000C0560000}"/>
    <cellStyle name="Obliczenia 2 14 5 2" xfId="22202" xr:uid="{00000000-0005-0000-0000-0000C1560000}"/>
    <cellStyle name="Obliczenia 2 14 5 3" xfId="22203" xr:uid="{00000000-0005-0000-0000-0000C2560000}"/>
    <cellStyle name="Obliczenia 2 14 5 4" xfId="22204" xr:uid="{00000000-0005-0000-0000-0000C3560000}"/>
    <cellStyle name="Obliczenia 2 14 50" xfId="22205" xr:uid="{00000000-0005-0000-0000-0000C4560000}"/>
    <cellStyle name="Obliczenia 2 14 50 2" xfId="22206" xr:uid="{00000000-0005-0000-0000-0000C5560000}"/>
    <cellStyle name="Obliczenia 2 14 50 3" xfId="22207" xr:uid="{00000000-0005-0000-0000-0000C6560000}"/>
    <cellStyle name="Obliczenia 2 14 51" xfId="22208" xr:uid="{00000000-0005-0000-0000-0000C7560000}"/>
    <cellStyle name="Obliczenia 2 14 51 2" xfId="22209" xr:uid="{00000000-0005-0000-0000-0000C8560000}"/>
    <cellStyle name="Obliczenia 2 14 51 3" xfId="22210" xr:uid="{00000000-0005-0000-0000-0000C9560000}"/>
    <cellStyle name="Obliczenia 2 14 52" xfId="22211" xr:uid="{00000000-0005-0000-0000-0000CA560000}"/>
    <cellStyle name="Obliczenia 2 14 52 2" xfId="22212" xr:uid="{00000000-0005-0000-0000-0000CB560000}"/>
    <cellStyle name="Obliczenia 2 14 52 3" xfId="22213" xr:uid="{00000000-0005-0000-0000-0000CC560000}"/>
    <cellStyle name="Obliczenia 2 14 53" xfId="22214" xr:uid="{00000000-0005-0000-0000-0000CD560000}"/>
    <cellStyle name="Obliczenia 2 14 53 2" xfId="22215" xr:uid="{00000000-0005-0000-0000-0000CE560000}"/>
    <cellStyle name="Obliczenia 2 14 53 3" xfId="22216" xr:uid="{00000000-0005-0000-0000-0000CF560000}"/>
    <cellStyle name="Obliczenia 2 14 54" xfId="22217" xr:uid="{00000000-0005-0000-0000-0000D0560000}"/>
    <cellStyle name="Obliczenia 2 14 54 2" xfId="22218" xr:uid="{00000000-0005-0000-0000-0000D1560000}"/>
    <cellStyle name="Obliczenia 2 14 54 3" xfId="22219" xr:uid="{00000000-0005-0000-0000-0000D2560000}"/>
    <cellStyle name="Obliczenia 2 14 55" xfId="22220" xr:uid="{00000000-0005-0000-0000-0000D3560000}"/>
    <cellStyle name="Obliczenia 2 14 55 2" xfId="22221" xr:uid="{00000000-0005-0000-0000-0000D4560000}"/>
    <cellStyle name="Obliczenia 2 14 55 3" xfId="22222" xr:uid="{00000000-0005-0000-0000-0000D5560000}"/>
    <cellStyle name="Obliczenia 2 14 56" xfId="22223" xr:uid="{00000000-0005-0000-0000-0000D6560000}"/>
    <cellStyle name="Obliczenia 2 14 56 2" xfId="22224" xr:uid="{00000000-0005-0000-0000-0000D7560000}"/>
    <cellStyle name="Obliczenia 2 14 56 3" xfId="22225" xr:uid="{00000000-0005-0000-0000-0000D8560000}"/>
    <cellStyle name="Obliczenia 2 14 57" xfId="22226" xr:uid="{00000000-0005-0000-0000-0000D9560000}"/>
    <cellStyle name="Obliczenia 2 14 58" xfId="22227" xr:uid="{00000000-0005-0000-0000-0000DA560000}"/>
    <cellStyle name="Obliczenia 2 14 6" xfId="22228" xr:uid="{00000000-0005-0000-0000-0000DB560000}"/>
    <cellStyle name="Obliczenia 2 14 6 2" xfId="22229" xr:uid="{00000000-0005-0000-0000-0000DC560000}"/>
    <cellStyle name="Obliczenia 2 14 6 3" xfId="22230" xr:uid="{00000000-0005-0000-0000-0000DD560000}"/>
    <cellStyle name="Obliczenia 2 14 6 4" xfId="22231" xr:uid="{00000000-0005-0000-0000-0000DE560000}"/>
    <cellStyle name="Obliczenia 2 14 7" xfId="22232" xr:uid="{00000000-0005-0000-0000-0000DF560000}"/>
    <cellStyle name="Obliczenia 2 14 7 2" xfId="22233" xr:uid="{00000000-0005-0000-0000-0000E0560000}"/>
    <cellStyle name="Obliczenia 2 14 7 3" xfId="22234" xr:uid="{00000000-0005-0000-0000-0000E1560000}"/>
    <cellStyle name="Obliczenia 2 14 7 4" xfId="22235" xr:uid="{00000000-0005-0000-0000-0000E2560000}"/>
    <cellStyle name="Obliczenia 2 14 8" xfId="22236" xr:uid="{00000000-0005-0000-0000-0000E3560000}"/>
    <cellStyle name="Obliczenia 2 14 8 2" xfId="22237" xr:uid="{00000000-0005-0000-0000-0000E4560000}"/>
    <cellStyle name="Obliczenia 2 14 8 3" xfId="22238" xr:uid="{00000000-0005-0000-0000-0000E5560000}"/>
    <cellStyle name="Obliczenia 2 14 8 4" xfId="22239" xr:uid="{00000000-0005-0000-0000-0000E6560000}"/>
    <cellStyle name="Obliczenia 2 14 9" xfId="22240" xr:uid="{00000000-0005-0000-0000-0000E7560000}"/>
    <cellStyle name="Obliczenia 2 14 9 2" xfId="22241" xr:uid="{00000000-0005-0000-0000-0000E8560000}"/>
    <cellStyle name="Obliczenia 2 14 9 3" xfId="22242" xr:uid="{00000000-0005-0000-0000-0000E9560000}"/>
    <cellStyle name="Obliczenia 2 14 9 4" xfId="22243" xr:uid="{00000000-0005-0000-0000-0000EA560000}"/>
    <cellStyle name="Obliczenia 2 15" xfId="22244" xr:uid="{00000000-0005-0000-0000-0000EB560000}"/>
    <cellStyle name="Obliczenia 2 15 10" xfId="22245" xr:uid="{00000000-0005-0000-0000-0000EC560000}"/>
    <cellStyle name="Obliczenia 2 15 10 2" xfId="22246" xr:uid="{00000000-0005-0000-0000-0000ED560000}"/>
    <cellStyle name="Obliczenia 2 15 10 3" xfId="22247" xr:uid="{00000000-0005-0000-0000-0000EE560000}"/>
    <cellStyle name="Obliczenia 2 15 10 4" xfId="22248" xr:uid="{00000000-0005-0000-0000-0000EF560000}"/>
    <cellStyle name="Obliczenia 2 15 11" xfId="22249" xr:uid="{00000000-0005-0000-0000-0000F0560000}"/>
    <cellStyle name="Obliczenia 2 15 11 2" xfId="22250" xr:uid="{00000000-0005-0000-0000-0000F1560000}"/>
    <cellStyle name="Obliczenia 2 15 11 3" xfId="22251" xr:uid="{00000000-0005-0000-0000-0000F2560000}"/>
    <cellStyle name="Obliczenia 2 15 11 4" xfId="22252" xr:uid="{00000000-0005-0000-0000-0000F3560000}"/>
    <cellStyle name="Obliczenia 2 15 12" xfId="22253" xr:uid="{00000000-0005-0000-0000-0000F4560000}"/>
    <cellStyle name="Obliczenia 2 15 12 2" xfId="22254" xr:uid="{00000000-0005-0000-0000-0000F5560000}"/>
    <cellStyle name="Obliczenia 2 15 12 3" xfId="22255" xr:uid="{00000000-0005-0000-0000-0000F6560000}"/>
    <cellStyle name="Obliczenia 2 15 12 4" xfId="22256" xr:uid="{00000000-0005-0000-0000-0000F7560000}"/>
    <cellStyle name="Obliczenia 2 15 13" xfId="22257" xr:uid="{00000000-0005-0000-0000-0000F8560000}"/>
    <cellStyle name="Obliczenia 2 15 13 2" xfId="22258" xr:uid="{00000000-0005-0000-0000-0000F9560000}"/>
    <cellStyle name="Obliczenia 2 15 13 3" xfId="22259" xr:uid="{00000000-0005-0000-0000-0000FA560000}"/>
    <cellStyle name="Obliczenia 2 15 13 4" xfId="22260" xr:uid="{00000000-0005-0000-0000-0000FB560000}"/>
    <cellStyle name="Obliczenia 2 15 14" xfId="22261" xr:uid="{00000000-0005-0000-0000-0000FC560000}"/>
    <cellStyle name="Obliczenia 2 15 14 2" xfId="22262" xr:uid="{00000000-0005-0000-0000-0000FD560000}"/>
    <cellStyle name="Obliczenia 2 15 14 3" xfId="22263" xr:uid="{00000000-0005-0000-0000-0000FE560000}"/>
    <cellStyle name="Obliczenia 2 15 14 4" xfId="22264" xr:uid="{00000000-0005-0000-0000-0000FF560000}"/>
    <cellStyle name="Obliczenia 2 15 15" xfId="22265" xr:uid="{00000000-0005-0000-0000-000000570000}"/>
    <cellStyle name="Obliczenia 2 15 15 2" xfId="22266" xr:uid="{00000000-0005-0000-0000-000001570000}"/>
    <cellStyle name="Obliczenia 2 15 15 3" xfId="22267" xr:uid="{00000000-0005-0000-0000-000002570000}"/>
    <cellStyle name="Obliczenia 2 15 15 4" xfId="22268" xr:uid="{00000000-0005-0000-0000-000003570000}"/>
    <cellStyle name="Obliczenia 2 15 16" xfId="22269" xr:uid="{00000000-0005-0000-0000-000004570000}"/>
    <cellStyle name="Obliczenia 2 15 16 2" xfId="22270" xr:uid="{00000000-0005-0000-0000-000005570000}"/>
    <cellStyle name="Obliczenia 2 15 16 3" xfId="22271" xr:uid="{00000000-0005-0000-0000-000006570000}"/>
    <cellStyle name="Obliczenia 2 15 16 4" xfId="22272" xr:uid="{00000000-0005-0000-0000-000007570000}"/>
    <cellStyle name="Obliczenia 2 15 17" xfId="22273" xr:uid="{00000000-0005-0000-0000-000008570000}"/>
    <cellStyle name="Obliczenia 2 15 17 2" xfId="22274" xr:uid="{00000000-0005-0000-0000-000009570000}"/>
    <cellStyle name="Obliczenia 2 15 17 3" xfId="22275" xr:uid="{00000000-0005-0000-0000-00000A570000}"/>
    <cellStyle name="Obliczenia 2 15 17 4" xfId="22276" xr:uid="{00000000-0005-0000-0000-00000B570000}"/>
    <cellStyle name="Obliczenia 2 15 18" xfId="22277" xr:uid="{00000000-0005-0000-0000-00000C570000}"/>
    <cellStyle name="Obliczenia 2 15 18 2" xfId="22278" xr:uid="{00000000-0005-0000-0000-00000D570000}"/>
    <cellStyle name="Obliczenia 2 15 18 3" xfId="22279" xr:uid="{00000000-0005-0000-0000-00000E570000}"/>
    <cellStyle name="Obliczenia 2 15 18 4" xfId="22280" xr:uid="{00000000-0005-0000-0000-00000F570000}"/>
    <cellStyle name="Obliczenia 2 15 19" xfId="22281" xr:uid="{00000000-0005-0000-0000-000010570000}"/>
    <cellStyle name="Obliczenia 2 15 19 2" xfId="22282" xr:uid="{00000000-0005-0000-0000-000011570000}"/>
    <cellStyle name="Obliczenia 2 15 19 3" xfId="22283" xr:uid="{00000000-0005-0000-0000-000012570000}"/>
    <cellStyle name="Obliczenia 2 15 19 4" xfId="22284" xr:uid="{00000000-0005-0000-0000-000013570000}"/>
    <cellStyle name="Obliczenia 2 15 2" xfId="22285" xr:uid="{00000000-0005-0000-0000-000014570000}"/>
    <cellStyle name="Obliczenia 2 15 2 2" xfId="22286" xr:uid="{00000000-0005-0000-0000-000015570000}"/>
    <cellStyle name="Obliczenia 2 15 2 3" xfId="22287" xr:uid="{00000000-0005-0000-0000-000016570000}"/>
    <cellStyle name="Obliczenia 2 15 2 4" xfId="22288" xr:uid="{00000000-0005-0000-0000-000017570000}"/>
    <cellStyle name="Obliczenia 2 15 20" xfId="22289" xr:uid="{00000000-0005-0000-0000-000018570000}"/>
    <cellStyle name="Obliczenia 2 15 20 2" xfId="22290" xr:uid="{00000000-0005-0000-0000-000019570000}"/>
    <cellStyle name="Obliczenia 2 15 20 3" xfId="22291" xr:uid="{00000000-0005-0000-0000-00001A570000}"/>
    <cellStyle name="Obliczenia 2 15 20 4" xfId="22292" xr:uid="{00000000-0005-0000-0000-00001B570000}"/>
    <cellStyle name="Obliczenia 2 15 21" xfId="22293" xr:uid="{00000000-0005-0000-0000-00001C570000}"/>
    <cellStyle name="Obliczenia 2 15 21 2" xfId="22294" xr:uid="{00000000-0005-0000-0000-00001D570000}"/>
    <cellStyle name="Obliczenia 2 15 21 3" xfId="22295" xr:uid="{00000000-0005-0000-0000-00001E570000}"/>
    <cellStyle name="Obliczenia 2 15 22" xfId="22296" xr:uid="{00000000-0005-0000-0000-00001F570000}"/>
    <cellStyle name="Obliczenia 2 15 22 2" xfId="22297" xr:uid="{00000000-0005-0000-0000-000020570000}"/>
    <cellStyle name="Obliczenia 2 15 22 3" xfId="22298" xr:uid="{00000000-0005-0000-0000-000021570000}"/>
    <cellStyle name="Obliczenia 2 15 23" xfId="22299" xr:uid="{00000000-0005-0000-0000-000022570000}"/>
    <cellStyle name="Obliczenia 2 15 23 2" xfId="22300" xr:uid="{00000000-0005-0000-0000-000023570000}"/>
    <cellStyle name="Obliczenia 2 15 23 3" xfId="22301" xr:uid="{00000000-0005-0000-0000-000024570000}"/>
    <cellStyle name="Obliczenia 2 15 24" xfId="22302" xr:uid="{00000000-0005-0000-0000-000025570000}"/>
    <cellStyle name="Obliczenia 2 15 24 2" xfId="22303" xr:uid="{00000000-0005-0000-0000-000026570000}"/>
    <cellStyle name="Obliczenia 2 15 24 3" xfId="22304" xr:uid="{00000000-0005-0000-0000-000027570000}"/>
    <cellStyle name="Obliczenia 2 15 25" xfId="22305" xr:uid="{00000000-0005-0000-0000-000028570000}"/>
    <cellStyle name="Obliczenia 2 15 25 2" xfId="22306" xr:uid="{00000000-0005-0000-0000-000029570000}"/>
    <cellStyle name="Obliczenia 2 15 25 3" xfId="22307" xr:uid="{00000000-0005-0000-0000-00002A570000}"/>
    <cellStyle name="Obliczenia 2 15 26" xfId="22308" xr:uid="{00000000-0005-0000-0000-00002B570000}"/>
    <cellStyle name="Obliczenia 2 15 26 2" xfId="22309" xr:uid="{00000000-0005-0000-0000-00002C570000}"/>
    <cellStyle name="Obliczenia 2 15 26 3" xfId="22310" xr:uid="{00000000-0005-0000-0000-00002D570000}"/>
    <cellStyle name="Obliczenia 2 15 27" xfId="22311" xr:uid="{00000000-0005-0000-0000-00002E570000}"/>
    <cellStyle name="Obliczenia 2 15 27 2" xfId="22312" xr:uid="{00000000-0005-0000-0000-00002F570000}"/>
    <cellStyle name="Obliczenia 2 15 27 3" xfId="22313" xr:uid="{00000000-0005-0000-0000-000030570000}"/>
    <cellStyle name="Obliczenia 2 15 28" xfId="22314" xr:uid="{00000000-0005-0000-0000-000031570000}"/>
    <cellStyle name="Obliczenia 2 15 28 2" xfId="22315" xr:uid="{00000000-0005-0000-0000-000032570000}"/>
    <cellStyle name="Obliczenia 2 15 28 3" xfId="22316" xr:uid="{00000000-0005-0000-0000-000033570000}"/>
    <cellStyle name="Obliczenia 2 15 29" xfId="22317" xr:uid="{00000000-0005-0000-0000-000034570000}"/>
    <cellStyle name="Obliczenia 2 15 29 2" xfId="22318" xr:uid="{00000000-0005-0000-0000-000035570000}"/>
    <cellStyle name="Obliczenia 2 15 29 3" xfId="22319" xr:uid="{00000000-0005-0000-0000-000036570000}"/>
    <cellStyle name="Obliczenia 2 15 3" xfId="22320" xr:uid="{00000000-0005-0000-0000-000037570000}"/>
    <cellStyle name="Obliczenia 2 15 3 2" xfId="22321" xr:uid="{00000000-0005-0000-0000-000038570000}"/>
    <cellStyle name="Obliczenia 2 15 3 3" xfId="22322" xr:uid="{00000000-0005-0000-0000-000039570000}"/>
    <cellStyle name="Obliczenia 2 15 3 4" xfId="22323" xr:uid="{00000000-0005-0000-0000-00003A570000}"/>
    <cellStyle name="Obliczenia 2 15 30" xfId="22324" xr:uid="{00000000-0005-0000-0000-00003B570000}"/>
    <cellStyle name="Obliczenia 2 15 30 2" xfId="22325" xr:uid="{00000000-0005-0000-0000-00003C570000}"/>
    <cellStyle name="Obliczenia 2 15 30 3" xfId="22326" xr:uid="{00000000-0005-0000-0000-00003D570000}"/>
    <cellStyle name="Obliczenia 2 15 31" xfId="22327" xr:uid="{00000000-0005-0000-0000-00003E570000}"/>
    <cellStyle name="Obliczenia 2 15 31 2" xfId="22328" xr:uid="{00000000-0005-0000-0000-00003F570000}"/>
    <cellStyle name="Obliczenia 2 15 31 3" xfId="22329" xr:uid="{00000000-0005-0000-0000-000040570000}"/>
    <cellStyle name="Obliczenia 2 15 32" xfId="22330" xr:uid="{00000000-0005-0000-0000-000041570000}"/>
    <cellStyle name="Obliczenia 2 15 32 2" xfId="22331" xr:uid="{00000000-0005-0000-0000-000042570000}"/>
    <cellStyle name="Obliczenia 2 15 32 3" xfId="22332" xr:uid="{00000000-0005-0000-0000-000043570000}"/>
    <cellStyle name="Obliczenia 2 15 33" xfId="22333" xr:uid="{00000000-0005-0000-0000-000044570000}"/>
    <cellStyle name="Obliczenia 2 15 33 2" xfId="22334" xr:uid="{00000000-0005-0000-0000-000045570000}"/>
    <cellStyle name="Obliczenia 2 15 33 3" xfId="22335" xr:uid="{00000000-0005-0000-0000-000046570000}"/>
    <cellStyle name="Obliczenia 2 15 34" xfId="22336" xr:uid="{00000000-0005-0000-0000-000047570000}"/>
    <cellStyle name="Obliczenia 2 15 34 2" xfId="22337" xr:uid="{00000000-0005-0000-0000-000048570000}"/>
    <cellStyle name="Obliczenia 2 15 34 3" xfId="22338" xr:uid="{00000000-0005-0000-0000-000049570000}"/>
    <cellStyle name="Obliczenia 2 15 35" xfId="22339" xr:uid="{00000000-0005-0000-0000-00004A570000}"/>
    <cellStyle name="Obliczenia 2 15 35 2" xfId="22340" xr:uid="{00000000-0005-0000-0000-00004B570000}"/>
    <cellStyle name="Obliczenia 2 15 35 3" xfId="22341" xr:uid="{00000000-0005-0000-0000-00004C570000}"/>
    <cellStyle name="Obliczenia 2 15 36" xfId="22342" xr:uid="{00000000-0005-0000-0000-00004D570000}"/>
    <cellStyle name="Obliczenia 2 15 36 2" xfId="22343" xr:uid="{00000000-0005-0000-0000-00004E570000}"/>
    <cellStyle name="Obliczenia 2 15 36 3" xfId="22344" xr:uid="{00000000-0005-0000-0000-00004F570000}"/>
    <cellStyle name="Obliczenia 2 15 37" xfId="22345" xr:uid="{00000000-0005-0000-0000-000050570000}"/>
    <cellStyle name="Obliczenia 2 15 37 2" xfId="22346" xr:uid="{00000000-0005-0000-0000-000051570000}"/>
    <cellStyle name="Obliczenia 2 15 37 3" xfId="22347" xr:uid="{00000000-0005-0000-0000-000052570000}"/>
    <cellStyle name="Obliczenia 2 15 38" xfId="22348" xr:uid="{00000000-0005-0000-0000-000053570000}"/>
    <cellStyle name="Obliczenia 2 15 38 2" xfId="22349" xr:uid="{00000000-0005-0000-0000-000054570000}"/>
    <cellStyle name="Obliczenia 2 15 38 3" xfId="22350" xr:uid="{00000000-0005-0000-0000-000055570000}"/>
    <cellStyle name="Obliczenia 2 15 39" xfId="22351" xr:uid="{00000000-0005-0000-0000-000056570000}"/>
    <cellStyle name="Obliczenia 2 15 39 2" xfId="22352" xr:uid="{00000000-0005-0000-0000-000057570000}"/>
    <cellStyle name="Obliczenia 2 15 39 3" xfId="22353" xr:uid="{00000000-0005-0000-0000-000058570000}"/>
    <cellStyle name="Obliczenia 2 15 4" xfId="22354" xr:uid="{00000000-0005-0000-0000-000059570000}"/>
    <cellStyle name="Obliczenia 2 15 4 2" xfId="22355" xr:uid="{00000000-0005-0000-0000-00005A570000}"/>
    <cellStyle name="Obliczenia 2 15 4 3" xfId="22356" xr:uid="{00000000-0005-0000-0000-00005B570000}"/>
    <cellStyle name="Obliczenia 2 15 4 4" xfId="22357" xr:uid="{00000000-0005-0000-0000-00005C570000}"/>
    <cellStyle name="Obliczenia 2 15 40" xfId="22358" xr:uid="{00000000-0005-0000-0000-00005D570000}"/>
    <cellStyle name="Obliczenia 2 15 40 2" xfId="22359" xr:uid="{00000000-0005-0000-0000-00005E570000}"/>
    <cellStyle name="Obliczenia 2 15 40 3" xfId="22360" xr:uid="{00000000-0005-0000-0000-00005F570000}"/>
    <cellStyle name="Obliczenia 2 15 41" xfId="22361" xr:uid="{00000000-0005-0000-0000-000060570000}"/>
    <cellStyle name="Obliczenia 2 15 41 2" xfId="22362" xr:uid="{00000000-0005-0000-0000-000061570000}"/>
    <cellStyle name="Obliczenia 2 15 41 3" xfId="22363" xr:uid="{00000000-0005-0000-0000-000062570000}"/>
    <cellStyle name="Obliczenia 2 15 42" xfId="22364" xr:uid="{00000000-0005-0000-0000-000063570000}"/>
    <cellStyle name="Obliczenia 2 15 42 2" xfId="22365" xr:uid="{00000000-0005-0000-0000-000064570000}"/>
    <cellStyle name="Obliczenia 2 15 42 3" xfId="22366" xr:uid="{00000000-0005-0000-0000-000065570000}"/>
    <cellStyle name="Obliczenia 2 15 43" xfId="22367" xr:uid="{00000000-0005-0000-0000-000066570000}"/>
    <cellStyle name="Obliczenia 2 15 43 2" xfId="22368" xr:uid="{00000000-0005-0000-0000-000067570000}"/>
    <cellStyle name="Obliczenia 2 15 43 3" xfId="22369" xr:uid="{00000000-0005-0000-0000-000068570000}"/>
    <cellStyle name="Obliczenia 2 15 44" xfId="22370" xr:uid="{00000000-0005-0000-0000-000069570000}"/>
    <cellStyle name="Obliczenia 2 15 44 2" xfId="22371" xr:uid="{00000000-0005-0000-0000-00006A570000}"/>
    <cellStyle name="Obliczenia 2 15 44 3" xfId="22372" xr:uid="{00000000-0005-0000-0000-00006B570000}"/>
    <cellStyle name="Obliczenia 2 15 45" xfId="22373" xr:uid="{00000000-0005-0000-0000-00006C570000}"/>
    <cellStyle name="Obliczenia 2 15 45 2" xfId="22374" xr:uid="{00000000-0005-0000-0000-00006D570000}"/>
    <cellStyle name="Obliczenia 2 15 45 3" xfId="22375" xr:uid="{00000000-0005-0000-0000-00006E570000}"/>
    <cellStyle name="Obliczenia 2 15 46" xfId="22376" xr:uid="{00000000-0005-0000-0000-00006F570000}"/>
    <cellStyle name="Obliczenia 2 15 46 2" xfId="22377" xr:uid="{00000000-0005-0000-0000-000070570000}"/>
    <cellStyle name="Obliczenia 2 15 46 3" xfId="22378" xr:uid="{00000000-0005-0000-0000-000071570000}"/>
    <cellStyle name="Obliczenia 2 15 47" xfId="22379" xr:uid="{00000000-0005-0000-0000-000072570000}"/>
    <cellStyle name="Obliczenia 2 15 47 2" xfId="22380" xr:uid="{00000000-0005-0000-0000-000073570000}"/>
    <cellStyle name="Obliczenia 2 15 47 3" xfId="22381" xr:uid="{00000000-0005-0000-0000-000074570000}"/>
    <cellStyle name="Obliczenia 2 15 48" xfId="22382" xr:uid="{00000000-0005-0000-0000-000075570000}"/>
    <cellStyle name="Obliczenia 2 15 48 2" xfId="22383" xr:uid="{00000000-0005-0000-0000-000076570000}"/>
    <cellStyle name="Obliczenia 2 15 48 3" xfId="22384" xr:uid="{00000000-0005-0000-0000-000077570000}"/>
    <cellStyle name="Obliczenia 2 15 49" xfId="22385" xr:uid="{00000000-0005-0000-0000-000078570000}"/>
    <cellStyle name="Obliczenia 2 15 49 2" xfId="22386" xr:uid="{00000000-0005-0000-0000-000079570000}"/>
    <cellStyle name="Obliczenia 2 15 49 3" xfId="22387" xr:uid="{00000000-0005-0000-0000-00007A570000}"/>
    <cellStyle name="Obliczenia 2 15 5" xfId="22388" xr:uid="{00000000-0005-0000-0000-00007B570000}"/>
    <cellStyle name="Obliczenia 2 15 5 2" xfId="22389" xr:uid="{00000000-0005-0000-0000-00007C570000}"/>
    <cellStyle name="Obliczenia 2 15 5 3" xfId="22390" xr:uid="{00000000-0005-0000-0000-00007D570000}"/>
    <cellStyle name="Obliczenia 2 15 5 4" xfId="22391" xr:uid="{00000000-0005-0000-0000-00007E570000}"/>
    <cellStyle name="Obliczenia 2 15 50" xfId="22392" xr:uid="{00000000-0005-0000-0000-00007F570000}"/>
    <cellStyle name="Obliczenia 2 15 50 2" xfId="22393" xr:uid="{00000000-0005-0000-0000-000080570000}"/>
    <cellStyle name="Obliczenia 2 15 50 3" xfId="22394" xr:uid="{00000000-0005-0000-0000-000081570000}"/>
    <cellStyle name="Obliczenia 2 15 51" xfId="22395" xr:uid="{00000000-0005-0000-0000-000082570000}"/>
    <cellStyle name="Obliczenia 2 15 51 2" xfId="22396" xr:uid="{00000000-0005-0000-0000-000083570000}"/>
    <cellStyle name="Obliczenia 2 15 51 3" xfId="22397" xr:uid="{00000000-0005-0000-0000-000084570000}"/>
    <cellStyle name="Obliczenia 2 15 52" xfId="22398" xr:uid="{00000000-0005-0000-0000-000085570000}"/>
    <cellStyle name="Obliczenia 2 15 52 2" xfId="22399" xr:uid="{00000000-0005-0000-0000-000086570000}"/>
    <cellStyle name="Obliczenia 2 15 52 3" xfId="22400" xr:uid="{00000000-0005-0000-0000-000087570000}"/>
    <cellStyle name="Obliczenia 2 15 53" xfId="22401" xr:uid="{00000000-0005-0000-0000-000088570000}"/>
    <cellStyle name="Obliczenia 2 15 53 2" xfId="22402" xr:uid="{00000000-0005-0000-0000-000089570000}"/>
    <cellStyle name="Obliczenia 2 15 53 3" xfId="22403" xr:uid="{00000000-0005-0000-0000-00008A570000}"/>
    <cellStyle name="Obliczenia 2 15 54" xfId="22404" xr:uid="{00000000-0005-0000-0000-00008B570000}"/>
    <cellStyle name="Obliczenia 2 15 54 2" xfId="22405" xr:uid="{00000000-0005-0000-0000-00008C570000}"/>
    <cellStyle name="Obliczenia 2 15 54 3" xfId="22406" xr:uid="{00000000-0005-0000-0000-00008D570000}"/>
    <cellStyle name="Obliczenia 2 15 55" xfId="22407" xr:uid="{00000000-0005-0000-0000-00008E570000}"/>
    <cellStyle name="Obliczenia 2 15 55 2" xfId="22408" xr:uid="{00000000-0005-0000-0000-00008F570000}"/>
    <cellStyle name="Obliczenia 2 15 55 3" xfId="22409" xr:uid="{00000000-0005-0000-0000-000090570000}"/>
    <cellStyle name="Obliczenia 2 15 56" xfId="22410" xr:uid="{00000000-0005-0000-0000-000091570000}"/>
    <cellStyle name="Obliczenia 2 15 56 2" xfId="22411" xr:uid="{00000000-0005-0000-0000-000092570000}"/>
    <cellStyle name="Obliczenia 2 15 56 3" xfId="22412" xr:uid="{00000000-0005-0000-0000-000093570000}"/>
    <cellStyle name="Obliczenia 2 15 57" xfId="22413" xr:uid="{00000000-0005-0000-0000-000094570000}"/>
    <cellStyle name="Obliczenia 2 15 58" xfId="22414" xr:uid="{00000000-0005-0000-0000-000095570000}"/>
    <cellStyle name="Obliczenia 2 15 6" xfId="22415" xr:uid="{00000000-0005-0000-0000-000096570000}"/>
    <cellStyle name="Obliczenia 2 15 6 2" xfId="22416" xr:uid="{00000000-0005-0000-0000-000097570000}"/>
    <cellStyle name="Obliczenia 2 15 6 3" xfId="22417" xr:uid="{00000000-0005-0000-0000-000098570000}"/>
    <cellStyle name="Obliczenia 2 15 6 4" xfId="22418" xr:uid="{00000000-0005-0000-0000-000099570000}"/>
    <cellStyle name="Obliczenia 2 15 7" xfId="22419" xr:uid="{00000000-0005-0000-0000-00009A570000}"/>
    <cellStyle name="Obliczenia 2 15 7 2" xfId="22420" xr:uid="{00000000-0005-0000-0000-00009B570000}"/>
    <cellStyle name="Obliczenia 2 15 7 3" xfId="22421" xr:uid="{00000000-0005-0000-0000-00009C570000}"/>
    <cellStyle name="Obliczenia 2 15 7 4" xfId="22422" xr:uid="{00000000-0005-0000-0000-00009D570000}"/>
    <cellStyle name="Obliczenia 2 15 8" xfId="22423" xr:uid="{00000000-0005-0000-0000-00009E570000}"/>
    <cellStyle name="Obliczenia 2 15 8 2" xfId="22424" xr:uid="{00000000-0005-0000-0000-00009F570000}"/>
    <cellStyle name="Obliczenia 2 15 8 3" xfId="22425" xr:uid="{00000000-0005-0000-0000-0000A0570000}"/>
    <cellStyle name="Obliczenia 2 15 8 4" xfId="22426" xr:uid="{00000000-0005-0000-0000-0000A1570000}"/>
    <cellStyle name="Obliczenia 2 15 9" xfId="22427" xr:uid="{00000000-0005-0000-0000-0000A2570000}"/>
    <cellStyle name="Obliczenia 2 15 9 2" xfId="22428" xr:uid="{00000000-0005-0000-0000-0000A3570000}"/>
    <cellStyle name="Obliczenia 2 15 9 3" xfId="22429" xr:uid="{00000000-0005-0000-0000-0000A4570000}"/>
    <cellStyle name="Obliczenia 2 15 9 4" xfId="22430" xr:uid="{00000000-0005-0000-0000-0000A5570000}"/>
    <cellStyle name="Obliczenia 2 16" xfId="22431" xr:uid="{00000000-0005-0000-0000-0000A6570000}"/>
    <cellStyle name="Obliczenia 2 16 10" xfId="22432" xr:uid="{00000000-0005-0000-0000-0000A7570000}"/>
    <cellStyle name="Obliczenia 2 16 10 2" xfId="22433" xr:uid="{00000000-0005-0000-0000-0000A8570000}"/>
    <cellStyle name="Obliczenia 2 16 10 3" xfId="22434" xr:uid="{00000000-0005-0000-0000-0000A9570000}"/>
    <cellStyle name="Obliczenia 2 16 10 4" xfId="22435" xr:uid="{00000000-0005-0000-0000-0000AA570000}"/>
    <cellStyle name="Obliczenia 2 16 11" xfId="22436" xr:uid="{00000000-0005-0000-0000-0000AB570000}"/>
    <cellStyle name="Obliczenia 2 16 11 2" xfId="22437" xr:uid="{00000000-0005-0000-0000-0000AC570000}"/>
    <cellStyle name="Obliczenia 2 16 11 3" xfId="22438" xr:uid="{00000000-0005-0000-0000-0000AD570000}"/>
    <cellStyle name="Obliczenia 2 16 11 4" xfId="22439" xr:uid="{00000000-0005-0000-0000-0000AE570000}"/>
    <cellStyle name="Obliczenia 2 16 12" xfId="22440" xr:uid="{00000000-0005-0000-0000-0000AF570000}"/>
    <cellStyle name="Obliczenia 2 16 12 2" xfId="22441" xr:uid="{00000000-0005-0000-0000-0000B0570000}"/>
    <cellStyle name="Obliczenia 2 16 12 3" xfId="22442" xr:uid="{00000000-0005-0000-0000-0000B1570000}"/>
    <cellStyle name="Obliczenia 2 16 12 4" xfId="22443" xr:uid="{00000000-0005-0000-0000-0000B2570000}"/>
    <cellStyle name="Obliczenia 2 16 13" xfId="22444" xr:uid="{00000000-0005-0000-0000-0000B3570000}"/>
    <cellStyle name="Obliczenia 2 16 13 2" xfId="22445" xr:uid="{00000000-0005-0000-0000-0000B4570000}"/>
    <cellStyle name="Obliczenia 2 16 13 3" xfId="22446" xr:uid="{00000000-0005-0000-0000-0000B5570000}"/>
    <cellStyle name="Obliczenia 2 16 13 4" xfId="22447" xr:uid="{00000000-0005-0000-0000-0000B6570000}"/>
    <cellStyle name="Obliczenia 2 16 14" xfId="22448" xr:uid="{00000000-0005-0000-0000-0000B7570000}"/>
    <cellStyle name="Obliczenia 2 16 14 2" xfId="22449" xr:uid="{00000000-0005-0000-0000-0000B8570000}"/>
    <cellStyle name="Obliczenia 2 16 14 3" xfId="22450" xr:uid="{00000000-0005-0000-0000-0000B9570000}"/>
    <cellStyle name="Obliczenia 2 16 14 4" xfId="22451" xr:uid="{00000000-0005-0000-0000-0000BA570000}"/>
    <cellStyle name="Obliczenia 2 16 15" xfId="22452" xr:uid="{00000000-0005-0000-0000-0000BB570000}"/>
    <cellStyle name="Obliczenia 2 16 15 2" xfId="22453" xr:uid="{00000000-0005-0000-0000-0000BC570000}"/>
    <cellStyle name="Obliczenia 2 16 15 3" xfId="22454" xr:uid="{00000000-0005-0000-0000-0000BD570000}"/>
    <cellStyle name="Obliczenia 2 16 15 4" xfId="22455" xr:uid="{00000000-0005-0000-0000-0000BE570000}"/>
    <cellStyle name="Obliczenia 2 16 16" xfId="22456" xr:uid="{00000000-0005-0000-0000-0000BF570000}"/>
    <cellStyle name="Obliczenia 2 16 16 2" xfId="22457" xr:uid="{00000000-0005-0000-0000-0000C0570000}"/>
    <cellStyle name="Obliczenia 2 16 16 3" xfId="22458" xr:uid="{00000000-0005-0000-0000-0000C1570000}"/>
    <cellStyle name="Obliczenia 2 16 16 4" xfId="22459" xr:uid="{00000000-0005-0000-0000-0000C2570000}"/>
    <cellStyle name="Obliczenia 2 16 17" xfId="22460" xr:uid="{00000000-0005-0000-0000-0000C3570000}"/>
    <cellStyle name="Obliczenia 2 16 17 2" xfId="22461" xr:uid="{00000000-0005-0000-0000-0000C4570000}"/>
    <cellStyle name="Obliczenia 2 16 17 3" xfId="22462" xr:uid="{00000000-0005-0000-0000-0000C5570000}"/>
    <cellStyle name="Obliczenia 2 16 17 4" xfId="22463" xr:uid="{00000000-0005-0000-0000-0000C6570000}"/>
    <cellStyle name="Obliczenia 2 16 18" xfId="22464" xr:uid="{00000000-0005-0000-0000-0000C7570000}"/>
    <cellStyle name="Obliczenia 2 16 18 2" xfId="22465" xr:uid="{00000000-0005-0000-0000-0000C8570000}"/>
    <cellStyle name="Obliczenia 2 16 18 3" xfId="22466" xr:uid="{00000000-0005-0000-0000-0000C9570000}"/>
    <cellStyle name="Obliczenia 2 16 18 4" xfId="22467" xr:uid="{00000000-0005-0000-0000-0000CA570000}"/>
    <cellStyle name="Obliczenia 2 16 19" xfId="22468" xr:uid="{00000000-0005-0000-0000-0000CB570000}"/>
    <cellStyle name="Obliczenia 2 16 19 2" xfId="22469" xr:uid="{00000000-0005-0000-0000-0000CC570000}"/>
    <cellStyle name="Obliczenia 2 16 19 3" xfId="22470" xr:uid="{00000000-0005-0000-0000-0000CD570000}"/>
    <cellStyle name="Obliczenia 2 16 19 4" xfId="22471" xr:uid="{00000000-0005-0000-0000-0000CE570000}"/>
    <cellStyle name="Obliczenia 2 16 2" xfId="22472" xr:uid="{00000000-0005-0000-0000-0000CF570000}"/>
    <cellStyle name="Obliczenia 2 16 2 2" xfId="22473" xr:uid="{00000000-0005-0000-0000-0000D0570000}"/>
    <cellStyle name="Obliczenia 2 16 2 3" xfId="22474" xr:uid="{00000000-0005-0000-0000-0000D1570000}"/>
    <cellStyle name="Obliczenia 2 16 2 4" xfId="22475" xr:uid="{00000000-0005-0000-0000-0000D2570000}"/>
    <cellStyle name="Obliczenia 2 16 20" xfId="22476" xr:uid="{00000000-0005-0000-0000-0000D3570000}"/>
    <cellStyle name="Obliczenia 2 16 20 2" xfId="22477" xr:uid="{00000000-0005-0000-0000-0000D4570000}"/>
    <cellStyle name="Obliczenia 2 16 20 3" xfId="22478" xr:uid="{00000000-0005-0000-0000-0000D5570000}"/>
    <cellStyle name="Obliczenia 2 16 20 4" xfId="22479" xr:uid="{00000000-0005-0000-0000-0000D6570000}"/>
    <cellStyle name="Obliczenia 2 16 21" xfId="22480" xr:uid="{00000000-0005-0000-0000-0000D7570000}"/>
    <cellStyle name="Obliczenia 2 16 21 2" xfId="22481" xr:uid="{00000000-0005-0000-0000-0000D8570000}"/>
    <cellStyle name="Obliczenia 2 16 21 3" xfId="22482" xr:uid="{00000000-0005-0000-0000-0000D9570000}"/>
    <cellStyle name="Obliczenia 2 16 22" xfId="22483" xr:uid="{00000000-0005-0000-0000-0000DA570000}"/>
    <cellStyle name="Obliczenia 2 16 22 2" xfId="22484" xr:uid="{00000000-0005-0000-0000-0000DB570000}"/>
    <cellStyle name="Obliczenia 2 16 22 3" xfId="22485" xr:uid="{00000000-0005-0000-0000-0000DC570000}"/>
    <cellStyle name="Obliczenia 2 16 23" xfId="22486" xr:uid="{00000000-0005-0000-0000-0000DD570000}"/>
    <cellStyle name="Obliczenia 2 16 23 2" xfId="22487" xr:uid="{00000000-0005-0000-0000-0000DE570000}"/>
    <cellStyle name="Obliczenia 2 16 23 3" xfId="22488" xr:uid="{00000000-0005-0000-0000-0000DF570000}"/>
    <cellStyle name="Obliczenia 2 16 24" xfId="22489" xr:uid="{00000000-0005-0000-0000-0000E0570000}"/>
    <cellStyle name="Obliczenia 2 16 24 2" xfId="22490" xr:uid="{00000000-0005-0000-0000-0000E1570000}"/>
    <cellStyle name="Obliczenia 2 16 24 3" xfId="22491" xr:uid="{00000000-0005-0000-0000-0000E2570000}"/>
    <cellStyle name="Obliczenia 2 16 25" xfId="22492" xr:uid="{00000000-0005-0000-0000-0000E3570000}"/>
    <cellStyle name="Obliczenia 2 16 25 2" xfId="22493" xr:uid="{00000000-0005-0000-0000-0000E4570000}"/>
    <cellStyle name="Obliczenia 2 16 25 3" xfId="22494" xr:uid="{00000000-0005-0000-0000-0000E5570000}"/>
    <cellStyle name="Obliczenia 2 16 26" xfId="22495" xr:uid="{00000000-0005-0000-0000-0000E6570000}"/>
    <cellStyle name="Obliczenia 2 16 26 2" xfId="22496" xr:uid="{00000000-0005-0000-0000-0000E7570000}"/>
    <cellStyle name="Obliczenia 2 16 26 3" xfId="22497" xr:uid="{00000000-0005-0000-0000-0000E8570000}"/>
    <cellStyle name="Obliczenia 2 16 27" xfId="22498" xr:uid="{00000000-0005-0000-0000-0000E9570000}"/>
    <cellStyle name="Obliczenia 2 16 27 2" xfId="22499" xr:uid="{00000000-0005-0000-0000-0000EA570000}"/>
    <cellStyle name="Obliczenia 2 16 27 3" xfId="22500" xr:uid="{00000000-0005-0000-0000-0000EB570000}"/>
    <cellStyle name="Obliczenia 2 16 28" xfId="22501" xr:uid="{00000000-0005-0000-0000-0000EC570000}"/>
    <cellStyle name="Obliczenia 2 16 28 2" xfId="22502" xr:uid="{00000000-0005-0000-0000-0000ED570000}"/>
    <cellStyle name="Obliczenia 2 16 28 3" xfId="22503" xr:uid="{00000000-0005-0000-0000-0000EE570000}"/>
    <cellStyle name="Obliczenia 2 16 29" xfId="22504" xr:uid="{00000000-0005-0000-0000-0000EF570000}"/>
    <cellStyle name="Obliczenia 2 16 29 2" xfId="22505" xr:uid="{00000000-0005-0000-0000-0000F0570000}"/>
    <cellStyle name="Obliczenia 2 16 29 3" xfId="22506" xr:uid="{00000000-0005-0000-0000-0000F1570000}"/>
    <cellStyle name="Obliczenia 2 16 3" xfId="22507" xr:uid="{00000000-0005-0000-0000-0000F2570000}"/>
    <cellStyle name="Obliczenia 2 16 3 2" xfId="22508" xr:uid="{00000000-0005-0000-0000-0000F3570000}"/>
    <cellStyle name="Obliczenia 2 16 3 3" xfId="22509" xr:uid="{00000000-0005-0000-0000-0000F4570000}"/>
    <cellStyle name="Obliczenia 2 16 3 4" xfId="22510" xr:uid="{00000000-0005-0000-0000-0000F5570000}"/>
    <cellStyle name="Obliczenia 2 16 30" xfId="22511" xr:uid="{00000000-0005-0000-0000-0000F6570000}"/>
    <cellStyle name="Obliczenia 2 16 30 2" xfId="22512" xr:uid="{00000000-0005-0000-0000-0000F7570000}"/>
    <cellStyle name="Obliczenia 2 16 30 3" xfId="22513" xr:uid="{00000000-0005-0000-0000-0000F8570000}"/>
    <cellStyle name="Obliczenia 2 16 31" xfId="22514" xr:uid="{00000000-0005-0000-0000-0000F9570000}"/>
    <cellStyle name="Obliczenia 2 16 31 2" xfId="22515" xr:uid="{00000000-0005-0000-0000-0000FA570000}"/>
    <cellStyle name="Obliczenia 2 16 31 3" xfId="22516" xr:uid="{00000000-0005-0000-0000-0000FB570000}"/>
    <cellStyle name="Obliczenia 2 16 32" xfId="22517" xr:uid="{00000000-0005-0000-0000-0000FC570000}"/>
    <cellStyle name="Obliczenia 2 16 32 2" xfId="22518" xr:uid="{00000000-0005-0000-0000-0000FD570000}"/>
    <cellStyle name="Obliczenia 2 16 32 3" xfId="22519" xr:uid="{00000000-0005-0000-0000-0000FE570000}"/>
    <cellStyle name="Obliczenia 2 16 33" xfId="22520" xr:uid="{00000000-0005-0000-0000-0000FF570000}"/>
    <cellStyle name="Obliczenia 2 16 33 2" xfId="22521" xr:uid="{00000000-0005-0000-0000-000000580000}"/>
    <cellStyle name="Obliczenia 2 16 33 3" xfId="22522" xr:uid="{00000000-0005-0000-0000-000001580000}"/>
    <cellStyle name="Obliczenia 2 16 34" xfId="22523" xr:uid="{00000000-0005-0000-0000-000002580000}"/>
    <cellStyle name="Obliczenia 2 16 34 2" xfId="22524" xr:uid="{00000000-0005-0000-0000-000003580000}"/>
    <cellStyle name="Obliczenia 2 16 34 3" xfId="22525" xr:uid="{00000000-0005-0000-0000-000004580000}"/>
    <cellStyle name="Obliczenia 2 16 35" xfId="22526" xr:uid="{00000000-0005-0000-0000-000005580000}"/>
    <cellStyle name="Obliczenia 2 16 35 2" xfId="22527" xr:uid="{00000000-0005-0000-0000-000006580000}"/>
    <cellStyle name="Obliczenia 2 16 35 3" xfId="22528" xr:uid="{00000000-0005-0000-0000-000007580000}"/>
    <cellStyle name="Obliczenia 2 16 36" xfId="22529" xr:uid="{00000000-0005-0000-0000-000008580000}"/>
    <cellStyle name="Obliczenia 2 16 36 2" xfId="22530" xr:uid="{00000000-0005-0000-0000-000009580000}"/>
    <cellStyle name="Obliczenia 2 16 36 3" xfId="22531" xr:uid="{00000000-0005-0000-0000-00000A580000}"/>
    <cellStyle name="Obliczenia 2 16 37" xfId="22532" xr:uid="{00000000-0005-0000-0000-00000B580000}"/>
    <cellStyle name="Obliczenia 2 16 37 2" xfId="22533" xr:uid="{00000000-0005-0000-0000-00000C580000}"/>
    <cellStyle name="Obliczenia 2 16 37 3" xfId="22534" xr:uid="{00000000-0005-0000-0000-00000D580000}"/>
    <cellStyle name="Obliczenia 2 16 38" xfId="22535" xr:uid="{00000000-0005-0000-0000-00000E580000}"/>
    <cellStyle name="Obliczenia 2 16 38 2" xfId="22536" xr:uid="{00000000-0005-0000-0000-00000F580000}"/>
    <cellStyle name="Obliczenia 2 16 38 3" xfId="22537" xr:uid="{00000000-0005-0000-0000-000010580000}"/>
    <cellStyle name="Obliczenia 2 16 39" xfId="22538" xr:uid="{00000000-0005-0000-0000-000011580000}"/>
    <cellStyle name="Obliczenia 2 16 39 2" xfId="22539" xr:uid="{00000000-0005-0000-0000-000012580000}"/>
    <cellStyle name="Obliczenia 2 16 39 3" xfId="22540" xr:uid="{00000000-0005-0000-0000-000013580000}"/>
    <cellStyle name="Obliczenia 2 16 4" xfId="22541" xr:uid="{00000000-0005-0000-0000-000014580000}"/>
    <cellStyle name="Obliczenia 2 16 4 2" xfId="22542" xr:uid="{00000000-0005-0000-0000-000015580000}"/>
    <cellStyle name="Obliczenia 2 16 4 3" xfId="22543" xr:uid="{00000000-0005-0000-0000-000016580000}"/>
    <cellStyle name="Obliczenia 2 16 4 4" xfId="22544" xr:uid="{00000000-0005-0000-0000-000017580000}"/>
    <cellStyle name="Obliczenia 2 16 40" xfId="22545" xr:uid="{00000000-0005-0000-0000-000018580000}"/>
    <cellStyle name="Obliczenia 2 16 40 2" xfId="22546" xr:uid="{00000000-0005-0000-0000-000019580000}"/>
    <cellStyle name="Obliczenia 2 16 40 3" xfId="22547" xr:uid="{00000000-0005-0000-0000-00001A580000}"/>
    <cellStyle name="Obliczenia 2 16 41" xfId="22548" xr:uid="{00000000-0005-0000-0000-00001B580000}"/>
    <cellStyle name="Obliczenia 2 16 41 2" xfId="22549" xr:uid="{00000000-0005-0000-0000-00001C580000}"/>
    <cellStyle name="Obliczenia 2 16 41 3" xfId="22550" xr:uid="{00000000-0005-0000-0000-00001D580000}"/>
    <cellStyle name="Obliczenia 2 16 42" xfId="22551" xr:uid="{00000000-0005-0000-0000-00001E580000}"/>
    <cellStyle name="Obliczenia 2 16 42 2" xfId="22552" xr:uid="{00000000-0005-0000-0000-00001F580000}"/>
    <cellStyle name="Obliczenia 2 16 42 3" xfId="22553" xr:uid="{00000000-0005-0000-0000-000020580000}"/>
    <cellStyle name="Obliczenia 2 16 43" xfId="22554" xr:uid="{00000000-0005-0000-0000-000021580000}"/>
    <cellStyle name="Obliczenia 2 16 43 2" xfId="22555" xr:uid="{00000000-0005-0000-0000-000022580000}"/>
    <cellStyle name="Obliczenia 2 16 43 3" xfId="22556" xr:uid="{00000000-0005-0000-0000-000023580000}"/>
    <cellStyle name="Obliczenia 2 16 44" xfId="22557" xr:uid="{00000000-0005-0000-0000-000024580000}"/>
    <cellStyle name="Obliczenia 2 16 44 2" xfId="22558" xr:uid="{00000000-0005-0000-0000-000025580000}"/>
    <cellStyle name="Obliczenia 2 16 44 3" xfId="22559" xr:uid="{00000000-0005-0000-0000-000026580000}"/>
    <cellStyle name="Obliczenia 2 16 45" xfId="22560" xr:uid="{00000000-0005-0000-0000-000027580000}"/>
    <cellStyle name="Obliczenia 2 16 45 2" xfId="22561" xr:uid="{00000000-0005-0000-0000-000028580000}"/>
    <cellStyle name="Obliczenia 2 16 45 3" xfId="22562" xr:uid="{00000000-0005-0000-0000-000029580000}"/>
    <cellStyle name="Obliczenia 2 16 46" xfId="22563" xr:uid="{00000000-0005-0000-0000-00002A580000}"/>
    <cellStyle name="Obliczenia 2 16 46 2" xfId="22564" xr:uid="{00000000-0005-0000-0000-00002B580000}"/>
    <cellStyle name="Obliczenia 2 16 46 3" xfId="22565" xr:uid="{00000000-0005-0000-0000-00002C580000}"/>
    <cellStyle name="Obliczenia 2 16 47" xfId="22566" xr:uid="{00000000-0005-0000-0000-00002D580000}"/>
    <cellStyle name="Obliczenia 2 16 47 2" xfId="22567" xr:uid="{00000000-0005-0000-0000-00002E580000}"/>
    <cellStyle name="Obliczenia 2 16 47 3" xfId="22568" xr:uid="{00000000-0005-0000-0000-00002F580000}"/>
    <cellStyle name="Obliczenia 2 16 48" xfId="22569" xr:uid="{00000000-0005-0000-0000-000030580000}"/>
    <cellStyle name="Obliczenia 2 16 48 2" xfId="22570" xr:uid="{00000000-0005-0000-0000-000031580000}"/>
    <cellStyle name="Obliczenia 2 16 48 3" xfId="22571" xr:uid="{00000000-0005-0000-0000-000032580000}"/>
    <cellStyle name="Obliczenia 2 16 49" xfId="22572" xr:uid="{00000000-0005-0000-0000-000033580000}"/>
    <cellStyle name="Obliczenia 2 16 49 2" xfId="22573" xr:uid="{00000000-0005-0000-0000-000034580000}"/>
    <cellStyle name="Obliczenia 2 16 49 3" xfId="22574" xr:uid="{00000000-0005-0000-0000-000035580000}"/>
    <cellStyle name="Obliczenia 2 16 5" xfId="22575" xr:uid="{00000000-0005-0000-0000-000036580000}"/>
    <cellStyle name="Obliczenia 2 16 5 2" xfId="22576" xr:uid="{00000000-0005-0000-0000-000037580000}"/>
    <cellStyle name="Obliczenia 2 16 5 3" xfId="22577" xr:uid="{00000000-0005-0000-0000-000038580000}"/>
    <cellStyle name="Obliczenia 2 16 5 4" xfId="22578" xr:uid="{00000000-0005-0000-0000-000039580000}"/>
    <cellStyle name="Obliczenia 2 16 50" xfId="22579" xr:uid="{00000000-0005-0000-0000-00003A580000}"/>
    <cellStyle name="Obliczenia 2 16 50 2" xfId="22580" xr:uid="{00000000-0005-0000-0000-00003B580000}"/>
    <cellStyle name="Obliczenia 2 16 50 3" xfId="22581" xr:uid="{00000000-0005-0000-0000-00003C580000}"/>
    <cellStyle name="Obliczenia 2 16 51" xfId="22582" xr:uid="{00000000-0005-0000-0000-00003D580000}"/>
    <cellStyle name="Obliczenia 2 16 51 2" xfId="22583" xr:uid="{00000000-0005-0000-0000-00003E580000}"/>
    <cellStyle name="Obliczenia 2 16 51 3" xfId="22584" xr:uid="{00000000-0005-0000-0000-00003F580000}"/>
    <cellStyle name="Obliczenia 2 16 52" xfId="22585" xr:uid="{00000000-0005-0000-0000-000040580000}"/>
    <cellStyle name="Obliczenia 2 16 52 2" xfId="22586" xr:uid="{00000000-0005-0000-0000-000041580000}"/>
    <cellStyle name="Obliczenia 2 16 52 3" xfId="22587" xr:uid="{00000000-0005-0000-0000-000042580000}"/>
    <cellStyle name="Obliczenia 2 16 53" xfId="22588" xr:uid="{00000000-0005-0000-0000-000043580000}"/>
    <cellStyle name="Obliczenia 2 16 53 2" xfId="22589" xr:uid="{00000000-0005-0000-0000-000044580000}"/>
    <cellStyle name="Obliczenia 2 16 53 3" xfId="22590" xr:uid="{00000000-0005-0000-0000-000045580000}"/>
    <cellStyle name="Obliczenia 2 16 54" xfId="22591" xr:uid="{00000000-0005-0000-0000-000046580000}"/>
    <cellStyle name="Obliczenia 2 16 54 2" xfId="22592" xr:uid="{00000000-0005-0000-0000-000047580000}"/>
    <cellStyle name="Obliczenia 2 16 54 3" xfId="22593" xr:uid="{00000000-0005-0000-0000-000048580000}"/>
    <cellStyle name="Obliczenia 2 16 55" xfId="22594" xr:uid="{00000000-0005-0000-0000-000049580000}"/>
    <cellStyle name="Obliczenia 2 16 55 2" xfId="22595" xr:uid="{00000000-0005-0000-0000-00004A580000}"/>
    <cellStyle name="Obliczenia 2 16 55 3" xfId="22596" xr:uid="{00000000-0005-0000-0000-00004B580000}"/>
    <cellStyle name="Obliczenia 2 16 56" xfId="22597" xr:uid="{00000000-0005-0000-0000-00004C580000}"/>
    <cellStyle name="Obliczenia 2 16 56 2" xfId="22598" xr:uid="{00000000-0005-0000-0000-00004D580000}"/>
    <cellStyle name="Obliczenia 2 16 56 3" xfId="22599" xr:uid="{00000000-0005-0000-0000-00004E580000}"/>
    <cellStyle name="Obliczenia 2 16 57" xfId="22600" xr:uid="{00000000-0005-0000-0000-00004F580000}"/>
    <cellStyle name="Obliczenia 2 16 58" xfId="22601" xr:uid="{00000000-0005-0000-0000-000050580000}"/>
    <cellStyle name="Obliczenia 2 16 6" xfId="22602" xr:uid="{00000000-0005-0000-0000-000051580000}"/>
    <cellStyle name="Obliczenia 2 16 6 2" xfId="22603" xr:uid="{00000000-0005-0000-0000-000052580000}"/>
    <cellStyle name="Obliczenia 2 16 6 3" xfId="22604" xr:uid="{00000000-0005-0000-0000-000053580000}"/>
    <cellStyle name="Obliczenia 2 16 6 4" xfId="22605" xr:uid="{00000000-0005-0000-0000-000054580000}"/>
    <cellStyle name="Obliczenia 2 16 7" xfId="22606" xr:uid="{00000000-0005-0000-0000-000055580000}"/>
    <cellStyle name="Obliczenia 2 16 7 2" xfId="22607" xr:uid="{00000000-0005-0000-0000-000056580000}"/>
    <cellStyle name="Obliczenia 2 16 7 3" xfId="22608" xr:uid="{00000000-0005-0000-0000-000057580000}"/>
    <cellStyle name="Obliczenia 2 16 7 4" xfId="22609" xr:uid="{00000000-0005-0000-0000-000058580000}"/>
    <cellStyle name="Obliczenia 2 16 8" xfId="22610" xr:uid="{00000000-0005-0000-0000-000059580000}"/>
    <cellStyle name="Obliczenia 2 16 8 2" xfId="22611" xr:uid="{00000000-0005-0000-0000-00005A580000}"/>
    <cellStyle name="Obliczenia 2 16 8 3" xfId="22612" xr:uid="{00000000-0005-0000-0000-00005B580000}"/>
    <cellStyle name="Obliczenia 2 16 8 4" xfId="22613" xr:uid="{00000000-0005-0000-0000-00005C580000}"/>
    <cellStyle name="Obliczenia 2 16 9" xfId="22614" xr:uid="{00000000-0005-0000-0000-00005D580000}"/>
    <cellStyle name="Obliczenia 2 16 9 2" xfId="22615" xr:uid="{00000000-0005-0000-0000-00005E580000}"/>
    <cellStyle name="Obliczenia 2 16 9 3" xfId="22616" xr:uid="{00000000-0005-0000-0000-00005F580000}"/>
    <cellStyle name="Obliczenia 2 16 9 4" xfId="22617" xr:uid="{00000000-0005-0000-0000-000060580000}"/>
    <cellStyle name="Obliczenia 2 17" xfId="22618" xr:uid="{00000000-0005-0000-0000-000061580000}"/>
    <cellStyle name="Obliczenia 2 17 10" xfId="22619" xr:uid="{00000000-0005-0000-0000-000062580000}"/>
    <cellStyle name="Obliczenia 2 17 10 2" xfId="22620" xr:uid="{00000000-0005-0000-0000-000063580000}"/>
    <cellStyle name="Obliczenia 2 17 10 3" xfId="22621" xr:uid="{00000000-0005-0000-0000-000064580000}"/>
    <cellStyle name="Obliczenia 2 17 10 4" xfId="22622" xr:uid="{00000000-0005-0000-0000-000065580000}"/>
    <cellStyle name="Obliczenia 2 17 11" xfId="22623" xr:uid="{00000000-0005-0000-0000-000066580000}"/>
    <cellStyle name="Obliczenia 2 17 11 2" xfId="22624" xr:uid="{00000000-0005-0000-0000-000067580000}"/>
    <cellStyle name="Obliczenia 2 17 11 3" xfId="22625" xr:uid="{00000000-0005-0000-0000-000068580000}"/>
    <cellStyle name="Obliczenia 2 17 11 4" xfId="22626" xr:uid="{00000000-0005-0000-0000-000069580000}"/>
    <cellStyle name="Obliczenia 2 17 12" xfId="22627" xr:uid="{00000000-0005-0000-0000-00006A580000}"/>
    <cellStyle name="Obliczenia 2 17 12 2" xfId="22628" xr:uid="{00000000-0005-0000-0000-00006B580000}"/>
    <cellStyle name="Obliczenia 2 17 12 3" xfId="22629" xr:uid="{00000000-0005-0000-0000-00006C580000}"/>
    <cellStyle name="Obliczenia 2 17 12 4" xfId="22630" xr:uid="{00000000-0005-0000-0000-00006D580000}"/>
    <cellStyle name="Obliczenia 2 17 13" xfId="22631" xr:uid="{00000000-0005-0000-0000-00006E580000}"/>
    <cellStyle name="Obliczenia 2 17 13 2" xfId="22632" xr:uid="{00000000-0005-0000-0000-00006F580000}"/>
    <cellStyle name="Obliczenia 2 17 13 3" xfId="22633" xr:uid="{00000000-0005-0000-0000-000070580000}"/>
    <cellStyle name="Obliczenia 2 17 13 4" xfId="22634" xr:uid="{00000000-0005-0000-0000-000071580000}"/>
    <cellStyle name="Obliczenia 2 17 14" xfId="22635" xr:uid="{00000000-0005-0000-0000-000072580000}"/>
    <cellStyle name="Obliczenia 2 17 14 2" xfId="22636" xr:uid="{00000000-0005-0000-0000-000073580000}"/>
    <cellStyle name="Obliczenia 2 17 14 3" xfId="22637" xr:uid="{00000000-0005-0000-0000-000074580000}"/>
    <cellStyle name="Obliczenia 2 17 14 4" xfId="22638" xr:uid="{00000000-0005-0000-0000-000075580000}"/>
    <cellStyle name="Obliczenia 2 17 15" xfId="22639" xr:uid="{00000000-0005-0000-0000-000076580000}"/>
    <cellStyle name="Obliczenia 2 17 15 2" xfId="22640" xr:uid="{00000000-0005-0000-0000-000077580000}"/>
    <cellStyle name="Obliczenia 2 17 15 3" xfId="22641" xr:uid="{00000000-0005-0000-0000-000078580000}"/>
    <cellStyle name="Obliczenia 2 17 15 4" xfId="22642" xr:uid="{00000000-0005-0000-0000-000079580000}"/>
    <cellStyle name="Obliczenia 2 17 16" xfId="22643" xr:uid="{00000000-0005-0000-0000-00007A580000}"/>
    <cellStyle name="Obliczenia 2 17 16 2" xfId="22644" xr:uid="{00000000-0005-0000-0000-00007B580000}"/>
    <cellStyle name="Obliczenia 2 17 16 3" xfId="22645" xr:uid="{00000000-0005-0000-0000-00007C580000}"/>
    <cellStyle name="Obliczenia 2 17 16 4" xfId="22646" xr:uid="{00000000-0005-0000-0000-00007D580000}"/>
    <cellStyle name="Obliczenia 2 17 17" xfId="22647" xr:uid="{00000000-0005-0000-0000-00007E580000}"/>
    <cellStyle name="Obliczenia 2 17 17 2" xfId="22648" xr:uid="{00000000-0005-0000-0000-00007F580000}"/>
    <cellStyle name="Obliczenia 2 17 17 3" xfId="22649" xr:uid="{00000000-0005-0000-0000-000080580000}"/>
    <cellStyle name="Obliczenia 2 17 17 4" xfId="22650" xr:uid="{00000000-0005-0000-0000-000081580000}"/>
    <cellStyle name="Obliczenia 2 17 18" xfId="22651" xr:uid="{00000000-0005-0000-0000-000082580000}"/>
    <cellStyle name="Obliczenia 2 17 18 2" xfId="22652" xr:uid="{00000000-0005-0000-0000-000083580000}"/>
    <cellStyle name="Obliczenia 2 17 18 3" xfId="22653" xr:uid="{00000000-0005-0000-0000-000084580000}"/>
    <cellStyle name="Obliczenia 2 17 18 4" xfId="22654" xr:uid="{00000000-0005-0000-0000-000085580000}"/>
    <cellStyle name="Obliczenia 2 17 19" xfId="22655" xr:uid="{00000000-0005-0000-0000-000086580000}"/>
    <cellStyle name="Obliczenia 2 17 19 2" xfId="22656" xr:uid="{00000000-0005-0000-0000-000087580000}"/>
    <cellStyle name="Obliczenia 2 17 19 3" xfId="22657" xr:uid="{00000000-0005-0000-0000-000088580000}"/>
    <cellStyle name="Obliczenia 2 17 19 4" xfId="22658" xr:uid="{00000000-0005-0000-0000-000089580000}"/>
    <cellStyle name="Obliczenia 2 17 2" xfId="22659" xr:uid="{00000000-0005-0000-0000-00008A580000}"/>
    <cellStyle name="Obliczenia 2 17 2 2" xfId="22660" xr:uid="{00000000-0005-0000-0000-00008B580000}"/>
    <cellStyle name="Obliczenia 2 17 2 3" xfId="22661" xr:uid="{00000000-0005-0000-0000-00008C580000}"/>
    <cellStyle name="Obliczenia 2 17 2 4" xfId="22662" xr:uid="{00000000-0005-0000-0000-00008D580000}"/>
    <cellStyle name="Obliczenia 2 17 20" xfId="22663" xr:uid="{00000000-0005-0000-0000-00008E580000}"/>
    <cellStyle name="Obliczenia 2 17 20 2" xfId="22664" xr:uid="{00000000-0005-0000-0000-00008F580000}"/>
    <cellStyle name="Obliczenia 2 17 20 3" xfId="22665" xr:uid="{00000000-0005-0000-0000-000090580000}"/>
    <cellStyle name="Obliczenia 2 17 20 4" xfId="22666" xr:uid="{00000000-0005-0000-0000-000091580000}"/>
    <cellStyle name="Obliczenia 2 17 21" xfId="22667" xr:uid="{00000000-0005-0000-0000-000092580000}"/>
    <cellStyle name="Obliczenia 2 17 21 2" xfId="22668" xr:uid="{00000000-0005-0000-0000-000093580000}"/>
    <cellStyle name="Obliczenia 2 17 21 3" xfId="22669" xr:uid="{00000000-0005-0000-0000-000094580000}"/>
    <cellStyle name="Obliczenia 2 17 22" xfId="22670" xr:uid="{00000000-0005-0000-0000-000095580000}"/>
    <cellStyle name="Obliczenia 2 17 22 2" xfId="22671" xr:uid="{00000000-0005-0000-0000-000096580000}"/>
    <cellStyle name="Obliczenia 2 17 22 3" xfId="22672" xr:uid="{00000000-0005-0000-0000-000097580000}"/>
    <cellStyle name="Obliczenia 2 17 23" xfId="22673" xr:uid="{00000000-0005-0000-0000-000098580000}"/>
    <cellStyle name="Obliczenia 2 17 23 2" xfId="22674" xr:uid="{00000000-0005-0000-0000-000099580000}"/>
    <cellStyle name="Obliczenia 2 17 23 3" xfId="22675" xr:uid="{00000000-0005-0000-0000-00009A580000}"/>
    <cellStyle name="Obliczenia 2 17 24" xfId="22676" xr:uid="{00000000-0005-0000-0000-00009B580000}"/>
    <cellStyle name="Obliczenia 2 17 24 2" xfId="22677" xr:uid="{00000000-0005-0000-0000-00009C580000}"/>
    <cellStyle name="Obliczenia 2 17 24 3" xfId="22678" xr:uid="{00000000-0005-0000-0000-00009D580000}"/>
    <cellStyle name="Obliczenia 2 17 25" xfId="22679" xr:uid="{00000000-0005-0000-0000-00009E580000}"/>
    <cellStyle name="Obliczenia 2 17 25 2" xfId="22680" xr:uid="{00000000-0005-0000-0000-00009F580000}"/>
    <cellStyle name="Obliczenia 2 17 25 3" xfId="22681" xr:uid="{00000000-0005-0000-0000-0000A0580000}"/>
    <cellStyle name="Obliczenia 2 17 26" xfId="22682" xr:uid="{00000000-0005-0000-0000-0000A1580000}"/>
    <cellStyle name="Obliczenia 2 17 26 2" xfId="22683" xr:uid="{00000000-0005-0000-0000-0000A2580000}"/>
    <cellStyle name="Obliczenia 2 17 26 3" xfId="22684" xr:uid="{00000000-0005-0000-0000-0000A3580000}"/>
    <cellStyle name="Obliczenia 2 17 27" xfId="22685" xr:uid="{00000000-0005-0000-0000-0000A4580000}"/>
    <cellStyle name="Obliczenia 2 17 27 2" xfId="22686" xr:uid="{00000000-0005-0000-0000-0000A5580000}"/>
    <cellStyle name="Obliczenia 2 17 27 3" xfId="22687" xr:uid="{00000000-0005-0000-0000-0000A6580000}"/>
    <cellStyle name="Obliczenia 2 17 28" xfId="22688" xr:uid="{00000000-0005-0000-0000-0000A7580000}"/>
    <cellStyle name="Obliczenia 2 17 28 2" xfId="22689" xr:uid="{00000000-0005-0000-0000-0000A8580000}"/>
    <cellStyle name="Obliczenia 2 17 28 3" xfId="22690" xr:uid="{00000000-0005-0000-0000-0000A9580000}"/>
    <cellStyle name="Obliczenia 2 17 29" xfId="22691" xr:uid="{00000000-0005-0000-0000-0000AA580000}"/>
    <cellStyle name="Obliczenia 2 17 29 2" xfId="22692" xr:uid="{00000000-0005-0000-0000-0000AB580000}"/>
    <cellStyle name="Obliczenia 2 17 29 3" xfId="22693" xr:uid="{00000000-0005-0000-0000-0000AC580000}"/>
    <cellStyle name="Obliczenia 2 17 3" xfId="22694" xr:uid="{00000000-0005-0000-0000-0000AD580000}"/>
    <cellStyle name="Obliczenia 2 17 3 2" xfId="22695" xr:uid="{00000000-0005-0000-0000-0000AE580000}"/>
    <cellStyle name="Obliczenia 2 17 3 3" xfId="22696" xr:uid="{00000000-0005-0000-0000-0000AF580000}"/>
    <cellStyle name="Obliczenia 2 17 3 4" xfId="22697" xr:uid="{00000000-0005-0000-0000-0000B0580000}"/>
    <cellStyle name="Obliczenia 2 17 30" xfId="22698" xr:uid="{00000000-0005-0000-0000-0000B1580000}"/>
    <cellStyle name="Obliczenia 2 17 30 2" xfId="22699" xr:uid="{00000000-0005-0000-0000-0000B2580000}"/>
    <cellStyle name="Obliczenia 2 17 30 3" xfId="22700" xr:uid="{00000000-0005-0000-0000-0000B3580000}"/>
    <cellStyle name="Obliczenia 2 17 31" xfId="22701" xr:uid="{00000000-0005-0000-0000-0000B4580000}"/>
    <cellStyle name="Obliczenia 2 17 31 2" xfId="22702" xr:uid="{00000000-0005-0000-0000-0000B5580000}"/>
    <cellStyle name="Obliczenia 2 17 31 3" xfId="22703" xr:uid="{00000000-0005-0000-0000-0000B6580000}"/>
    <cellStyle name="Obliczenia 2 17 32" xfId="22704" xr:uid="{00000000-0005-0000-0000-0000B7580000}"/>
    <cellStyle name="Obliczenia 2 17 32 2" xfId="22705" xr:uid="{00000000-0005-0000-0000-0000B8580000}"/>
    <cellStyle name="Obliczenia 2 17 32 3" xfId="22706" xr:uid="{00000000-0005-0000-0000-0000B9580000}"/>
    <cellStyle name="Obliczenia 2 17 33" xfId="22707" xr:uid="{00000000-0005-0000-0000-0000BA580000}"/>
    <cellStyle name="Obliczenia 2 17 33 2" xfId="22708" xr:uid="{00000000-0005-0000-0000-0000BB580000}"/>
    <cellStyle name="Obliczenia 2 17 33 3" xfId="22709" xr:uid="{00000000-0005-0000-0000-0000BC580000}"/>
    <cellStyle name="Obliczenia 2 17 34" xfId="22710" xr:uid="{00000000-0005-0000-0000-0000BD580000}"/>
    <cellStyle name="Obliczenia 2 17 34 2" xfId="22711" xr:uid="{00000000-0005-0000-0000-0000BE580000}"/>
    <cellStyle name="Obliczenia 2 17 34 3" xfId="22712" xr:uid="{00000000-0005-0000-0000-0000BF580000}"/>
    <cellStyle name="Obliczenia 2 17 35" xfId="22713" xr:uid="{00000000-0005-0000-0000-0000C0580000}"/>
    <cellStyle name="Obliczenia 2 17 35 2" xfId="22714" xr:uid="{00000000-0005-0000-0000-0000C1580000}"/>
    <cellStyle name="Obliczenia 2 17 35 3" xfId="22715" xr:uid="{00000000-0005-0000-0000-0000C2580000}"/>
    <cellStyle name="Obliczenia 2 17 36" xfId="22716" xr:uid="{00000000-0005-0000-0000-0000C3580000}"/>
    <cellStyle name="Obliczenia 2 17 36 2" xfId="22717" xr:uid="{00000000-0005-0000-0000-0000C4580000}"/>
    <cellStyle name="Obliczenia 2 17 36 3" xfId="22718" xr:uid="{00000000-0005-0000-0000-0000C5580000}"/>
    <cellStyle name="Obliczenia 2 17 37" xfId="22719" xr:uid="{00000000-0005-0000-0000-0000C6580000}"/>
    <cellStyle name="Obliczenia 2 17 37 2" xfId="22720" xr:uid="{00000000-0005-0000-0000-0000C7580000}"/>
    <cellStyle name="Obliczenia 2 17 37 3" xfId="22721" xr:uid="{00000000-0005-0000-0000-0000C8580000}"/>
    <cellStyle name="Obliczenia 2 17 38" xfId="22722" xr:uid="{00000000-0005-0000-0000-0000C9580000}"/>
    <cellStyle name="Obliczenia 2 17 38 2" xfId="22723" xr:uid="{00000000-0005-0000-0000-0000CA580000}"/>
    <cellStyle name="Obliczenia 2 17 38 3" xfId="22724" xr:uid="{00000000-0005-0000-0000-0000CB580000}"/>
    <cellStyle name="Obliczenia 2 17 39" xfId="22725" xr:uid="{00000000-0005-0000-0000-0000CC580000}"/>
    <cellStyle name="Obliczenia 2 17 39 2" xfId="22726" xr:uid="{00000000-0005-0000-0000-0000CD580000}"/>
    <cellStyle name="Obliczenia 2 17 39 3" xfId="22727" xr:uid="{00000000-0005-0000-0000-0000CE580000}"/>
    <cellStyle name="Obliczenia 2 17 4" xfId="22728" xr:uid="{00000000-0005-0000-0000-0000CF580000}"/>
    <cellStyle name="Obliczenia 2 17 4 2" xfId="22729" xr:uid="{00000000-0005-0000-0000-0000D0580000}"/>
    <cellStyle name="Obliczenia 2 17 4 3" xfId="22730" xr:uid="{00000000-0005-0000-0000-0000D1580000}"/>
    <cellStyle name="Obliczenia 2 17 4 4" xfId="22731" xr:uid="{00000000-0005-0000-0000-0000D2580000}"/>
    <cellStyle name="Obliczenia 2 17 40" xfId="22732" xr:uid="{00000000-0005-0000-0000-0000D3580000}"/>
    <cellStyle name="Obliczenia 2 17 40 2" xfId="22733" xr:uid="{00000000-0005-0000-0000-0000D4580000}"/>
    <cellStyle name="Obliczenia 2 17 40 3" xfId="22734" xr:uid="{00000000-0005-0000-0000-0000D5580000}"/>
    <cellStyle name="Obliczenia 2 17 41" xfId="22735" xr:uid="{00000000-0005-0000-0000-0000D6580000}"/>
    <cellStyle name="Obliczenia 2 17 41 2" xfId="22736" xr:uid="{00000000-0005-0000-0000-0000D7580000}"/>
    <cellStyle name="Obliczenia 2 17 41 3" xfId="22737" xr:uid="{00000000-0005-0000-0000-0000D8580000}"/>
    <cellStyle name="Obliczenia 2 17 42" xfId="22738" xr:uid="{00000000-0005-0000-0000-0000D9580000}"/>
    <cellStyle name="Obliczenia 2 17 42 2" xfId="22739" xr:uid="{00000000-0005-0000-0000-0000DA580000}"/>
    <cellStyle name="Obliczenia 2 17 42 3" xfId="22740" xr:uid="{00000000-0005-0000-0000-0000DB580000}"/>
    <cellStyle name="Obliczenia 2 17 43" xfId="22741" xr:uid="{00000000-0005-0000-0000-0000DC580000}"/>
    <cellStyle name="Obliczenia 2 17 43 2" xfId="22742" xr:uid="{00000000-0005-0000-0000-0000DD580000}"/>
    <cellStyle name="Obliczenia 2 17 43 3" xfId="22743" xr:uid="{00000000-0005-0000-0000-0000DE580000}"/>
    <cellStyle name="Obliczenia 2 17 44" xfId="22744" xr:uid="{00000000-0005-0000-0000-0000DF580000}"/>
    <cellStyle name="Obliczenia 2 17 44 2" xfId="22745" xr:uid="{00000000-0005-0000-0000-0000E0580000}"/>
    <cellStyle name="Obliczenia 2 17 44 3" xfId="22746" xr:uid="{00000000-0005-0000-0000-0000E1580000}"/>
    <cellStyle name="Obliczenia 2 17 45" xfId="22747" xr:uid="{00000000-0005-0000-0000-0000E2580000}"/>
    <cellStyle name="Obliczenia 2 17 45 2" xfId="22748" xr:uid="{00000000-0005-0000-0000-0000E3580000}"/>
    <cellStyle name="Obliczenia 2 17 45 3" xfId="22749" xr:uid="{00000000-0005-0000-0000-0000E4580000}"/>
    <cellStyle name="Obliczenia 2 17 46" xfId="22750" xr:uid="{00000000-0005-0000-0000-0000E5580000}"/>
    <cellStyle name="Obliczenia 2 17 46 2" xfId="22751" xr:uid="{00000000-0005-0000-0000-0000E6580000}"/>
    <cellStyle name="Obliczenia 2 17 46 3" xfId="22752" xr:uid="{00000000-0005-0000-0000-0000E7580000}"/>
    <cellStyle name="Obliczenia 2 17 47" xfId="22753" xr:uid="{00000000-0005-0000-0000-0000E8580000}"/>
    <cellStyle name="Obliczenia 2 17 47 2" xfId="22754" xr:uid="{00000000-0005-0000-0000-0000E9580000}"/>
    <cellStyle name="Obliczenia 2 17 47 3" xfId="22755" xr:uid="{00000000-0005-0000-0000-0000EA580000}"/>
    <cellStyle name="Obliczenia 2 17 48" xfId="22756" xr:uid="{00000000-0005-0000-0000-0000EB580000}"/>
    <cellStyle name="Obliczenia 2 17 48 2" xfId="22757" xr:uid="{00000000-0005-0000-0000-0000EC580000}"/>
    <cellStyle name="Obliczenia 2 17 48 3" xfId="22758" xr:uid="{00000000-0005-0000-0000-0000ED580000}"/>
    <cellStyle name="Obliczenia 2 17 49" xfId="22759" xr:uid="{00000000-0005-0000-0000-0000EE580000}"/>
    <cellStyle name="Obliczenia 2 17 49 2" xfId="22760" xr:uid="{00000000-0005-0000-0000-0000EF580000}"/>
    <cellStyle name="Obliczenia 2 17 49 3" xfId="22761" xr:uid="{00000000-0005-0000-0000-0000F0580000}"/>
    <cellStyle name="Obliczenia 2 17 5" xfId="22762" xr:uid="{00000000-0005-0000-0000-0000F1580000}"/>
    <cellStyle name="Obliczenia 2 17 5 2" xfId="22763" xr:uid="{00000000-0005-0000-0000-0000F2580000}"/>
    <cellStyle name="Obliczenia 2 17 5 3" xfId="22764" xr:uid="{00000000-0005-0000-0000-0000F3580000}"/>
    <cellStyle name="Obliczenia 2 17 5 4" xfId="22765" xr:uid="{00000000-0005-0000-0000-0000F4580000}"/>
    <cellStyle name="Obliczenia 2 17 50" xfId="22766" xr:uid="{00000000-0005-0000-0000-0000F5580000}"/>
    <cellStyle name="Obliczenia 2 17 50 2" xfId="22767" xr:uid="{00000000-0005-0000-0000-0000F6580000}"/>
    <cellStyle name="Obliczenia 2 17 50 3" xfId="22768" xr:uid="{00000000-0005-0000-0000-0000F7580000}"/>
    <cellStyle name="Obliczenia 2 17 51" xfId="22769" xr:uid="{00000000-0005-0000-0000-0000F8580000}"/>
    <cellStyle name="Obliczenia 2 17 51 2" xfId="22770" xr:uid="{00000000-0005-0000-0000-0000F9580000}"/>
    <cellStyle name="Obliczenia 2 17 51 3" xfId="22771" xr:uid="{00000000-0005-0000-0000-0000FA580000}"/>
    <cellStyle name="Obliczenia 2 17 52" xfId="22772" xr:uid="{00000000-0005-0000-0000-0000FB580000}"/>
    <cellStyle name="Obliczenia 2 17 52 2" xfId="22773" xr:uid="{00000000-0005-0000-0000-0000FC580000}"/>
    <cellStyle name="Obliczenia 2 17 52 3" xfId="22774" xr:uid="{00000000-0005-0000-0000-0000FD580000}"/>
    <cellStyle name="Obliczenia 2 17 53" xfId="22775" xr:uid="{00000000-0005-0000-0000-0000FE580000}"/>
    <cellStyle name="Obliczenia 2 17 53 2" xfId="22776" xr:uid="{00000000-0005-0000-0000-0000FF580000}"/>
    <cellStyle name="Obliczenia 2 17 53 3" xfId="22777" xr:uid="{00000000-0005-0000-0000-000000590000}"/>
    <cellStyle name="Obliczenia 2 17 54" xfId="22778" xr:uid="{00000000-0005-0000-0000-000001590000}"/>
    <cellStyle name="Obliczenia 2 17 54 2" xfId="22779" xr:uid="{00000000-0005-0000-0000-000002590000}"/>
    <cellStyle name="Obliczenia 2 17 54 3" xfId="22780" xr:uid="{00000000-0005-0000-0000-000003590000}"/>
    <cellStyle name="Obliczenia 2 17 55" xfId="22781" xr:uid="{00000000-0005-0000-0000-000004590000}"/>
    <cellStyle name="Obliczenia 2 17 55 2" xfId="22782" xr:uid="{00000000-0005-0000-0000-000005590000}"/>
    <cellStyle name="Obliczenia 2 17 55 3" xfId="22783" xr:uid="{00000000-0005-0000-0000-000006590000}"/>
    <cellStyle name="Obliczenia 2 17 56" xfId="22784" xr:uid="{00000000-0005-0000-0000-000007590000}"/>
    <cellStyle name="Obliczenia 2 17 56 2" xfId="22785" xr:uid="{00000000-0005-0000-0000-000008590000}"/>
    <cellStyle name="Obliczenia 2 17 56 3" xfId="22786" xr:uid="{00000000-0005-0000-0000-000009590000}"/>
    <cellStyle name="Obliczenia 2 17 57" xfId="22787" xr:uid="{00000000-0005-0000-0000-00000A590000}"/>
    <cellStyle name="Obliczenia 2 17 58" xfId="22788" xr:uid="{00000000-0005-0000-0000-00000B590000}"/>
    <cellStyle name="Obliczenia 2 17 6" xfId="22789" xr:uid="{00000000-0005-0000-0000-00000C590000}"/>
    <cellStyle name="Obliczenia 2 17 6 2" xfId="22790" xr:uid="{00000000-0005-0000-0000-00000D590000}"/>
    <cellStyle name="Obliczenia 2 17 6 3" xfId="22791" xr:uid="{00000000-0005-0000-0000-00000E590000}"/>
    <cellStyle name="Obliczenia 2 17 6 4" xfId="22792" xr:uid="{00000000-0005-0000-0000-00000F590000}"/>
    <cellStyle name="Obliczenia 2 17 7" xfId="22793" xr:uid="{00000000-0005-0000-0000-000010590000}"/>
    <cellStyle name="Obliczenia 2 17 7 2" xfId="22794" xr:uid="{00000000-0005-0000-0000-000011590000}"/>
    <cellStyle name="Obliczenia 2 17 7 3" xfId="22795" xr:uid="{00000000-0005-0000-0000-000012590000}"/>
    <cellStyle name="Obliczenia 2 17 7 4" xfId="22796" xr:uid="{00000000-0005-0000-0000-000013590000}"/>
    <cellStyle name="Obliczenia 2 17 8" xfId="22797" xr:uid="{00000000-0005-0000-0000-000014590000}"/>
    <cellStyle name="Obliczenia 2 17 8 2" xfId="22798" xr:uid="{00000000-0005-0000-0000-000015590000}"/>
    <cellStyle name="Obliczenia 2 17 8 3" xfId="22799" xr:uid="{00000000-0005-0000-0000-000016590000}"/>
    <cellStyle name="Obliczenia 2 17 8 4" xfId="22800" xr:uid="{00000000-0005-0000-0000-000017590000}"/>
    <cellStyle name="Obliczenia 2 17 9" xfId="22801" xr:uid="{00000000-0005-0000-0000-000018590000}"/>
    <cellStyle name="Obliczenia 2 17 9 2" xfId="22802" xr:uid="{00000000-0005-0000-0000-000019590000}"/>
    <cellStyle name="Obliczenia 2 17 9 3" xfId="22803" xr:uid="{00000000-0005-0000-0000-00001A590000}"/>
    <cellStyle name="Obliczenia 2 17 9 4" xfId="22804" xr:uid="{00000000-0005-0000-0000-00001B590000}"/>
    <cellStyle name="Obliczenia 2 18" xfId="22805" xr:uid="{00000000-0005-0000-0000-00001C590000}"/>
    <cellStyle name="Obliczenia 2 18 10" xfId="22806" xr:uid="{00000000-0005-0000-0000-00001D590000}"/>
    <cellStyle name="Obliczenia 2 18 10 2" xfId="22807" xr:uid="{00000000-0005-0000-0000-00001E590000}"/>
    <cellStyle name="Obliczenia 2 18 10 3" xfId="22808" xr:uid="{00000000-0005-0000-0000-00001F590000}"/>
    <cellStyle name="Obliczenia 2 18 10 4" xfId="22809" xr:uid="{00000000-0005-0000-0000-000020590000}"/>
    <cellStyle name="Obliczenia 2 18 11" xfId="22810" xr:uid="{00000000-0005-0000-0000-000021590000}"/>
    <cellStyle name="Obliczenia 2 18 11 2" xfId="22811" xr:uid="{00000000-0005-0000-0000-000022590000}"/>
    <cellStyle name="Obliczenia 2 18 11 3" xfId="22812" xr:uid="{00000000-0005-0000-0000-000023590000}"/>
    <cellStyle name="Obliczenia 2 18 11 4" xfId="22813" xr:uid="{00000000-0005-0000-0000-000024590000}"/>
    <cellStyle name="Obliczenia 2 18 12" xfId="22814" xr:uid="{00000000-0005-0000-0000-000025590000}"/>
    <cellStyle name="Obliczenia 2 18 12 2" xfId="22815" xr:uid="{00000000-0005-0000-0000-000026590000}"/>
    <cellStyle name="Obliczenia 2 18 12 3" xfId="22816" xr:uid="{00000000-0005-0000-0000-000027590000}"/>
    <cellStyle name="Obliczenia 2 18 12 4" xfId="22817" xr:uid="{00000000-0005-0000-0000-000028590000}"/>
    <cellStyle name="Obliczenia 2 18 13" xfId="22818" xr:uid="{00000000-0005-0000-0000-000029590000}"/>
    <cellStyle name="Obliczenia 2 18 13 2" xfId="22819" xr:uid="{00000000-0005-0000-0000-00002A590000}"/>
    <cellStyle name="Obliczenia 2 18 13 3" xfId="22820" xr:uid="{00000000-0005-0000-0000-00002B590000}"/>
    <cellStyle name="Obliczenia 2 18 13 4" xfId="22821" xr:uid="{00000000-0005-0000-0000-00002C590000}"/>
    <cellStyle name="Obliczenia 2 18 14" xfId="22822" xr:uid="{00000000-0005-0000-0000-00002D590000}"/>
    <cellStyle name="Obliczenia 2 18 14 2" xfId="22823" xr:uid="{00000000-0005-0000-0000-00002E590000}"/>
    <cellStyle name="Obliczenia 2 18 14 3" xfId="22824" xr:uid="{00000000-0005-0000-0000-00002F590000}"/>
    <cellStyle name="Obliczenia 2 18 14 4" xfId="22825" xr:uid="{00000000-0005-0000-0000-000030590000}"/>
    <cellStyle name="Obliczenia 2 18 15" xfId="22826" xr:uid="{00000000-0005-0000-0000-000031590000}"/>
    <cellStyle name="Obliczenia 2 18 15 2" xfId="22827" xr:uid="{00000000-0005-0000-0000-000032590000}"/>
    <cellStyle name="Obliczenia 2 18 15 3" xfId="22828" xr:uid="{00000000-0005-0000-0000-000033590000}"/>
    <cellStyle name="Obliczenia 2 18 15 4" xfId="22829" xr:uid="{00000000-0005-0000-0000-000034590000}"/>
    <cellStyle name="Obliczenia 2 18 16" xfId="22830" xr:uid="{00000000-0005-0000-0000-000035590000}"/>
    <cellStyle name="Obliczenia 2 18 16 2" xfId="22831" xr:uid="{00000000-0005-0000-0000-000036590000}"/>
    <cellStyle name="Obliczenia 2 18 16 3" xfId="22832" xr:uid="{00000000-0005-0000-0000-000037590000}"/>
    <cellStyle name="Obliczenia 2 18 16 4" xfId="22833" xr:uid="{00000000-0005-0000-0000-000038590000}"/>
    <cellStyle name="Obliczenia 2 18 17" xfId="22834" xr:uid="{00000000-0005-0000-0000-000039590000}"/>
    <cellStyle name="Obliczenia 2 18 17 2" xfId="22835" xr:uid="{00000000-0005-0000-0000-00003A590000}"/>
    <cellStyle name="Obliczenia 2 18 17 3" xfId="22836" xr:uid="{00000000-0005-0000-0000-00003B590000}"/>
    <cellStyle name="Obliczenia 2 18 17 4" xfId="22837" xr:uid="{00000000-0005-0000-0000-00003C590000}"/>
    <cellStyle name="Obliczenia 2 18 18" xfId="22838" xr:uid="{00000000-0005-0000-0000-00003D590000}"/>
    <cellStyle name="Obliczenia 2 18 18 2" xfId="22839" xr:uid="{00000000-0005-0000-0000-00003E590000}"/>
    <cellStyle name="Obliczenia 2 18 18 3" xfId="22840" xr:uid="{00000000-0005-0000-0000-00003F590000}"/>
    <cellStyle name="Obliczenia 2 18 18 4" xfId="22841" xr:uid="{00000000-0005-0000-0000-000040590000}"/>
    <cellStyle name="Obliczenia 2 18 19" xfId="22842" xr:uid="{00000000-0005-0000-0000-000041590000}"/>
    <cellStyle name="Obliczenia 2 18 19 2" xfId="22843" xr:uid="{00000000-0005-0000-0000-000042590000}"/>
    <cellStyle name="Obliczenia 2 18 19 3" xfId="22844" xr:uid="{00000000-0005-0000-0000-000043590000}"/>
    <cellStyle name="Obliczenia 2 18 19 4" xfId="22845" xr:uid="{00000000-0005-0000-0000-000044590000}"/>
    <cellStyle name="Obliczenia 2 18 2" xfId="22846" xr:uid="{00000000-0005-0000-0000-000045590000}"/>
    <cellStyle name="Obliczenia 2 18 2 2" xfId="22847" xr:uid="{00000000-0005-0000-0000-000046590000}"/>
    <cellStyle name="Obliczenia 2 18 2 3" xfId="22848" xr:uid="{00000000-0005-0000-0000-000047590000}"/>
    <cellStyle name="Obliczenia 2 18 2 4" xfId="22849" xr:uid="{00000000-0005-0000-0000-000048590000}"/>
    <cellStyle name="Obliczenia 2 18 20" xfId="22850" xr:uid="{00000000-0005-0000-0000-000049590000}"/>
    <cellStyle name="Obliczenia 2 18 20 2" xfId="22851" xr:uid="{00000000-0005-0000-0000-00004A590000}"/>
    <cellStyle name="Obliczenia 2 18 20 3" xfId="22852" xr:uid="{00000000-0005-0000-0000-00004B590000}"/>
    <cellStyle name="Obliczenia 2 18 20 4" xfId="22853" xr:uid="{00000000-0005-0000-0000-00004C590000}"/>
    <cellStyle name="Obliczenia 2 18 21" xfId="22854" xr:uid="{00000000-0005-0000-0000-00004D590000}"/>
    <cellStyle name="Obliczenia 2 18 21 2" xfId="22855" xr:uid="{00000000-0005-0000-0000-00004E590000}"/>
    <cellStyle name="Obliczenia 2 18 21 3" xfId="22856" xr:uid="{00000000-0005-0000-0000-00004F590000}"/>
    <cellStyle name="Obliczenia 2 18 22" xfId="22857" xr:uid="{00000000-0005-0000-0000-000050590000}"/>
    <cellStyle name="Obliczenia 2 18 22 2" xfId="22858" xr:uid="{00000000-0005-0000-0000-000051590000}"/>
    <cellStyle name="Obliczenia 2 18 22 3" xfId="22859" xr:uid="{00000000-0005-0000-0000-000052590000}"/>
    <cellStyle name="Obliczenia 2 18 23" xfId="22860" xr:uid="{00000000-0005-0000-0000-000053590000}"/>
    <cellStyle name="Obliczenia 2 18 23 2" xfId="22861" xr:uid="{00000000-0005-0000-0000-000054590000}"/>
    <cellStyle name="Obliczenia 2 18 23 3" xfId="22862" xr:uid="{00000000-0005-0000-0000-000055590000}"/>
    <cellStyle name="Obliczenia 2 18 24" xfId="22863" xr:uid="{00000000-0005-0000-0000-000056590000}"/>
    <cellStyle name="Obliczenia 2 18 24 2" xfId="22864" xr:uid="{00000000-0005-0000-0000-000057590000}"/>
    <cellStyle name="Obliczenia 2 18 24 3" xfId="22865" xr:uid="{00000000-0005-0000-0000-000058590000}"/>
    <cellStyle name="Obliczenia 2 18 25" xfId="22866" xr:uid="{00000000-0005-0000-0000-000059590000}"/>
    <cellStyle name="Obliczenia 2 18 25 2" xfId="22867" xr:uid="{00000000-0005-0000-0000-00005A590000}"/>
    <cellStyle name="Obliczenia 2 18 25 3" xfId="22868" xr:uid="{00000000-0005-0000-0000-00005B590000}"/>
    <cellStyle name="Obliczenia 2 18 26" xfId="22869" xr:uid="{00000000-0005-0000-0000-00005C590000}"/>
    <cellStyle name="Obliczenia 2 18 26 2" xfId="22870" xr:uid="{00000000-0005-0000-0000-00005D590000}"/>
    <cellStyle name="Obliczenia 2 18 26 3" xfId="22871" xr:uid="{00000000-0005-0000-0000-00005E590000}"/>
    <cellStyle name="Obliczenia 2 18 27" xfId="22872" xr:uid="{00000000-0005-0000-0000-00005F590000}"/>
    <cellStyle name="Obliczenia 2 18 27 2" xfId="22873" xr:uid="{00000000-0005-0000-0000-000060590000}"/>
    <cellStyle name="Obliczenia 2 18 27 3" xfId="22874" xr:uid="{00000000-0005-0000-0000-000061590000}"/>
    <cellStyle name="Obliczenia 2 18 28" xfId="22875" xr:uid="{00000000-0005-0000-0000-000062590000}"/>
    <cellStyle name="Obliczenia 2 18 28 2" xfId="22876" xr:uid="{00000000-0005-0000-0000-000063590000}"/>
    <cellStyle name="Obliczenia 2 18 28 3" xfId="22877" xr:uid="{00000000-0005-0000-0000-000064590000}"/>
    <cellStyle name="Obliczenia 2 18 29" xfId="22878" xr:uid="{00000000-0005-0000-0000-000065590000}"/>
    <cellStyle name="Obliczenia 2 18 29 2" xfId="22879" xr:uid="{00000000-0005-0000-0000-000066590000}"/>
    <cellStyle name="Obliczenia 2 18 29 3" xfId="22880" xr:uid="{00000000-0005-0000-0000-000067590000}"/>
    <cellStyle name="Obliczenia 2 18 3" xfId="22881" xr:uid="{00000000-0005-0000-0000-000068590000}"/>
    <cellStyle name="Obliczenia 2 18 3 2" xfId="22882" xr:uid="{00000000-0005-0000-0000-000069590000}"/>
    <cellStyle name="Obliczenia 2 18 3 3" xfId="22883" xr:uid="{00000000-0005-0000-0000-00006A590000}"/>
    <cellStyle name="Obliczenia 2 18 3 4" xfId="22884" xr:uid="{00000000-0005-0000-0000-00006B590000}"/>
    <cellStyle name="Obliczenia 2 18 30" xfId="22885" xr:uid="{00000000-0005-0000-0000-00006C590000}"/>
    <cellStyle name="Obliczenia 2 18 30 2" xfId="22886" xr:uid="{00000000-0005-0000-0000-00006D590000}"/>
    <cellStyle name="Obliczenia 2 18 30 3" xfId="22887" xr:uid="{00000000-0005-0000-0000-00006E590000}"/>
    <cellStyle name="Obliczenia 2 18 31" xfId="22888" xr:uid="{00000000-0005-0000-0000-00006F590000}"/>
    <cellStyle name="Obliczenia 2 18 31 2" xfId="22889" xr:uid="{00000000-0005-0000-0000-000070590000}"/>
    <cellStyle name="Obliczenia 2 18 31 3" xfId="22890" xr:uid="{00000000-0005-0000-0000-000071590000}"/>
    <cellStyle name="Obliczenia 2 18 32" xfId="22891" xr:uid="{00000000-0005-0000-0000-000072590000}"/>
    <cellStyle name="Obliczenia 2 18 32 2" xfId="22892" xr:uid="{00000000-0005-0000-0000-000073590000}"/>
    <cellStyle name="Obliczenia 2 18 32 3" xfId="22893" xr:uid="{00000000-0005-0000-0000-000074590000}"/>
    <cellStyle name="Obliczenia 2 18 33" xfId="22894" xr:uid="{00000000-0005-0000-0000-000075590000}"/>
    <cellStyle name="Obliczenia 2 18 33 2" xfId="22895" xr:uid="{00000000-0005-0000-0000-000076590000}"/>
    <cellStyle name="Obliczenia 2 18 33 3" xfId="22896" xr:uid="{00000000-0005-0000-0000-000077590000}"/>
    <cellStyle name="Obliczenia 2 18 34" xfId="22897" xr:uid="{00000000-0005-0000-0000-000078590000}"/>
    <cellStyle name="Obliczenia 2 18 34 2" xfId="22898" xr:uid="{00000000-0005-0000-0000-000079590000}"/>
    <cellStyle name="Obliczenia 2 18 34 3" xfId="22899" xr:uid="{00000000-0005-0000-0000-00007A590000}"/>
    <cellStyle name="Obliczenia 2 18 35" xfId="22900" xr:uid="{00000000-0005-0000-0000-00007B590000}"/>
    <cellStyle name="Obliczenia 2 18 35 2" xfId="22901" xr:uid="{00000000-0005-0000-0000-00007C590000}"/>
    <cellStyle name="Obliczenia 2 18 35 3" xfId="22902" xr:uid="{00000000-0005-0000-0000-00007D590000}"/>
    <cellStyle name="Obliczenia 2 18 36" xfId="22903" xr:uid="{00000000-0005-0000-0000-00007E590000}"/>
    <cellStyle name="Obliczenia 2 18 36 2" xfId="22904" xr:uid="{00000000-0005-0000-0000-00007F590000}"/>
    <cellStyle name="Obliczenia 2 18 36 3" xfId="22905" xr:uid="{00000000-0005-0000-0000-000080590000}"/>
    <cellStyle name="Obliczenia 2 18 37" xfId="22906" xr:uid="{00000000-0005-0000-0000-000081590000}"/>
    <cellStyle name="Obliczenia 2 18 37 2" xfId="22907" xr:uid="{00000000-0005-0000-0000-000082590000}"/>
    <cellStyle name="Obliczenia 2 18 37 3" xfId="22908" xr:uid="{00000000-0005-0000-0000-000083590000}"/>
    <cellStyle name="Obliczenia 2 18 38" xfId="22909" xr:uid="{00000000-0005-0000-0000-000084590000}"/>
    <cellStyle name="Obliczenia 2 18 38 2" xfId="22910" xr:uid="{00000000-0005-0000-0000-000085590000}"/>
    <cellStyle name="Obliczenia 2 18 38 3" xfId="22911" xr:uid="{00000000-0005-0000-0000-000086590000}"/>
    <cellStyle name="Obliczenia 2 18 39" xfId="22912" xr:uid="{00000000-0005-0000-0000-000087590000}"/>
    <cellStyle name="Obliczenia 2 18 39 2" xfId="22913" xr:uid="{00000000-0005-0000-0000-000088590000}"/>
    <cellStyle name="Obliczenia 2 18 39 3" xfId="22914" xr:uid="{00000000-0005-0000-0000-000089590000}"/>
    <cellStyle name="Obliczenia 2 18 4" xfId="22915" xr:uid="{00000000-0005-0000-0000-00008A590000}"/>
    <cellStyle name="Obliczenia 2 18 4 2" xfId="22916" xr:uid="{00000000-0005-0000-0000-00008B590000}"/>
    <cellStyle name="Obliczenia 2 18 4 3" xfId="22917" xr:uid="{00000000-0005-0000-0000-00008C590000}"/>
    <cellStyle name="Obliczenia 2 18 4 4" xfId="22918" xr:uid="{00000000-0005-0000-0000-00008D590000}"/>
    <cellStyle name="Obliczenia 2 18 40" xfId="22919" xr:uid="{00000000-0005-0000-0000-00008E590000}"/>
    <cellStyle name="Obliczenia 2 18 40 2" xfId="22920" xr:uid="{00000000-0005-0000-0000-00008F590000}"/>
    <cellStyle name="Obliczenia 2 18 40 3" xfId="22921" xr:uid="{00000000-0005-0000-0000-000090590000}"/>
    <cellStyle name="Obliczenia 2 18 41" xfId="22922" xr:uid="{00000000-0005-0000-0000-000091590000}"/>
    <cellStyle name="Obliczenia 2 18 41 2" xfId="22923" xr:uid="{00000000-0005-0000-0000-000092590000}"/>
    <cellStyle name="Obliczenia 2 18 41 3" xfId="22924" xr:uid="{00000000-0005-0000-0000-000093590000}"/>
    <cellStyle name="Obliczenia 2 18 42" xfId="22925" xr:uid="{00000000-0005-0000-0000-000094590000}"/>
    <cellStyle name="Obliczenia 2 18 42 2" xfId="22926" xr:uid="{00000000-0005-0000-0000-000095590000}"/>
    <cellStyle name="Obliczenia 2 18 42 3" xfId="22927" xr:uid="{00000000-0005-0000-0000-000096590000}"/>
    <cellStyle name="Obliczenia 2 18 43" xfId="22928" xr:uid="{00000000-0005-0000-0000-000097590000}"/>
    <cellStyle name="Obliczenia 2 18 43 2" xfId="22929" xr:uid="{00000000-0005-0000-0000-000098590000}"/>
    <cellStyle name="Obliczenia 2 18 43 3" xfId="22930" xr:uid="{00000000-0005-0000-0000-000099590000}"/>
    <cellStyle name="Obliczenia 2 18 44" xfId="22931" xr:uid="{00000000-0005-0000-0000-00009A590000}"/>
    <cellStyle name="Obliczenia 2 18 44 2" xfId="22932" xr:uid="{00000000-0005-0000-0000-00009B590000}"/>
    <cellStyle name="Obliczenia 2 18 44 3" xfId="22933" xr:uid="{00000000-0005-0000-0000-00009C590000}"/>
    <cellStyle name="Obliczenia 2 18 45" xfId="22934" xr:uid="{00000000-0005-0000-0000-00009D590000}"/>
    <cellStyle name="Obliczenia 2 18 45 2" xfId="22935" xr:uid="{00000000-0005-0000-0000-00009E590000}"/>
    <cellStyle name="Obliczenia 2 18 45 3" xfId="22936" xr:uid="{00000000-0005-0000-0000-00009F590000}"/>
    <cellStyle name="Obliczenia 2 18 46" xfId="22937" xr:uid="{00000000-0005-0000-0000-0000A0590000}"/>
    <cellStyle name="Obliczenia 2 18 46 2" xfId="22938" xr:uid="{00000000-0005-0000-0000-0000A1590000}"/>
    <cellStyle name="Obliczenia 2 18 46 3" xfId="22939" xr:uid="{00000000-0005-0000-0000-0000A2590000}"/>
    <cellStyle name="Obliczenia 2 18 47" xfId="22940" xr:uid="{00000000-0005-0000-0000-0000A3590000}"/>
    <cellStyle name="Obliczenia 2 18 47 2" xfId="22941" xr:uid="{00000000-0005-0000-0000-0000A4590000}"/>
    <cellStyle name="Obliczenia 2 18 47 3" xfId="22942" xr:uid="{00000000-0005-0000-0000-0000A5590000}"/>
    <cellStyle name="Obliczenia 2 18 48" xfId="22943" xr:uid="{00000000-0005-0000-0000-0000A6590000}"/>
    <cellStyle name="Obliczenia 2 18 48 2" xfId="22944" xr:uid="{00000000-0005-0000-0000-0000A7590000}"/>
    <cellStyle name="Obliczenia 2 18 48 3" xfId="22945" xr:uid="{00000000-0005-0000-0000-0000A8590000}"/>
    <cellStyle name="Obliczenia 2 18 49" xfId="22946" xr:uid="{00000000-0005-0000-0000-0000A9590000}"/>
    <cellStyle name="Obliczenia 2 18 49 2" xfId="22947" xr:uid="{00000000-0005-0000-0000-0000AA590000}"/>
    <cellStyle name="Obliczenia 2 18 49 3" xfId="22948" xr:uid="{00000000-0005-0000-0000-0000AB590000}"/>
    <cellStyle name="Obliczenia 2 18 5" xfId="22949" xr:uid="{00000000-0005-0000-0000-0000AC590000}"/>
    <cellStyle name="Obliczenia 2 18 5 2" xfId="22950" xr:uid="{00000000-0005-0000-0000-0000AD590000}"/>
    <cellStyle name="Obliczenia 2 18 5 3" xfId="22951" xr:uid="{00000000-0005-0000-0000-0000AE590000}"/>
    <cellStyle name="Obliczenia 2 18 5 4" xfId="22952" xr:uid="{00000000-0005-0000-0000-0000AF590000}"/>
    <cellStyle name="Obliczenia 2 18 50" xfId="22953" xr:uid="{00000000-0005-0000-0000-0000B0590000}"/>
    <cellStyle name="Obliczenia 2 18 50 2" xfId="22954" xr:uid="{00000000-0005-0000-0000-0000B1590000}"/>
    <cellStyle name="Obliczenia 2 18 50 3" xfId="22955" xr:uid="{00000000-0005-0000-0000-0000B2590000}"/>
    <cellStyle name="Obliczenia 2 18 51" xfId="22956" xr:uid="{00000000-0005-0000-0000-0000B3590000}"/>
    <cellStyle name="Obliczenia 2 18 51 2" xfId="22957" xr:uid="{00000000-0005-0000-0000-0000B4590000}"/>
    <cellStyle name="Obliczenia 2 18 51 3" xfId="22958" xr:uid="{00000000-0005-0000-0000-0000B5590000}"/>
    <cellStyle name="Obliczenia 2 18 52" xfId="22959" xr:uid="{00000000-0005-0000-0000-0000B6590000}"/>
    <cellStyle name="Obliczenia 2 18 52 2" xfId="22960" xr:uid="{00000000-0005-0000-0000-0000B7590000}"/>
    <cellStyle name="Obliczenia 2 18 52 3" xfId="22961" xr:uid="{00000000-0005-0000-0000-0000B8590000}"/>
    <cellStyle name="Obliczenia 2 18 53" xfId="22962" xr:uid="{00000000-0005-0000-0000-0000B9590000}"/>
    <cellStyle name="Obliczenia 2 18 53 2" xfId="22963" xr:uid="{00000000-0005-0000-0000-0000BA590000}"/>
    <cellStyle name="Obliczenia 2 18 53 3" xfId="22964" xr:uid="{00000000-0005-0000-0000-0000BB590000}"/>
    <cellStyle name="Obliczenia 2 18 54" xfId="22965" xr:uid="{00000000-0005-0000-0000-0000BC590000}"/>
    <cellStyle name="Obliczenia 2 18 54 2" xfId="22966" xr:uid="{00000000-0005-0000-0000-0000BD590000}"/>
    <cellStyle name="Obliczenia 2 18 54 3" xfId="22967" xr:uid="{00000000-0005-0000-0000-0000BE590000}"/>
    <cellStyle name="Obliczenia 2 18 55" xfId="22968" xr:uid="{00000000-0005-0000-0000-0000BF590000}"/>
    <cellStyle name="Obliczenia 2 18 55 2" xfId="22969" xr:uid="{00000000-0005-0000-0000-0000C0590000}"/>
    <cellStyle name="Obliczenia 2 18 55 3" xfId="22970" xr:uid="{00000000-0005-0000-0000-0000C1590000}"/>
    <cellStyle name="Obliczenia 2 18 56" xfId="22971" xr:uid="{00000000-0005-0000-0000-0000C2590000}"/>
    <cellStyle name="Obliczenia 2 18 56 2" xfId="22972" xr:uid="{00000000-0005-0000-0000-0000C3590000}"/>
    <cellStyle name="Obliczenia 2 18 56 3" xfId="22973" xr:uid="{00000000-0005-0000-0000-0000C4590000}"/>
    <cellStyle name="Obliczenia 2 18 57" xfId="22974" xr:uid="{00000000-0005-0000-0000-0000C5590000}"/>
    <cellStyle name="Obliczenia 2 18 58" xfId="22975" xr:uid="{00000000-0005-0000-0000-0000C6590000}"/>
    <cellStyle name="Obliczenia 2 18 6" xfId="22976" xr:uid="{00000000-0005-0000-0000-0000C7590000}"/>
    <cellStyle name="Obliczenia 2 18 6 2" xfId="22977" xr:uid="{00000000-0005-0000-0000-0000C8590000}"/>
    <cellStyle name="Obliczenia 2 18 6 3" xfId="22978" xr:uid="{00000000-0005-0000-0000-0000C9590000}"/>
    <cellStyle name="Obliczenia 2 18 6 4" xfId="22979" xr:uid="{00000000-0005-0000-0000-0000CA590000}"/>
    <cellStyle name="Obliczenia 2 18 7" xfId="22980" xr:uid="{00000000-0005-0000-0000-0000CB590000}"/>
    <cellStyle name="Obliczenia 2 18 7 2" xfId="22981" xr:uid="{00000000-0005-0000-0000-0000CC590000}"/>
    <cellStyle name="Obliczenia 2 18 7 3" xfId="22982" xr:uid="{00000000-0005-0000-0000-0000CD590000}"/>
    <cellStyle name="Obliczenia 2 18 7 4" xfId="22983" xr:uid="{00000000-0005-0000-0000-0000CE590000}"/>
    <cellStyle name="Obliczenia 2 18 8" xfId="22984" xr:uid="{00000000-0005-0000-0000-0000CF590000}"/>
    <cellStyle name="Obliczenia 2 18 8 2" xfId="22985" xr:uid="{00000000-0005-0000-0000-0000D0590000}"/>
    <cellStyle name="Obliczenia 2 18 8 3" xfId="22986" xr:uid="{00000000-0005-0000-0000-0000D1590000}"/>
    <cellStyle name="Obliczenia 2 18 8 4" xfId="22987" xr:uid="{00000000-0005-0000-0000-0000D2590000}"/>
    <cellStyle name="Obliczenia 2 18 9" xfId="22988" xr:uid="{00000000-0005-0000-0000-0000D3590000}"/>
    <cellStyle name="Obliczenia 2 18 9 2" xfId="22989" xr:uid="{00000000-0005-0000-0000-0000D4590000}"/>
    <cellStyle name="Obliczenia 2 18 9 3" xfId="22990" xr:uid="{00000000-0005-0000-0000-0000D5590000}"/>
    <cellStyle name="Obliczenia 2 18 9 4" xfId="22991" xr:uid="{00000000-0005-0000-0000-0000D6590000}"/>
    <cellStyle name="Obliczenia 2 19" xfId="22992" xr:uid="{00000000-0005-0000-0000-0000D7590000}"/>
    <cellStyle name="Obliczenia 2 19 10" xfId="22993" xr:uid="{00000000-0005-0000-0000-0000D8590000}"/>
    <cellStyle name="Obliczenia 2 19 10 2" xfId="22994" xr:uid="{00000000-0005-0000-0000-0000D9590000}"/>
    <cellStyle name="Obliczenia 2 19 10 3" xfId="22995" xr:uid="{00000000-0005-0000-0000-0000DA590000}"/>
    <cellStyle name="Obliczenia 2 19 10 4" xfId="22996" xr:uid="{00000000-0005-0000-0000-0000DB590000}"/>
    <cellStyle name="Obliczenia 2 19 11" xfId="22997" xr:uid="{00000000-0005-0000-0000-0000DC590000}"/>
    <cellStyle name="Obliczenia 2 19 11 2" xfId="22998" xr:uid="{00000000-0005-0000-0000-0000DD590000}"/>
    <cellStyle name="Obliczenia 2 19 11 3" xfId="22999" xr:uid="{00000000-0005-0000-0000-0000DE590000}"/>
    <cellStyle name="Obliczenia 2 19 11 4" xfId="23000" xr:uid="{00000000-0005-0000-0000-0000DF590000}"/>
    <cellStyle name="Obliczenia 2 19 12" xfId="23001" xr:uid="{00000000-0005-0000-0000-0000E0590000}"/>
    <cellStyle name="Obliczenia 2 19 12 2" xfId="23002" xr:uid="{00000000-0005-0000-0000-0000E1590000}"/>
    <cellStyle name="Obliczenia 2 19 12 3" xfId="23003" xr:uid="{00000000-0005-0000-0000-0000E2590000}"/>
    <cellStyle name="Obliczenia 2 19 12 4" xfId="23004" xr:uid="{00000000-0005-0000-0000-0000E3590000}"/>
    <cellStyle name="Obliczenia 2 19 13" xfId="23005" xr:uid="{00000000-0005-0000-0000-0000E4590000}"/>
    <cellStyle name="Obliczenia 2 19 13 2" xfId="23006" xr:uid="{00000000-0005-0000-0000-0000E5590000}"/>
    <cellStyle name="Obliczenia 2 19 13 3" xfId="23007" xr:uid="{00000000-0005-0000-0000-0000E6590000}"/>
    <cellStyle name="Obliczenia 2 19 13 4" xfId="23008" xr:uid="{00000000-0005-0000-0000-0000E7590000}"/>
    <cellStyle name="Obliczenia 2 19 14" xfId="23009" xr:uid="{00000000-0005-0000-0000-0000E8590000}"/>
    <cellStyle name="Obliczenia 2 19 14 2" xfId="23010" xr:uid="{00000000-0005-0000-0000-0000E9590000}"/>
    <cellStyle name="Obliczenia 2 19 14 3" xfId="23011" xr:uid="{00000000-0005-0000-0000-0000EA590000}"/>
    <cellStyle name="Obliczenia 2 19 14 4" xfId="23012" xr:uid="{00000000-0005-0000-0000-0000EB590000}"/>
    <cellStyle name="Obliczenia 2 19 15" xfId="23013" xr:uid="{00000000-0005-0000-0000-0000EC590000}"/>
    <cellStyle name="Obliczenia 2 19 15 2" xfId="23014" xr:uid="{00000000-0005-0000-0000-0000ED590000}"/>
    <cellStyle name="Obliczenia 2 19 15 3" xfId="23015" xr:uid="{00000000-0005-0000-0000-0000EE590000}"/>
    <cellStyle name="Obliczenia 2 19 15 4" xfId="23016" xr:uid="{00000000-0005-0000-0000-0000EF590000}"/>
    <cellStyle name="Obliczenia 2 19 16" xfId="23017" xr:uid="{00000000-0005-0000-0000-0000F0590000}"/>
    <cellStyle name="Obliczenia 2 19 16 2" xfId="23018" xr:uid="{00000000-0005-0000-0000-0000F1590000}"/>
    <cellStyle name="Obliczenia 2 19 16 3" xfId="23019" xr:uid="{00000000-0005-0000-0000-0000F2590000}"/>
    <cellStyle name="Obliczenia 2 19 16 4" xfId="23020" xr:uid="{00000000-0005-0000-0000-0000F3590000}"/>
    <cellStyle name="Obliczenia 2 19 17" xfId="23021" xr:uid="{00000000-0005-0000-0000-0000F4590000}"/>
    <cellStyle name="Obliczenia 2 19 17 2" xfId="23022" xr:uid="{00000000-0005-0000-0000-0000F5590000}"/>
    <cellStyle name="Obliczenia 2 19 17 3" xfId="23023" xr:uid="{00000000-0005-0000-0000-0000F6590000}"/>
    <cellStyle name="Obliczenia 2 19 17 4" xfId="23024" xr:uid="{00000000-0005-0000-0000-0000F7590000}"/>
    <cellStyle name="Obliczenia 2 19 18" xfId="23025" xr:uid="{00000000-0005-0000-0000-0000F8590000}"/>
    <cellStyle name="Obliczenia 2 19 18 2" xfId="23026" xr:uid="{00000000-0005-0000-0000-0000F9590000}"/>
    <cellStyle name="Obliczenia 2 19 18 3" xfId="23027" xr:uid="{00000000-0005-0000-0000-0000FA590000}"/>
    <cellStyle name="Obliczenia 2 19 18 4" xfId="23028" xr:uid="{00000000-0005-0000-0000-0000FB590000}"/>
    <cellStyle name="Obliczenia 2 19 19" xfId="23029" xr:uid="{00000000-0005-0000-0000-0000FC590000}"/>
    <cellStyle name="Obliczenia 2 19 19 2" xfId="23030" xr:uid="{00000000-0005-0000-0000-0000FD590000}"/>
    <cellStyle name="Obliczenia 2 19 19 3" xfId="23031" xr:uid="{00000000-0005-0000-0000-0000FE590000}"/>
    <cellStyle name="Obliczenia 2 19 19 4" xfId="23032" xr:uid="{00000000-0005-0000-0000-0000FF590000}"/>
    <cellStyle name="Obliczenia 2 19 2" xfId="23033" xr:uid="{00000000-0005-0000-0000-0000005A0000}"/>
    <cellStyle name="Obliczenia 2 19 2 2" xfId="23034" xr:uid="{00000000-0005-0000-0000-0000015A0000}"/>
    <cellStyle name="Obliczenia 2 19 2 3" xfId="23035" xr:uid="{00000000-0005-0000-0000-0000025A0000}"/>
    <cellStyle name="Obliczenia 2 19 2 4" xfId="23036" xr:uid="{00000000-0005-0000-0000-0000035A0000}"/>
    <cellStyle name="Obliczenia 2 19 20" xfId="23037" xr:uid="{00000000-0005-0000-0000-0000045A0000}"/>
    <cellStyle name="Obliczenia 2 19 20 2" xfId="23038" xr:uid="{00000000-0005-0000-0000-0000055A0000}"/>
    <cellStyle name="Obliczenia 2 19 20 3" xfId="23039" xr:uid="{00000000-0005-0000-0000-0000065A0000}"/>
    <cellStyle name="Obliczenia 2 19 20 4" xfId="23040" xr:uid="{00000000-0005-0000-0000-0000075A0000}"/>
    <cellStyle name="Obliczenia 2 19 21" xfId="23041" xr:uid="{00000000-0005-0000-0000-0000085A0000}"/>
    <cellStyle name="Obliczenia 2 19 21 2" xfId="23042" xr:uid="{00000000-0005-0000-0000-0000095A0000}"/>
    <cellStyle name="Obliczenia 2 19 21 3" xfId="23043" xr:uid="{00000000-0005-0000-0000-00000A5A0000}"/>
    <cellStyle name="Obliczenia 2 19 22" xfId="23044" xr:uid="{00000000-0005-0000-0000-00000B5A0000}"/>
    <cellStyle name="Obliczenia 2 19 22 2" xfId="23045" xr:uid="{00000000-0005-0000-0000-00000C5A0000}"/>
    <cellStyle name="Obliczenia 2 19 22 3" xfId="23046" xr:uid="{00000000-0005-0000-0000-00000D5A0000}"/>
    <cellStyle name="Obliczenia 2 19 23" xfId="23047" xr:uid="{00000000-0005-0000-0000-00000E5A0000}"/>
    <cellStyle name="Obliczenia 2 19 23 2" xfId="23048" xr:uid="{00000000-0005-0000-0000-00000F5A0000}"/>
    <cellStyle name="Obliczenia 2 19 23 3" xfId="23049" xr:uid="{00000000-0005-0000-0000-0000105A0000}"/>
    <cellStyle name="Obliczenia 2 19 24" xfId="23050" xr:uid="{00000000-0005-0000-0000-0000115A0000}"/>
    <cellStyle name="Obliczenia 2 19 24 2" xfId="23051" xr:uid="{00000000-0005-0000-0000-0000125A0000}"/>
    <cellStyle name="Obliczenia 2 19 24 3" xfId="23052" xr:uid="{00000000-0005-0000-0000-0000135A0000}"/>
    <cellStyle name="Obliczenia 2 19 25" xfId="23053" xr:uid="{00000000-0005-0000-0000-0000145A0000}"/>
    <cellStyle name="Obliczenia 2 19 25 2" xfId="23054" xr:uid="{00000000-0005-0000-0000-0000155A0000}"/>
    <cellStyle name="Obliczenia 2 19 25 3" xfId="23055" xr:uid="{00000000-0005-0000-0000-0000165A0000}"/>
    <cellStyle name="Obliczenia 2 19 26" xfId="23056" xr:uid="{00000000-0005-0000-0000-0000175A0000}"/>
    <cellStyle name="Obliczenia 2 19 26 2" xfId="23057" xr:uid="{00000000-0005-0000-0000-0000185A0000}"/>
    <cellStyle name="Obliczenia 2 19 26 3" xfId="23058" xr:uid="{00000000-0005-0000-0000-0000195A0000}"/>
    <cellStyle name="Obliczenia 2 19 27" xfId="23059" xr:uid="{00000000-0005-0000-0000-00001A5A0000}"/>
    <cellStyle name="Obliczenia 2 19 27 2" xfId="23060" xr:uid="{00000000-0005-0000-0000-00001B5A0000}"/>
    <cellStyle name="Obliczenia 2 19 27 3" xfId="23061" xr:uid="{00000000-0005-0000-0000-00001C5A0000}"/>
    <cellStyle name="Obliczenia 2 19 28" xfId="23062" xr:uid="{00000000-0005-0000-0000-00001D5A0000}"/>
    <cellStyle name="Obliczenia 2 19 28 2" xfId="23063" xr:uid="{00000000-0005-0000-0000-00001E5A0000}"/>
    <cellStyle name="Obliczenia 2 19 28 3" xfId="23064" xr:uid="{00000000-0005-0000-0000-00001F5A0000}"/>
    <cellStyle name="Obliczenia 2 19 29" xfId="23065" xr:uid="{00000000-0005-0000-0000-0000205A0000}"/>
    <cellStyle name="Obliczenia 2 19 29 2" xfId="23066" xr:uid="{00000000-0005-0000-0000-0000215A0000}"/>
    <cellStyle name="Obliczenia 2 19 29 3" xfId="23067" xr:uid="{00000000-0005-0000-0000-0000225A0000}"/>
    <cellStyle name="Obliczenia 2 19 3" xfId="23068" xr:uid="{00000000-0005-0000-0000-0000235A0000}"/>
    <cellStyle name="Obliczenia 2 19 3 2" xfId="23069" xr:uid="{00000000-0005-0000-0000-0000245A0000}"/>
    <cellStyle name="Obliczenia 2 19 3 3" xfId="23070" xr:uid="{00000000-0005-0000-0000-0000255A0000}"/>
    <cellStyle name="Obliczenia 2 19 3 4" xfId="23071" xr:uid="{00000000-0005-0000-0000-0000265A0000}"/>
    <cellStyle name="Obliczenia 2 19 30" xfId="23072" xr:uid="{00000000-0005-0000-0000-0000275A0000}"/>
    <cellStyle name="Obliczenia 2 19 30 2" xfId="23073" xr:uid="{00000000-0005-0000-0000-0000285A0000}"/>
    <cellStyle name="Obliczenia 2 19 30 3" xfId="23074" xr:uid="{00000000-0005-0000-0000-0000295A0000}"/>
    <cellStyle name="Obliczenia 2 19 31" xfId="23075" xr:uid="{00000000-0005-0000-0000-00002A5A0000}"/>
    <cellStyle name="Obliczenia 2 19 31 2" xfId="23076" xr:uid="{00000000-0005-0000-0000-00002B5A0000}"/>
    <cellStyle name="Obliczenia 2 19 31 3" xfId="23077" xr:uid="{00000000-0005-0000-0000-00002C5A0000}"/>
    <cellStyle name="Obliczenia 2 19 32" xfId="23078" xr:uid="{00000000-0005-0000-0000-00002D5A0000}"/>
    <cellStyle name="Obliczenia 2 19 32 2" xfId="23079" xr:uid="{00000000-0005-0000-0000-00002E5A0000}"/>
    <cellStyle name="Obliczenia 2 19 32 3" xfId="23080" xr:uid="{00000000-0005-0000-0000-00002F5A0000}"/>
    <cellStyle name="Obliczenia 2 19 33" xfId="23081" xr:uid="{00000000-0005-0000-0000-0000305A0000}"/>
    <cellStyle name="Obliczenia 2 19 33 2" xfId="23082" xr:uid="{00000000-0005-0000-0000-0000315A0000}"/>
    <cellStyle name="Obliczenia 2 19 33 3" xfId="23083" xr:uid="{00000000-0005-0000-0000-0000325A0000}"/>
    <cellStyle name="Obliczenia 2 19 34" xfId="23084" xr:uid="{00000000-0005-0000-0000-0000335A0000}"/>
    <cellStyle name="Obliczenia 2 19 34 2" xfId="23085" xr:uid="{00000000-0005-0000-0000-0000345A0000}"/>
    <cellStyle name="Obliczenia 2 19 34 3" xfId="23086" xr:uid="{00000000-0005-0000-0000-0000355A0000}"/>
    <cellStyle name="Obliczenia 2 19 35" xfId="23087" xr:uid="{00000000-0005-0000-0000-0000365A0000}"/>
    <cellStyle name="Obliczenia 2 19 35 2" xfId="23088" xr:uid="{00000000-0005-0000-0000-0000375A0000}"/>
    <cellStyle name="Obliczenia 2 19 35 3" xfId="23089" xr:uid="{00000000-0005-0000-0000-0000385A0000}"/>
    <cellStyle name="Obliczenia 2 19 36" xfId="23090" xr:uid="{00000000-0005-0000-0000-0000395A0000}"/>
    <cellStyle name="Obliczenia 2 19 36 2" xfId="23091" xr:uid="{00000000-0005-0000-0000-00003A5A0000}"/>
    <cellStyle name="Obliczenia 2 19 36 3" xfId="23092" xr:uid="{00000000-0005-0000-0000-00003B5A0000}"/>
    <cellStyle name="Obliczenia 2 19 37" xfId="23093" xr:uid="{00000000-0005-0000-0000-00003C5A0000}"/>
    <cellStyle name="Obliczenia 2 19 37 2" xfId="23094" xr:uid="{00000000-0005-0000-0000-00003D5A0000}"/>
    <cellStyle name="Obliczenia 2 19 37 3" xfId="23095" xr:uid="{00000000-0005-0000-0000-00003E5A0000}"/>
    <cellStyle name="Obliczenia 2 19 38" xfId="23096" xr:uid="{00000000-0005-0000-0000-00003F5A0000}"/>
    <cellStyle name="Obliczenia 2 19 38 2" xfId="23097" xr:uid="{00000000-0005-0000-0000-0000405A0000}"/>
    <cellStyle name="Obliczenia 2 19 38 3" xfId="23098" xr:uid="{00000000-0005-0000-0000-0000415A0000}"/>
    <cellStyle name="Obliczenia 2 19 39" xfId="23099" xr:uid="{00000000-0005-0000-0000-0000425A0000}"/>
    <cellStyle name="Obliczenia 2 19 39 2" xfId="23100" xr:uid="{00000000-0005-0000-0000-0000435A0000}"/>
    <cellStyle name="Obliczenia 2 19 39 3" xfId="23101" xr:uid="{00000000-0005-0000-0000-0000445A0000}"/>
    <cellStyle name="Obliczenia 2 19 4" xfId="23102" xr:uid="{00000000-0005-0000-0000-0000455A0000}"/>
    <cellStyle name="Obliczenia 2 19 4 2" xfId="23103" xr:uid="{00000000-0005-0000-0000-0000465A0000}"/>
    <cellStyle name="Obliczenia 2 19 4 3" xfId="23104" xr:uid="{00000000-0005-0000-0000-0000475A0000}"/>
    <cellStyle name="Obliczenia 2 19 4 4" xfId="23105" xr:uid="{00000000-0005-0000-0000-0000485A0000}"/>
    <cellStyle name="Obliczenia 2 19 40" xfId="23106" xr:uid="{00000000-0005-0000-0000-0000495A0000}"/>
    <cellStyle name="Obliczenia 2 19 40 2" xfId="23107" xr:uid="{00000000-0005-0000-0000-00004A5A0000}"/>
    <cellStyle name="Obliczenia 2 19 40 3" xfId="23108" xr:uid="{00000000-0005-0000-0000-00004B5A0000}"/>
    <cellStyle name="Obliczenia 2 19 41" xfId="23109" xr:uid="{00000000-0005-0000-0000-00004C5A0000}"/>
    <cellStyle name="Obliczenia 2 19 41 2" xfId="23110" xr:uid="{00000000-0005-0000-0000-00004D5A0000}"/>
    <cellStyle name="Obliczenia 2 19 41 3" xfId="23111" xr:uid="{00000000-0005-0000-0000-00004E5A0000}"/>
    <cellStyle name="Obliczenia 2 19 42" xfId="23112" xr:uid="{00000000-0005-0000-0000-00004F5A0000}"/>
    <cellStyle name="Obliczenia 2 19 42 2" xfId="23113" xr:uid="{00000000-0005-0000-0000-0000505A0000}"/>
    <cellStyle name="Obliczenia 2 19 42 3" xfId="23114" xr:uid="{00000000-0005-0000-0000-0000515A0000}"/>
    <cellStyle name="Obliczenia 2 19 43" xfId="23115" xr:uid="{00000000-0005-0000-0000-0000525A0000}"/>
    <cellStyle name="Obliczenia 2 19 43 2" xfId="23116" xr:uid="{00000000-0005-0000-0000-0000535A0000}"/>
    <cellStyle name="Obliczenia 2 19 43 3" xfId="23117" xr:uid="{00000000-0005-0000-0000-0000545A0000}"/>
    <cellStyle name="Obliczenia 2 19 44" xfId="23118" xr:uid="{00000000-0005-0000-0000-0000555A0000}"/>
    <cellStyle name="Obliczenia 2 19 44 2" xfId="23119" xr:uid="{00000000-0005-0000-0000-0000565A0000}"/>
    <cellStyle name="Obliczenia 2 19 44 3" xfId="23120" xr:uid="{00000000-0005-0000-0000-0000575A0000}"/>
    <cellStyle name="Obliczenia 2 19 45" xfId="23121" xr:uid="{00000000-0005-0000-0000-0000585A0000}"/>
    <cellStyle name="Obliczenia 2 19 45 2" xfId="23122" xr:uid="{00000000-0005-0000-0000-0000595A0000}"/>
    <cellStyle name="Obliczenia 2 19 45 3" xfId="23123" xr:uid="{00000000-0005-0000-0000-00005A5A0000}"/>
    <cellStyle name="Obliczenia 2 19 46" xfId="23124" xr:uid="{00000000-0005-0000-0000-00005B5A0000}"/>
    <cellStyle name="Obliczenia 2 19 46 2" xfId="23125" xr:uid="{00000000-0005-0000-0000-00005C5A0000}"/>
    <cellStyle name="Obliczenia 2 19 46 3" xfId="23126" xr:uid="{00000000-0005-0000-0000-00005D5A0000}"/>
    <cellStyle name="Obliczenia 2 19 47" xfId="23127" xr:uid="{00000000-0005-0000-0000-00005E5A0000}"/>
    <cellStyle name="Obliczenia 2 19 47 2" xfId="23128" xr:uid="{00000000-0005-0000-0000-00005F5A0000}"/>
    <cellStyle name="Obliczenia 2 19 47 3" xfId="23129" xr:uid="{00000000-0005-0000-0000-0000605A0000}"/>
    <cellStyle name="Obliczenia 2 19 48" xfId="23130" xr:uid="{00000000-0005-0000-0000-0000615A0000}"/>
    <cellStyle name="Obliczenia 2 19 48 2" xfId="23131" xr:uid="{00000000-0005-0000-0000-0000625A0000}"/>
    <cellStyle name="Obliczenia 2 19 48 3" xfId="23132" xr:uid="{00000000-0005-0000-0000-0000635A0000}"/>
    <cellStyle name="Obliczenia 2 19 49" xfId="23133" xr:uid="{00000000-0005-0000-0000-0000645A0000}"/>
    <cellStyle name="Obliczenia 2 19 49 2" xfId="23134" xr:uid="{00000000-0005-0000-0000-0000655A0000}"/>
    <cellStyle name="Obliczenia 2 19 49 3" xfId="23135" xr:uid="{00000000-0005-0000-0000-0000665A0000}"/>
    <cellStyle name="Obliczenia 2 19 5" xfId="23136" xr:uid="{00000000-0005-0000-0000-0000675A0000}"/>
    <cellStyle name="Obliczenia 2 19 5 2" xfId="23137" xr:uid="{00000000-0005-0000-0000-0000685A0000}"/>
    <cellStyle name="Obliczenia 2 19 5 3" xfId="23138" xr:uid="{00000000-0005-0000-0000-0000695A0000}"/>
    <cellStyle name="Obliczenia 2 19 5 4" xfId="23139" xr:uid="{00000000-0005-0000-0000-00006A5A0000}"/>
    <cellStyle name="Obliczenia 2 19 50" xfId="23140" xr:uid="{00000000-0005-0000-0000-00006B5A0000}"/>
    <cellStyle name="Obliczenia 2 19 50 2" xfId="23141" xr:uid="{00000000-0005-0000-0000-00006C5A0000}"/>
    <cellStyle name="Obliczenia 2 19 50 3" xfId="23142" xr:uid="{00000000-0005-0000-0000-00006D5A0000}"/>
    <cellStyle name="Obliczenia 2 19 51" xfId="23143" xr:uid="{00000000-0005-0000-0000-00006E5A0000}"/>
    <cellStyle name="Obliczenia 2 19 51 2" xfId="23144" xr:uid="{00000000-0005-0000-0000-00006F5A0000}"/>
    <cellStyle name="Obliczenia 2 19 51 3" xfId="23145" xr:uid="{00000000-0005-0000-0000-0000705A0000}"/>
    <cellStyle name="Obliczenia 2 19 52" xfId="23146" xr:uid="{00000000-0005-0000-0000-0000715A0000}"/>
    <cellStyle name="Obliczenia 2 19 52 2" xfId="23147" xr:uid="{00000000-0005-0000-0000-0000725A0000}"/>
    <cellStyle name="Obliczenia 2 19 52 3" xfId="23148" xr:uid="{00000000-0005-0000-0000-0000735A0000}"/>
    <cellStyle name="Obliczenia 2 19 53" xfId="23149" xr:uid="{00000000-0005-0000-0000-0000745A0000}"/>
    <cellStyle name="Obliczenia 2 19 53 2" xfId="23150" xr:uid="{00000000-0005-0000-0000-0000755A0000}"/>
    <cellStyle name="Obliczenia 2 19 53 3" xfId="23151" xr:uid="{00000000-0005-0000-0000-0000765A0000}"/>
    <cellStyle name="Obliczenia 2 19 54" xfId="23152" xr:uid="{00000000-0005-0000-0000-0000775A0000}"/>
    <cellStyle name="Obliczenia 2 19 54 2" xfId="23153" xr:uid="{00000000-0005-0000-0000-0000785A0000}"/>
    <cellStyle name="Obliczenia 2 19 54 3" xfId="23154" xr:uid="{00000000-0005-0000-0000-0000795A0000}"/>
    <cellStyle name="Obliczenia 2 19 55" xfId="23155" xr:uid="{00000000-0005-0000-0000-00007A5A0000}"/>
    <cellStyle name="Obliczenia 2 19 55 2" xfId="23156" xr:uid="{00000000-0005-0000-0000-00007B5A0000}"/>
    <cellStyle name="Obliczenia 2 19 55 3" xfId="23157" xr:uid="{00000000-0005-0000-0000-00007C5A0000}"/>
    <cellStyle name="Obliczenia 2 19 56" xfId="23158" xr:uid="{00000000-0005-0000-0000-00007D5A0000}"/>
    <cellStyle name="Obliczenia 2 19 56 2" xfId="23159" xr:uid="{00000000-0005-0000-0000-00007E5A0000}"/>
    <cellStyle name="Obliczenia 2 19 56 3" xfId="23160" xr:uid="{00000000-0005-0000-0000-00007F5A0000}"/>
    <cellStyle name="Obliczenia 2 19 57" xfId="23161" xr:uid="{00000000-0005-0000-0000-0000805A0000}"/>
    <cellStyle name="Obliczenia 2 19 58" xfId="23162" xr:uid="{00000000-0005-0000-0000-0000815A0000}"/>
    <cellStyle name="Obliczenia 2 19 6" xfId="23163" xr:uid="{00000000-0005-0000-0000-0000825A0000}"/>
    <cellStyle name="Obliczenia 2 19 6 2" xfId="23164" xr:uid="{00000000-0005-0000-0000-0000835A0000}"/>
    <cellStyle name="Obliczenia 2 19 6 3" xfId="23165" xr:uid="{00000000-0005-0000-0000-0000845A0000}"/>
    <cellStyle name="Obliczenia 2 19 6 4" xfId="23166" xr:uid="{00000000-0005-0000-0000-0000855A0000}"/>
    <cellStyle name="Obliczenia 2 19 7" xfId="23167" xr:uid="{00000000-0005-0000-0000-0000865A0000}"/>
    <cellStyle name="Obliczenia 2 19 7 2" xfId="23168" xr:uid="{00000000-0005-0000-0000-0000875A0000}"/>
    <cellStyle name="Obliczenia 2 19 7 3" xfId="23169" xr:uid="{00000000-0005-0000-0000-0000885A0000}"/>
    <cellStyle name="Obliczenia 2 19 7 4" xfId="23170" xr:uid="{00000000-0005-0000-0000-0000895A0000}"/>
    <cellStyle name="Obliczenia 2 19 8" xfId="23171" xr:uid="{00000000-0005-0000-0000-00008A5A0000}"/>
    <cellStyle name="Obliczenia 2 19 8 2" xfId="23172" xr:uid="{00000000-0005-0000-0000-00008B5A0000}"/>
    <cellStyle name="Obliczenia 2 19 8 3" xfId="23173" xr:uid="{00000000-0005-0000-0000-00008C5A0000}"/>
    <cellStyle name="Obliczenia 2 19 8 4" xfId="23174" xr:uid="{00000000-0005-0000-0000-00008D5A0000}"/>
    <cellStyle name="Obliczenia 2 19 9" xfId="23175" xr:uid="{00000000-0005-0000-0000-00008E5A0000}"/>
    <cellStyle name="Obliczenia 2 19 9 2" xfId="23176" xr:uid="{00000000-0005-0000-0000-00008F5A0000}"/>
    <cellStyle name="Obliczenia 2 19 9 3" xfId="23177" xr:uid="{00000000-0005-0000-0000-0000905A0000}"/>
    <cellStyle name="Obliczenia 2 19 9 4" xfId="23178" xr:uid="{00000000-0005-0000-0000-0000915A0000}"/>
    <cellStyle name="Obliczenia 2 2" xfId="23179" xr:uid="{00000000-0005-0000-0000-0000925A0000}"/>
    <cellStyle name="Obliczenia 2 2 10" xfId="23180" xr:uid="{00000000-0005-0000-0000-0000935A0000}"/>
    <cellStyle name="Obliczenia 2 2 10 2" xfId="23181" xr:uid="{00000000-0005-0000-0000-0000945A0000}"/>
    <cellStyle name="Obliczenia 2 2 10 3" xfId="23182" xr:uid="{00000000-0005-0000-0000-0000955A0000}"/>
    <cellStyle name="Obliczenia 2 2 10 4" xfId="23183" xr:uid="{00000000-0005-0000-0000-0000965A0000}"/>
    <cellStyle name="Obliczenia 2 2 11" xfId="23184" xr:uid="{00000000-0005-0000-0000-0000975A0000}"/>
    <cellStyle name="Obliczenia 2 2 11 2" xfId="23185" xr:uid="{00000000-0005-0000-0000-0000985A0000}"/>
    <cellStyle name="Obliczenia 2 2 11 3" xfId="23186" xr:uid="{00000000-0005-0000-0000-0000995A0000}"/>
    <cellStyle name="Obliczenia 2 2 11 4" xfId="23187" xr:uid="{00000000-0005-0000-0000-00009A5A0000}"/>
    <cellStyle name="Obliczenia 2 2 12" xfId="23188" xr:uid="{00000000-0005-0000-0000-00009B5A0000}"/>
    <cellStyle name="Obliczenia 2 2 12 2" xfId="23189" xr:uid="{00000000-0005-0000-0000-00009C5A0000}"/>
    <cellStyle name="Obliczenia 2 2 12 3" xfId="23190" xr:uid="{00000000-0005-0000-0000-00009D5A0000}"/>
    <cellStyle name="Obliczenia 2 2 12 4" xfId="23191" xr:uid="{00000000-0005-0000-0000-00009E5A0000}"/>
    <cellStyle name="Obliczenia 2 2 13" xfId="23192" xr:uid="{00000000-0005-0000-0000-00009F5A0000}"/>
    <cellStyle name="Obliczenia 2 2 13 2" xfId="23193" xr:uid="{00000000-0005-0000-0000-0000A05A0000}"/>
    <cellStyle name="Obliczenia 2 2 13 3" xfId="23194" xr:uid="{00000000-0005-0000-0000-0000A15A0000}"/>
    <cellStyle name="Obliczenia 2 2 13 4" xfId="23195" xr:uid="{00000000-0005-0000-0000-0000A25A0000}"/>
    <cellStyle name="Obliczenia 2 2 14" xfId="23196" xr:uid="{00000000-0005-0000-0000-0000A35A0000}"/>
    <cellStyle name="Obliczenia 2 2 14 2" xfId="23197" xr:uid="{00000000-0005-0000-0000-0000A45A0000}"/>
    <cellStyle name="Obliczenia 2 2 14 3" xfId="23198" xr:uid="{00000000-0005-0000-0000-0000A55A0000}"/>
    <cellStyle name="Obliczenia 2 2 14 4" xfId="23199" xr:uid="{00000000-0005-0000-0000-0000A65A0000}"/>
    <cellStyle name="Obliczenia 2 2 15" xfId="23200" xr:uid="{00000000-0005-0000-0000-0000A75A0000}"/>
    <cellStyle name="Obliczenia 2 2 15 2" xfId="23201" xr:uid="{00000000-0005-0000-0000-0000A85A0000}"/>
    <cellStyle name="Obliczenia 2 2 15 3" xfId="23202" xr:uid="{00000000-0005-0000-0000-0000A95A0000}"/>
    <cellStyle name="Obliczenia 2 2 15 4" xfId="23203" xr:uid="{00000000-0005-0000-0000-0000AA5A0000}"/>
    <cellStyle name="Obliczenia 2 2 16" xfId="23204" xr:uid="{00000000-0005-0000-0000-0000AB5A0000}"/>
    <cellStyle name="Obliczenia 2 2 16 2" xfId="23205" xr:uid="{00000000-0005-0000-0000-0000AC5A0000}"/>
    <cellStyle name="Obliczenia 2 2 16 3" xfId="23206" xr:uid="{00000000-0005-0000-0000-0000AD5A0000}"/>
    <cellStyle name="Obliczenia 2 2 16 4" xfId="23207" xr:uid="{00000000-0005-0000-0000-0000AE5A0000}"/>
    <cellStyle name="Obliczenia 2 2 17" xfId="23208" xr:uid="{00000000-0005-0000-0000-0000AF5A0000}"/>
    <cellStyle name="Obliczenia 2 2 17 2" xfId="23209" xr:uid="{00000000-0005-0000-0000-0000B05A0000}"/>
    <cellStyle name="Obliczenia 2 2 17 3" xfId="23210" xr:uid="{00000000-0005-0000-0000-0000B15A0000}"/>
    <cellStyle name="Obliczenia 2 2 17 4" xfId="23211" xr:uid="{00000000-0005-0000-0000-0000B25A0000}"/>
    <cellStyle name="Obliczenia 2 2 18" xfId="23212" xr:uid="{00000000-0005-0000-0000-0000B35A0000}"/>
    <cellStyle name="Obliczenia 2 2 18 2" xfId="23213" xr:uid="{00000000-0005-0000-0000-0000B45A0000}"/>
    <cellStyle name="Obliczenia 2 2 18 3" xfId="23214" xr:uid="{00000000-0005-0000-0000-0000B55A0000}"/>
    <cellStyle name="Obliczenia 2 2 18 4" xfId="23215" xr:uid="{00000000-0005-0000-0000-0000B65A0000}"/>
    <cellStyle name="Obliczenia 2 2 19" xfId="23216" xr:uid="{00000000-0005-0000-0000-0000B75A0000}"/>
    <cellStyle name="Obliczenia 2 2 19 2" xfId="23217" xr:uid="{00000000-0005-0000-0000-0000B85A0000}"/>
    <cellStyle name="Obliczenia 2 2 19 3" xfId="23218" xr:uid="{00000000-0005-0000-0000-0000B95A0000}"/>
    <cellStyle name="Obliczenia 2 2 19 4" xfId="23219" xr:uid="{00000000-0005-0000-0000-0000BA5A0000}"/>
    <cellStyle name="Obliczenia 2 2 2" xfId="23220" xr:uid="{00000000-0005-0000-0000-0000BB5A0000}"/>
    <cellStyle name="Obliczenia 2 2 2 2" xfId="23221" xr:uid="{00000000-0005-0000-0000-0000BC5A0000}"/>
    <cellStyle name="Obliczenia 2 2 2 3" xfId="23222" xr:uid="{00000000-0005-0000-0000-0000BD5A0000}"/>
    <cellStyle name="Obliczenia 2 2 2 4" xfId="23223" xr:uid="{00000000-0005-0000-0000-0000BE5A0000}"/>
    <cellStyle name="Obliczenia 2 2 20" xfId="23224" xr:uid="{00000000-0005-0000-0000-0000BF5A0000}"/>
    <cellStyle name="Obliczenia 2 2 20 2" xfId="23225" xr:uid="{00000000-0005-0000-0000-0000C05A0000}"/>
    <cellStyle name="Obliczenia 2 2 20 3" xfId="23226" xr:uid="{00000000-0005-0000-0000-0000C15A0000}"/>
    <cellStyle name="Obliczenia 2 2 20 4" xfId="23227" xr:uid="{00000000-0005-0000-0000-0000C25A0000}"/>
    <cellStyle name="Obliczenia 2 2 21" xfId="23228" xr:uid="{00000000-0005-0000-0000-0000C35A0000}"/>
    <cellStyle name="Obliczenia 2 2 21 2" xfId="23229" xr:uid="{00000000-0005-0000-0000-0000C45A0000}"/>
    <cellStyle name="Obliczenia 2 2 21 3" xfId="23230" xr:uid="{00000000-0005-0000-0000-0000C55A0000}"/>
    <cellStyle name="Obliczenia 2 2 22" xfId="23231" xr:uid="{00000000-0005-0000-0000-0000C65A0000}"/>
    <cellStyle name="Obliczenia 2 2 22 2" xfId="23232" xr:uid="{00000000-0005-0000-0000-0000C75A0000}"/>
    <cellStyle name="Obliczenia 2 2 22 3" xfId="23233" xr:uid="{00000000-0005-0000-0000-0000C85A0000}"/>
    <cellStyle name="Obliczenia 2 2 23" xfId="23234" xr:uid="{00000000-0005-0000-0000-0000C95A0000}"/>
    <cellStyle name="Obliczenia 2 2 23 2" xfId="23235" xr:uid="{00000000-0005-0000-0000-0000CA5A0000}"/>
    <cellStyle name="Obliczenia 2 2 23 3" xfId="23236" xr:uid="{00000000-0005-0000-0000-0000CB5A0000}"/>
    <cellStyle name="Obliczenia 2 2 24" xfId="23237" xr:uid="{00000000-0005-0000-0000-0000CC5A0000}"/>
    <cellStyle name="Obliczenia 2 2 24 2" xfId="23238" xr:uid="{00000000-0005-0000-0000-0000CD5A0000}"/>
    <cellStyle name="Obliczenia 2 2 24 3" xfId="23239" xr:uid="{00000000-0005-0000-0000-0000CE5A0000}"/>
    <cellStyle name="Obliczenia 2 2 25" xfId="23240" xr:uid="{00000000-0005-0000-0000-0000CF5A0000}"/>
    <cellStyle name="Obliczenia 2 2 25 2" xfId="23241" xr:uid="{00000000-0005-0000-0000-0000D05A0000}"/>
    <cellStyle name="Obliczenia 2 2 25 3" xfId="23242" xr:uid="{00000000-0005-0000-0000-0000D15A0000}"/>
    <cellStyle name="Obliczenia 2 2 26" xfId="23243" xr:uid="{00000000-0005-0000-0000-0000D25A0000}"/>
    <cellStyle name="Obliczenia 2 2 26 2" xfId="23244" xr:uid="{00000000-0005-0000-0000-0000D35A0000}"/>
    <cellStyle name="Obliczenia 2 2 26 3" xfId="23245" xr:uid="{00000000-0005-0000-0000-0000D45A0000}"/>
    <cellStyle name="Obliczenia 2 2 27" xfId="23246" xr:uid="{00000000-0005-0000-0000-0000D55A0000}"/>
    <cellStyle name="Obliczenia 2 2 27 2" xfId="23247" xr:uid="{00000000-0005-0000-0000-0000D65A0000}"/>
    <cellStyle name="Obliczenia 2 2 27 3" xfId="23248" xr:uid="{00000000-0005-0000-0000-0000D75A0000}"/>
    <cellStyle name="Obliczenia 2 2 28" xfId="23249" xr:uid="{00000000-0005-0000-0000-0000D85A0000}"/>
    <cellStyle name="Obliczenia 2 2 28 2" xfId="23250" xr:uid="{00000000-0005-0000-0000-0000D95A0000}"/>
    <cellStyle name="Obliczenia 2 2 28 3" xfId="23251" xr:uid="{00000000-0005-0000-0000-0000DA5A0000}"/>
    <cellStyle name="Obliczenia 2 2 29" xfId="23252" xr:uid="{00000000-0005-0000-0000-0000DB5A0000}"/>
    <cellStyle name="Obliczenia 2 2 29 2" xfId="23253" xr:uid="{00000000-0005-0000-0000-0000DC5A0000}"/>
    <cellStyle name="Obliczenia 2 2 29 3" xfId="23254" xr:uid="{00000000-0005-0000-0000-0000DD5A0000}"/>
    <cellStyle name="Obliczenia 2 2 3" xfId="23255" xr:uid="{00000000-0005-0000-0000-0000DE5A0000}"/>
    <cellStyle name="Obliczenia 2 2 3 2" xfId="23256" xr:uid="{00000000-0005-0000-0000-0000DF5A0000}"/>
    <cellStyle name="Obliczenia 2 2 3 3" xfId="23257" xr:uid="{00000000-0005-0000-0000-0000E05A0000}"/>
    <cellStyle name="Obliczenia 2 2 3 4" xfId="23258" xr:uid="{00000000-0005-0000-0000-0000E15A0000}"/>
    <cellStyle name="Obliczenia 2 2 30" xfId="23259" xr:uid="{00000000-0005-0000-0000-0000E25A0000}"/>
    <cellStyle name="Obliczenia 2 2 30 2" xfId="23260" xr:uid="{00000000-0005-0000-0000-0000E35A0000}"/>
    <cellStyle name="Obliczenia 2 2 30 3" xfId="23261" xr:uid="{00000000-0005-0000-0000-0000E45A0000}"/>
    <cellStyle name="Obliczenia 2 2 31" xfId="23262" xr:uid="{00000000-0005-0000-0000-0000E55A0000}"/>
    <cellStyle name="Obliczenia 2 2 31 2" xfId="23263" xr:uid="{00000000-0005-0000-0000-0000E65A0000}"/>
    <cellStyle name="Obliczenia 2 2 31 3" xfId="23264" xr:uid="{00000000-0005-0000-0000-0000E75A0000}"/>
    <cellStyle name="Obliczenia 2 2 32" xfId="23265" xr:uid="{00000000-0005-0000-0000-0000E85A0000}"/>
    <cellStyle name="Obliczenia 2 2 32 2" xfId="23266" xr:uid="{00000000-0005-0000-0000-0000E95A0000}"/>
    <cellStyle name="Obliczenia 2 2 32 3" xfId="23267" xr:uid="{00000000-0005-0000-0000-0000EA5A0000}"/>
    <cellStyle name="Obliczenia 2 2 33" xfId="23268" xr:uid="{00000000-0005-0000-0000-0000EB5A0000}"/>
    <cellStyle name="Obliczenia 2 2 33 2" xfId="23269" xr:uid="{00000000-0005-0000-0000-0000EC5A0000}"/>
    <cellStyle name="Obliczenia 2 2 33 3" xfId="23270" xr:uid="{00000000-0005-0000-0000-0000ED5A0000}"/>
    <cellStyle name="Obliczenia 2 2 34" xfId="23271" xr:uid="{00000000-0005-0000-0000-0000EE5A0000}"/>
    <cellStyle name="Obliczenia 2 2 34 2" xfId="23272" xr:uid="{00000000-0005-0000-0000-0000EF5A0000}"/>
    <cellStyle name="Obliczenia 2 2 34 3" xfId="23273" xr:uid="{00000000-0005-0000-0000-0000F05A0000}"/>
    <cellStyle name="Obliczenia 2 2 35" xfId="23274" xr:uid="{00000000-0005-0000-0000-0000F15A0000}"/>
    <cellStyle name="Obliczenia 2 2 35 2" xfId="23275" xr:uid="{00000000-0005-0000-0000-0000F25A0000}"/>
    <cellStyle name="Obliczenia 2 2 35 3" xfId="23276" xr:uid="{00000000-0005-0000-0000-0000F35A0000}"/>
    <cellStyle name="Obliczenia 2 2 36" xfId="23277" xr:uid="{00000000-0005-0000-0000-0000F45A0000}"/>
    <cellStyle name="Obliczenia 2 2 36 2" xfId="23278" xr:uid="{00000000-0005-0000-0000-0000F55A0000}"/>
    <cellStyle name="Obliczenia 2 2 36 3" xfId="23279" xr:uid="{00000000-0005-0000-0000-0000F65A0000}"/>
    <cellStyle name="Obliczenia 2 2 37" xfId="23280" xr:uid="{00000000-0005-0000-0000-0000F75A0000}"/>
    <cellStyle name="Obliczenia 2 2 37 2" xfId="23281" xr:uid="{00000000-0005-0000-0000-0000F85A0000}"/>
    <cellStyle name="Obliczenia 2 2 37 3" xfId="23282" xr:uid="{00000000-0005-0000-0000-0000F95A0000}"/>
    <cellStyle name="Obliczenia 2 2 38" xfId="23283" xr:uid="{00000000-0005-0000-0000-0000FA5A0000}"/>
    <cellStyle name="Obliczenia 2 2 38 2" xfId="23284" xr:uid="{00000000-0005-0000-0000-0000FB5A0000}"/>
    <cellStyle name="Obliczenia 2 2 38 3" xfId="23285" xr:uid="{00000000-0005-0000-0000-0000FC5A0000}"/>
    <cellStyle name="Obliczenia 2 2 39" xfId="23286" xr:uid="{00000000-0005-0000-0000-0000FD5A0000}"/>
    <cellStyle name="Obliczenia 2 2 39 2" xfId="23287" xr:uid="{00000000-0005-0000-0000-0000FE5A0000}"/>
    <cellStyle name="Obliczenia 2 2 39 3" xfId="23288" xr:uid="{00000000-0005-0000-0000-0000FF5A0000}"/>
    <cellStyle name="Obliczenia 2 2 4" xfId="23289" xr:uid="{00000000-0005-0000-0000-0000005B0000}"/>
    <cellStyle name="Obliczenia 2 2 4 2" xfId="23290" xr:uid="{00000000-0005-0000-0000-0000015B0000}"/>
    <cellStyle name="Obliczenia 2 2 4 3" xfId="23291" xr:uid="{00000000-0005-0000-0000-0000025B0000}"/>
    <cellStyle name="Obliczenia 2 2 4 4" xfId="23292" xr:uid="{00000000-0005-0000-0000-0000035B0000}"/>
    <cellStyle name="Obliczenia 2 2 40" xfId="23293" xr:uid="{00000000-0005-0000-0000-0000045B0000}"/>
    <cellStyle name="Obliczenia 2 2 40 2" xfId="23294" xr:uid="{00000000-0005-0000-0000-0000055B0000}"/>
    <cellStyle name="Obliczenia 2 2 40 3" xfId="23295" xr:uid="{00000000-0005-0000-0000-0000065B0000}"/>
    <cellStyle name="Obliczenia 2 2 41" xfId="23296" xr:uid="{00000000-0005-0000-0000-0000075B0000}"/>
    <cellStyle name="Obliczenia 2 2 41 2" xfId="23297" xr:uid="{00000000-0005-0000-0000-0000085B0000}"/>
    <cellStyle name="Obliczenia 2 2 41 3" xfId="23298" xr:uid="{00000000-0005-0000-0000-0000095B0000}"/>
    <cellStyle name="Obliczenia 2 2 42" xfId="23299" xr:uid="{00000000-0005-0000-0000-00000A5B0000}"/>
    <cellStyle name="Obliczenia 2 2 42 2" xfId="23300" xr:uid="{00000000-0005-0000-0000-00000B5B0000}"/>
    <cellStyle name="Obliczenia 2 2 42 3" xfId="23301" xr:uid="{00000000-0005-0000-0000-00000C5B0000}"/>
    <cellStyle name="Obliczenia 2 2 43" xfId="23302" xr:uid="{00000000-0005-0000-0000-00000D5B0000}"/>
    <cellStyle name="Obliczenia 2 2 43 2" xfId="23303" xr:uid="{00000000-0005-0000-0000-00000E5B0000}"/>
    <cellStyle name="Obliczenia 2 2 43 3" xfId="23304" xr:uid="{00000000-0005-0000-0000-00000F5B0000}"/>
    <cellStyle name="Obliczenia 2 2 44" xfId="23305" xr:uid="{00000000-0005-0000-0000-0000105B0000}"/>
    <cellStyle name="Obliczenia 2 2 44 2" xfId="23306" xr:uid="{00000000-0005-0000-0000-0000115B0000}"/>
    <cellStyle name="Obliczenia 2 2 44 3" xfId="23307" xr:uid="{00000000-0005-0000-0000-0000125B0000}"/>
    <cellStyle name="Obliczenia 2 2 45" xfId="23308" xr:uid="{00000000-0005-0000-0000-0000135B0000}"/>
    <cellStyle name="Obliczenia 2 2 45 2" xfId="23309" xr:uid="{00000000-0005-0000-0000-0000145B0000}"/>
    <cellStyle name="Obliczenia 2 2 45 3" xfId="23310" xr:uid="{00000000-0005-0000-0000-0000155B0000}"/>
    <cellStyle name="Obliczenia 2 2 46" xfId="23311" xr:uid="{00000000-0005-0000-0000-0000165B0000}"/>
    <cellStyle name="Obliczenia 2 2 46 2" xfId="23312" xr:uid="{00000000-0005-0000-0000-0000175B0000}"/>
    <cellStyle name="Obliczenia 2 2 46 3" xfId="23313" xr:uid="{00000000-0005-0000-0000-0000185B0000}"/>
    <cellStyle name="Obliczenia 2 2 47" xfId="23314" xr:uid="{00000000-0005-0000-0000-0000195B0000}"/>
    <cellStyle name="Obliczenia 2 2 47 2" xfId="23315" xr:uid="{00000000-0005-0000-0000-00001A5B0000}"/>
    <cellStyle name="Obliczenia 2 2 47 3" xfId="23316" xr:uid="{00000000-0005-0000-0000-00001B5B0000}"/>
    <cellStyle name="Obliczenia 2 2 48" xfId="23317" xr:uid="{00000000-0005-0000-0000-00001C5B0000}"/>
    <cellStyle name="Obliczenia 2 2 48 2" xfId="23318" xr:uid="{00000000-0005-0000-0000-00001D5B0000}"/>
    <cellStyle name="Obliczenia 2 2 48 3" xfId="23319" xr:uid="{00000000-0005-0000-0000-00001E5B0000}"/>
    <cellStyle name="Obliczenia 2 2 49" xfId="23320" xr:uid="{00000000-0005-0000-0000-00001F5B0000}"/>
    <cellStyle name="Obliczenia 2 2 49 2" xfId="23321" xr:uid="{00000000-0005-0000-0000-0000205B0000}"/>
    <cellStyle name="Obliczenia 2 2 49 3" xfId="23322" xr:uid="{00000000-0005-0000-0000-0000215B0000}"/>
    <cellStyle name="Obliczenia 2 2 5" xfId="23323" xr:uid="{00000000-0005-0000-0000-0000225B0000}"/>
    <cellStyle name="Obliczenia 2 2 5 2" xfId="23324" xr:uid="{00000000-0005-0000-0000-0000235B0000}"/>
    <cellStyle name="Obliczenia 2 2 5 3" xfId="23325" xr:uid="{00000000-0005-0000-0000-0000245B0000}"/>
    <cellStyle name="Obliczenia 2 2 5 4" xfId="23326" xr:uid="{00000000-0005-0000-0000-0000255B0000}"/>
    <cellStyle name="Obliczenia 2 2 50" xfId="23327" xr:uid="{00000000-0005-0000-0000-0000265B0000}"/>
    <cellStyle name="Obliczenia 2 2 50 2" xfId="23328" xr:uid="{00000000-0005-0000-0000-0000275B0000}"/>
    <cellStyle name="Obliczenia 2 2 50 3" xfId="23329" xr:uid="{00000000-0005-0000-0000-0000285B0000}"/>
    <cellStyle name="Obliczenia 2 2 51" xfId="23330" xr:uid="{00000000-0005-0000-0000-0000295B0000}"/>
    <cellStyle name="Obliczenia 2 2 51 2" xfId="23331" xr:uid="{00000000-0005-0000-0000-00002A5B0000}"/>
    <cellStyle name="Obliczenia 2 2 51 3" xfId="23332" xr:uid="{00000000-0005-0000-0000-00002B5B0000}"/>
    <cellStyle name="Obliczenia 2 2 52" xfId="23333" xr:uid="{00000000-0005-0000-0000-00002C5B0000}"/>
    <cellStyle name="Obliczenia 2 2 52 2" xfId="23334" xr:uid="{00000000-0005-0000-0000-00002D5B0000}"/>
    <cellStyle name="Obliczenia 2 2 52 3" xfId="23335" xr:uid="{00000000-0005-0000-0000-00002E5B0000}"/>
    <cellStyle name="Obliczenia 2 2 53" xfId="23336" xr:uid="{00000000-0005-0000-0000-00002F5B0000}"/>
    <cellStyle name="Obliczenia 2 2 53 2" xfId="23337" xr:uid="{00000000-0005-0000-0000-0000305B0000}"/>
    <cellStyle name="Obliczenia 2 2 53 3" xfId="23338" xr:uid="{00000000-0005-0000-0000-0000315B0000}"/>
    <cellStyle name="Obliczenia 2 2 54" xfId="23339" xr:uid="{00000000-0005-0000-0000-0000325B0000}"/>
    <cellStyle name="Obliczenia 2 2 54 2" xfId="23340" xr:uid="{00000000-0005-0000-0000-0000335B0000}"/>
    <cellStyle name="Obliczenia 2 2 54 3" xfId="23341" xr:uid="{00000000-0005-0000-0000-0000345B0000}"/>
    <cellStyle name="Obliczenia 2 2 55" xfId="23342" xr:uid="{00000000-0005-0000-0000-0000355B0000}"/>
    <cellStyle name="Obliczenia 2 2 55 2" xfId="23343" xr:uid="{00000000-0005-0000-0000-0000365B0000}"/>
    <cellStyle name="Obliczenia 2 2 55 3" xfId="23344" xr:uid="{00000000-0005-0000-0000-0000375B0000}"/>
    <cellStyle name="Obliczenia 2 2 56" xfId="23345" xr:uid="{00000000-0005-0000-0000-0000385B0000}"/>
    <cellStyle name="Obliczenia 2 2 56 2" xfId="23346" xr:uid="{00000000-0005-0000-0000-0000395B0000}"/>
    <cellStyle name="Obliczenia 2 2 56 3" xfId="23347" xr:uid="{00000000-0005-0000-0000-00003A5B0000}"/>
    <cellStyle name="Obliczenia 2 2 57" xfId="23348" xr:uid="{00000000-0005-0000-0000-00003B5B0000}"/>
    <cellStyle name="Obliczenia 2 2 58" xfId="23349" xr:uid="{00000000-0005-0000-0000-00003C5B0000}"/>
    <cellStyle name="Obliczenia 2 2 59" xfId="23350" xr:uid="{00000000-0005-0000-0000-00003D5B0000}"/>
    <cellStyle name="Obliczenia 2 2 6" xfId="23351" xr:uid="{00000000-0005-0000-0000-00003E5B0000}"/>
    <cellStyle name="Obliczenia 2 2 6 2" xfId="23352" xr:uid="{00000000-0005-0000-0000-00003F5B0000}"/>
    <cellStyle name="Obliczenia 2 2 6 3" xfId="23353" xr:uid="{00000000-0005-0000-0000-0000405B0000}"/>
    <cellStyle name="Obliczenia 2 2 6 4" xfId="23354" xr:uid="{00000000-0005-0000-0000-0000415B0000}"/>
    <cellStyle name="Obliczenia 2 2 7" xfId="23355" xr:uid="{00000000-0005-0000-0000-0000425B0000}"/>
    <cellStyle name="Obliczenia 2 2 7 2" xfId="23356" xr:uid="{00000000-0005-0000-0000-0000435B0000}"/>
    <cellStyle name="Obliczenia 2 2 7 3" xfId="23357" xr:uid="{00000000-0005-0000-0000-0000445B0000}"/>
    <cellStyle name="Obliczenia 2 2 7 4" xfId="23358" xr:uid="{00000000-0005-0000-0000-0000455B0000}"/>
    <cellStyle name="Obliczenia 2 2 8" xfId="23359" xr:uid="{00000000-0005-0000-0000-0000465B0000}"/>
    <cellStyle name="Obliczenia 2 2 8 2" xfId="23360" xr:uid="{00000000-0005-0000-0000-0000475B0000}"/>
    <cellStyle name="Obliczenia 2 2 8 3" xfId="23361" xr:uid="{00000000-0005-0000-0000-0000485B0000}"/>
    <cellStyle name="Obliczenia 2 2 8 4" xfId="23362" xr:uid="{00000000-0005-0000-0000-0000495B0000}"/>
    <cellStyle name="Obliczenia 2 2 9" xfId="23363" xr:uid="{00000000-0005-0000-0000-00004A5B0000}"/>
    <cellStyle name="Obliczenia 2 2 9 2" xfId="23364" xr:uid="{00000000-0005-0000-0000-00004B5B0000}"/>
    <cellStyle name="Obliczenia 2 2 9 3" xfId="23365" xr:uid="{00000000-0005-0000-0000-00004C5B0000}"/>
    <cellStyle name="Obliczenia 2 2 9 4" xfId="23366" xr:uid="{00000000-0005-0000-0000-00004D5B0000}"/>
    <cellStyle name="Obliczenia 2 20" xfId="23367" xr:uid="{00000000-0005-0000-0000-00004E5B0000}"/>
    <cellStyle name="Obliczenia 2 20 10" xfId="23368" xr:uid="{00000000-0005-0000-0000-00004F5B0000}"/>
    <cellStyle name="Obliczenia 2 20 10 2" xfId="23369" xr:uid="{00000000-0005-0000-0000-0000505B0000}"/>
    <cellStyle name="Obliczenia 2 20 10 3" xfId="23370" xr:uid="{00000000-0005-0000-0000-0000515B0000}"/>
    <cellStyle name="Obliczenia 2 20 10 4" xfId="23371" xr:uid="{00000000-0005-0000-0000-0000525B0000}"/>
    <cellStyle name="Obliczenia 2 20 11" xfId="23372" xr:uid="{00000000-0005-0000-0000-0000535B0000}"/>
    <cellStyle name="Obliczenia 2 20 11 2" xfId="23373" xr:uid="{00000000-0005-0000-0000-0000545B0000}"/>
    <cellStyle name="Obliczenia 2 20 11 3" xfId="23374" xr:uid="{00000000-0005-0000-0000-0000555B0000}"/>
    <cellStyle name="Obliczenia 2 20 11 4" xfId="23375" xr:uid="{00000000-0005-0000-0000-0000565B0000}"/>
    <cellStyle name="Obliczenia 2 20 12" xfId="23376" xr:uid="{00000000-0005-0000-0000-0000575B0000}"/>
    <cellStyle name="Obliczenia 2 20 12 2" xfId="23377" xr:uid="{00000000-0005-0000-0000-0000585B0000}"/>
    <cellStyle name="Obliczenia 2 20 12 3" xfId="23378" xr:uid="{00000000-0005-0000-0000-0000595B0000}"/>
    <cellStyle name="Obliczenia 2 20 12 4" xfId="23379" xr:uid="{00000000-0005-0000-0000-00005A5B0000}"/>
    <cellStyle name="Obliczenia 2 20 13" xfId="23380" xr:uid="{00000000-0005-0000-0000-00005B5B0000}"/>
    <cellStyle name="Obliczenia 2 20 13 2" xfId="23381" xr:uid="{00000000-0005-0000-0000-00005C5B0000}"/>
    <cellStyle name="Obliczenia 2 20 13 3" xfId="23382" xr:uid="{00000000-0005-0000-0000-00005D5B0000}"/>
    <cellStyle name="Obliczenia 2 20 13 4" xfId="23383" xr:uid="{00000000-0005-0000-0000-00005E5B0000}"/>
    <cellStyle name="Obliczenia 2 20 14" xfId="23384" xr:uid="{00000000-0005-0000-0000-00005F5B0000}"/>
    <cellStyle name="Obliczenia 2 20 14 2" xfId="23385" xr:uid="{00000000-0005-0000-0000-0000605B0000}"/>
    <cellStyle name="Obliczenia 2 20 14 3" xfId="23386" xr:uid="{00000000-0005-0000-0000-0000615B0000}"/>
    <cellStyle name="Obliczenia 2 20 14 4" xfId="23387" xr:uid="{00000000-0005-0000-0000-0000625B0000}"/>
    <cellStyle name="Obliczenia 2 20 15" xfId="23388" xr:uid="{00000000-0005-0000-0000-0000635B0000}"/>
    <cellStyle name="Obliczenia 2 20 15 2" xfId="23389" xr:uid="{00000000-0005-0000-0000-0000645B0000}"/>
    <cellStyle name="Obliczenia 2 20 15 3" xfId="23390" xr:uid="{00000000-0005-0000-0000-0000655B0000}"/>
    <cellStyle name="Obliczenia 2 20 15 4" xfId="23391" xr:uid="{00000000-0005-0000-0000-0000665B0000}"/>
    <cellStyle name="Obliczenia 2 20 16" xfId="23392" xr:uid="{00000000-0005-0000-0000-0000675B0000}"/>
    <cellStyle name="Obliczenia 2 20 16 2" xfId="23393" xr:uid="{00000000-0005-0000-0000-0000685B0000}"/>
    <cellStyle name="Obliczenia 2 20 16 3" xfId="23394" xr:uid="{00000000-0005-0000-0000-0000695B0000}"/>
    <cellStyle name="Obliczenia 2 20 16 4" xfId="23395" xr:uid="{00000000-0005-0000-0000-00006A5B0000}"/>
    <cellStyle name="Obliczenia 2 20 17" xfId="23396" xr:uid="{00000000-0005-0000-0000-00006B5B0000}"/>
    <cellStyle name="Obliczenia 2 20 17 2" xfId="23397" xr:uid="{00000000-0005-0000-0000-00006C5B0000}"/>
    <cellStyle name="Obliczenia 2 20 17 3" xfId="23398" xr:uid="{00000000-0005-0000-0000-00006D5B0000}"/>
    <cellStyle name="Obliczenia 2 20 17 4" xfId="23399" xr:uid="{00000000-0005-0000-0000-00006E5B0000}"/>
    <cellStyle name="Obliczenia 2 20 18" xfId="23400" xr:uid="{00000000-0005-0000-0000-00006F5B0000}"/>
    <cellStyle name="Obliczenia 2 20 18 2" xfId="23401" xr:uid="{00000000-0005-0000-0000-0000705B0000}"/>
    <cellStyle name="Obliczenia 2 20 18 3" xfId="23402" xr:uid="{00000000-0005-0000-0000-0000715B0000}"/>
    <cellStyle name="Obliczenia 2 20 18 4" xfId="23403" xr:uid="{00000000-0005-0000-0000-0000725B0000}"/>
    <cellStyle name="Obliczenia 2 20 19" xfId="23404" xr:uid="{00000000-0005-0000-0000-0000735B0000}"/>
    <cellStyle name="Obliczenia 2 20 19 2" xfId="23405" xr:uid="{00000000-0005-0000-0000-0000745B0000}"/>
    <cellStyle name="Obliczenia 2 20 19 3" xfId="23406" xr:uid="{00000000-0005-0000-0000-0000755B0000}"/>
    <cellStyle name="Obliczenia 2 20 19 4" xfId="23407" xr:uid="{00000000-0005-0000-0000-0000765B0000}"/>
    <cellStyle name="Obliczenia 2 20 2" xfId="23408" xr:uid="{00000000-0005-0000-0000-0000775B0000}"/>
    <cellStyle name="Obliczenia 2 20 2 2" xfId="23409" xr:uid="{00000000-0005-0000-0000-0000785B0000}"/>
    <cellStyle name="Obliczenia 2 20 2 3" xfId="23410" xr:uid="{00000000-0005-0000-0000-0000795B0000}"/>
    <cellStyle name="Obliczenia 2 20 2 4" xfId="23411" xr:uid="{00000000-0005-0000-0000-00007A5B0000}"/>
    <cellStyle name="Obliczenia 2 20 20" xfId="23412" xr:uid="{00000000-0005-0000-0000-00007B5B0000}"/>
    <cellStyle name="Obliczenia 2 20 20 2" xfId="23413" xr:uid="{00000000-0005-0000-0000-00007C5B0000}"/>
    <cellStyle name="Obliczenia 2 20 20 3" xfId="23414" xr:uid="{00000000-0005-0000-0000-00007D5B0000}"/>
    <cellStyle name="Obliczenia 2 20 20 4" xfId="23415" xr:uid="{00000000-0005-0000-0000-00007E5B0000}"/>
    <cellStyle name="Obliczenia 2 20 21" xfId="23416" xr:uid="{00000000-0005-0000-0000-00007F5B0000}"/>
    <cellStyle name="Obliczenia 2 20 21 2" xfId="23417" xr:uid="{00000000-0005-0000-0000-0000805B0000}"/>
    <cellStyle name="Obliczenia 2 20 21 3" xfId="23418" xr:uid="{00000000-0005-0000-0000-0000815B0000}"/>
    <cellStyle name="Obliczenia 2 20 22" xfId="23419" xr:uid="{00000000-0005-0000-0000-0000825B0000}"/>
    <cellStyle name="Obliczenia 2 20 22 2" xfId="23420" xr:uid="{00000000-0005-0000-0000-0000835B0000}"/>
    <cellStyle name="Obliczenia 2 20 22 3" xfId="23421" xr:uid="{00000000-0005-0000-0000-0000845B0000}"/>
    <cellStyle name="Obliczenia 2 20 23" xfId="23422" xr:uid="{00000000-0005-0000-0000-0000855B0000}"/>
    <cellStyle name="Obliczenia 2 20 23 2" xfId="23423" xr:uid="{00000000-0005-0000-0000-0000865B0000}"/>
    <cellStyle name="Obliczenia 2 20 23 3" xfId="23424" xr:uid="{00000000-0005-0000-0000-0000875B0000}"/>
    <cellStyle name="Obliczenia 2 20 24" xfId="23425" xr:uid="{00000000-0005-0000-0000-0000885B0000}"/>
    <cellStyle name="Obliczenia 2 20 24 2" xfId="23426" xr:uid="{00000000-0005-0000-0000-0000895B0000}"/>
    <cellStyle name="Obliczenia 2 20 24 3" xfId="23427" xr:uid="{00000000-0005-0000-0000-00008A5B0000}"/>
    <cellStyle name="Obliczenia 2 20 25" xfId="23428" xr:uid="{00000000-0005-0000-0000-00008B5B0000}"/>
    <cellStyle name="Obliczenia 2 20 25 2" xfId="23429" xr:uid="{00000000-0005-0000-0000-00008C5B0000}"/>
    <cellStyle name="Obliczenia 2 20 25 3" xfId="23430" xr:uid="{00000000-0005-0000-0000-00008D5B0000}"/>
    <cellStyle name="Obliczenia 2 20 26" xfId="23431" xr:uid="{00000000-0005-0000-0000-00008E5B0000}"/>
    <cellStyle name="Obliczenia 2 20 26 2" xfId="23432" xr:uid="{00000000-0005-0000-0000-00008F5B0000}"/>
    <cellStyle name="Obliczenia 2 20 26 3" xfId="23433" xr:uid="{00000000-0005-0000-0000-0000905B0000}"/>
    <cellStyle name="Obliczenia 2 20 27" xfId="23434" xr:uid="{00000000-0005-0000-0000-0000915B0000}"/>
    <cellStyle name="Obliczenia 2 20 27 2" xfId="23435" xr:uid="{00000000-0005-0000-0000-0000925B0000}"/>
    <cellStyle name="Obliczenia 2 20 27 3" xfId="23436" xr:uid="{00000000-0005-0000-0000-0000935B0000}"/>
    <cellStyle name="Obliczenia 2 20 28" xfId="23437" xr:uid="{00000000-0005-0000-0000-0000945B0000}"/>
    <cellStyle name="Obliczenia 2 20 28 2" xfId="23438" xr:uid="{00000000-0005-0000-0000-0000955B0000}"/>
    <cellStyle name="Obliczenia 2 20 28 3" xfId="23439" xr:uid="{00000000-0005-0000-0000-0000965B0000}"/>
    <cellStyle name="Obliczenia 2 20 29" xfId="23440" xr:uid="{00000000-0005-0000-0000-0000975B0000}"/>
    <cellStyle name="Obliczenia 2 20 29 2" xfId="23441" xr:uid="{00000000-0005-0000-0000-0000985B0000}"/>
    <cellStyle name="Obliczenia 2 20 29 3" xfId="23442" xr:uid="{00000000-0005-0000-0000-0000995B0000}"/>
    <cellStyle name="Obliczenia 2 20 3" xfId="23443" xr:uid="{00000000-0005-0000-0000-00009A5B0000}"/>
    <cellStyle name="Obliczenia 2 20 3 2" xfId="23444" xr:uid="{00000000-0005-0000-0000-00009B5B0000}"/>
    <cellStyle name="Obliczenia 2 20 3 3" xfId="23445" xr:uid="{00000000-0005-0000-0000-00009C5B0000}"/>
    <cellStyle name="Obliczenia 2 20 3 4" xfId="23446" xr:uid="{00000000-0005-0000-0000-00009D5B0000}"/>
    <cellStyle name="Obliczenia 2 20 30" xfId="23447" xr:uid="{00000000-0005-0000-0000-00009E5B0000}"/>
    <cellStyle name="Obliczenia 2 20 30 2" xfId="23448" xr:uid="{00000000-0005-0000-0000-00009F5B0000}"/>
    <cellStyle name="Obliczenia 2 20 30 3" xfId="23449" xr:uid="{00000000-0005-0000-0000-0000A05B0000}"/>
    <cellStyle name="Obliczenia 2 20 31" xfId="23450" xr:uid="{00000000-0005-0000-0000-0000A15B0000}"/>
    <cellStyle name="Obliczenia 2 20 31 2" xfId="23451" xr:uid="{00000000-0005-0000-0000-0000A25B0000}"/>
    <cellStyle name="Obliczenia 2 20 31 3" xfId="23452" xr:uid="{00000000-0005-0000-0000-0000A35B0000}"/>
    <cellStyle name="Obliczenia 2 20 32" xfId="23453" xr:uid="{00000000-0005-0000-0000-0000A45B0000}"/>
    <cellStyle name="Obliczenia 2 20 32 2" xfId="23454" xr:uid="{00000000-0005-0000-0000-0000A55B0000}"/>
    <cellStyle name="Obliczenia 2 20 32 3" xfId="23455" xr:uid="{00000000-0005-0000-0000-0000A65B0000}"/>
    <cellStyle name="Obliczenia 2 20 33" xfId="23456" xr:uid="{00000000-0005-0000-0000-0000A75B0000}"/>
    <cellStyle name="Obliczenia 2 20 33 2" xfId="23457" xr:uid="{00000000-0005-0000-0000-0000A85B0000}"/>
    <cellStyle name="Obliczenia 2 20 33 3" xfId="23458" xr:uid="{00000000-0005-0000-0000-0000A95B0000}"/>
    <cellStyle name="Obliczenia 2 20 34" xfId="23459" xr:uid="{00000000-0005-0000-0000-0000AA5B0000}"/>
    <cellStyle name="Obliczenia 2 20 34 2" xfId="23460" xr:uid="{00000000-0005-0000-0000-0000AB5B0000}"/>
    <cellStyle name="Obliczenia 2 20 34 3" xfId="23461" xr:uid="{00000000-0005-0000-0000-0000AC5B0000}"/>
    <cellStyle name="Obliczenia 2 20 35" xfId="23462" xr:uid="{00000000-0005-0000-0000-0000AD5B0000}"/>
    <cellStyle name="Obliczenia 2 20 35 2" xfId="23463" xr:uid="{00000000-0005-0000-0000-0000AE5B0000}"/>
    <cellStyle name="Obliczenia 2 20 35 3" xfId="23464" xr:uid="{00000000-0005-0000-0000-0000AF5B0000}"/>
    <cellStyle name="Obliczenia 2 20 36" xfId="23465" xr:uid="{00000000-0005-0000-0000-0000B05B0000}"/>
    <cellStyle name="Obliczenia 2 20 36 2" xfId="23466" xr:uid="{00000000-0005-0000-0000-0000B15B0000}"/>
    <cellStyle name="Obliczenia 2 20 36 3" xfId="23467" xr:uid="{00000000-0005-0000-0000-0000B25B0000}"/>
    <cellStyle name="Obliczenia 2 20 37" xfId="23468" xr:uid="{00000000-0005-0000-0000-0000B35B0000}"/>
    <cellStyle name="Obliczenia 2 20 37 2" xfId="23469" xr:uid="{00000000-0005-0000-0000-0000B45B0000}"/>
    <cellStyle name="Obliczenia 2 20 37 3" xfId="23470" xr:uid="{00000000-0005-0000-0000-0000B55B0000}"/>
    <cellStyle name="Obliczenia 2 20 38" xfId="23471" xr:uid="{00000000-0005-0000-0000-0000B65B0000}"/>
    <cellStyle name="Obliczenia 2 20 38 2" xfId="23472" xr:uid="{00000000-0005-0000-0000-0000B75B0000}"/>
    <cellStyle name="Obliczenia 2 20 38 3" xfId="23473" xr:uid="{00000000-0005-0000-0000-0000B85B0000}"/>
    <cellStyle name="Obliczenia 2 20 39" xfId="23474" xr:uid="{00000000-0005-0000-0000-0000B95B0000}"/>
    <cellStyle name="Obliczenia 2 20 39 2" xfId="23475" xr:uid="{00000000-0005-0000-0000-0000BA5B0000}"/>
    <cellStyle name="Obliczenia 2 20 39 3" xfId="23476" xr:uid="{00000000-0005-0000-0000-0000BB5B0000}"/>
    <cellStyle name="Obliczenia 2 20 4" xfId="23477" xr:uid="{00000000-0005-0000-0000-0000BC5B0000}"/>
    <cellStyle name="Obliczenia 2 20 4 2" xfId="23478" xr:uid="{00000000-0005-0000-0000-0000BD5B0000}"/>
    <cellStyle name="Obliczenia 2 20 4 3" xfId="23479" xr:uid="{00000000-0005-0000-0000-0000BE5B0000}"/>
    <cellStyle name="Obliczenia 2 20 4 4" xfId="23480" xr:uid="{00000000-0005-0000-0000-0000BF5B0000}"/>
    <cellStyle name="Obliczenia 2 20 40" xfId="23481" xr:uid="{00000000-0005-0000-0000-0000C05B0000}"/>
    <cellStyle name="Obliczenia 2 20 40 2" xfId="23482" xr:uid="{00000000-0005-0000-0000-0000C15B0000}"/>
    <cellStyle name="Obliczenia 2 20 40 3" xfId="23483" xr:uid="{00000000-0005-0000-0000-0000C25B0000}"/>
    <cellStyle name="Obliczenia 2 20 41" xfId="23484" xr:uid="{00000000-0005-0000-0000-0000C35B0000}"/>
    <cellStyle name="Obliczenia 2 20 41 2" xfId="23485" xr:uid="{00000000-0005-0000-0000-0000C45B0000}"/>
    <cellStyle name="Obliczenia 2 20 41 3" xfId="23486" xr:uid="{00000000-0005-0000-0000-0000C55B0000}"/>
    <cellStyle name="Obliczenia 2 20 42" xfId="23487" xr:uid="{00000000-0005-0000-0000-0000C65B0000}"/>
    <cellStyle name="Obliczenia 2 20 42 2" xfId="23488" xr:uid="{00000000-0005-0000-0000-0000C75B0000}"/>
    <cellStyle name="Obliczenia 2 20 42 3" xfId="23489" xr:uid="{00000000-0005-0000-0000-0000C85B0000}"/>
    <cellStyle name="Obliczenia 2 20 43" xfId="23490" xr:uid="{00000000-0005-0000-0000-0000C95B0000}"/>
    <cellStyle name="Obliczenia 2 20 43 2" xfId="23491" xr:uid="{00000000-0005-0000-0000-0000CA5B0000}"/>
    <cellStyle name="Obliczenia 2 20 43 3" xfId="23492" xr:uid="{00000000-0005-0000-0000-0000CB5B0000}"/>
    <cellStyle name="Obliczenia 2 20 44" xfId="23493" xr:uid="{00000000-0005-0000-0000-0000CC5B0000}"/>
    <cellStyle name="Obliczenia 2 20 44 2" xfId="23494" xr:uid="{00000000-0005-0000-0000-0000CD5B0000}"/>
    <cellStyle name="Obliczenia 2 20 44 3" xfId="23495" xr:uid="{00000000-0005-0000-0000-0000CE5B0000}"/>
    <cellStyle name="Obliczenia 2 20 45" xfId="23496" xr:uid="{00000000-0005-0000-0000-0000CF5B0000}"/>
    <cellStyle name="Obliczenia 2 20 45 2" xfId="23497" xr:uid="{00000000-0005-0000-0000-0000D05B0000}"/>
    <cellStyle name="Obliczenia 2 20 45 3" xfId="23498" xr:uid="{00000000-0005-0000-0000-0000D15B0000}"/>
    <cellStyle name="Obliczenia 2 20 46" xfId="23499" xr:uid="{00000000-0005-0000-0000-0000D25B0000}"/>
    <cellStyle name="Obliczenia 2 20 46 2" xfId="23500" xr:uid="{00000000-0005-0000-0000-0000D35B0000}"/>
    <cellStyle name="Obliczenia 2 20 46 3" xfId="23501" xr:uid="{00000000-0005-0000-0000-0000D45B0000}"/>
    <cellStyle name="Obliczenia 2 20 47" xfId="23502" xr:uid="{00000000-0005-0000-0000-0000D55B0000}"/>
    <cellStyle name="Obliczenia 2 20 47 2" xfId="23503" xr:uid="{00000000-0005-0000-0000-0000D65B0000}"/>
    <cellStyle name="Obliczenia 2 20 47 3" xfId="23504" xr:uid="{00000000-0005-0000-0000-0000D75B0000}"/>
    <cellStyle name="Obliczenia 2 20 48" xfId="23505" xr:uid="{00000000-0005-0000-0000-0000D85B0000}"/>
    <cellStyle name="Obliczenia 2 20 48 2" xfId="23506" xr:uid="{00000000-0005-0000-0000-0000D95B0000}"/>
    <cellStyle name="Obliczenia 2 20 48 3" xfId="23507" xr:uid="{00000000-0005-0000-0000-0000DA5B0000}"/>
    <cellStyle name="Obliczenia 2 20 49" xfId="23508" xr:uid="{00000000-0005-0000-0000-0000DB5B0000}"/>
    <cellStyle name="Obliczenia 2 20 49 2" xfId="23509" xr:uid="{00000000-0005-0000-0000-0000DC5B0000}"/>
    <cellStyle name="Obliczenia 2 20 49 3" xfId="23510" xr:uid="{00000000-0005-0000-0000-0000DD5B0000}"/>
    <cellStyle name="Obliczenia 2 20 5" xfId="23511" xr:uid="{00000000-0005-0000-0000-0000DE5B0000}"/>
    <cellStyle name="Obliczenia 2 20 5 2" xfId="23512" xr:uid="{00000000-0005-0000-0000-0000DF5B0000}"/>
    <cellStyle name="Obliczenia 2 20 5 3" xfId="23513" xr:uid="{00000000-0005-0000-0000-0000E05B0000}"/>
    <cellStyle name="Obliczenia 2 20 5 4" xfId="23514" xr:uid="{00000000-0005-0000-0000-0000E15B0000}"/>
    <cellStyle name="Obliczenia 2 20 50" xfId="23515" xr:uid="{00000000-0005-0000-0000-0000E25B0000}"/>
    <cellStyle name="Obliczenia 2 20 50 2" xfId="23516" xr:uid="{00000000-0005-0000-0000-0000E35B0000}"/>
    <cellStyle name="Obliczenia 2 20 50 3" xfId="23517" xr:uid="{00000000-0005-0000-0000-0000E45B0000}"/>
    <cellStyle name="Obliczenia 2 20 51" xfId="23518" xr:uid="{00000000-0005-0000-0000-0000E55B0000}"/>
    <cellStyle name="Obliczenia 2 20 51 2" xfId="23519" xr:uid="{00000000-0005-0000-0000-0000E65B0000}"/>
    <cellStyle name="Obliczenia 2 20 51 3" xfId="23520" xr:uid="{00000000-0005-0000-0000-0000E75B0000}"/>
    <cellStyle name="Obliczenia 2 20 52" xfId="23521" xr:uid="{00000000-0005-0000-0000-0000E85B0000}"/>
    <cellStyle name="Obliczenia 2 20 52 2" xfId="23522" xr:uid="{00000000-0005-0000-0000-0000E95B0000}"/>
    <cellStyle name="Obliczenia 2 20 52 3" xfId="23523" xr:uid="{00000000-0005-0000-0000-0000EA5B0000}"/>
    <cellStyle name="Obliczenia 2 20 53" xfId="23524" xr:uid="{00000000-0005-0000-0000-0000EB5B0000}"/>
    <cellStyle name="Obliczenia 2 20 53 2" xfId="23525" xr:uid="{00000000-0005-0000-0000-0000EC5B0000}"/>
    <cellStyle name="Obliczenia 2 20 53 3" xfId="23526" xr:uid="{00000000-0005-0000-0000-0000ED5B0000}"/>
    <cellStyle name="Obliczenia 2 20 54" xfId="23527" xr:uid="{00000000-0005-0000-0000-0000EE5B0000}"/>
    <cellStyle name="Obliczenia 2 20 54 2" xfId="23528" xr:uid="{00000000-0005-0000-0000-0000EF5B0000}"/>
    <cellStyle name="Obliczenia 2 20 54 3" xfId="23529" xr:uid="{00000000-0005-0000-0000-0000F05B0000}"/>
    <cellStyle name="Obliczenia 2 20 55" xfId="23530" xr:uid="{00000000-0005-0000-0000-0000F15B0000}"/>
    <cellStyle name="Obliczenia 2 20 55 2" xfId="23531" xr:uid="{00000000-0005-0000-0000-0000F25B0000}"/>
    <cellStyle name="Obliczenia 2 20 55 3" xfId="23532" xr:uid="{00000000-0005-0000-0000-0000F35B0000}"/>
    <cellStyle name="Obliczenia 2 20 56" xfId="23533" xr:uid="{00000000-0005-0000-0000-0000F45B0000}"/>
    <cellStyle name="Obliczenia 2 20 56 2" xfId="23534" xr:uid="{00000000-0005-0000-0000-0000F55B0000}"/>
    <cellStyle name="Obliczenia 2 20 56 3" xfId="23535" xr:uid="{00000000-0005-0000-0000-0000F65B0000}"/>
    <cellStyle name="Obliczenia 2 20 57" xfId="23536" xr:uid="{00000000-0005-0000-0000-0000F75B0000}"/>
    <cellStyle name="Obliczenia 2 20 58" xfId="23537" xr:uid="{00000000-0005-0000-0000-0000F85B0000}"/>
    <cellStyle name="Obliczenia 2 20 6" xfId="23538" xr:uid="{00000000-0005-0000-0000-0000F95B0000}"/>
    <cellStyle name="Obliczenia 2 20 6 2" xfId="23539" xr:uid="{00000000-0005-0000-0000-0000FA5B0000}"/>
    <cellStyle name="Obliczenia 2 20 6 3" xfId="23540" xr:uid="{00000000-0005-0000-0000-0000FB5B0000}"/>
    <cellStyle name="Obliczenia 2 20 6 4" xfId="23541" xr:uid="{00000000-0005-0000-0000-0000FC5B0000}"/>
    <cellStyle name="Obliczenia 2 20 7" xfId="23542" xr:uid="{00000000-0005-0000-0000-0000FD5B0000}"/>
    <cellStyle name="Obliczenia 2 20 7 2" xfId="23543" xr:uid="{00000000-0005-0000-0000-0000FE5B0000}"/>
    <cellStyle name="Obliczenia 2 20 7 3" xfId="23544" xr:uid="{00000000-0005-0000-0000-0000FF5B0000}"/>
    <cellStyle name="Obliczenia 2 20 7 4" xfId="23545" xr:uid="{00000000-0005-0000-0000-0000005C0000}"/>
    <cellStyle name="Obliczenia 2 20 8" xfId="23546" xr:uid="{00000000-0005-0000-0000-0000015C0000}"/>
    <cellStyle name="Obliczenia 2 20 8 2" xfId="23547" xr:uid="{00000000-0005-0000-0000-0000025C0000}"/>
    <cellStyle name="Obliczenia 2 20 8 3" xfId="23548" xr:uid="{00000000-0005-0000-0000-0000035C0000}"/>
    <cellStyle name="Obliczenia 2 20 8 4" xfId="23549" xr:uid="{00000000-0005-0000-0000-0000045C0000}"/>
    <cellStyle name="Obliczenia 2 20 9" xfId="23550" xr:uid="{00000000-0005-0000-0000-0000055C0000}"/>
    <cellStyle name="Obliczenia 2 20 9 2" xfId="23551" xr:uid="{00000000-0005-0000-0000-0000065C0000}"/>
    <cellStyle name="Obliczenia 2 20 9 3" xfId="23552" xr:uid="{00000000-0005-0000-0000-0000075C0000}"/>
    <cellStyle name="Obliczenia 2 20 9 4" xfId="23553" xr:uid="{00000000-0005-0000-0000-0000085C0000}"/>
    <cellStyle name="Obliczenia 2 21" xfId="23554" xr:uid="{00000000-0005-0000-0000-0000095C0000}"/>
    <cellStyle name="Obliczenia 2 21 10" xfId="23555" xr:uid="{00000000-0005-0000-0000-00000A5C0000}"/>
    <cellStyle name="Obliczenia 2 21 10 2" xfId="23556" xr:uid="{00000000-0005-0000-0000-00000B5C0000}"/>
    <cellStyle name="Obliczenia 2 21 10 3" xfId="23557" xr:uid="{00000000-0005-0000-0000-00000C5C0000}"/>
    <cellStyle name="Obliczenia 2 21 10 4" xfId="23558" xr:uid="{00000000-0005-0000-0000-00000D5C0000}"/>
    <cellStyle name="Obliczenia 2 21 11" xfId="23559" xr:uid="{00000000-0005-0000-0000-00000E5C0000}"/>
    <cellStyle name="Obliczenia 2 21 11 2" xfId="23560" xr:uid="{00000000-0005-0000-0000-00000F5C0000}"/>
    <cellStyle name="Obliczenia 2 21 11 3" xfId="23561" xr:uid="{00000000-0005-0000-0000-0000105C0000}"/>
    <cellStyle name="Obliczenia 2 21 11 4" xfId="23562" xr:uid="{00000000-0005-0000-0000-0000115C0000}"/>
    <cellStyle name="Obliczenia 2 21 12" xfId="23563" xr:uid="{00000000-0005-0000-0000-0000125C0000}"/>
    <cellStyle name="Obliczenia 2 21 12 2" xfId="23564" xr:uid="{00000000-0005-0000-0000-0000135C0000}"/>
    <cellStyle name="Obliczenia 2 21 12 3" xfId="23565" xr:uid="{00000000-0005-0000-0000-0000145C0000}"/>
    <cellStyle name="Obliczenia 2 21 12 4" xfId="23566" xr:uid="{00000000-0005-0000-0000-0000155C0000}"/>
    <cellStyle name="Obliczenia 2 21 13" xfId="23567" xr:uid="{00000000-0005-0000-0000-0000165C0000}"/>
    <cellStyle name="Obliczenia 2 21 13 2" xfId="23568" xr:uid="{00000000-0005-0000-0000-0000175C0000}"/>
    <cellStyle name="Obliczenia 2 21 13 3" xfId="23569" xr:uid="{00000000-0005-0000-0000-0000185C0000}"/>
    <cellStyle name="Obliczenia 2 21 13 4" xfId="23570" xr:uid="{00000000-0005-0000-0000-0000195C0000}"/>
    <cellStyle name="Obliczenia 2 21 14" xfId="23571" xr:uid="{00000000-0005-0000-0000-00001A5C0000}"/>
    <cellStyle name="Obliczenia 2 21 14 2" xfId="23572" xr:uid="{00000000-0005-0000-0000-00001B5C0000}"/>
    <cellStyle name="Obliczenia 2 21 14 3" xfId="23573" xr:uid="{00000000-0005-0000-0000-00001C5C0000}"/>
    <cellStyle name="Obliczenia 2 21 14 4" xfId="23574" xr:uid="{00000000-0005-0000-0000-00001D5C0000}"/>
    <cellStyle name="Obliczenia 2 21 15" xfId="23575" xr:uid="{00000000-0005-0000-0000-00001E5C0000}"/>
    <cellStyle name="Obliczenia 2 21 15 2" xfId="23576" xr:uid="{00000000-0005-0000-0000-00001F5C0000}"/>
    <cellStyle name="Obliczenia 2 21 15 3" xfId="23577" xr:uid="{00000000-0005-0000-0000-0000205C0000}"/>
    <cellStyle name="Obliczenia 2 21 15 4" xfId="23578" xr:uid="{00000000-0005-0000-0000-0000215C0000}"/>
    <cellStyle name="Obliczenia 2 21 16" xfId="23579" xr:uid="{00000000-0005-0000-0000-0000225C0000}"/>
    <cellStyle name="Obliczenia 2 21 16 2" xfId="23580" xr:uid="{00000000-0005-0000-0000-0000235C0000}"/>
    <cellStyle name="Obliczenia 2 21 16 3" xfId="23581" xr:uid="{00000000-0005-0000-0000-0000245C0000}"/>
    <cellStyle name="Obliczenia 2 21 16 4" xfId="23582" xr:uid="{00000000-0005-0000-0000-0000255C0000}"/>
    <cellStyle name="Obliczenia 2 21 17" xfId="23583" xr:uid="{00000000-0005-0000-0000-0000265C0000}"/>
    <cellStyle name="Obliczenia 2 21 17 2" xfId="23584" xr:uid="{00000000-0005-0000-0000-0000275C0000}"/>
    <cellStyle name="Obliczenia 2 21 17 3" xfId="23585" xr:uid="{00000000-0005-0000-0000-0000285C0000}"/>
    <cellStyle name="Obliczenia 2 21 17 4" xfId="23586" xr:uid="{00000000-0005-0000-0000-0000295C0000}"/>
    <cellStyle name="Obliczenia 2 21 18" xfId="23587" xr:uid="{00000000-0005-0000-0000-00002A5C0000}"/>
    <cellStyle name="Obliczenia 2 21 18 2" xfId="23588" xr:uid="{00000000-0005-0000-0000-00002B5C0000}"/>
    <cellStyle name="Obliczenia 2 21 18 3" xfId="23589" xr:uid="{00000000-0005-0000-0000-00002C5C0000}"/>
    <cellStyle name="Obliczenia 2 21 18 4" xfId="23590" xr:uid="{00000000-0005-0000-0000-00002D5C0000}"/>
    <cellStyle name="Obliczenia 2 21 19" xfId="23591" xr:uid="{00000000-0005-0000-0000-00002E5C0000}"/>
    <cellStyle name="Obliczenia 2 21 19 2" xfId="23592" xr:uid="{00000000-0005-0000-0000-00002F5C0000}"/>
    <cellStyle name="Obliczenia 2 21 19 3" xfId="23593" xr:uid="{00000000-0005-0000-0000-0000305C0000}"/>
    <cellStyle name="Obliczenia 2 21 19 4" xfId="23594" xr:uid="{00000000-0005-0000-0000-0000315C0000}"/>
    <cellStyle name="Obliczenia 2 21 2" xfId="23595" xr:uid="{00000000-0005-0000-0000-0000325C0000}"/>
    <cellStyle name="Obliczenia 2 21 2 2" xfId="23596" xr:uid="{00000000-0005-0000-0000-0000335C0000}"/>
    <cellStyle name="Obliczenia 2 21 2 3" xfId="23597" xr:uid="{00000000-0005-0000-0000-0000345C0000}"/>
    <cellStyle name="Obliczenia 2 21 2 4" xfId="23598" xr:uid="{00000000-0005-0000-0000-0000355C0000}"/>
    <cellStyle name="Obliczenia 2 21 20" xfId="23599" xr:uid="{00000000-0005-0000-0000-0000365C0000}"/>
    <cellStyle name="Obliczenia 2 21 20 2" xfId="23600" xr:uid="{00000000-0005-0000-0000-0000375C0000}"/>
    <cellStyle name="Obliczenia 2 21 20 3" xfId="23601" xr:uid="{00000000-0005-0000-0000-0000385C0000}"/>
    <cellStyle name="Obliczenia 2 21 20 4" xfId="23602" xr:uid="{00000000-0005-0000-0000-0000395C0000}"/>
    <cellStyle name="Obliczenia 2 21 21" xfId="23603" xr:uid="{00000000-0005-0000-0000-00003A5C0000}"/>
    <cellStyle name="Obliczenia 2 21 21 2" xfId="23604" xr:uid="{00000000-0005-0000-0000-00003B5C0000}"/>
    <cellStyle name="Obliczenia 2 21 21 3" xfId="23605" xr:uid="{00000000-0005-0000-0000-00003C5C0000}"/>
    <cellStyle name="Obliczenia 2 21 22" xfId="23606" xr:uid="{00000000-0005-0000-0000-00003D5C0000}"/>
    <cellStyle name="Obliczenia 2 21 22 2" xfId="23607" xr:uid="{00000000-0005-0000-0000-00003E5C0000}"/>
    <cellStyle name="Obliczenia 2 21 22 3" xfId="23608" xr:uid="{00000000-0005-0000-0000-00003F5C0000}"/>
    <cellStyle name="Obliczenia 2 21 23" xfId="23609" xr:uid="{00000000-0005-0000-0000-0000405C0000}"/>
    <cellStyle name="Obliczenia 2 21 23 2" xfId="23610" xr:uid="{00000000-0005-0000-0000-0000415C0000}"/>
    <cellStyle name="Obliczenia 2 21 23 3" xfId="23611" xr:uid="{00000000-0005-0000-0000-0000425C0000}"/>
    <cellStyle name="Obliczenia 2 21 24" xfId="23612" xr:uid="{00000000-0005-0000-0000-0000435C0000}"/>
    <cellStyle name="Obliczenia 2 21 24 2" xfId="23613" xr:uid="{00000000-0005-0000-0000-0000445C0000}"/>
    <cellStyle name="Obliczenia 2 21 24 3" xfId="23614" xr:uid="{00000000-0005-0000-0000-0000455C0000}"/>
    <cellStyle name="Obliczenia 2 21 25" xfId="23615" xr:uid="{00000000-0005-0000-0000-0000465C0000}"/>
    <cellStyle name="Obliczenia 2 21 25 2" xfId="23616" xr:uid="{00000000-0005-0000-0000-0000475C0000}"/>
    <cellStyle name="Obliczenia 2 21 25 3" xfId="23617" xr:uid="{00000000-0005-0000-0000-0000485C0000}"/>
    <cellStyle name="Obliczenia 2 21 26" xfId="23618" xr:uid="{00000000-0005-0000-0000-0000495C0000}"/>
    <cellStyle name="Obliczenia 2 21 26 2" xfId="23619" xr:uid="{00000000-0005-0000-0000-00004A5C0000}"/>
    <cellStyle name="Obliczenia 2 21 26 3" xfId="23620" xr:uid="{00000000-0005-0000-0000-00004B5C0000}"/>
    <cellStyle name="Obliczenia 2 21 27" xfId="23621" xr:uid="{00000000-0005-0000-0000-00004C5C0000}"/>
    <cellStyle name="Obliczenia 2 21 27 2" xfId="23622" xr:uid="{00000000-0005-0000-0000-00004D5C0000}"/>
    <cellStyle name="Obliczenia 2 21 27 3" xfId="23623" xr:uid="{00000000-0005-0000-0000-00004E5C0000}"/>
    <cellStyle name="Obliczenia 2 21 28" xfId="23624" xr:uid="{00000000-0005-0000-0000-00004F5C0000}"/>
    <cellStyle name="Obliczenia 2 21 28 2" xfId="23625" xr:uid="{00000000-0005-0000-0000-0000505C0000}"/>
    <cellStyle name="Obliczenia 2 21 28 3" xfId="23626" xr:uid="{00000000-0005-0000-0000-0000515C0000}"/>
    <cellStyle name="Obliczenia 2 21 29" xfId="23627" xr:uid="{00000000-0005-0000-0000-0000525C0000}"/>
    <cellStyle name="Obliczenia 2 21 29 2" xfId="23628" xr:uid="{00000000-0005-0000-0000-0000535C0000}"/>
    <cellStyle name="Obliczenia 2 21 29 3" xfId="23629" xr:uid="{00000000-0005-0000-0000-0000545C0000}"/>
    <cellStyle name="Obliczenia 2 21 3" xfId="23630" xr:uid="{00000000-0005-0000-0000-0000555C0000}"/>
    <cellStyle name="Obliczenia 2 21 3 2" xfId="23631" xr:uid="{00000000-0005-0000-0000-0000565C0000}"/>
    <cellStyle name="Obliczenia 2 21 3 3" xfId="23632" xr:uid="{00000000-0005-0000-0000-0000575C0000}"/>
    <cellStyle name="Obliczenia 2 21 3 4" xfId="23633" xr:uid="{00000000-0005-0000-0000-0000585C0000}"/>
    <cellStyle name="Obliczenia 2 21 30" xfId="23634" xr:uid="{00000000-0005-0000-0000-0000595C0000}"/>
    <cellStyle name="Obliczenia 2 21 30 2" xfId="23635" xr:uid="{00000000-0005-0000-0000-00005A5C0000}"/>
    <cellStyle name="Obliczenia 2 21 30 3" xfId="23636" xr:uid="{00000000-0005-0000-0000-00005B5C0000}"/>
    <cellStyle name="Obliczenia 2 21 31" xfId="23637" xr:uid="{00000000-0005-0000-0000-00005C5C0000}"/>
    <cellStyle name="Obliczenia 2 21 31 2" xfId="23638" xr:uid="{00000000-0005-0000-0000-00005D5C0000}"/>
    <cellStyle name="Obliczenia 2 21 31 3" xfId="23639" xr:uid="{00000000-0005-0000-0000-00005E5C0000}"/>
    <cellStyle name="Obliczenia 2 21 32" xfId="23640" xr:uid="{00000000-0005-0000-0000-00005F5C0000}"/>
    <cellStyle name="Obliczenia 2 21 32 2" xfId="23641" xr:uid="{00000000-0005-0000-0000-0000605C0000}"/>
    <cellStyle name="Obliczenia 2 21 32 3" xfId="23642" xr:uid="{00000000-0005-0000-0000-0000615C0000}"/>
    <cellStyle name="Obliczenia 2 21 33" xfId="23643" xr:uid="{00000000-0005-0000-0000-0000625C0000}"/>
    <cellStyle name="Obliczenia 2 21 33 2" xfId="23644" xr:uid="{00000000-0005-0000-0000-0000635C0000}"/>
    <cellStyle name="Obliczenia 2 21 33 3" xfId="23645" xr:uid="{00000000-0005-0000-0000-0000645C0000}"/>
    <cellStyle name="Obliczenia 2 21 34" xfId="23646" xr:uid="{00000000-0005-0000-0000-0000655C0000}"/>
    <cellStyle name="Obliczenia 2 21 34 2" xfId="23647" xr:uid="{00000000-0005-0000-0000-0000665C0000}"/>
    <cellStyle name="Obliczenia 2 21 34 3" xfId="23648" xr:uid="{00000000-0005-0000-0000-0000675C0000}"/>
    <cellStyle name="Obliczenia 2 21 35" xfId="23649" xr:uid="{00000000-0005-0000-0000-0000685C0000}"/>
    <cellStyle name="Obliczenia 2 21 35 2" xfId="23650" xr:uid="{00000000-0005-0000-0000-0000695C0000}"/>
    <cellStyle name="Obliczenia 2 21 35 3" xfId="23651" xr:uid="{00000000-0005-0000-0000-00006A5C0000}"/>
    <cellStyle name="Obliczenia 2 21 36" xfId="23652" xr:uid="{00000000-0005-0000-0000-00006B5C0000}"/>
    <cellStyle name="Obliczenia 2 21 36 2" xfId="23653" xr:uid="{00000000-0005-0000-0000-00006C5C0000}"/>
    <cellStyle name="Obliczenia 2 21 36 3" xfId="23654" xr:uid="{00000000-0005-0000-0000-00006D5C0000}"/>
    <cellStyle name="Obliczenia 2 21 37" xfId="23655" xr:uid="{00000000-0005-0000-0000-00006E5C0000}"/>
    <cellStyle name="Obliczenia 2 21 37 2" xfId="23656" xr:uid="{00000000-0005-0000-0000-00006F5C0000}"/>
    <cellStyle name="Obliczenia 2 21 37 3" xfId="23657" xr:uid="{00000000-0005-0000-0000-0000705C0000}"/>
    <cellStyle name="Obliczenia 2 21 38" xfId="23658" xr:uid="{00000000-0005-0000-0000-0000715C0000}"/>
    <cellStyle name="Obliczenia 2 21 38 2" xfId="23659" xr:uid="{00000000-0005-0000-0000-0000725C0000}"/>
    <cellStyle name="Obliczenia 2 21 38 3" xfId="23660" xr:uid="{00000000-0005-0000-0000-0000735C0000}"/>
    <cellStyle name="Obliczenia 2 21 39" xfId="23661" xr:uid="{00000000-0005-0000-0000-0000745C0000}"/>
    <cellStyle name="Obliczenia 2 21 39 2" xfId="23662" xr:uid="{00000000-0005-0000-0000-0000755C0000}"/>
    <cellStyle name="Obliczenia 2 21 39 3" xfId="23663" xr:uid="{00000000-0005-0000-0000-0000765C0000}"/>
    <cellStyle name="Obliczenia 2 21 4" xfId="23664" xr:uid="{00000000-0005-0000-0000-0000775C0000}"/>
    <cellStyle name="Obliczenia 2 21 4 2" xfId="23665" xr:uid="{00000000-0005-0000-0000-0000785C0000}"/>
    <cellStyle name="Obliczenia 2 21 4 3" xfId="23666" xr:uid="{00000000-0005-0000-0000-0000795C0000}"/>
    <cellStyle name="Obliczenia 2 21 4 4" xfId="23667" xr:uid="{00000000-0005-0000-0000-00007A5C0000}"/>
    <cellStyle name="Obliczenia 2 21 40" xfId="23668" xr:uid="{00000000-0005-0000-0000-00007B5C0000}"/>
    <cellStyle name="Obliczenia 2 21 40 2" xfId="23669" xr:uid="{00000000-0005-0000-0000-00007C5C0000}"/>
    <cellStyle name="Obliczenia 2 21 40 3" xfId="23670" xr:uid="{00000000-0005-0000-0000-00007D5C0000}"/>
    <cellStyle name="Obliczenia 2 21 41" xfId="23671" xr:uid="{00000000-0005-0000-0000-00007E5C0000}"/>
    <cellStyle name="Obliczenia 2 21 41 2" xfId="23672" xr:uid="{00000000-0005-0000-0000-00007F5C0000}"/>
    <cellStyle name="Obliczenia 2 21 41 3" xfId="23673" xr:uid="{00000000-0005-0000-0000-0000805C0000}"/>
    <cellStyle name="Obliczenia 2 21 42" xfId="23674" xr:uid="{00000000-0005-0000-0000-0000815C0000}"/>
    <cellStyle name="Obliczenia 2 21 42 2" xfId="23675" xr:uid="{00000000-0005-0000-0000-0000825C0000}"/>
    <cellStyle name="Obliczenia 2 21 42 3" xfId="23676" xr:uid="{00000000-0005-0000-0000-0000835C0000}"/>
    <cellStyle name="Obliczenia 2 21 43" xfId="23677" xr:uid="{00000000-0005-0000-0000-0000845C0000}"/>
    <cellStyle name="Obliczenia 2 21 43 2" xfId="23678" xr:uid="{00000000-0005-0000-0000-0000855C0000}"/>
    <cellStyle name="Obliczenia 2 21 43 3" xfId="23679" xr:uid="{00000000-0005-0000-0000-0000865C0000}"/>
    <cellStyle name="Obliczenia 2 21 44" xfId="23680" xr:uid="{00000000-0005-0000-0000-0000875C0000}"/>
    <cellStyle name="Obliczenia 2 21 44 2" xfId="23681" xr:uid="{00000000-0005-0000-0000-0000885C0000}"/>
    <cellStyle name="Obliczenia 2 21 44 3" xfId="23682" xr:uid="{00000000-0005-0000-0000-0000895C0000}"/>
    <cellStyle name="Obliczenia 2 21 45" xfId="23683" xr:uid="{00000000-0005-0000-0000-00008A5C0000}"/>
    <cellStyle name="Obliczenia 2 21 45 2" xfId="23684" xr:uid="{00000000-0005-0000-0000-00008B5C0000}"/>
    <cellStyle name="Obliczenia 2 21 45 3" xfId="23685" xr:uid="{00000000-0005-0000-0000-00008C5C0000}"/>
    <cellStyle name="Obliczenia 2 21 46" xfId="23686" xr:uid="{00000000-0005-0000-0000-00008D5C0000}"/>
    <cellStyle name="Obliczenia 2 21 46 2" xfId="23687" xr:uid="{00000000-0005-0000-0000-00008E5C0000}"/>
    <cellStyle name="Obliczenia 2 21 46 3" xfId="23688" xr:uid="{00000000-0005-0000-0000-00008F5C0000}"/>
    <cellStyle name="Obliczenia 2 21 47" xfId="23689" xr:uid="{00000000-0005-0000-0000-0000905C0000}"/>
    <cellStyle name="Obliczenia 2 21 47 2" xfId="23690" xr:uid="{00000000-0005-0000-0000-0000915C0000}"/>
    <cellStyle name="Obliczenia 2 21 47 3" xfId="23691" xr:uid="{00000000-0005-0000-0000-0000925C0000}"/>
    <cellStyle name="Obliczenia 2 21 48" xfId="23692" xr:uid="{00000000-0005-0000-0000-0000935C0000}"/>
    <cellStyle name="Obliczenia 2 21 48 2" xfId="23693" xr:uid="{00000000-0005-0000-0000-0000945C0000}"/>
    <cellStyle name="Obliczenia 2 21 48 3" xfId="23694" xr:uid="{00000000-0005-0000-0000-0000955C0000}"/>
    <cellStyle name="Obliczenia 2 21 49" xfId="23695" xr:uid="{00000000-0005-0000-0000-0000965C0000}"/>
    <cellStyle name="Obliczenia 2 21 49 2" xfId="23696" xr:uid="{00000000-0005-0000-0000-0000975C0000}"/>
    <cellStyle name="Obliczenia 2 21 49 3" xfId="23697" xr:uid="{00000000-0005-0000-0000-0000985C0000}"/>
    <cellStyle name="Obliczenia 2 21 5" xfId="23698" xr:uid="{00000000-0005-0000-0000-0000995C0000}"/>
    <cellStyle name="Obliczenia 2 21 5 2" xfId="23699" xr:uid="{00000000-0005-0000-0000-00009A5C0000}"/>
    <cellStyle name="Obliczenia 2 21 5 3" xfId="23700" xr:uid="{00000000-0005-0000-0000-00009B5C0000}"/>
    <cellStyle name="Obliczenia 2 21 5 4" xfId="23701" xr:uid="{00000000-0005-0000-0000-00009C5C0000}"/>
    <cellStyle name="Obliczenia 2 21 50" xfId="23702" xr:uid="{00000000-0005-0000-0000-00009D5C0000}"/>
    <cellStyle name="Obliczenia 2 21 50 2" xfId="23703" xr:uid="{00000000-0005-0000-0000-00009E5C0000}"/>
    <cellStyle name="Obliczenia 2 21 50 3" xfId="23704" xr:uid="{00000000-0005-0000-0000-00009F5C0000}"/>
    <cellStyle name="Obliczenia 2 21 51" xfId="23705" xr:uid="{00000000-0005-0000-0000-0000A05C0000}"/>
    <cellStyle name="Obliczenia 2 21 51 2" xfId="23706" xr:uid="{00000000-0005-0000-0000-0000A15C0000}"/>
    <cellStyle name="Obliczenia 2 21 51 3" xfId="23707" xr:uid="{00000000-0005-0000-0000-0000A25C0000}"/>
    <cellStyle name="Obliczenia 2 21 52" xfId="23708" xr:uid="{00000000-0005-0000-0000-0000A35C0000}"/>
    <cellStyle name="Obliczenia 2 21 52 2" xfId="23709" xr:uid="{00000000-0005-0000-0000-0000A45C0000}"/>
    <cellStyle name="Obliczenia 2 21 52 3" xfId="23710" xr:uid="{00000000-0005-0000-0000-0000A55C0000}"/>
    <cellStyle name="Obliczenia 2 21 53" xfId="23711" xr:uid="{00000000-0005-0000-0000-0000A65C0000}"/>
    <cellStyle name="Obliczenia 2 21 53 2" xfId="23712" xr:uid="{00000000-0005-0000-0000-0000A75C0000}"/>
    <cellStyle name="Obliczenia 2 21 53 3" xfId="23713" xr:uid="{00000000-0005-0000-0000-0000A85C0000}"/>
    <cellStyle name="Obliczenia 2 21 54" xfId="23714" xr:uid="{00000000-0005-0000-0000-0000A95C0000}"/>
    <cellStyle name="Obliczenia 2 21 54 2" xfId="23715" xr:uid="{00000000-0005-0000-0000-0000AA5C0000}"/>
    <cellStyle name="Obliczenia 2 21 54 3" xfId="23716" xr:uid="{00000000-0005-0000-0000-0000AB5C0000}"/>
    <cellStyle name="Obliczenia 2 21 55" xfId="23717" xr:uid="{00000000-0005-0000-0000-0000AC5C0000}"/>
    <cellStyle name="Obliczenia 2 21 55 2" xfId="23718" xr:uid="{00000000-0005-0000-0000-0000AD5C0000}"/>
    <cellStyle name="Obliczenia 2 21 55 3" xfId="23719" xr:uid="{00000000-0005-0000-0000-0000AE5C0000}"/>
    <cellStyle name="Obliczenia 2 21 56" xfId="23720" xr:uid="{00000000-0005-0000-0000-0000AF5C0000}"/>
    <cellStyle name="Obliczenia 2 21 56 2" xfId="23721" xr:uid="{00000000-0005-0000-0000-0000B05C0000}"/>
    <cellStyle name="Obliczenia 2 21 56 3" xfId="23722" xr:uid="{00000000-0005-0000-0000-0000B15C0000}"/>
    <cellStyle name="Obliczenia 2 21 57" xfId="23723" xr:uid="{00000000-0005-0000-0000-0000B25C0000}"/>
    <cellStyle name="Obliczenia 2 21 58" xfId="23724" xr:uid="{00000000-0005-0000-0000-0000B35C0000}"/>
    <cellStyle name="Obliczenia 2 21 6" xfId="23725" xr:uid="{00000000-0005-0000-0000-0000B45C0000}"/>
    <cellStyle name="Obliczenia 2 21 6 2" xfId="23726" xr:uid="{00000000-0005-0000-0000-0000B55C0000}"/>
    <cellStyle name="Obliczenia 2 21 6 3" xfId="23727" xr:uid="{00000000-0005-0000-0000-0000B65C0000}"/>
    <cellStyle name="Obliczenia 2 21 6 4" xfId="23728" xr:uid="{00000000-0005-0000-0000-0000B75C0000}"/>
    <cellStyle name="Obliczenia 2 21 7" xfId="23729" xr:uid="{00000000-0005-0000-0000-0000B85C0000}"/>
    <cellStyle name="Obliczenia 2 21 7 2" xfId="23730" xr:uid="{00000000-0005-0000-0000-0000B95C0000}"/>
    <cellStyle name="Obliczenia 2 21 7 3" xfId="23731" xr:uid="{00000000-0005-0000-0000-0000BA5C0000}"/>
    <cellStyle name="Obliczenia 2 21 7 4" xfId="23732" xr:uid="{00000000-0005-0000-0000-0000BB5C0000}"/>
    <cellStyle name="Obliczenia 2 21 8" xfId="23733" xr:uid="{00000000-0005-0000-0000-0000BC5C0000}"/>
    <cellStyle name="Obliczenia 2 21 8 2" xfId="23734" xr:uid="{00000000-0005-0000-0000-0000BD5C0000}"/>
    <cellStyle name="Obliczenia 2 21 8 3" xfId="23735" xr:uid="{00000000-0005-0000-0000-0000BE5C0000}"/>
    <cellStyle name="Obliczenia 2 21 8 4" xfId="23736" xr:uid="{00000000-0005-0000-0000-0000BF5C0000}"/>
    <cellStyle name="Obliczenia 2 21 9" xfId="23737" xr:uid="{00000000-0005-0000-0000-0000C05C0000}"/>
    <cellStyle name="Obliczenia 2 21 9 2" xfId="23738" xr:uid="{00000000-0005-0000-0000-0000C15C0000}"/>
    <cellStyle name="Obliczenia 2 21 9 3" xfId="23739" xr:uid="{00000000-0005-0000-0000-0000C25C0000}"/>
    <cellStyle name="Obliczenia 2 21 9 4" xfId="23740" xr:uid="{00000000-0005-0000-0000-0000C35C0000}"/>
    <cellStyle name="Obliczenia 2 22" xfId="23741" xr:uid="{00000000-0005-0000-0000-0000C45C0000}"/>
    <cellStyle name="Obliczenia 2 22 10" xfId="23742" xr:uid="{00000000-0005-0000-0000-0000C55C0000}"/>
    <cellStyle name="Obliczenia 2 22 10 2" xfId="23743" xr:uid="{00000000-0005-0000-0000-0000C65C0000}"/>
    <cellStyle name="Obliczenia 2 22 10 3" xfId="23744" xr:uid="{00000000-0005-0000-0000-0000C75C0000}"/>
    <cellStyle name="Obliczenia 2 22 10 4" xfId="23745" xr:uid="{00000000-0005-0000-0000-0000C85C0000}"/>
    <cellStyle name="Obliczenia 2 22 11" xfId="23746" xr:uid="{00000000-0005-0000-0000-0000C95C0000}"/>
    <cellStyle name="Obliczenia 2 22 11 2" xfId="23747" xr:uid="{00000000-0005-0000-0000-0000CA5C0000}"/>
    <cellStyle name="Obliczenia 2 22 11 3" xfId="23748" xr:uid="{00000000-0005-0000-0000-0000CB5C0000}"/>
    <cellStyle name="Obliczenia 2 22 11 4" xfId="23749" xr:uid="{00000000-0005-0000-0000-0000CC5C0000}"/>
    <cellStyle name="Obliczenia 2 22 12" xfId="23750" xr:uid="{00000000-0005-0000-0000-0000CD5C0000}"/>
    <cellStyle name="Obliczenia 2 22 12 2" xfId="23751" xr:uid="{00000000-0005-0000-0000-0000CE5C0000}"/>
    <cellStyle name="Obliczenia 2 22 12 3" xfId="23752" xr:uid="{00000000-0005-0000-0000-0000CF5C0000}"/>
    <cellStyle name="Obliczenia 2 22 12 4" xfId="23753" xr:uid="{00000000-0005-0000-0000-0000D05C0000}"/>
    <cellStyle name="Obliczenia 2 22 13" xfId="23754" xr:uid="{00000000-0005-0000-0000-0000D15C0000}"/>
    <cellStyle name="Obliczenia 2 22 13 2" xfId="23755" xr:uid="{00000000-0005-0000-0000-0000D25C0000}"/>
    <cellStyle name="Obliczenia 2 22 13 3" xfId="23756" xr:uid="{00000000-0005-0000-0000-0000D35C0000}"/>
    <cellStyle name="Obliczenia 2 22 13 4" xfId="23757" xr:uid="{00000000-0005-0000-0000-0000D45C0000}"/>
    <cellStyle name="Obliczenia 2 22 14" xfId="23758" xr:uid="{00000000-0005-0000-0000-0000D55C0000}"/>
    <cellStyle name="Obliczenia 2 22 14 2" xfId="23759" xr:uid="{00000000-0005-0000-0000-0000D65C0000}"/>
    <cellStyle name="Obliczenia 2 22 14 3" xfId="23760" xr:uid="{00000000-0005-0000-0000-0000D75C0000}"/>
    <cellStyle name="Obliczenia 2 22 14 4" xfId="23761" xr:uid="{00000000-0005-0000-0000-0000D85C0000}"/>
    <cellStyle name="Obliczenia 2 22 15" xfId="23762" xr:uid="{00000000-0005-0000-0000-0000D95C0000}"/>
    <cellStyle name="Obliczenia 2 22 15 2" xfId="23763" xr:uid="{00000000-0005-0000-0000-0000DA5C0000}"/>
    <cellStyle name="Obliczenia 2 22 15 3" xfId="23764" xr:uid="{00000000-0005-0000-0000-0000DB5C0000}"/>
    <cellStyle name="Obliczenia 2 22 15 4" xfId="23765" xr:uid="{00000000-0005-0000-0000-0000DC5C0000}"/>
    <cellStyle name="Obliczenia 2 22 16" xfId="23766" xr:uid="{00000000-0005-0000-0000-0000DD5C0000}"/>
    <cellStyle name="Obliczenia 2 22 16 2" xfId="23767" xr:uid="{00000000-0005-0000-0000-0000DE5C0000}"/>
    <cellStyle name="Obliczenia 2 22 16 3" xfId="23768" xr:uid="{00000000-0005-0000-0000-0000DF5C0000}"/>
    <cellStyle name="Obliczenia 2 22 16 4" xfId="23769" xr:uid="{00000000-0005-0000-0000-0000E05C0000}"/>
    <cellStyle name="Obliczenia 2 22 17" xfId="23770" xr:uid="{00000000-0005-0000-0000-0000E15C0000}"/>
    <cellStyle name="Obliczenia 2 22 17 2" xfId="23771" xr:uid="{00000000-0005-0000-0000-0000E25C0000}"/>
    <cellStyle name="Obliczenia 2 22 17 3" xfId="23772" xr:uid="{00000000-0005-0000-0000-0000E35C0000}"/>
    <cellStyle name="Obliczenia 2 22 17 4" xfId="23773" xr:uid="{00000000-0005-0000-0000-0000E45C0000}"/>
    <cellStyle name="Obliczenia 2 22 18" xfId="23774" xr:uid="{00000000-0005-0000-0000-0000E55C0000}"/>
    <cellStyle name="Obliczenia 2 22 18 2" xfId="23775" xr:uid="{00000000-0005-0000-0000-0000E65C0000}"/>
    <cellStyle name="Obliczenia 2 22 18 3" xfId="23776" xr:uid="{00000000-0005-0000-0000-0000E75C0000}"/>
    <cellStyle name="Obliczenia 2 22 18 4" xfId="23777" xr:uid="{00000000-0005-0000-0000-0000E85C0000}"/>
    <cellStyle name="Obliczenia 2 22 19" xfId="23778" xr:uid="{00000000-0005-0000-0000-0000E95C0000}"/>
    <cellStyle name="Obliczenia 2 22 19 2" xfId="23779" xr:uid="{00000000-0005-0000-0000-0000EA5C0000}"/>
    <cellStyle name="Obliczenia 2 22 19 3" xfId="23780" xr:uid="{00000000-0005-0000-0000-0000EB5C0000}"/>
    <cellStyle name="Obliczenia 2 22 19 4" xfId="23781" xr:uid="{00000000-0005-0000-0000-0000EC5C0000}"/>
    <cellStyle name="Obliczenia 2 22 2" xfId="23782" xr:uid="{00000000-0005-0000-0000-0000ED5C0000}"/>
    <cellStyle name="Obliczenia 2 22 2 2" xfId="23783" xr:uid="{00000000-0005-0000-0000-0000EE5C0000}"/>
    <cellStyle name="Obliczenia 2 22 2 3" xfId="23784" xr:uid="{00000000-0005-0000-0000-0000EF5C0000}"/>
    <cellStyle name="Obliczenia 2 22 2 4" xfId="23785" xr:uid="{00000000-0005-0000-0000-0000F05C0000}"/>
    <cellStyle name="Obliczenia 2 22 20" xfId="23786" xr:uid="{00000000-0005-0000-0000-0000F15C0000}"/>
    <cellStyle name="Obliczenia 2 22 20 2" xfId="23787" xr:uid="{00000000-0005-0000-0000-0000F25C0000}"/>
    <cellStyle name="Obliczenia 2 22 20 3" xfId="23788" xr:uid="{00000000-0005-0000-0000-0000F35C0000}"/>
    <cellStyle name="Obliczenia 2 22 20 4" xfId="23789" xr:uid="{00000000-0005-0000-0000-0000F45C0000}"/>
    <cellStyle name="Obliczenia 2 22 21" xfId="23790" xr:uid="{00000000-0005-0000-0000-0000F55C0000}"/>
    <cellStyle name="Obliczenia 2 22 21 2" xfId="23791" xr:uid="{00000000-0005-0000-0000-0000F65C0000}"/>
    <cellStyle name="Obliczenia 2 22 21 3" xfId="23792" xr:uid="{00000000-0005-0000-0000-0000F75C0000}"/>
    <cellStyle name="Obliczenia 2 22 22" xfId="23793" xr:uid="{00000000-0005-0000-0000-0000F85C0000}"/>
    <cellStyle name="Obliczenia 2 22 22 2" xfId="23794" xr:uid="{00000000-0005-0000-0000-0000F95C0000}"/>
    <cellStyle name="Obliczenia 2 22 22 3" xfId="23795" xr:uid="{00000000-0005-0000-0000-0000FA5C0000}"/>
    <cellStyle name="Obliczenia 2 22 23" xfId="23796" xr:uid="{00000000-0005-0000-0000-0000FB5C0000}"/>
    <cellStyle name="Obliczenia 2 22 23 2" xfId="23797" xr:uid="{00000000-0005-0000-0000-0000FC5C0000}"/>
    <cellStyle name="Obliczenia 2 22 23 3" xfId="23798" xr:uid="{00000000-0005-0000-0000-0000FD5C0000}"/>
    <cellStyle name="Obliczenia 2 22 24" xfId="23799" xr:uid="{00000000-0005-0000-0000-0000FE5C0000}"/>
    <cellStyle name="Obliczenia 2 22 24 2" xfId="23800" xr:uid="{00000000-0005-0000-0000-0000FF5C0000}"/>
    <cellStyle name="Obliczenia 2 22 24 3" xfId="23801" xr:uid="{00000000-0005-0000-0000-0000005D0000}"/>
    <cellStyle name="Obliczenia 2 22 25" xfId="23802" xr:uid="{00000000-0005-0000-0000-0000015D0000}"/>
    <cellStyle name="Obliczenia 2 22 25 2" xfId="23803" xr:uid="{00000000-0005-0000-0000-0000025D0000}"/>
    <cellStyle name="Obliczenia 2 22 25 3" xfId="23804" xr:uid="{00000000-0005-0000-0000-0000035D0000}"/>
    <cellStyle name="Obliczenia 2 22 26" xfId="23805" xr:uid="{00000000-0005-0000-0000-0000045D0000}"/>
    <cellStyle name="Obliczenia 2 22 26 2" xfId="23806" xr:uid="{00000000-0005-0000-0000-0000055D0000}"/>
    <cellStyle name="Obliczenia 2 22 26 3" xfId="23807" xr:uid="{00000000-0005-0000-0000-0000065D0000}"/>
    <cellStyle name="Obliczenia 2 22 27" xfId="23808" xr:uid="{00000000-0005-0000-0000-0000075D0000}"/>
    <cellStyle name="Obliczenia 2 22 27 2" xfId="23809" xr:uid="{00000000-0005-0000-0000-0000085D0000}"/>
    <cellStyle name="Obliczenia 2 22 27 3" xfId="23810" xr:uid="{00000000-0005-0000-0000-0000095D0000}"/>
    <cellStyle name="Obliczenia 2 22 28" xfId="23811" xr:uid="{00000000-0005-0000-0000-00000A5D0000}"/>
    <cellStyle name="Obliczenia 2 22 28 2" xfId="23812" xr:uid="{00000000-0005-0000-0000-00000B5D0000}"/>
    <cellStyle name="Obliczenia 2 22 28 3" xfId="23813" xr:uid="{00000000-0005-0000-0000-00000C5D0000}"/>
    <cellStyle name="Obliczenia 2 22 29" xfId="23814" xr:uid="{00000000-0005-0000-0000-00000D5D0000}"/>
    <cellStyle name="Obliczenia 2 22 29 2" xfId="23815" xr:uid="{00000000-0005-0000-0000-00000E5D0000}"/>
    <cellStyle name="Obliczenia 2 22 29 3" xfId="23816" xr:uid="{00000000-0005-0000-0000-00000F5D0000}"/>
    <cellStyle name="Obliczenia 2 22 3" xfId="23817" xr:uid="{00000000-0005-0000-0000-0000105D0000}"/>
    <cellStyle name="Obliczenia 2 22 3 2" xfId="23818" xr:uid="{00000000-0005-0000-0000-0000115D0000}"/>
    <cellStyle name="Obliczenia 2 22 3 3" xfId="23819" xr:uid="{00000000-0005-0000-0000-0000125D0000}"/>
    <cellStyle name="Obliczenia 2 22 3 4" xfId="23820" xr:uid="{00000000-0005-0000-0000-0000135D0000}"/>
    <cellStyle name="Obliczenia 2 22 30" xfId="23821" xr:uid="{00000000-0005-0000-0000-0000145D0000}"/>
    <cellStyle name="Obliczenia 2 22 30 2" xfId="23822" xr:uid="{00000000-0005-0000-0000-0000155D0000}"/>
    <cellStyle name="Obliczenia 2 22 30 3" xfId="23823" xr:uid="{00000000-0005-0000-0000-0000165D0000}"/>
    <cellStyle name="Obliczenia 2 22 31" xfId="23824" xr:uid="{00000000-0005-0000-0000-0000175D0000}"/>
    <cellStyle name="Obliczenia 2 22 31 2" xfId="23825" xr:uid="{00000000-0005-0000-0000-0000185D0000}"/>
    <cellStyle name="Obliczenia 2 22 31 3" xfId="23826" xr:uid="{00000000-0005-0000-0000-0000195D0000}"/>
    <cellStyle name="Obliczenia 2 22 32" xfId="23827" xr:uid="{00000000-0005-0000-0000-00001A5D0000}"/>
    <cellStyle name="Obliczenia 2 22 32 2" xfId="23828" xr:uid="{00000000-0005-0000-0000-00001B5D0000}"/>
    <cellStyle name="Obliczenia 2 22 32 3" xfId="23829" xr:uid="{00000000-0005-0000-0000-00001C5D0000}"/>
    <cellStyle name="Obliczenia 2 22 33" xfId="23830" xr:uid="{00000000-0005-0000-0000-00001D5D0000}"/>
    <cellStyle name="Obliczenia 2 22 33 2" xfId="23831" xr:uid="{00000000-0005-0000-0000-00001E5D0000}"/>
    <cellStyle name="Obliczenia 2 22 33 3" xfId="23832" xr:uid="{00000000-0005-0000-0000-00001F5D0000}"/>
    <cellStyle name="Obliczenia 2 22 34" xfId="23833" xr:uid="{00000000-0005-0000-0000-0000205D0000}"/>
    <cellStyle name="Obliczenia 2 22 34 2" xfId="23834" xr:uid="{00000000-0005-0000-0000-0000215D0000}"/>
    <cellStyle name="Obliczenia 2 22 34 3" xfId="23835" xr:uid="{00000000-0005-0000-0000-0000225D0000}"/>
    <cellStyle name="Obliczenia 2 22 35" xfId="23836" xr:uid="{00000000-0005-0000-0000-0000235D0000}"/>
    <cellStyle name="Obliczenia 2 22 35 2" xfId="23837" xr:uid="{00000000-0005-0000-0000-0000245D0000}"/>
    <cellStyle name="Obliczenia 2 22 35 3" xfId="23838" xr:uid="{00000000-0005-0000-0000-0000255D0000}"/>
    <cellStyle name="Obliczenia 2 22 36" xfId="23839" xr:uid="{00000000-0005-0000-0000-0000265D0000}"/>
    <cellStyle name="Obliczenia 2 22 36 2" xfId="23840" xr:uid="{00000000-0005-0000-0000-0000275D0000}"/>
    <cellStyle name="Obliczenia 2 22 36 3" xfId="23841" xr:uid="{00000000-0005-0000-0000-0000285D0000}"/>
    <cellStyle name="Obliczenia 2 22 37" xfId="23842" xr:uid="{00000000-0005-0000-0000-0000295D0000}"/>
    <cellStyle name="Obliczenia 2 22 37 2" xfId="23843" xr:uid="{00000000-0005-0000-0000-00002A5D0000}"/>
    <cellStyle name="Obliczenia 2 22 37 3" xfId="23844" xr:uid="{00000000-0005-0000-0000-00002B5D0000}"/>
    <cellStyle name="Obliczenia 2 22 38" xfId="23845" xr:uid="{00000000-0005-0000-0000-00002C5D0000}"/>
    <cellStyle name="Obliczenia 2 22 38 2" xfId="23846" xr:uid="{00000000-0005-0000-0000-00002D5D0000}"/>
    <cellStyle name="Obliczenia 2 22 38 3" xfId="23847" xr:uid="{00000000-0005-0000-0000-00002E5D0000}"/>
    <cellStyle name="Obliczenia 2 22 39" xfId="23848" xr:uid="{00000000-0005-0000-0000-00002F5D0000}"/>
    <cellStyle name="Obliczenia 2 22 39 2" xfId="23849" xr:uid="{00000000-0005-0000-0000-0000305D0000}"/>
    <cellStyle name="Obliczenia 2 22 39 3" xfId="23850" xr:uid="{00000000-0005-0000-0000-0000315D0000}"/>
    <cellStyle name="Obliczenia 2 22 4" xfId="23851" xr:uid="{00000000-0005-0000-0000-0000325D0000}"/>
    <cellStyle name="Obliczenia 2 22 4 2" xfId="23852" xr:uid="{00000000-0005-0000-0000-0000335D0000}"/>
    <cellStyle name="Obliczenia 2 22 4 3" xfId="23853" xr:uid="{00000000-0005-0000-0000-0000345D0000}"/>
    <cellStyle name="Obliczenia 2 22 4 4" xfId="23854" xr:uid="{00000000-0005-0000-0000-0000355D0000}"/>
    <cellStyle name="Obliczenia 2 22 40" xfId="23855" xr:uid="{00000000-0005-0000-0000-0000365D0000}"/>
    <cellStyle name="Obliczenia 2 22 40 2" xfId="23856" xr:uid="{00000000-0005-0000-0000-0000375D0000}"/>
    <cellStyle name="Obliczenia 2 22 40 3" xfId="23857" xr:uid="{00000000-0005-0000-0000-0000385D0000}"/>
    <cellStyle name="Obliczenia 2 22 41" xfId="23858" xr:uid="{00000000-0005-0000-0000-0000395D0000}"/>
    <cellStyle name="Obliczenia 2 22 41 2" xfId="23859" xr:uid="{00000000-0005-0000-0000-00003A5D0000}"/>
    <cellStyle name="Obliczenia 2 22 41 3" xfId="23860" xr:uid="{00000000-0005-0000-0000-00003B5D0000}"/>
    <cellStyle name="Obliczenia 2 22 42" xfId="23861" xr:uid="{00000000-0005-0000-0000-00003C5D0000}"/>
    <cellStyle name="Obliczenia 2 22 42 2" xfId="23862" xr:uid="{00000000-0005-0000-0000-00003D5D0000}"/>
    <cellStyle name="Obliczenia 2 22 42 3" xfId="23863" xr:uid="{00000000-0005-0000-0000-00003E5D0000}"/>
    <cellStyle name="Obliczenia 2 22 43" xfId="23864" xr:uid="{00000000-0005-0000-0000-00003F5D0000}"/>
    <cellStyle name="Obliczenia 2 22 43 2" xfId="23865" xr:uid="{00000000-0005-0000-0000-0000405D0000}"/>
    <cellStyle name="Obliczenia 2 22 43 3" xfId="23866" xr:uid="{00000000-0005-0000-0000-0000415D0000}"/>
    <cellStyle name="Obliczenia 2 22 44" xfId="23867" xr:uid="{00000000-0005-0000-0000-0000425D0000}"/>
    <cellStyle name="Obliczenia 2 22 44 2" xfId="23868" xr:uid="{00000000-0005-0000-0000-0000435D0000}"/>
    <cellStyle name="Obliczenia 2 22 44 3" xfId="23869" xr:uid="{00000000-0005-0000-0000-0000445D0000}"/>
    <cellStyle name="Obliczenia 2 22 45" xfId="23870" xr:uid="{00000000-0005-0000-0000-0000455D0000}"/>
    <cellStyle name="Obliczenia 2 22 45 2" xfId="23871" xr:uid="{00000000-0005-0000-0000-0000465D0000}"/>
    <cellStyle name="Obliczenia 2 22 45 3" xfId="23872" xr:uid="{00000000-0005-0000-0000-0000475D0000}"/>
    <cellStyle name="Obliczenia 2 22 46" xfId="23873" xr:uid="{00000000-0005-0000-0000-0000485D0000}"/>
    <cellStyle name="Obliczenia 2 22 46 2" xfId="23874" xr:uid="{00000000-0005-0000-0000-0000495D0000}"/>
    <cellStyle name="Obliczenia 2 22 46 3" xfId="23875" xr:uid="{00000000-0005-0000-0000-00004A5D0000}"/>
    <cellStyle name="Obliczenia 2 22 47" xfId="23876" xr:uid="{00000000-0005-0000-0000-00004B5D0000}"/>
    <cellStyle name="Obliczenia 2 22 47 2" xfId="23877" xr:uid="{00000000-0005-0000-0000-00004C5D0000}"/>
    <cellStyle name="Obliczenia 2 22 47 3" xfId="23878" xr:uid="{00000000-0005-0000-0000-00004D5D0000}"/>
    <cellStyle name="Obliczenia 2 22 48" xfId="23879" xr:uid="{00000000-0005-0000-0000-00004E5D0000}"/>
    <cellStyle name="Obliczenia 2 22 48 2" xfId="23880" xr:uid="{00000000-0005-0000-0000-00004F5D0000}"/>
    <cellStyle name="Obliczenia 2 22 48 3" xfId="23881" xr:uid="{00000000-0005-0000-0000-0000505D0000}"/>
    <cellStyle name="Obliczenia 2 22 49" xfId="23882" xr:uid="{00000000-0005-0000-0000-0000515D0000}"/>
    <cellStyle name="Obliczenia 2 22 49 2" xfId="23883" xr:uid="{00000000-0005-0000-0000-0000525D0000}"/>
    <cellStyle name="Obliczenia 2 22 49 3" xfId="23884" xr:uid="{00000000-0005-0000-0000-0000535D0000}"/>
    <cellStyle name="Obliczenia 2 22 5" xfId="23885" xr:uid="{00000000-0005-0000-0000-0000545D0000}"/>
    <cellStyle name="Obliczenia 2 22 5 2" xfId="23886" xr:uid="{00000000-0005-0000-0000-0000555D0000}"/>
    <cellStyle name="Obliczenia 2 22 5 3" xfId="23887" xr:uid="{00000000-0005-0000-0000-0000565D0000}"/>
    <cellStyle name="Obliczenia 2 22 5 4" xfId="23888" xr:uid="{00000000-0005-0000-0000-0000575D0000}"/>
    <cellStyle name="Obliczenia 2 22 50" xfId="23889" xr:uid="{00000000-0005-0000-0000-0000585D0000}"/>
    <cellStyle name="Obliczenia 2 22 50 2" xfId="23890" xr:uid="{00000000-0005-0000-0000-0000595D0000}"/>
    <cellStyle name="Obliczenia 2 22 50 3" xfId="23891" xr:uid="{00000000-0005-0000-0000-00005A5D0000}"/>
    <cellStyle name="Obliczenia 2 22 51" xfId="23892" xr:uid="{00000000-0005-0000-0000-00005B5D0000}"/>
    <cellStyle name="Obliczenia 2 22 51 2" xfId="23893" xr:uid="{00000000-0005-0000-0000-00005C5D0000}"/>
    <cellStyle name="Obliczenia 2 22 51 3" xfId="23894" xr:uid="{00000000-0005-0000-0000-00005D5D0000}"/>
    <cellStyle name="Obliczenia 2 22 52" xfId="23895" xr:uid="{00000000-0005-0000-0000-00005E5D0000}"/>
    <cellStyle name="Obliczenia 2 22 52 2" xfId="23896" xr:uid="{00000000-0005-0000-0000-00005F5D0000}"/>
    <cellStyle name="Obliczenia 2 22 52 3" xfId="23897" xr:uid="{00000000-0005-0000-0000-0000605D0000}"/>
    <cellStyle name="Obliczenia 2 22 53" xfId="23898" xr:uid="{00000000-0005-0000-0000-0000615D0000}"/>
    <cellStyle name="Obliczenia 2 22 53 2" xfId="23899" xr:uid="{00000000-0005-0000-0000-0000625D0000}"/>
    <cellStyle name="Obliczenia 2 22 53 3" xfId="23900" xr:uid="{00000000-0005-0000-0000-0000635D0000}"/>
    <cellStyle name="Obliczenia 2 22 54" xfId="23901" xr:uid="{00000000-0005-0000-0000-0000645D0000}"/>
    <cellStyle name="Obliczenia 2 22 54 2" xfId="23902" xr:uid="{00000000-0005-0000-0000-0000655D0000}"/>
    <cellStyle name="Obliczenia 2 22 54 3" xfId="23903" xr:uid="{00000000-0005-0000-0000-0000665D0000}"/>
    <cellStyle name="Obliczenia 2 22 55" xfId="23904" xr:uid="{00000000-0005-0000-0000-0000675D0000}"/>
    <cellStyle name="Obliczenia 2 22 55 2" xfId="23905" xr:uid="{00000000-0005-0000-0000-0000685D0000}"/>
    <cellStyle name="Obliczenia 2 22 55 3" xfId="23906" xr:uid="{00000000-0005-0000-0000-0000695D0000}"/>
    <cellStyle name="Obliczenia 2 22 56" xfId="23907" xr:uid="{00000000-0005-0000-0000-00006A5D0000}"/>
    <cellStyle name="Obliczenia 2 22 56 2" xfId="23908" xr:uid="{00000000-0005-0000-0000-00006B5D0000}"/>
    <cellStyle name="Obliczenia 2 22 56 3" xfId="23909" xr:uid="{00000000-0005-0000-0000-00006C5D0000}"/>
    <cellStyle name="Obliczenia 2 22 57" xfId="23910" xr:uid="{00000000-0005-0000-0000-00006D5D0000}"/>
    <cellStyle name="Obliczenia 2 22 58" xfId="23911" xr:uid="{00000000-0005-0000-0000-00006E5D0000}"/>
    <cellStyle name="Obliczenia 2 22 6" xfId="23912" xr:uid="{00000000-0005-0000-0000-00006F5D0000}"/>
    <cellStyle name="Obliczenia 2 22 6 2" xfId="23913" xr:uid="{00000000-0005-0000-0000-0000705D0000}"/>
    <cellStyle name="Obliczenia 2 22 6 3" xfId="23914" xr:uid="{00000000-0005-0000-0000-0000715D0000}"/>
    <cellStyle name="Obliczenia 2 22 6 4" xfId="23915" xr:uid="{00000000-0005-0000-0000-0000725D0000}"/>
    <cellStyle name="Obliczenia 2 22 7" xfId="23916" xr:uid="{00000000-0005-0000-0000-0000735D0000}"/>
    <cellStyle name="Obliczenia 2 22 7 2" xfId="23917" xr:uid="{00000000-0005-0000-0000-0000745D0000}"/>
    <cellStyle name="Obliczenia 2 22 7 3" xfId="23918" xr:uid="{00000000-0005-0000-0000-0000755D0000}"/>
    <cellStyle name="Obliczenia 2 22 7 4" xfId="23919" xr:uid="{00000000-0005-0000-0000-0000765D0000}"/>
    <cellStyle name="Obliczenia 2 22 8" xfId="23920" xr:uid="{00000000-0005-0000-0000-0000775D0000}"/>
    <cellStyle name="Obliczenia 2 22 8 2" xfId="23921" xr:uid="{00000000-0005-0000-0000-0000785D0000}"/>
    <cellStyle name="Obliczenia 2 22 8 3" xfId="23922" xr:uid="{00000000-0005-0000-0000-0000795D0000}"/>
    <cellStyle name="Obliczenia 2 22 8 4" xfId="23923" xr:uid="{00000000-0005-0000-0000-00007A5D0000}"/>
    <cellStyle name="Obliczenia 2 22 9" xfId="23924" xr:uid="{00000000-0005-0000-0000-00007B5D0000}"/>
    <cellStyle name="Obliczenia 2 22 9 2" xfId="23925" xr:uid="{00000000-0005-0000-0000-00007C5D0000}"/>
    <cellStyle name="Obliczenia 2 22 9 3" xfId="23926" xr:uid="{00000000-0005-0000-0000-00007D5D0000}"/>
    <cellStyle name="Obliczenia 2 22 9 4" xfId="23927" xr:uid="{00000000-0005-0000-0000-00007E5D0000}"/>
    <cellStyle name="Obliczenia 2 23" xfId="23928" xr:uid="{00000000-0005-0000-0000-00007F5D0000}"/>
    <cellStyle name="Obliczenia 2 23 10" xfId="23929" xr:uid="{00000000-0005-0000-0000-0000805D0000}"/>
    <cellStyle name="Obliczenia 2 23 10 2" xfId="23930" xr:uid="{00000000-0005-0000-0000-0000815D0000}"/>
    <cellStyle name="Obliczenia 2 23 10 3" xfId="23931" xr:uid="{00000000-0005-0000-0000-0000825D0000}"/>
    <cellStyle name="Obliczenia 2 23 10 4" xfId="23932" xr:uid="{00000000-0005-0000-0000-0000835D0000}"/>
    <cellStyle name="Obliczenia 2 23 11" xfId="23933" xr:uid="{00000000-0005-0000-0000-0000845D0000}"/>
    <cellStyle name="Obliczenia 2 23 11 2" xfId="23934" xr:uid="{00000000-0005-0000-0000-0000855D0000}"/>
    <cellStyle name="Obliczenia 2 23 11 3" xfId="23935" xr:uid="{00000000-0005-0000-0000-0000865D0000}"/>
    <cellStyle name="Obliczenia 2 23 11 4" xfId="23936" xr:uid="{00000000-0005-0000-0000-0000875D0000}"/>
    <cellStyle name="Obliczenia 2 23 12" xfId="23937" xr:uid="{00000000-0005-0000-0000-0000885D0000}"/>
    <cellStyle name="Obliczenia 2 23 12 2" xfId="23938" xr:uid="{00000000-0005-0000-0000-0000895D0000}"/>
    <cellStyle name="Obliczenia 2 23 12 3" xfId="23939" xr:uid="{00000000-0005-0000-0000-00008A5D0000}"/>
    <cellStyle name="Obliczenia 2 23 12 4" xfId="23940" xr:uid="{00000000-0005-0000-0000-00008B5D0000}"/>
    <cellStyle name="Obliczenia 2 23 13" xfId="23941" xr:uid="{00000000-0005-0000-0000-00008C5D0000}"/>
    <cellStyle name="Obliczenia 2 23 13 2" xfId="23942" xr:uid="{00000000-0005-0000-0000-00008D5D0000}"/>
    <cellStyle name="Obliczenia 2 23 13 3" xfId="23943" xr:uid="{00000000-0005-0000-0000-00008E5D0000}"/>
    <cellStyle name="Obliczenia 2 23 13 4" xfId="23944" xr:uid="{00000000-0005-0000-0000-00008F5D0000}"/>
    <cellStyle name="Obliczenia 2 23 14" xfId="23945" xr:uid="{00000000-0005-0000-0000-0000905D0000}"/>
    <cellStyle name="Obliczenia 2 23 14 2" xfId="23946" xr:uid="{00000000-0005-0000-0000-0000915D0000}"/>
    <cellStyle name="Obliczenia 2 23 14 3" xfId="23947" xr:uid="{00000000-0005-0000-0000-0000925D0000}"/>
    <cellStyle name="Obliczenia 2 23 14 4" xfId="23948" xr:uid="{00000000-0005-0000-0000-0000935D0000}"/>
    <cellStyle name="Obliczenia 2 23 15" xfId="23949" xr:uid="{00000000-0005-0000-0000-0000945D0000}"/>
    <cellStyle name="Obliczenia 2 23 15 2" xfId="23950" xr:uid="{00000000-0005-0000-0000-0000955D0000}"/>
    <cellStyle name="Obliczenia 2 23 15 3" xfId="23951" xr:uid="{00000000-0005-0000-0000-0000965D0000}"/>
    <cellStyle name="Obliczenia 2 23 15 4" xfId="23952" xr:uid="{00000000-0005-0000-0000-0000975D0000}"/>
    <cellStyle name="Obliczenia 2 23 16" xfId="23953" xr:uid="{00000000-0005-0000-0000-0000985D0000}"/>
    <cellStyle name="Obliczenia 2 23 16 2" xfId="23954" xr:uid="{00000000-0005-0000-0000-0000995D0000}"/>
    <cellStyle name="Obliczenia 2 23 16 3" xfId="23955" xr:uid="{00000000-0005-0000-0000-00009A5D0000}"/>
    <cellStyle name="Obliczenia 2 23 16 4" xfId="23956" xr:uid="{00000000-0005-0000-0000-00009B5D0000}"/>
    <cellStyle name="Obliczenia 2 23 17" xfId="23957" xr:uid="{00000000-0005-0000-0000-00009C5D0000}"/>
    <cellStyle name="Obliczenia 2 23 17 2" xfId="23958" xr:uid="{00000000-0005-0000-0000-00009D5D0000}"/>
    <cellStyle name="Obliczenia 2 23 17 3" xfId="23959" xr:uid="{00000000-0005-0000-0000-00009E5D0000}"/>
    <cellStyle name="Obliczenia 2 23 17 4" xfId="23960" xr:uid="{00000000-0005-0000-0000-00009F5D0000}"/>
    <cellStyle name="Obliczenia 2 23 18" xfId="23961" xr:uid="{00000000-0005-0000-0000-0000A05D0000}"/>
    <cellStyle name="Obliczenia 2 23 18 2" xfId="23962" xr:uid="{00000000-0005-0000-0000-0000A15D0000}"/>
    <cellStyle name="Obliczenia 2 23 18 3" xfId="23963" xr:uid="{00000000-0005-0000-0000-0000A25D0000}"/>
    <cellStyle name="Obliczenia 2 23 18 4" xfId="23964" xr:uid="{00000000-0005-0000-0000-0000A35D0000}"/>
    <cellStyle name="Obliczenia 2 23 19" xfId="23965" xr:uid="{00000000-0005-0000-0000-0000A45D0000}"/>
    <cellStyle name="Obliczenia 2 23 19 2" xfId="23966" xr:uid="{00000000-0005-0000-0000-0000A55D0000}"/>
    <cellStyle name="Obliczenia 2 23 19 3" xfId="23967" xr:uid="{00000000-0005-0000-0000-0000A65D0000}"/>
    <cellStyle name="Obliczenia 2 23 19 4" xfId="23968" xr:uid="{00000000-0005-0000-0000-0000A75D0000}"/>
    <cellStyle name="Obliczenia 2 23 2" xfId="23969" xr:uid="{00000000-0005-0000-0000-0000A85D0000}"/>
    <cellStyle name="Obliczenia 2 23 2 2" xfId="23970" xr:uid="{00000000-0005-0000-0000-0000A95D0000}"/>
    <cellStyle name="Obliczenia 2 23 2 3" xfId="23971" xr:uid="{00000000-0005-0000-0000-0000AA5D0000}"/>
    <cellStyle name="Obliczenia 2 23 2 4" xfId="23972" xr:uid="{00000000-0005-0000-0000-0000AB5D0000}"/>
    <cellStyle name="Obliczenia 2 23 20" xfId="23973" xr:uid="{00000000-0005-0000-0000-0000AC5D0000}"/>
    <cellStyle name="Obliczenia 2 23 20 2" xfId="23974" xr:uid="{00000000-0005-0000-0000-0000AD5D0000}"/>
    <cellStyle name="Obliczenia 2 23 20 3" xfId="23975" xr:uid="{00000000-0005-0000-0000-0000AE5D0000}"/>
    <cellStyle name="Obliczenia 2 23 20 4" xfId="23976" xr:uid="{00000000-0005-0000-0000-0000AF5D0000}"/>
    <cellStyle name="Obliczenia 2 23 21" xfId="23977" xr:uid="{00000000-0005-0000-0000-0000B05D0000}"/>
    <cellStyle name="Obliczenia 2 23 21 2" xfId="23978" xr:uid="{00000000-0005-0000-0000-0000B15D0000}"/>
    <cellStyle name="Obliczenia 2 23 21 3" xfId="23979" xr:uid="{00000000-0005-0000-0000-0000B25D0000}"/>
    <cellStyle name="Obliczenia 2 23 22" xfId="23980" xr:uid="{00000000-0005-0000-0000-0000B35D0000}"/>
    <cellStyle name="Obliczenia 2 23 22 2" xfId="23981" xr:uid="{00000000-0005-0000-0000-0000B45D0000}"/>
    <cellStyle name="Obliczenia 2 23 22 3" xfId="23982" xr:uid="{00000000-0005-0000-0000-0000B55D0000}"/>
    <cellStyle name="Obliczenia 2 23 23" xfId="23983" xr:uid="{00000000-0005-0000-0000-0000B65D0000}"/>
    <cellStyle name="Obliczenia 2 23 23 2" xfId="23984" xr:uid="{00000000-0005-0000-0000-0000B75D0000}"/>
    <cellStyle name="Obliczenia 2 23 23 3" xfId="23985" xr:uid="{00000000-0005-0000-0000-0000B85D0000}"/>
    <cellStyle name="Obliczenia 2 23 24" xfId="23986" xr:uid="{00000000-0005-0000-0000-0000B95D0000}"/>
    <cellStyle name="Obliczenia 2 23 24 2" xfId="23987" xr:uid="{00000000-0005-0000-0000-0000BA5D0000}"/>
    <cellStyle name="Obliczenia 2 23 24 3" xfId="23988" xr:uid="{00000000-0005-0000-0000-0000BB5D0000}"/>
    <cellStyle name="Obliczenia 2 23 25" xfId="23989" xr:uid="{00000000-0005-0000-0000-0000BC5D0000}"/>
    <cellStyle name="Obliczenia 2 23 25 2" xfId="23990" xr:uid="{00000000-0005-0000-0000-0000BD5D0000}"/>
    <cellStyle name="Obliczenia 2 23 25 3" xfId="23991" xr:uid="{00000000-0005-0000-0000-0000BE5D0000}"/>
    <cellStyle name="Obliczenia 2 23 26" xfId="23992" xr:uid="{00000000-0005-0000-0000-0000BF5D0000}"/>
    <cellStyle name="Obliczenia 2 23 26 2" xfId="23993" xr:uid="{00000000-0005-0000-0000-0000C05D0000}"/>
    <cellStyle name="Obliczenia 2 23 26 3" xfId="23994" xr:uid="{00000000-0005-0000-0000-0000C15D0000}"/>
    <cellStyle name="Obliczenia 2 23 27" xfId="23995" xr:uid="{00000000-0005-0000-0000-0000C25D0000}"/>
    <cellStyle name="Obliczenia 2 23 27 2" xfId="23996" xr:uid="{00000000-0005-0000-0000-0000C35D0000}"/>
    <cellStyle name="Obliczenia 2 23 27 3" xfId="23997" xr:uid="{00000000-0005-0000-0000-0000C45D0000}"/>
    <cellStyle name="Obliczenia 2 23 28" xfId="23998" xr:uid="{00000000-0005-0000-0000-0000C55D0000}"/>
    <cellStyle name="Obliczenia 2 23 28 2" xfId="23999" xr:uid="{00000000-0005-0000-0000-0000C65D0000}"/>
    <cellStyle name="Obliczenia 2 23 28 3" xfId="24000" xr:uid="{00000000-0005-0000-0000-0000C75D0000}"/>
    <cellStyle name="Obliczenia 2 23 29" xfId="24001" xr:uid="{00000000-0005-0000-0000-0000C85D0000}"/>
    <cellStyle name="Obliczenia 2 23 29 2" xfId="24002" xr:uid="{00000000-0005-0000-0000-0000C95D0000}"/>
    <cellStyle name="Obliczenia 2 23 29 3" xfId="24003" xr:uid="{00000000-0005-0000-0000-0000CA5D0000}"/>
    <cellStyle name="Obliczenia 2 23 3" xfId="24004" xr:uid="{00000000-0005-0000-0000-0000CB5D0000}"/>
    <cellStyle name="Obliczenia 2 23 3 2" xfId="24005" xr:uid="{00000000-0005-0000-0000-0000CC5D0000}"/>
    <cellStyle name="Obliczenia 2 23 3 3" xfId="24006" xr:uid="{00000000-0005-0000-0000-0000CD5D0000}"/>
    <cellStyle name="Obliczenia 2 23 3 4" xfId="24007" xr:uid="{00000000-0005-0000-0000-0000CE5D0000}"/>
    <cellStyle name="Obliczenia 2 23 30" xfId="24008" xr:uid="{00000000-0005-0000-0000-0000CF5D0000}"/>
    <cellStyle name="Obliczenia 2 23 30 2" xfId="24009" xr:uid="{00000000-0005-0000-0000-0000D05D0000}"/>
    <cellStyle name="Obliczenia 2 23 30 3" xfId="24010" xr:uid="{00000000-0005-0000-0000-0000D15D0000}"/>
    <cellStyle name="Obliczenia 2 23 31" xfId="24011" xr:uid="{00000000-0005-0000-0000-0000D25D0000}"/>
    <cellStyle name="Obliczenia 2 23 31 2" xfId="24012" xr:uid="{00000000-0005-0000-0000-0000D35D0000}"/>
    <cellStyle name="Obliczenia 2 23 31 3" xfId="24013" xr:uid="{00000000-0005-0000-0000-0000D45D0000}"/>
    <cellStyle name="Obliczenia 2 23 32" xfId="24014" xr:uid="{00000000-0005-0000-0000-0000D55D0000}"/>
    <cellStyle name="Obliczenia 2 23 32 2" xfId="24015" xr:uid="{00000000-0005-0000-0000-0000D65D0000}"/>
    <cellStyle name="Obliczenia 2 23 32 3" xfId="24016" xr:uid="{00000000-0005-0000-0000-0000D75D0000}"/>
    <cellStyle name="Obliczenia 2 23 33" xfId="24017" xr:uid="{00000000-0005-0000-0000-0000D85D0000}"/>
    <cellStyle name="Obliczenia 2 23 33 2" xfId="24018" xr:uid="{00000000-0005-0000-0000-0000D95D0000}"/>
    <cellStyle name="Obliczenia 2 23 33 3" xfId="24019" xr:uid="{00000000-0005-0000-0000-0000DA5D0000}"/>
    <cellStyle name="Obliczenia 2 23 34" xfId="24020" xr:uid="{00000000-0005-0000-0000-0000DB5D0000}"/>
    <cellStyle name="Obliczenia 2 23 34 2" xfId="24021" xr:uid="{00000000-0005-0000-0000-0000DC5D0000}"/>
    <cellStyle name="Obliczenia 2 23 34 3" xfId="24022" xr:uid="{00000000-0005-0000-0000-0000DD5D0000}"/>
    <cellStyle name="Obliczenia 2 23 35" xfId="24023" xr:uid="{00000000-0005-0000-0000-0000DE5D0000}"/>
    <cellStyle name="Obliczenia 2 23 35 2" xfId="24024" xr:uid="{00000000-0005-0000-0000-0000DF5D0000}"/>
    <cellStyle name="Obliczenia 2 23 35 3" xfId="24025" xr:uid="{00000000-0005-0000-0000-0000E05D0000}"/>
    <cellStyle name="Obliczenia 2 23 36" xfId="24026" xr:uid="{00000000-0005-0000-0000-0000E15D0000}"/>
    <cellStyle name="Obliczenia 2 23 36 2" xfId="24027" xr:uid="{00000000-0005-0000-0000-0000E25D0000}"/>
    <cellStyle name="Obliczenia 2 23 36 3" xfId="24028" xr:uid="{00000000-0005-0000-0000-0000E35D0000}"/>
    <cellStyle name="Obliczenia 2 23 37" xfId="24029" xr:uid="{00000000-0005-0000-0000-0000E45D0000}"/>
    <cellStyle name="Obliczenia 2 23 37 2" xfId="24030" xr:uid="{00000000-0005-0000-0000-0000E55D0000}"/>
    <cellStyle name="Obliczenia 2 23 37 3" xfId="24031" xr:uid="{00000000-0005-0000-0000-0000E65D0000}"/>
    <cellStyle name="Obliczenia 2 23 38" xfId="24032" xr:uid="{00000000-0005-0000-0000-0000E75D0000}"/>
    <cellStyle name="Obliczenia 2 23 38 2" xfId="24033" xr:uid="{00000000-0005-0000-0000-0000E85D0000}"/>
    <cellStyle name="Obliczenia 2 23 38 3" xfId="24034" xr:uid="{00000000-0005-0000-0000-0000E95D0000}"/>
    <cellStyle name="Obliczenia 2 23 39" xfId="24035" xr:uid="{00000000-0005-0000-0000-0000EA5D0000}"/>
    <cellStyle name="Obliczenia 2 23 39 2" xfId="24036" xr:uid="{00000000-0005-0000-0000-0000EB5D0000}"/>
    <cellStyle name="Obliczenia 2 23 39 3" xfId="24037" xr:uid="{00000000-0005-0000-0000-0000EC5D0000}"/>
    <cellStyle name="Obliczenia 2 23 4" xfId="24038" xr:uid="{00000000-0005-0000-0000-0000ED5D0000}"/>
    <cellStyle name="Obliczenia 2 23 4 2" xfId="24039" xr:uid="{00000000-0005-0000-0000-0000EE5D0000}"/>
    <cellStyle name="Obliczenia 2 23 4 3" xfId="24040" xr:uid="{00000000-0005-0000-0000-0000EF5D0000}"/>
    <cellStyle name="Obliczenia 2 23 4 4" xfId="24041" xr:uid="{00000000-0005-0000-0000-0000F05D0000}"/>
    <cellStyle name="Obliczenia 2 23 40" xfId="24042" xr:uid="{00000000-0005-0000-0000-0000F15D0000}"/>
    <cellStyle name="Obliczenia 2 23 40 2" xfId="24043" xr:uid="{00000000-0005-0000-0000-0000F25D0000}"/>
    <cellStyle name="Obliczenia 2 23 40 3" xfId="24044" xr:uid="{00000000-0005-0000-0000-0000F35D0000}"/>
    <cellStyle name="Obliczenia 2 23 41" xfId="24045" xr:uid="{00000000-0005-0000-0000-0000F45D0000}"/>
    <cellStyle name="Obliczenia 2 23 41 2" xfId="24046" xr:uid="{00000000-0005-0000-0000-0000F55D0000}"/>
    <cellStyle name="Obliczenia 2 23 41 3" xfId="24047" xr:uid="{00000000-0005-0000-0000-0000F65D0000}"/>
    <cellStyle name="Obliczenia 2 23 42" xfId="24048" xr:uid="{00000000-0005-0000-0000-0000F75D0000}"/>
    <cellStyle name="Obliczenia 2 23 42 2" xfId="24049" xr:uid="{00000000-0005-0000-0000-0000F85D0000}"/>
    <cellStyle name="Obliczenia 2 23 42 3" xfId="24050" xr:uid="{00000000-0005-0000-0000-0000F95D0000}"/>
    <cellStyle name="Obliczenia 2 23 43" xfId="24051" xr:uid="{00000000-0005-0000-0000-0000FA5D0000}"/>
    <cellStyle name="Obliczenia 2 23 43 2" xfId="24052" xr:uid="{00000000-0005-0000-0000-0000FB5D0000}"/>
    <cellStyle name="Obliczenia 2 23 43 3" xfId="24053" xr:uid="{00000000-0005-0000-0000-0000FC5D0000}"/>
    <cellStyle name="Obliczenia 2 23 44" xfId="24054" xr:uid="{00000000-0005-0000-0000-0000FD5D0000}"/>
    <cellStyle name="Obliczenia 2 23 44 2" xfId="24055" xr:uid="{00000000-0005-0000-0000-0000FE5D0000}"/>
    <cellStyle name="Obliczenia 2 23 44 3" xfId="24056" xr:uid="{00000000-0005-0000-0000-0000FF5D0000}"/>
    <cellStyle name="Obliczenia 2 23 45" xfId="24057" xr:uid="{00000000-0005-0000-0000-0000005E0000}"/>
    <cellStyle name="Obliczenia 2 23 45 2" xfId="24058" xr:uid="{00000000-0005-0000-0000-0000015E0000}"/>
    <cellStyle name="Obliczenia 2 23 45 3" xfId="24059" xr:uid="{00000000-0005-0000-0000-0000025E0000}"/>
    <cellStyle name="Obliczenia 2 23 46" xfId="24060" xr:uid="{00000000-0005-0000-0000-0000035E0000}"/>
    <cellStyle name="Obliczenia 2 23 46 2" xfId="24061" xr:uid="{00000000-0005-0000-0000-0000045E0000}"/>
    <cellStyle name="Obliczenia 2 23 46 3" xfId="24062" xr:uid="{00000000-0005-0000-0000-0000055E0000}"/>
    <cellStyle name="Obliczenia 2 23 47" xfId="24063" xr:uid="{00000000-0005-0000-0000-0000065E0000}"/>
    <cellStyle name="Obliczenia 2 23 47 2" xfId="24064" xr:uid="{00000000-0005-0000-0000-0000075E0000}"/>
    <cellStyle name="Obliczenia 2 23 47 3" xfId="24065" xr:uid="{00000000-0005-0000-0000-0000085E0000}"/>
    <cellStyle name="Obliczenia 2 23 48" xfId="24066" xr:uid="{00000000-0005-0000-0000-0000095E0000}"/>
    <cellStyle name="Obliczenia 2 23 48 2" xfId="24067" xr:uid="{00000000-0005-0000-0000-00000A5E0000}"/>
    <cellStyle name="Obliczenia 2 23 48 3" xfId="24068" xr:uid="{00000000-0005-0000-0000-00000B5E0000}"/>
    <cellStyle name="Obliczenia 2 23 49" xfId="24069" xr:uid="{00000000-0005-0000-0000-00000C5E0000}"/>
    <cellStyle name="Obliczenia 2 23 49 2" xfId="24070" xr:uid="{00000000-0005-0000-0000-00000D5E0000}"/>
    <cellStyle name="Obliczenia 2 23 49 3" xfId="24071" xr:uid="{00000000-0005-0000-0000-00000E5E0000}"/>
    <cellStyle name="Obliczenia 2 23 5" xfId="24072" xr:uid="{00000000-0005-0000-0000-00000F5E0000}"/>
    <cellStyle name="Obliczenia 2 23 5 2" xfId="24073" xr:uid="{00000000-0005-0000-0000-0000105E0000}"/>
    <cellStyle name="Obliczenia 2 23 5 3" xfId="24074" xr:uid="{00000000-0005-0000-0000-0000115E0000}"/>
    <cellStyle name="Obliczenia 2 23 5 4" xfId="24075" xr:uid="{00000000-0005-0000-0000-0000125E0000}"/>
    <cellStyle name="Obliczenia 2 23 50" xfId="24076" xr:uid="{00000000-0005-0000-0000-0000135E0000}"/>
    <cellStyle name="Obliczenia 2 23 50 2" xfId="24077" xr:uid="{00000000-0005-0000-0000-0000145E0000}"/>
    <cellStyle name="Obliczenia 2 23 50 3" xfId="24078" xr:uid="{00000000-0005-0000-0000-0000155E0000}"/>
    <cellStyle name="Obliczenia 2 23 51" xfId="24079" xr:uid="{00000000-0005-0000-0000-0000165E0000}"/>
    <cellStyle name="Obliczenia 2 23 51 2" xfId="24080" xr:uid="{00000000-0005-0000-0000-0000175E0000}"/>
    <cellStyle name="Obliczenia 2 23 51 3" xfId="24081" xr:uid="{00000000-0005-0000-0000-0000185E0000}"/>
    <cellStyle name="Obliczenia 2 23 52" xfId="24082" xr:uid="{00000000-0005-0000-0000-0000195E0000}"/>
    <cellStyle name="Obliczenia 2 23 52 2" xfId="24083" xr:uid="{00000000-0005-0000-0000-00001A5E0000}"/>
    <cellStyle name="Obliczenia 2 23 52 3" xfId="24084" xr:uid="{00000000-0005-0000-0000-00001B5E0000}"/>
    <cellStyle name="Obliczenia 2 23 53" xfId="24085" xr:uid="{00000000-0005-0000-0000-00001C5E0000}"/>
    <cellStyle name="Obliczenia 2 23 53 2" xfId="24086" xr:uid="{00000000-0005-0000-0000-00001D5E0000}"/>
    <cellStyle name="Obliczenia 2 23 53 3" xfId="24087" xr:uid="{00000000-0005-0000-0000-00001E5E0000}"/>
    <cellStyle name="Obliczenia 2 23 54" xfId="24088" xr:uid="{00000000-0005-0000-0000-00001F5E0000}"/>
    <cellStyle name="Obliczenia 2 23 54 2" xfId="24089" xr:uid="{00000000-0005-0000-0000-0000205E0000}"/>
    <cellStyle name="Obliczenia 2 23 54 3" xfId="24090" xr:uid="{00000000-0005-0000-0000-0000215E0000}"/>
    <cellStyle name="Obliczenia 2 23 55" xfId="24091" xr:uid="{00000000-0005-0000-0000-0000225E0000}"/>
    <cellStyle name="Obliczenia 2 23 55 2" xfId="24092" xr:uid="{00000000-0005-0000-0000-0000235E0000}"/>
    <cellStyle name="Obliczenia 2 23 55 3" xfId="24093" xr:uid="{00000000-0005-0000-0000-0000245E0000}"/>
    <cellStyle name="Obliczenia 2 23 56" xfId="24094" xr:uid="{00000000-0005-0000-0000-0000255E0000}"/>
    <cellStyle name="Obliczenia 2 23 56 2" xfId="24095" xr:uid="{00000000-0005-0000-0000-0000265E0000}"/>
    <cellStyle name="Obliczenia 2 23 56 3" xfId="24096" xr:uid="{00000000-0005-0000-0000-0000275E0000}"/>
    <cellStyle name="Obliczenia 2 23 57" xfId="24097" xr:uid="{00000000-0005-0000-0000-0000285E0000}"/>
    <cellStyle name="Obliczenia 2 23 58" xfId="24098" xr:uid="{00000000-0005-0000-0000-0000295E0000}"/>
    <cellStyle name="Obliczenia 2 23 6" xfId="24099" xr:uid="{00000000-0005-0000-0000-00002A5E0000}"/>
    <cellStyle name="Obliczenia 2 23 6 2" xfId="24100" xr:uid="{00000000-0005-0000-0000-00002B5E0000}"/>
    <cellStyle name="Obliczenia 2 23 6 3" xfId="24101" xr:uid="{00000000-0005-0000-0000-00002C5E0000}"/>
    <cellStyle name="Obliczenia 2 23 6 4" xfId="24102" xr:uid="{00000000-0005-0000-0000-00002D5E0000}"/>
    <cellStyle name="Obliczenia 2 23 7" xfId="24103" xr:uid="{00000000-0005-0000-0000-00002E5E0000}"/>
    <cellStyle name="Obliczenia 2 23 7 2" xfId="24104" xr:uid="{00000000-0005-0000-0000-00002F5E0000}"/>
    <cellStyle name="Obliczenia 2 23 7 3" xfId="24105" xr:uid="{00000000-0005-0000-0000-0000305E0000}"/>
    <cellStyle name="Obliczenia 2 23 7 4" xfId="24106" xr:uid="{00000000-0005-0000-0000-0000315E0000}"/>
    <cellStyle name="Obliczenia 2 23 8" xfId="24107" xr:uid="{00000000-0005-0000-0000-0000325E0000}"/>
    <cellStyle name="Obliczenia 2 23 8 2" xfId="24108" xr:uid="{00000000-0005-0000-0000-0000335E0000}"/>
    <cellStyle name="Obliczenia 2 23 8 3" xfId="24109" xr:uid="{00000000-0005-0000-0000-0000345E0000}"/>
    <cellStyle name="Obliczenia 2 23 8 4" xfId="24110" xr:uid="{00000000-0005-0000-0000-0000355E0000}"/>
    <cellStyle name="Obliczenia 2 23 9" xfId="24111" xr:uid="{00000000-0005-0000-0000-0000365E0000}"/>
    <cellStyle name="Obliczenia 2 23 9 2" xfId="24112" xr:uid="{00000000-0005-0000-0000-0000375E0000}"/>
    <cellStyle name="Obliczenia 2 23 9 3" xfId="24113" xr:uid="{00000000-0005-0000-0000-0000385E0000}"/>
    <cellStyle name="Obliczenia 2 23 9 4" xfId="24114" xr:uid="{00000000-0005-0000-0000-0000395E0000}"/>
    <cellStyle name="Obliczenia 2 24" xfId="24115" xr:uid="{00000000-0005-0000-0000-00003A5E0000}"/>
    <cellStyle name="Obliczenia 2 24 10" xfId="24116" xr:uid="{00000000-0005-0000-0000-00003B5E0000}"/>
    <cellStyle name="Obliczenia 2 24 10 2" xfId="24117" xr:uid="{00000000-0005-0000-0000-00003C5E0000}"/>
    <cellStyle name="Obliczenia 2 24 10 3" xfId="24118" xr:uid="{00000000-0005-0000-0000-00003D5E0000}"/>
    <cellStyle name="Obliczenia 2 24 10 4" xfId="24119" xr:uid="{00000000-0005-0000-0000-00003E5E0000}"/>
    <cellStyle name="Obliczenia 2 24 11" xfId="24120" xr:uid="{00000000-0005-0000-0000-00003F5E0000}"/>
    <cellStyle name="Obliczenia 2 24 11 2" xfId="24121" xr:uid="{00000000-0005-0000-0000-0000405E0000}"/>
    <cellStyle name="Obliczenia 2 24 11 3" xfId="24122" xr:uid="{00000000-0005-0000-0000-0000415E0000}"/>
    <cellStyle name="Obliczenia 2 24 11 4" xfId="24123" xr:uid="{00000000-0005-0000-0000-0000425E0000}"/>
    <cellStyle name="Obliczenia 2 24 12" xfId="24124" xr:uid="{00000000-0005-0000-0000-0000435E0000}"/>
    <cellStyle name="Obliczenia 2 24 12 2" xfId="24125" xr:uid="{00000000-0005-0000-0000-0000445E0000}"/>
    <cellStyle name="Obliczenia 2 24 12 3" xfId="24126" xr:uid="{00000000-0005-0000-0000-0000455E0000}"/>
    <cellStyle name="Obliczenia 2 24 12 4" xfId="24127" xr:uid="{00000000-0005-0000-0000-0000465E0000}"/>
    <cellStyle name="Obliczenia 2 24 13" xfId="24128" xr:uid="{00000000-0005-0000-0000-0000475E0000}"/>
    <cellStyle name="Obliczenia 2 24 13 2" xfId="24129" xr:uid="{00000000-0005-0000-0000-0000485E0000}"/>
    <cellStyle name="Obliczenia 2 24 13 3" xfId="24130" xr:uid="{00000000-0005-0000-0000-0000495E0000}"/>
    <cellStyle name="Obliczenia 2 24 13 4" xfId="24131" xr:uid="{00000000-0005-0000-0000-00004A5E0000}"/>
    <cellStyle name="Obliczenia 2 24 14" xfId="24132" xr:uid="{00000000-0005-0000-0000-00004B5E0000}"/>
    <cellStyle name="Obliczenia 2 24 14 2" xfId="24133" xr:uid="{00000000-0005-0000-0000-00004C5E0000}"/>
    <cellStyle name="Obliczenia 2 24 14 3" xfId="24134" xr:uid="{00000000-0005-0000-0000-00004D5E0000}"/>
    <cellStyle name="Obliczenia 2 24 14 4" xfId="24135" xr:uid="{00000000-0005-0000-0000-00004E5E0000}"/>
    <cellStyle name="Obliczenia 2 24 15" xfId="24136" xr:uid="{00000000-0005-0000-0000-00004F5E0000}"/>
    <cellStyle name="Obliczenia 2 24 15 2" xfId="24137" xr:uid="{00000000-0005-0000-0000-0000505E0000}"/>
    <cellStyle name="Obliczenia 2 24 15 3" xfId="24138" xr:uid="{00000000-0005-0000-0000-0000515E0000}"/>
    <cellStyle name="Obliczenia 2 24 15 4" xfId="24139" xr:uid="{00000000-0005-0000-0000-0000525E0000}"/>
    <cellStyle name="Obliczenia 2 24 16" xfId="24140" xr:uid="{00000000-0005-0000-0000-0000535E0000}"/>
    <cellStyle name="Obliczenia 2 24 16 2" xfId="24141" xr:uid="{00000000-0005-0000-0000-0000545E0000}"/>
    <cellStyle name="Obliczenia 2 24 16 3" xfId="24142" xr:uid="{00000000-0005-0000-0000-0000555E0000}"/>
    <cellStyle name="Obliczenia 2 24 16 4" xfId="24143" xr:uid="{00000000-0005-0000-0000-0000565E0000}"/>
    <cellStyle name="Obliczenia 2 24 17" xfId="24144" xr:uid="{00000000-0005-0000-0000-0000575E0000}"/>
    <cellStyle name="Obliczenia 2 24 17 2" xfId="24145" xr:uid="{00000000-0005-0000-0000-0000585E0000}"/>
    <cellStyle name="Obliczenia 2 24 17 3" xfId="24146" xr:uid="{00000000-0005-0000-0000-0000595E0000}"/>
    <cellStyle name="Obliczenia 2 24 17 4" xfId="24147" xr:uid="{00000000-0005-0000-0000-00005A5E0000}"/>
    <cellStyle name="Obliczenia 2 24 18" xfId="24148" xr:uid="{00000000-0005-0000-0000-00005B5E0000}"/>
    <cellStyle name="Obliczenia 2 24 18 2" xfId="24149" xr:uid="{00000000-0005-0000-0000-00005C5E0000}"/>
    <cellStyle name="Obliczenia 2 24 18 3" xfId="24150" xr:uid="{00000000-0005-0000-0000-00005D5E0000}"/>
    <cellStyle name="Obliczenia 2 24 18 4" xfId="24151" xr:uid="{00000000-0005-0000-0000-00005E5E0000}"/>
    <cellStyle name="Obliczenia 2 24 19" xfId="24152" xr:uid="{00000000-0005-0000-0000-00005F5E0000}"/>
    <cellStyle name="Obliczenia 2 24 19 2" xfId="24153" xr:uid="{00000000-0005-0000-0000-0000605E0000}"/>
    <cellStyle name="Obliczenia 2 24 19 3" xfId="24154" xr:uid="{00000000-0005-0000-0000-0000615E0000}"/>
    <cellStyle name="Obliczenia 2 24 19 4" xfId="24155" xr:uid="{00000000-0005-0000-0000-0000625E0000}"/>
    <cellStyle name="Obliczenia 2 24 2" xfId="24156" xr:uid="{00000000-0005-0000-0000-0000635E0000}"/>
    <cellStyle name="Obliczenia 2 24 2 2" xfId="24157" xr:uid="{00000000-0005-0000-0000-0000645E0000}"/>
    <cellStyle name="Obliczenia 2 24 2 3" xfId="24158" xr:uid="{00000000-0005-0000-0000-0000655E0000}"/>
    <cellStyle name="Obliczenia 2 24 2 4" xfId="24159" xr:uid="{00000000-0005-0000-0000-0000665E0000}"/>
    <cellStyle name="Obliczenia 2 24 20" xfId="24160" xr:uid="{00000000-0005-0000-0000-0000675E0000}"/>
    <cellStyle name="Obliczenia 2 24 20 2" xfId="24161" xr:uid="{00000000-0005-0000-0000-0000685E0000}"/>
    <cellStyle name="Obliczenia 2 24 20 3" xfId="24162" xr:uid="{00000000-0005-0000-0000-0000695E0000}"/>
    <cellStyle name="Obliczenia 2 24 20 4" xfId="24163" xr:uid="{00000000-0005-0000-0000-00006A5E0000}"/>
    <cellStyle name="Obliczenia 2 24 21" xfId="24164" xr:uid="{00000000-0005-0000-0000-00006B5E0000}"/>
    <cellStyle name="Obliczenia 2 24 21 2" xfId="24165" xr:uid="{00000000-0005-0000-0000-00006C5E0000}"/>
    <cellStyle name="Obliczenia 2 24 21 3" xfId="24166" xr:uid="{00000000-0005-0000-0000-00006D5E0000}"/>
    <cellStyle name="Obliczenia 2 24 22" xfId="24167" xr:uid="{00000000-0005-0000-0000-00006E5E0000}"/>
    <cellStyle name="Obliczenia 2 24 22 2" xfId="24168" xr:uid="{00000000-0005-0000-0000-00006F5E0000}"/>
    <cellStyle name="Obliczenia 2 24 22 3" xfId="24169" xr:uid="{00000000-0005-0000-0000-0000705E0000}"/>
    <cellStyle name="Obliczenia 2 24 23" xfId="24170" xr:uid="{00000000-0005-0000-0000-0000715E0000}"/>
    <cellStyle name="Obliczenia 2 24 23 2" xfId="24171" xr:uid="{00000000-0005-0000-0000-0000725E0000}"/>
    <cellStyle name="Obliczenia 2 24 23 3" xfId="24172" xr:uid="{00000000-0005-0000-0000-0000735E0000}"/>
    <cellStyle name="Obliczenia 2 24 24" xfId="24173" xr:uid="{00000000-0005-0000-0000-0000745E0000}"/>
    <cellStyle name="Obliczenia 2 24 24 2" xfId="24174" xr:uid="{00000000-0005-0000-0000-0000755E0000}"/>
    <cellStyle name="Obliczenia 2 24 24 3" xfId="24175" xr:uid="{00000000-0005-0000-0000-0000765E0000}"/>
    <cellStyle name="Obliczenia 2 24 25" xfId="24176" xr:uid="{00000000-0005-0000-0000-0000775E0000}"/>
    <cellStyle name="Obliczenia 2 24 25 2" xfId="24177" xr:uid="{00000000-0005-0000-0000-0000785E0000}"/>
    <cellStyle name="Obliczenia 2 24 25 3" xfId="24178" xr:uid="{00000000-0005-0000-0000-0000795E0000}"/>
    <cellStyle name="Obliczenia 2 24 26" xfId="24179" xr:uid="{00000000-0005-0000-0000-00007A5E0000}"/>
    <cellStyle name="Obliczenia 2 24 26 2" xfId="24180" xr:uid="{00000000-0005-0000-0000-00007B5E0000}"/>
    <cellStyle name="Obliczenia 2 24 26 3" xfId="24181" xr:uid="{00000000-0005-0000-0000-00007C5E0000}"/>
    <cellStyle name="Obliczenia 2 24 27" xfId="24182" xr:uid="{00000000-0005-0000-0000-00007D5E0000}"/>
    <cellStyle name="Obliczenia 2 24 27 2" xfId="24183" xr:uid="{00000000-0005-0000-0000-00007E5E0000}"/>
    <cellStyle name="Obliczenia 2 24 27 3" xfId="24184" xr:uid="{00000000-0005-0000-0000-00007F5E0000}"/>
    <cellStyle name="Obliczenia 2 24 28" xfId="24185" xr:uid="{00000000-0005-0000-0000-0000805E0000}"/>
    <cellStyle name="Obliczenia 2 24 28 2" xfId="24186" xr:uid="{00000000-0005-0000-0000-0000815E0000}"/>
    <cellStyle name="Obliczenia 2 24 28 3" xfId="24187" xr:uid="{00000000-0005-0000-0000-0000825E0000}"/>
    <cellStyle name="Obliczenia 2 24 29" xfId="24188" xr:uid="{00000000-0005-0000-0000-0000835E0000}"/>
    <cellStyle name="Obliczenia 2 24 29 2" xfId="24189" xr:uid="{00000000-0005-0000-0000-0000845E0000}"/>
    <cellStyle name="Obliczenia 2 24 29 3" xfId="24190" xr:uid="{00000000-0005-0000-0000-0000855E0000}"/>
    <cellStyle name="Obliczenia 2 24 3" xfId="24191" xr:uid="{00000000-0005-0000-0000-0000865E0000}"/>
    <cellStyle name="Obliczenia 2 24 3 2" xfId="24192" xr:uid="{00000000-0005-0000-0000-0000875E0000}"/>
    <cellStyle name="Obliczenia 2 24 3 3" xfId="24193" xr:uid="{00000000-0005-0000-0000-0000885E0000}"/>
    <cellStyle name="Obliczenia 2 24 3 4" xfId="24194" xr:uid="{00000000-0005-0000-0000-0000895E0000}"/>
    <cellStyle name="Obliczenia 2 24 30" xfId="24195" xr:uid="{00000000-0005-0000-0000-00008A5E0000}"/>
    <cellStyle name="Obliczenia 2 24 30 2" xfId="24196" xr:uid="{00000000-0005-0000-0000-00008B5E0000}"/>
    <cellStyle name="Obliczenia 2 24 30 3" xfId="24197" xr:uid="{00000000-0005-0000-0000-00008C5E0000}"/>
    <cellStyle name="Obliczenia 2 24 31" xfId="24198" xr:uid="{00000000-0005-0000-0000-00008D5E0000}"/>
    <cellStyle name="Obliczenia 2 24 31 2" xfId="24199" xr:uid="{00000000-0005-0000-0000-00008E5E0000}"/>
    <cellStyle name="Obliczenia 2 24 31 3" xfId="24200" xr:uid="{00000000-0005-0000-0000-00008F5E0000}"/>
    <cellStyle name="Obliczenia 2 24 32" xfId="24201" xr:uid="{00000000-0005-0000-0000-0000905E0000}"/>
    <cellStyle name="Obliczenia 2 24 32 2" xfId="24202" xr:uid="{00000000-0005-0000-0000-0000915E0000}"/>
    <cellStyle name="Obliczenia 2 24 32 3" xfId="24203" xr:uid="{00000000-0005-0000-0000-0000925E0000}"/>
    <cellStyle name="Obliczenia 2 24 33" xfId="24204" xr:uid="{00000000-0005-0000-0000-0000935E0000}"/>
    <cellStyle name="Obliczenia 2 24 33 2" xfId="24205" xr:uid="{00000000-0005-0000-0000-0000945E0000}"/>
    <cellStyle name="Obliczenia 2 24 33 3" xfId="24206" xr:uid="{00000000-0005-0000-0000-0000955E0000}"/>
    <cellStyle name="Obliczenia 2 24 34" xfId="24207" xr:uid="{00000000-0005-0000-0000-0000965E0000}"/>
    <cellStyle name="Obliczenia 2 24 34 2" xfId="24208" xr:uid="{00000000-0005-0000-0000-0000975E0000}"/>
    <cellStyle name="Obliczenia 2 24 34 3" xfId="24209" xr:uid="{00000000-0005-0000-0000-0000985E0000}"/>
    <cellStyle name="Obliczenia 2 24 35" xfId="24210" xr:uid="{00000000-0005-0000-0000-0000995E0000}"/>
    <cellStyle name="Obliczenia 2 24 35 2" xfId="24211" xr:uid="{00000000-0005-0000-0000-00009A5E0000}"/>
    <cellStyle name="Obliczenia 2 24 35 3" xfId="24212" xr:uid="{00000000-0005-0000-0000-00009B5E0000}"/>
    <cellStyle name="Obliczenia 2 24 36" xfId="24213" xr:uid="{00000000-0005-0000-0000-00009C5E0000}"/>
    <cellStyle name="Obliczenia 2 24 36 2" xfId="24214" xr:uid="{00000000-0005-0000-0000-00009D5E0000}"/>
    <cellStyle name="Obliczenia 2 24 36 3" xfId="24215" xr:uid="{00000000-0005-0000-0000-00009E5E0000}"/>
    <cellStyle name="Obliczenia 2 24 37" xfId="24216" xr:uid="{00000000-0005-0000-0000-00009F5E0000}"/>
    <cellStyle name="Obliczenia 2 24 37 2" xfId="24217" xr:uid="{00000000-0005-0000-0000-0000A05E0000}"/>
    <cellStyle name="Obliczenia 2 24 37 3" xfId="24218" xr:uid="{00000000-0005-0000-0000-0000A15E0000}"/>
    <cellStyle name="Obliczenia 2 24 38" xfId="24219" xr:uid="{00000000-0005-0000-0000-0000A25E0000}"/>
    <cellStyle name="Obliczenia 2 24 38 2" xfId="24220" xr:uid="{00000000-0005-0000-0000-0000A35E0000}"/>
    <cellStyle name="Obliczenia 2 24 38 3" xfId="24221" xr:uid="{00000000-0005-0000-0000-0000A45E0000}"/>
    <cellStyle name="Obliczenia 2 24 39" xfId="24222" xr:uid="{00000000-0005-0000-0000-0000A55E0000}"/>
    <cellStyle name="Obliczenia 2 24 39 2" xfId="24223" xr:uid="{00000000-0005-0000-0000-0000A65E0000}"/>
    <cellStyle name="Obliczenia 2 24 39 3" xfId="24224" xr:uid="{00000000-0005-0000-0000-0000A75E0000}"/>
    <cellStyle name="Obliczenia 2 24 4" xfId="24225" xr:uid="{00000000-0005-0000-0000-0000A85E0000}"/>
    <cellStyle name="Obliczenia 2 24 4 2" xfId="24226" xr:uid="{00000000-0005-0000-0000-0000A95E0000}"/>
    <cellStyle name="Obliczenia 2 24 4 3" xfId="24227" xr:uid="{00000000-0005-0000-0000-0000AA5E0000}"/>
    <cellStyle name="Obliczenia 2 24 4 4" xfId="24228" xr:uid="{00000000-0005-0000-0000-0000AB5E0000}"/>
    <cellStyle name="Obliczenia 2 24 40" xfId="24229" xr:uid="{00000000-0005-0000-0000-0000AC5E0000}"/>
    <cellStyle name="Obliczenia 2 24 40 2" xfId="24230" xr:uid="{00000000-0005-0000-0000-0000AD5E0000}"/>
    <cellStyle name="Obliczenia 2 24 40 3" xfId="24231" xr:uid="{00000000-0005-0000-0000-0000AE5E0000}"/>
    <cellStyle name="Obliczenia 2 24 41" xfId="24232" xr:uid="{00000000-0005-0000-0000-0000AF5E0000}"/>
    <cellStyle name="Obliczenia 2 24 41 2" xfId="24233" xr:uid="{00000000-0005-0000-0000-0000B05E0000}"/>
    <cellStyle name="Obliczenia 2 24 41 3" xfId="24234" xr:uid="{00000000-0005-0000-0000-0000B15E0000}"/>
    <cellStyle name="Obliczenia 2 24 42" xfId="24235" xr:uid="{00000000-0005-0000-0000-0000B25E0000}"/>
    <cellStyle name="Obliczenia 2 24 42 2" xfId="24236" xr:uid="{00000000-0005-0000-0000-0000B35E0000}"/>
    <cellStyle name="Obliczenia 2 24 42 3" xfId="24237" xr:uid="{00000000-0005-0000-0000-0000B45E0000}"/>
    <cellStyle name="Obliczenia 2 24 43" xfId="24238" xr:uid="{00000000-0005-0000-0000-0000B55E0000}"/>
    <cellStyle name="Obliczenia 2 24 43 2" xfId="24239" xr:uid="{00000000-0005-0000-0000-0000B65E0000}"/>
    <cellStyle name="Obliczenia 2 24 43 3" xfId="24240" xr:uid="{00000000-0005-0000-0000-0000B75E0000}"/>
    <cellStyle name="Obliczenia 2 24 44" xfId="24241" xr:uid="{00000000-0005-0000-0000-0000B85E0000}"/>
    <cellStyle name="Obliczenia 2 24 44 2" xfId="24242" xr:uid="{00000000-0005-0000-0000-0000B95E0000}"/>
    <cellStyle name="Obliczenia 2 24 44 3" xfId="24243" xr:uid="{00000000-0005-0000-0000-0000BA5E0000}"/>
    <cellStyle name="Obliczenia 2 24 45" xfId="24244" xr:uid="{00000000-0005-0000-0000-0000BB5E0000}"/>
    <cellStyle name="Obliczenia 2 24 45 2" xfId="24245" xr:uid="{00000000-0005-0000-0000-0000BC5E0000}"/>
    <cellStyle name="Obliczenia 2 24 45 3" xfId="24246" xr:uid="{00000000-0005-0000-0000-0000BD5E0000}"/>
    <cellStyle name="Obliczenia 2 24 46" xfId="24247" xr:uid="{00000000-0005-0000-0000-0000BE5E0000}"/>
    <cellStyle name="Obliczenia 2 24 46 2" xfId="24248" xr:uid="{00000000-0005-0000-0000-0000BF5E0000}"/>
    <cellStyle name="Obliczenia 2 24 46 3" xfId="24249" xr:uid="{00000000-0005-0000-0000-0000C05E0000}"/>
    <cellStyle name="Obliczenia 2 24 47" xfId="24250" xr:uid="{00000000-0005-0000-0000-0000C15E0000}"/>
    <cellStyle name="Obliczenia 2 24 47 2" xfId="24251" xr:uid="{00000000-0005-0000-0000-0000C25E0000}"/>
    <cellStyle name="Obliczenia 2 24 47 3" xfId="24252" xr:uid="{00000000-0005-0000-0000-0000C35E0000}"/>
    <cellStyle name="Obliczenia 2 24 48" xfId="24253" xr:uid="{00000000-0005-0000-0000-0000C45E0000}"/>
    <cellStyle name="Obliczenia 2 24 48 2" xfId="24254" xr:uid="{00000000-0005-0000-0000-0000C55E0000}"/>
    <cellStyle name="Obliczenia 2 24 48 3" xfId="24255" xr:uid="{00000000-0005-0000-0000-0000C65E0000}"/>
    <cellStyle name="Obliczenia 2 24 49" xfId="24256" xr:uid="{00000000-0005-0000-0000-0000C75E0000}"/>
    <cellStyle name="Obliczenia 2 24 49 2" xfId="24257" xr:uid="{00000000-0005-0000-0000-0000C85E0000}"/>
    <cellStyle name="Obliczenia 2 24 49 3" xfId="24258" xr:uid="{00000000-0005-0000-0000-0000C95E0000}"/>
    <cellStyle name="Obliczenia 2 24 5" xfId="24259" xr:uid="{00000000-0005-0000-0000-0000CA5E0000}"/>
    <cellStyle name="Obliczenia 2 24 5 2" xfId="24260" xr:uid="{00000000-0005-0000-0000-0000CB5E0000}"/>
    <cellStyle name="Obliczenia 2 24 5 3" xfId="24261" xr:uid="{00000000-0005-0000-0000-0000CC5E0000}"/>
    <cellStyle name="Obliczenia 2 24 5 4" xfId="24262" xr:uid="{00000000-0005-0000-0000-0000CD5E0000}"/>
    <cellStyle name="Obliczenia 2 24 50" xfId="24263" xr:uid="{00000000-0005-0000-0000-0000CE5E0000}"/>
    <cellStyle name="Obliczenia 2 24 50 2" xfId="24264" xr:uid="{00000000-0005-0000-0000-0000CF5E0000}"/>
    <cellStyle name="Obliczenia 2 24 50 3" xfId="24265" xr:uid="{00000000-0005-0000-0000-0000D05E0000}"/>
    <cellStyle name="Obliczenia 2 24 51" xfId="24266" xr:uid="{00000000-0005-0000-0000-0000D15E0000}"/>
    <cellStyle name="Obliczenia 2 24 51 2" xfId="24267" xr:uid="{00000000-0005-0000-0000-0000D25E0000}"/>
    <cellStyle name="Obliczenia 2 24 51 3" xfId="24268" xr:uid="{00000000-0005-0000-0000-0000D35E0000}"/>
    <cellStyle name="Obliczenia 2 24 52" xfId="24269" xr:uid="{00000000-0005-0000-0000-0000D45E0000}"/>
    <cellStyle name="Obliczenia 2 24 52 2" xfId="24270" xr:uid="{00000000-0005-0000-0000-0000D55E0000}"/>
    <cellStyle name="Obliczenia 2 24 52 3" xfId="24271" xr:uid="{00000000-0005-0000-0000-0000D65E0000}"/>
    <cellStyle name="Obliczenia 2 24 53" xfId="24272" xr:uid="{00000000-0005-0000-0000-0000D75E0000}"/>
    <cellStyle name="Obliczenia 2 24 53 2" xfId="24273" xr:uid="{00000000-0005-0000-0000-0000D85E0000}"/>
    <cellStyle name="Obliczenia 2 24 53 3" xfId="24274" xr:uid="{00000000-0005-0000-0000-0000D95E0000}"/>
    <cellStyle name="Obliczenia 2 24 54" xfId="24275" xr:uid="{00000000-0005-0000-0000-0000DA5E0000}"/>
    <cellStyle name="Obliczenia 2 24 54 2" xfId="24276" xr:uid="{00000000-0005-0000-0000-0000DB5E0000}"/>
    <cellStyle name="Obliczenia 2 24 54 3" xfId="24277" xr:uid="{00000000-0005-0000-0000-0000DC5E0000}"/>
    <cellStyle name="Obliczenia 2 24 55" xfId="24278" xr:uid="{00000000-0005-0000-0000-0000DD5E0000}"/>
    <cellStyle name="Obliczenia 2 24 55 2" xfId="24279" xr:uid="{00000000-0005-0000-0000-0000DE5E0000}"/>
    <cellStyle name="Obliczenia 2 24 55 3" xfId="24280" xr:uid="{00000000-0005-0000-0000-0000DF5E0000}"/>
    <cellStyle name="Obliczenia 2 24 56" xfId="24281" xr:uid="{00000000-0005-0000-0000-0000E05E0000}"/>
    <cellStyle name="Obliczenia 2 24 56 2" xfId="24282" xr:uid="{00000000-0005-0000-0000-0000E15E0000}"/>
    <cellStyle name="Obliczenia 2 24 56 3" xfId="24283" xr:uid="{00000000-0005-0000-0000-0000E25E0000}"/>
    <cellStyle name="Obliczenia 2 24 57" xfId="24284" xr:uid="{00000000-0005-0000-0000-0000E35E0000}"/>
    <cellStyle name="Obliczenia 2 24 58" xfId="24285" xr:uid="{00000000-0005-0000-0000-0000E45E0000}"/>
    <cellStyle name="Obliczenia 2 24 6" xfId="24286" xr:uid="{00000000-0005-0000-0000-0000E55E0000}"/>
    <cellStyle name="Obliczenia 2 24 6 2" xfId="24287" xr:uid="{00000000-0005-0000-0000-0000E65E0000}"/>
    <cellStyle name="Obliczenia 2 24 6 3" xfId="24288" xr:uid="{00000000-0005-0000-0000-0000E75E0000}"/>
    <cellStyle name="Obliczenia 2 24 6 4" xfId="24289" xr:uid="{00000000-0005-0000-0000-0000E85E0000}"/>
    <cellStyle name="Obliczenia 2 24 7" xfId="24290" xr:uid="{00000000-0005-0000-0000-0000E95E0000}"/>
    <cellStyle name="Obliczenia 2 24 7 2" xfId="24291" xr:uid="{00000000-0005-0000-0000-0000EA5E0000}"/>
    <cellStyle name="Obliczenia 2 24 7 3" xfId="24292" xr:uid="{00000000-0005-0000-0000-0000EB5E0000}"/>
    <cellStyle name="Obliczenia 2 24 7 4" xfId="24293" xr:uid="{00000000-0005-0000-0000-0000EC5E0000}"/>
    <cellStyle name="Obliczenia 2 24 8" xfId="24294" xr:uid="{00000000-0005-0000-0000-0000ED5E0000}"/>
    <cellStyle name="Obliczenia 2 24 8 2" xfId="24295" xr:uid="{00000000-0005-0000-0000-0000EE5E0000}"/>
    <cellStyle name="Obliczenia 2 24 8 3" xfId="24296" xr:uid="{00000000-0005-0000-0000-0000EF5E0000}"/>
    <cellStyle name="Obliczenia 2 24 8 4" xfId="24297" xr:uid="{00000000-0005-0000-0000-0000F05E0000}"/>
    <cellStyle name="Obliczenia 2 24 9" xfId="24298" xr:uid="{00000000-0005-0000-0000-0000F15E0000}"/>
    <cellStyle name="Obliczenia 2 24 9 2" xfId="24299" xr:uid="{00000000-0005-0000-0000-0000F25E0000}"/>
    <cellStyle name="Obliczenia 2 24 9 3" xfId="24300" xr:uid="{00000000-0005-0000-0000-0000F35E0000}"/>
    <cellStyle name="Obliczenia 2 24 9 4" xfId="24301" xr:uid="{00000000-0005-0000-0000-0000F45E0000}"/>
    <cellStyle name="Obliczenia 2 25" xfId="24302" xr:uid="{00000000-0005-0000-0000-0000F55E0000}"/>
    <cellStyle name="Obliczenia 2 25 10" xfId="24303" xr:uid="{00000000-0005-0000-0000-0000F65E0000}"/>
    <cellStyle name="Obliczenia 2 25 10 2" xfId="24304" xr:uid="{00000000-0005-0000-0000-0000F75E0000}"/>
    <cellStyle name="Obliczenia 2 25 10 3" xfId="24305" xr:uid="{00000000-0005-0000-0000-0000F85E0000}"/>
    <cellStyle name="Obliczenia 2 25 10 4" xfId="24306" xr:uid="{00000000-0005-0000-0000-0000F95E0000}"/>
    <cellStyle name="Obliczenia 2 25 11" xfId="24307" xr:uid="{00000000-0005-0000-0000-0000FA5E0000}"/>
    <cellStyle name="Obliczenia 2 25 11 2" xfId="24308" xr:uid="{00000000-0005-0000-0000-0000FB5E0000}"/>
    <cellStyle name="Obliczenia 2 25 11 3" xfId="24309" xr:uid="{00000000-0005-0000-0000-0000FC5E0000}"/>
    <cellStyle name="Obliczenia 2 25 11 4" xfId="24310" xr:uid="{00000000-0005-0000-0000-0000FD5E0000}"/>
    <cellStyle name="Obliczenia 2 25 12" xfId="24311" xr:uid="{00000000-0005-0000-0000-0000FE5E0000}"/>
    <cellStyle name="Obliczenia 2 25 12 2" xfId="24312" xr:uid="{00000000-0005-0000-0000-0000FF5E0000}"/>
    <cellStyle name="Obliczenia 2 25 12 3" xfId="24313" xr:uid="{00000000-0005-0000-0000-0000005F0000}"/>
    <cellStyle name="Obliczenia 2 25 12 4" xfId="24314" xr:uid="{00000000-0005-0000-0000-0000015F0000}"/>
    <cellStyle name="Obliczenia 2 25 13" xfId="24315" xr:uid="{00000000-0005-0000-0000-0000025F0000}"/>
    <cellStyle name="Obliczenia 2 25 13 2" xfId="24316" xr:uid="{00000000-0005-0000-0000-0000035F0000}"/>
    <cellStyle name="Obliczenia 2 25 13 3" xfId="24317" xr:uid="{00000000-0005-0000-0000-0000045F0000}"/>
    <cellStyle name="Obliczenia 2 25 13 4" xfId="24318" xr:uid="{00000000-0005-0000-0000-0000055F0000}"/>
    <cellStyle name="Obliczenia 2 25 14" xfId="24319" xr:uid="{00000000-0005-0000-0000-0000065F0000}"/>
    <cellStyle name="Obliczenia 2 25 14 2" xfId="24320" xr:uid="{00000000-0005-0000-0000-0000075F0000}"/>
    <cellStyle name="Obliczenia 2 25 14 3" xfId="24321" xr:uid="{00000000-0005-0000-0000-0000085F0000}"/>
    <cellStyle name="Obliczenia 2 25 14 4" xfId="24322" xr:uid="{00000000-0005-0000-0000-0000095F0000}"/>
    <cellStyle name="Obliczenia 2 25 15" xfId="24323" xr:uid="{00000000-0005-0000-0000-00000A5F0000}"/>
    <cellStyle name="Obliczenia 2 25 15 2" xfId="24324" xr:uid="{00000000-0005-0000-0000-00000B5F0000}"/>
    <cellStyle name="Obliczenia 2 25 15 3" xfId="24325" xr:uid="{00000000-0005-0000-0000-00000C5F0000}"/>
    <cellStyle name="Obliczenia 2 25 15 4" xfId="24326" xr:uid="{00000000-0005-0000-0000-00000D5F0000}"/>
    <cellStyle name="Obliczenia 2 25 16" xfId="24327" xr:uid="{00000000-0005-0000-0000-00000E5F0000}"/>
    <cellStyle name="Obliczenia 2 25 16 2" xfId="24328" xr:uid="{00000000-0005-0000-0000-00000F5F0000}"/>
    <cellStyle name="Obliczenia 2 25 16 3" xfId="24329" xr:uid="{00000000-0005-0000-0000-0000105F0000}"/>
    <cellStyle name="Obliczenia 2 25 16 4" xfId="24330" xr:uid="{00000000-0005-0000-0000-0000115F0000}"/>
    <cellStyle name="Obliczenia 2 25 17" xfId="24331" xr:uid="{00000000-0005-0000-0000-0000125F0000}"/>
    <cellStyle name="Obliczenia 2 25 17 2" xfId="24332" xr:uid="{00000000-0005-0000-0000-0000135F0000}"/>
    <cellStyle name="Obliczenia 2 25 17 3" xfId="24333" xr:uid="{00000000-0005-0000-0000-0000145F0000}"/>
    <cellStyle name="Obliczenia 2 25 17 4" xfId="24334" xr:uid="{00000000-0005-0000-0000-0000155F0000}"/>
    <cellStyle name="Obliczenia 2 25 18" xfId="24335" xr:uid="{00000000-0005-0000-0000-0000165F0000}"/>
    <cellStyle name="Obliczenia 2 25 18 2" xfId="24336" xr:uid="{00000000-0005-0000-0000-0000175F0000}"/>
    <cellStyle name="Obliczenia 2 25 18 3" xfId="24337" xr:uid="{00000000-0005-0000-0000-0000185F0000}"/>
    <cellStyle name="Obliczenia 2 25 18 4" xfId="24338" xr:uid="{00000000-0005-0000-0000-0000195F0000}"/>
    <cellStyle name="Obliczenia 2 25 19" xfId="24339" xr:uid="{00000000-0005-0000-0000-00001A5F0000}"/>
    <cellStyle name="Obliczenia 2 25 19 2" xfId="24340" xr:uid="{00000000-0005-0000-0000-00001B5F0000}"/>
    <cellStyle name="Obliczenia 2 25 19 3" xfId="24341" xr:uid="{00000000-0005-0000-0000-00001C5F0000}"/>
    <cellStyle name="Obliczenia 2 25 19 4" xfId="24342" xr:uid="{00000000-0005-0000-0000-00001D5F0000}"/>
    <cellStyle name="Obliczenia 2 25 2" xfId="24343" xr:uid="{00000000-0005-0000-0000-00001E5F0000}"/>
    <cellStyle name="Obliczenia 2 25 2 2" xfId="24344" xr:uid="{00000000-0005-0000-0000-00001F5F0000}"/>
    <cellStyle name="Obliczenia 2 25 2 3" xfId="24345" xr:uid="{00000000-0005-0000-0000-0000205F0000}"/>
    <cellStyle name="Obliczenia 2 25 2 4" xfId="24346" xr:uid="{00000000-0005-0000-0000-0000215F0000}"/>
    <cellStyle name="Obliczenia 2 25 20" xfId="24347" xr:uid="{00000000-0005-0000-0000-0000225F0000}"/>
    <cellStyle name="Obliczenia 2 25 20 2" xfId="24348" xr:uid="{00000000-0005-0000-0000-0000235F0000}"/>
    <cellStyle name="Obliczenia 2 25 20 3" xfId="24349" xr:uid="{00000000-0005-0000-0000-0000245F0000}"/>
    <cellStyle name="Obliczenia 2 25 20 4" xfId="24350" xr:uid="{00000000-0005-0000-0000-0000255F0000}"/>
    <cellStyle name="Obliczenia 2 25 21" xfId="24351" xr:uid="{00000000-0005-0000-0000-0000265F0000}"/>
    <cellStyle name="Obliczenia 2 25 21 2" xfId="24352" xr:uid="{00000000-0005-0000-0000-0000275F0000}"/>
    <cellStyle name="Obliczenia 2 25 21 3" xfId="24353" xr:uid="{00000000-0005-0000-0000-0000285F0000}"/>
    <cellStyle name="Obliczenia 2 25 22" xfId="24354" xr:uid="{00000000-0005-0000-0000-0000295F0000}"/>
    <cellStyle name="Obliczenia 2 25 22 2" xfId="24355" xr:uid="{00000000-0005-0000-0000-00002A5F0000}"/>
    <cellStyle name="Obliczenia 2 25 22 3" xfId="24356" xr:uid="{00000000-0005-0000-0000-00002B5F0000}"/>
    <cellStyle name="Obliczenia 2 25 23" xfId="24357" xr:uid="{00000000-0005-0000-0000-00002C5F0000}"/>
    <cellStyle name="Obliczenia 2 25 23 2" xfId="24358" xr:uid="{00000000-0005-0000-0000-00002D5F0000}"/>
    <cellStyle name="Obliczenia 2 25 23 3" xfId="24359" xr:uid="{00000000-0005-0000-0000-00002E5F0000}"/>
    <cellStyle name="Obliczenia 2 25 24" xfId="24360" xr:uid="{00000000-0005-0000-0000-00002F5F0000}"/>
    <cellStyle name="Obliczenia 2 25 24 2" xfId="24361" xr:uid="{00000000-0005-0000-0000-0000305F0000}"/>
    <cellStyle name="Obliczenia 2 25 24 3" xfId="24362" xr:uid="{00000000-0005-0000-0000-0000315F0000}"/>
    <cellStyle name="Obliczenia 2 25 25" xfId="24363" xr:uid="{00000000-0005-0000-0000-0000325F0000}"/>
    <cellStyle name="Obliczenia 2 25 25 2" xfId="24364" xr:uid="{00000000-0005-0000-0000-0000335F0000}"/>
    <cellStyle name="Obliczenia 2 25 25 3" xfId="24365" xr:uid="{00000000-0005-0000-0000-0000345F0000}"/>
    <cellStyle name="Obliczenia 2 25 26" xfId="24366" xr:uid="{00000000-0005-0000-0000-0000355F0000}"/>
    <cellStyle name="Obliczenia 2 25 26 2" xfId="24367" xr:uid="{00000000-0005-0000-0000-0000365F0000}"/>
    <cellStyle name="Obliczenia 2 25 26 3" xfId="24368" xr:uid="{00000000-0005-0000-0000-0000375F0000}"/>
    <cellStyle name="Obliczenia 2 25 27" xfId="24369" xr:uid="{00000000-0005-0000-0000-0000385F0000}"/>
    <cellStyle name="Obliczenia 2 25 27 2" xfId="24370" xr:uid="{00000000-0005-0000-0000-0000395F0000}"/>
    <cellStyle name="Obliczenia 2 25 27 3" xfId="24371" xr:uid="{00000000-0005-0000-0000-00003A5F0000}"/>
    <cellStyle name="Obliczenia 2 25 28" xfId="24372" xr:uid="{00000000-0005-0000-0000-00003B5F0000}"/>
    <cellStyle name="Obliczenia 2 25 28 2" xfId="24373" xr:uid="{00000000-0005-0000-0000-00003C5F0000}"/>
    <cellStyle name="Obliczenia 2 25 28 3" xfId="24374" xr:uid="{00000000-0005-0000-0000-00003D5F0000}"/>
    <cellStyle name="Obliczenia 2 25 29" xfId="24375" xr:uid="{00000000-0005-0000-0000-00003E5F0000}"/>
    <cellStyle name="Obliczenia 2 25 29 2" xfId="24376" xr:uid="{00000000-0005-0000-0000-00003F5F0000}"/>
    <cellStyle name="Obliczenia 2 25 29 3" xfId="24377" xr:uid="{00000000-0005-0000-0000-0000405F0000}"/>
    <cellStyle name="Obliczenia 2 25 3" xfId="24378" xr:uid="{00000000-0005-0000-0000-0000415F0000}"/>
    <cellStyle name="Obliczenia 2 25 3 2" xfId="24379" xr:uid="{00000000-0005-0000-0000-0000425F0000}"/>
    <cellStyle name="Obliczenia 2 25 3 3" xfId="24380" xr:uid="{00000000-0005-0000-0000-0000435F0000}"/>
    <cellStyle name="Obliczenia 2 25 3 4" xfId="24381" xr:uid="{00000000-0005-0000-0000-0000445F0000}"/>
    <cellStyle name="Obliczenia 2 25 30" xfId="24382" xr:uid="{00000000-0005-0000-0000-0000455F0000}"/>
    <cellStyle name="Obliczenia 2 25 30 2" xfId="24383" xr:uid="{00000000-0005-0000-0000-0000465F0000}"/>
    <cellStyle name="Obliczenia 2 25 30 3" xfId="24384" xr:uid="{00000000-0005-0000-0000-0000475F0000}"/>
    <cellStyle name="Obliczenia 2 25 31" xfId="24385" xr:uid="{00000000-0005-0000-0000-0000485F0000}"/>
    <cellStyle name="Obliczenia 2 25 31 2" xfId="24386" xr:uid="{00000000-0005-0000-0000-0000495F0000}"/>
    <cellStyle name="Obliczenia 2 25 31 3" xfId="24387" xr:uid="{00000000-0005-0000-0000-00004A5F0000}"/>
    <cellStyle name="Obliczenia 2 25 32" xfId="24388" xr:uid="{00000000-0005-0000-0000-00004B5F0000}"/>
    <cellStyle name="Obliczenia 2 25 32 2" xfId="24389" xr:uid="{00000000-0005-0000-0000-00004C5F0000}"/>
    <cellStyle name="Obliczenia 2 25 32 3" xfId="24390" xr:uid="{00000000-0005-0000-0000-00004D5F0000}"/>
    <cellStyle name="Obliczenia 2 25 33" xfId="24391" xr:uid="{00000000-0005-0000-0000-00004E5F0000}"/>
    <cellStyle name="Obliczenia 2 25 33 2" xfId="24392" xr:uid="{00000000-0005-0000-0000-00004F5F0000}"/>
    <cellStyle name="Obliczenia 2 25 33 3" xfId="24393" xr:uid="{00000000-0005-0000-0000-0000505F0000}"/>
    <cellStyle name="Obliczenia 2 25 34" xfId="24394" xr:uid="{00000000-0005-0000-0000-0000515F0000}"/>
    <cellStyle name="Obliczenia 2 25 34 2" xfId="24395" xr:uid="{00000000-0005-0000-0000-0000525F0000}"/>
    <cellStyle name="Obliczenia 2 25 34 3" xfId="24396" xr:uid="{00000000-0005-0000-0000-0000535F0000}"/>
    <cellStyle name="Obliczenia 2 25 35" xfId="24397" xr:uid="{00000000-0005-0000-0000-0000545F0000}"/>
    <cellStyle name="Obliczenia 2 25 35 2" xfId="24398" xr:uid="{00000000-0005-0000-0000-0000555F0000}"/>
    <cellStyle name="Obliczenia 2 25 35 3" xfId="24399" xr:uid="{00000000-0005-0000-0000-0000565F0000}"/>
    <cellStyle name="Obliczenia 2 25 36" xfId="24400" xr:uid="{00000000-0005-0000-0000-0000575F0000}"/>
    <cellStyle name="Obliczenia 2 25 36 2" xfId="24401" xr:uid="{00000000-0005-0000-0000-0000585F0000}"/>
    <cellStyle name="Obliczenia 2 25 36 3" xfId="24402" xr:uid="{00000000-0005-0000-0000-0000595F0000}"/>
    <cellStyle name="Obliczenia 2 25 37" xfId="24403" xr:uid="{00000000-0005-0000-0000-00005A5F0000}"/>
    <cellStyle name="Obliczenia 2 25 37 2" xfId="24404" xr:uid="{00000000-0005-0000-0000-00005B5F0000}"/>
    <cellStyle name="Obliczenia 2 25 37 3" xfId="24405" xr:uid="{00000000-0005-0000-0000-00005C5F0000}"/>
    <cellStyle name="Obliczenia 2 25 38" xfId="24406" xr:uid="{00000000-0005-0000-0000-00005D5F0000}"/>
    <cellStyle name="Obliczenia 2 25 38 2" xfId="24407" xr:uid="{00000000-0005-0000-0000-00005E5F0000}"/>
    <cellStyle name="Obliczenia 2 25 38 3" xfId="24408" xr:uid="{00000000-0005-0000-0000-00005F5F0000}"/>
    <cellStyle name="Obliczenia 2 25 39" xfId="24409" xr:uid="{00000000-0005-0000-0000-0000605F0000}"/>
    <cellStyle name="Obliczenia 2 25 39 2" xfId="24410" xr:uid="{00000000-0005-0000-0000-0000615F0000}"/>
    <cellStyle name="Obliczenia 2 25 39 3" xfId="24411" xr:uid="{00000000-0005-0000-0000-0000625F0000}"/>
    <cellStyle name="Obliczenia 2 25 4" xfId="24412" xr:uid="{00000000-0005-0000-0000-0000635F0000}"/>
    <cellStyle name="Obliczenia 2 25 4 2" xfId="24413" xr:uid="{00000000-0005-0000-0000-0000645F0000}"/>
    <cellStyle name="Obliczenia 2 25 4 3" xfId="24414" xr:uid="{00000000-0005-0000-0000-0000655F0000}"/>
    <cellStyle name="Obliczenia 2 25 4 4" xfId="24415" xr:uid="{00000000-0005-0000-0000-0000665F0000}"/>
    <cellStyle name="Obliczenia 2 25 40" xfId="24416" xr:uid="{00000000-0005-0000-0000-0000675F0000}"/>
    <cellStyle name="Obliczenia 2 25 40 2" xfId="24417" xr:uid="{00000000-0005-0000-0000-0000685F0000}"/>
    <cellStyle name="Obliczenia 2 25 40 3" xfId="24418" xr:uid="{00000000-0005-0000-0000-0000695F0000}"/>
    <cellStyle name="Obliczenia 2 25 41" xfId="24419" xr:uid="{00000000-0005-0000-0000-00006A5F0000}"/>
    <cellStyle name="Obliczenia 2 25 41 2" xfId="24420" xr:uid="{00000000-0005-0000-0000-00006B5F0000}"/>
    <cellStyle name="Obliczenia 2 25 41 3" xfId="24421" xr:uid="{00000000-0005-0000-0000-00006C5F0000}"/>
    <cellStyle name="Obliczenia 2 25 42" xfId="24422" xr:uid="{00000000-0005-0000-0000-00006D5F0000}"/>
    <cellStyle name="Obliczenia 2 25 42 2" xfId="24423" xr:uid="{00000000-0005-0000-0000-00006E5F0000}"/>
    <cellStyle name="Obliczenia 2 25 42 3" xfId="24424" xr:uid="{00000000-0005-0000-0000-00006F5F0000}"/>
    <cellStyle name="Obliczenia 2 25 43" xfId="24425" xr:uid="{00000000-0005-0000-0000-0000705F0000}"/>
    <cellStyle name="Obliczenia 2 25 43 2" xfId="24426" xr:uid="{00000000-0005-0000-0000-0000715F0000}"/>
    <cellStyle name="Obliczenia 2 25 43 3" xfId="24427" xr:uid="{00000000-0005-0000-0000-0000725F0000}"/>
    <cellStyle name="Obliczenia 2 25 44" xfId="24428" xr:uid="{00000000-0005-0000-0000-0000735F0000}"/>
    <cellStyle name="Obliczenia 2 25 44 2" xfId="24429" xr:uid="{00000000-0005-0000-0000-0000745F0000}"/>
    <cellStyle name="Obliczenia 2 25 44 3" xfId="24430" xr:uid="{00000000-0005-0000-0000-0000755F0000}"/>
    <cellStyle name="Obliczenia 2 25 45" xfId="24431" xr:uid="{00000000-0005-0000-0000-0000765F0000}"/>
    <cellStyle name="Obliczenia 2 25 45 2" xfId="24432" xr:uid="{00000000-0005-0000-0000-0000775F0000}"/>
    <cellStyle name="Obliczenia 2 25 45 3" xfId="24433" xr:uid="{00000000-0005-0000-0000-0000785F0000}"/>
    <cellStyle name="Obliczenia 2 25 46" xfId="24434" xr:uid="{00000000-0005-0000-0000-0000795F0000}"/>
    <cellStyle name="Obliczenia 2 25 46 2" xfId="24435" xr:uid="{00000000-0005-0000-0000-00007A5F0000}"/>
    <cellStyle name="Obliczenia 2 25 46 3" xfId="24436" xr:uid="{00000000-0005-0000-0000-00007B5F0000}"/>
    <cellStyle name="Obliczenia 2 25 47" xfId="24437" xr:uid="{00000000-0005-0000-0000-00007C5F0000}"/>
    <cellStyle name="Obliczenia 2 25 47 2" xfId="24438" xr:uid="{00000000-0005-0000-0000-00007D5F0000}"/>
    <cellStyle name="Obliczenia 2 25 47 3" xfId="24439" xr:uid="{00000000-0005-0000-0000-00007E5F0000}"/>
    <cellStyle name="Obliczenia 2 25 48" xfId="24440" xr:uid="{00000000-0005-0000-0000-00007F5F0000}"/>
    <cellStyle name="Obliczenia 2 25 48 2" xfId="24441" xr:uid="{00000000-0005-0000-0000-0000805F0000}"/>
    <cellStyle name="Obliczenia 2 25 48 3" xfId="24442" xr:uid="{00000000-0005-0000-0000-0000815F0000}"/>
    <cellStyle name="Obliczenia 2 25 49" xfId="24443" xr:uid="{00000000-0005-0000-0000-0000825F0000}"/>
    <cellStyle name="Obliczenia 2 25 49 2" xfId="24444" xr:uid="{00000000-0005-0000-0000-0000835F0000}"/>
    <cellStyle name="Obliczenia 2 25 49 3" xfId="24445" xr:uid="{00000000-0005-0000-0000-0000845F0000}"/>
    <cellStyle name="Obliczenia 2 25 5" xfId="24446" xr:uid="{00000000-0005-0000-0000-0000855F0000}"/>
    <cellStyle name="Obliczenia 2 25 5 2" xfId="24447" xr:uid="{00000000-0005-0000-0000-0000865F0000}"/>
    <cellStyle name="Obliczenia 2 25 5 3" xfId="24448" xr:uid="{00000000-0005-0000-0000-0000875F0000}"/>
    <cellStyle name="Obliczenia 2 25 5 4" xfId="24449" xr:uid="{00000000-0005-0000-0000-0000885F0000}"/>
    <cellStyle name="Obliczenia 2 25 50" xfId="24450" xr:uid="{00000000-0005-0000-0000-0000895F0000}"/>
    <cellStyle name="Obliczenia 2 25 50 2" xfId="24451" xr:uid="{00000000-0005-0000-0000-00008A5F0000}"/>
    <cellStyle name="Obliczenia 2 25 50 3" xfId="24452" xr:uid="{00000000-0005-0000-0000-00008B5F0000}"/>
    <cellStyle name="Obliczenia 2 25 51" xfId="24453" xr:uid="{00000000-0005-0000-0000-00008C5F0000}"/>
    <cellStyle name="Obliczenia 2 25 51 2" xfId="24454" xr:uid="{00000000-0005-0000-0000-00008D5F0000}"/>
    <cellStyle name="Obliczenia 2 25 51 3" xfId="24455" xr:uid="{00000000-0005-0000-0000-00008E5F0000}"/>
    <cellStyle name="Obliczenia 2 25 52" xfId="24456" xr:uid="{00000000-0005-0000-0000-00008F5F0000}"/>
    <cellStyle name="Obliczenia 2 25 52 2" xfId="24457" xr:uid="{00000000-0005-0000-0000-0000905F0000}"/>
    <cellStyle name="Obliczenia 2 25 52 3" xfId="24458" xr:uid="{00000000-0005-0000-0000-0000915F0000}"/>
    <cellStyle name="Obliczenia 2 25 53" xfId="24459" xr:uid="{00000000-0005-0000-0000-0000925F0000}"/>
    <cellStyle name="Obliczenia 2 25 53 2" xfId="24460" xr:uid="{00000000-0005-0000-0000-0000935F0000}"/>
    <cellStyle name="Obliczenia 2 25 53 3" xfId="24461" xr:uid="{00000000-0005-0000-0000-0000945F0000}"/>
    <cellStyle name="Obliczenia 2 25 54" xfId="24462" xr:uid="{00000000-0005-0000-0000-0000955F0000}"/>
    <cellStyle name="Obliczenia 2 25 54 2" xfId="24463" xr:uid="{00000000-0005-0000-0000-0000965F0000}"/>
    <cellStyle name="Obliczenia 2 25 54 3" xfId="24464" xr:uid="{00000000-0005-0000-0000-0000975F0000}"/>
    <cellStyle name="Obliczenia 2 25 55" xfId="24465" xr:uid="{00000000-0005-0000-0000-0000985F0000}"/>
    <cellStyle name="Obliczenia 2 25 55 2" xfId="24466" xr:uid="{00000000-0005-0000-0000-0000995F0000}"/>
    <cellStyle name="Obliczenia 2 25 55 3" xfId="24467" xr:uid="{00000000-0005-0000-0000-00009A5F0000}"/>
    <cellStyle name="Obliczenia 2 25 56" xfId="24468" xr:uid="{00000000-0005-0000-0000-00009B5F0000}"/>
    <cellStyle name="Obliczenia 2 25 56 2" xfId="24469" xr:uid="{00000000-0005-0000-0000-00009C5F0000}"/>
    <cellStyle name="Obliczenia 2 25 56 3" xfId="24470" xr:uid="{00000000-0005-0000-0000-00009D5F0000}"/>
    <cellStyle name="Obliczenia 2 25 57" xfId="24471" xr:uid="{00000000-0005-0000-0000-00009E5F0000}"/>
    <cellStyle name="Obliczenia 2 25 58" xfId="24472" xr:uid="{00000000-0005-0000-0000-00009F5F0000}"/>
    <cellStyle name="Obliczenia 2 25 6" xfId="24473" xr:uid="{00000000-0005-0000-0000-0000A05F0000}"/>
    <cellStyle name="Obliczenia 2 25 6 2" xfId="24474" xr:uid="{00000000-0005-0000-0000-0000A15F0000}"/>
    <cellStyle name="Obliczenia 2 25 6 3" xfId="24475" xr:uid="{00000000-0005-0000-0000-0000A25F0000}"/>
    <cellStyle name="Obliczenia 2 25 6 4" xfId="24476" xr:uid="{00000000-0005-0000-0000-0000A35F0000}"/>
    <cellStyle name="Obliczenia 2 25 7" xfId="24477" xr:uid="{00000000-0005-0000-0000-0000A45F0000}"/>
    <cellStyle name="Obliczenia 2 25 7 2" xfId="24478" xr:uid="{00000000-0005-0000-0000-0000A55F0000}"/>
    <cellStyle name="Obliczenia 2 25 7 3" xfId="24479" xr:uid="{00000000-0005-0000-0000-0000A65F0000}"/>
    <cellStyle name="Obliczenia 2 25 7 4" xfId="24480" xr:uid="{00000000-0005-0000-0000-0000A75F0000}"/>
    <cellStyle name="Obliczenia 2 25 8" xfId="24481" xr:uid="{00000000-0005-0000-0000-0000A85F0000}"/>
    <cellStyle name="Obliczenia 2 25 8 2" xfId="24482" xr:uid="{00000000-0005-0000-0000-0000A95F0000}"/>
    <cellStyle name="Obliczenia 2 25 8 3" xfId="24483" xr:uid="{00000000-0005-0000-0000-0000AA5F0000}"/>
    <cellStyle name="Obliczenia 2 25 8 4" xfId="24484" xr:uid="{00000000-0005-0000-0000-0000AB5F0000}"/>
    <cellStyle name="Obliczenia 2 25 9" xfId="24485" xr:uid="{00000000-0005-0000-0000-0000AC5F0000}"/>
    <cellStyle name="Obliczenia 2 25 9 2" xfId="24486" xr:uid="{00000000-0005-0000-0000-0000AD5F0000}"/>
    <cellStyle name="Obliczenia 2 25 9 3" xfId="24487" xr:uid="{00000000-0005-0000-0000-0000AE5F0000}"/>
    <cellStyle name="Obliczenia 2 25 9 4" xfId="24488" xr:uid="{00000000-0005-0000-0000-0000AF5F0000}"/>
    <cellStyle name="Obliczenia 2 26" xfId="24489" xr:uid="{00000000-0005-0000-0000-0000B05F0000}"/>
    <cellStyle name="Obliczenia 2 26 10" xfId="24490" xr:uid="{00000000-0005-0000-0000-0000B15F0000}"/>
    <cellStyle name="Obliczenia 2 26 10 2" xfId="24491" xr:uid="{00000000-0005-0000-0000-0000B25F0000}"/>
    <cellStyle name="Obliczenia 2 26 10 3" xfId="24492" xr:uid="{00000000-0005-0000-0000-0000B35F0000}"/>
    <cellStyle name="Obliczenia 2 26 10 4" xfId="24493" xr:uid="{00000000-0005-0000-0000-0000B45F0000}"/>
    <cellStyle name="Obliczenia 2 26 11" xfId="24494" xr:uid="{00000000-0005-0000-0000-0000B55F0000}"/>
    <cellStyle name="Obliczenia 2 26 11 2" xfId="24495" xr:uid="{00000000-0005-0000-0000-0000B65F0000}"/>
    <cellStyle name="Obliczenia 2 26 11 3" xfId="24496" xr:uid="{00000000-0005-0000-0000-0000B75F0000}"/>
    <cellStyle name="Obliczenia 2 26 11 4" xfId="24497" xr:uid="{00000000-0005-0000-0000-0000B85F0000}"/>
    <cellStyle name="Obliczenia 2 26 12" xfId="24498" xr:uid="{00000000-0005-0000-0000-0000B95F0000}"/>
    <cellStyle name="Obliczenia 2 26 12 2" xfId="24499" xr:uid="{00000000-0005-0000-0000-0000BA5F0000}"/>
    <cellStyle name="Obliczenia 2 26 12 3" xfId="24500" xr:uid="{00000000-0005-0000-0000-0000BB5F0000}"/>
    <cellStyle name="Obliczenia 2 26 12 4" xfId="24501" xr:uid="{00000000-0005-0000-0000-0000BC5F0000}"/>
    <cellStyle name="Obliczenia 2 26 13" xfId="24502" xr:uid="{00000000-0005-0000-0000-0000BD5F0000}"/>
    <cellStyle name="Obliczenia 2 26 13 2" xfId="24503" xr:uid="{00000000-0005-0000-0000-0000BE5F0000}"/>
    <cellStyle name="Obliczenia 2 26 13 3" xfId="24504" xr:uid="{00000000-0005-0000-0000-0000BF5F0000}"/>
    <cellStyle name="Obliczenia 2 26 13 4" xfId="24505" xr:uid="{00000000-0005-0000-0000-0000C05F0000}"/>
    <cellStyle name="Obliczenia 2 26 14" xfId="24506" xr:uid="{00000000-0005-0000-0000-0000C15F0000}"/>
    <cellStyle name="Obliczenia 2 26 14 2" xfId="24507" xr:uid="{00000000-0005-0000-0000-0000C25F0000}"/>
    <cellStyle name="Obliczenia 2 26 14 3" xfId="24508" xr:uid="{00000000-0005-0000-0000-0000C35F0000}"/>
    <cellStyle name="Obliczenia 2 26 14 4" xfId="24509" xr:uid="{00000000-0005-0000-0000-0000C45F0000}"/>
    <cellStyle name="Obliczenia 2 26 15" xfId="24510" xr:uid="{00000000-0005-0000-0000-0000C55F0000}"/>
    <cellStyle name="Obliczenia 2 26 15 2" xfId="24511" xr:uid="{00000000-0005-0000-0000-0000C65F0000}"/>
    <cellStyle name="Obliczenia 2 26 15 3" xfId="24512" xr:uid="{00000000-0005-0000-0000-0000C75F0000}"/>
    <cellStyle name="Obliczenia 2 26 15 4" xfId="24513" xr:uid="{00000000-0005-0000-0000-0000C85F0000}"/>
    <cellStyle name="Obliczenia 2 26 16" xfId="24514" xr:uid="{00000000-0005-0000-0000-0000C95F0000}"/>
    <cellStyle name="Obliczenia 2 26 16 2" xfId="24515" xr:uid="{00000000-0005-0000-0000-0000CA5F0000}"/>
    <cellStyle name="Obliczenia 2 26 16 3" xfId="24516" xr:uid="{00000000-0005-0000-0000-0000CB5F0000}"/>
    <cellStyle name="Obliczenia 2 26 16 4" xfId="24517" xr:uid="{00000000-0005-0000-0000-0000CC5F0000}"/>
    <cellStyle name="Obliczenia 2 26 17" xfId="24518" xr:uid="{00000000-0005-0000-0000-0000CD5F0000}"/>
    <cellStyle name="Obliczenia 2 26 17 2" xfId="24519" xr:uid="{00000000-0005-0000-0000-0000CE5F0000}"/>
    <cellStyle name="Obliczenia 2 26 17 3" xfId="24520" xr:uid="{00000000-0005-0000-0000-0000CF5F0000}"/>
    <cellStyle name="Obliczenia 2 26 17 4" xfId="24521" xr:uid="{00000000-0005-0000-0000-0000D05F0000}"/>
    <cellStyle name="Obliczenia 2 26 18" xfId="24522" xr:uid="{00000000-0005-0000-0000-0000D15F0000}"/>
    <cellStyle name="Obliczenia 2 26 18 2" xfId="24523" xr:uid="{00000000-0005-0000-0000-0000D25F0000}"/>
    <cellStyle name="Obliczenia 2 26 18 3" xfId="24524" xr:uid="{00000000-0005-0000-0000-0000D35F0000}"/>
    <cellStyle name="Obliczenia 2 26 18 4" xfId="24525" xr:uid="{00000000-0005-0000-0000-0000D45F0000}"/>
    <cellStyle name="Obliczenia 2 26 19" xfId="24526" xr:uid="{00000000-0005-0000-0000-0000D55F0000}"/>
    <cellStyle name="Obliczenia 2 26 19 2" xfId="24527" xr:uid="{00000000-0005-0000-0000-0000D65F0000}"/>
    <cellStyle name="Obliczenia 2 26 19 3" xfId="24528" xr:uid="{00000000-0005-0000-0000-0000D75F0000}"/>
    <cellStyle name="Obliczenia 2 26 19 4" xfId="24529" xr:uid="{00000000-0005-0000-0000-0000D85F0000}"/>
    <cellStyle name="Obliczenia 2 26 2" xfId="24530" xr:uid="{00000000-0005-0000-0000-0000D95F0000}"/>
    <cellStyle name="Obliczenia 2 26 2 2" xfId="24531" xr:uid="{00000000-0005-0000-0000-0000DA5F0000}"/>
    <cellStyle name="Obliczenia 2 26 2 3" xfId="24532" xr:uid="{00000000-0005-0000-0000-0000DB5F0000}"/>
    <cellStyle name="Obliczenia 2 26 2 4" xfId="24533" xr:uid="{00000000-0005-0000-0000-0000DC5F0000}"/>
    <cellStyle name="Obliczenia 2 26 20" xfId="24534" xr:uid="{00000000-0005-0000-0000-0000DD5F0000}"/>
    <cellStyle name="Obliczenia 2 26 20 2" xfId="24535" xr:uid="{00000000-0005-0000-0000-0000DE5F0000}"/>
    <cellStyle name="Obliczenia 2 26 20 3" xfId="24536" xr:uid="{00000000-0005-0000-0000-0000DF5F0000}"/>
    <cellStyle name="Obliczenia 2 26 20 4" xfId="24537" xr:uid="{00000000-0005-0000-0000-0000E05F0000}"/>
    <cellStyle name="Obliczenia 2 26 21" xfId="24538" xr:uid="{00000000-0005-0000-0000-0000E15F0000}"/>
    <cellStyle name="Obliczenia 2 26 21 2" xfId="24539" xr:uid="{00000000-0005-0000-0000-0000E25F0000}"/>
    <cellStyle name="Obliczenia 2 26 21 3" xfId="24540" xr:uid="{00000000-0005-0000-0000-0000E35F0000}"/>
    <cellStyle name="Obliczenia 2 26 22" xfId="24541" xr:uid="{00000000-0005-0000-0000-0000E45F0000}"/>
    <cellStyle name="Obliczenia 2 26 22 2" xfId="24542" xr:uid="{00000000-0005-0000-0000-0000E55F0000}"/>
    <cellStyle name="Obliczenia 2 26 22 3" xfId="24543" xr:uid="{00000000-0005-0000-0000-0000E65F0000}"/>
    <cellStyle name="Obliczenia 2 26 23" xfId="24544" xr:uid="{00000000-0005-0000-0000-0000E75F0000}"/>
    <cellStyle name="Obliczenia 2 26 23 2" xfId="24545" xr:uid="{00000000-0005-0000-0000-0000E85F0000}"/>
    <cellStyle name="Obliczenia 2 26 23 3" xfId="24546" xr:uid="{00000000-0005-0000-0000-0000E95F0000}"/>
    <cellStyle name="Obliczenia 2 26 24" xfId="24547" xr:uid="{00000000-0005-0000-0000-0000EA5F0000}"/>
    <cellStyle name="Obliczenia 2 26 24 2" xfId="24548" xr:uid="{00000000-0005-0000-0000-0000EB5F0000}"/>
    <cellStyle name="Obliczenia 2 26 24 3" xfId="24549" xr:uid="{00000000-0005-0000-0000-0000EC5F0000}"/>
    <cellStyle name="Obliczenia 2 26 25" xfId="24550" xr:uid="{00000000-0005-0000-0000-0000ED5F0000}"/>
    <cellStyle name="Obliczenia 2 26 25 2" xfId="24551" xr:uid="{00000000-0005-0000-0000-0000EE5F0000}"/>
    <cellStyle name="Obliczenia 2 26 25 3" xfId="24552" xr:uid="{00000000-0005-0000-0000-0000EF5F0000}"/>
    <cellStyle name="Obliczenia 2 26 26" xfId="24553" xr:uid="{00000000-0005-0000-0000-0000F05F0000}"/>
    <cellStyle name="Obliczenia 2 26 26 2" xfId="24554" xr:uid="{00000000-0005-0000-0000-0000F15F0000}"/>
    <cellStyle name="Obliczenia 2 26 26 3" xfId="24555" xr:uid="{00000000-0005-0000-0000-0000F25F0000}"/>
    <cellStyle name="Obliczenia 2 26 27" xfId="24556" xr:uid="{00000000-0005-0000-0000-0000F35F0000}"/>
    <cellStyle name="Obliczenia 2 26 27 2" xfId="24557" xr:uid="{00000000-0005-0000-0000-0000F45F0000}"/>
    <cellStyle name="Obliczenia 2 26 27 3" xfId="24558" xr:uid="{00000000-0005-0000-0000-0000F55F0000}"/>
    <cellStyle name="Obliczenia 2 26 28" xfId="24559" xr:uid="{00000000-0005-0000-0000-0000F65F0000}"/>
    <cellStyle name="Obliczenia 2 26 28 2" xfId="24560" xr:uid="{00000000-0005-0000-0000-0000F75F0000}"/>
    <cellStyle name="Obliczenia 2 26 28 3" xfId="24561" xr:uid="{00000000-0005-0000-0000-0000F85F0000}"/>
    <cellStyle name="Obliczenia 2 26 29" xfId="24562" xr:uid="{00000000-0005-0000-0000-0000F95F0000}"/>
    <cellStyle name="Obliczenia 2 26 29 2" xfId="24563" xr:uid="{00000000-0005-0000-0000-0000FA5F0000}"/>
    <cellStyle name="Obliczenia 2 26 29 3" xfId="24564" xr:uid="{00000000-0005-0000-0000-0000FB5F0000}"/>
    <cellStyle name="Obliczenia 2 26 3" xfId="24565" xr:uid="{00000000-0005-0000-0000-0000FC5F0000}"/>
    <cellStyle name="Obliczenia 2 26 3 2" xfId="24566" xr:uid="{00000000-0005-0000-0000-0000FD5F0000}"/>
    <cellStyle name="Obliczenia 2 26 3 3" xfId="24567" xr:uid="{00000000-0005-0000-0000-0000FE5F0000}"/>
    <cellStyle name="Obliczenia 2 26 3 4" xfId="24568" xr:uid="{00000000-0005-0000-0000-0000FF5F0000}"/>
    <cellStyle name="Obliczenia 2 26 30" xfId="24569" xr:uid="{00000000-0005-0000-0000-000000600000}"/>
    <cellStyle name="Obliczenia 2 26 30 2" xfId="24570" xr:uid="{00000000-0005-0000-0000-000001600000}"/>
    <cellStyle name="Obliczenia 2 26 30 3" xfId="24571" xr:uid="{00000000-0005-0000-0000-000002600000}"/>
    <cellStyle name="Obliczenia 2 26 31" xfId="24572" xr:uid="{00000000-0005-0000-0000-000003600000}"/>
    <cellStyle name="Obliczenia 2 26 31 2" xfId="24573" xr:uid="{00000000-0005-0000-0000-000004600000}"/>
    <cellStyle name="Obliczenia 2 26 31 3" xfId="24574" xr:uid="{00000000-0005-0000-0000-000005600000}"/>
    <cellStyle name="Obliczenia 2 26 32" xfId="24575" xr:uid="{00000000-0005-0000-0000-000006600000}"/>
    <cellStyle name="Obliczenia 2 26 32 2" xfId="24576" xr:uid="{00000000-0005-0000-0000-000007600000}"/>
    <cellStyle name="Obliczenia 2 26 32 3" xfId="24577" xr:uid="{00000000-0005-0000-0000-000008600000}"/>
    <cellStyle name="Obliczenia 2 26 33" xfId="24578" xr:uid="{00000000-0005-0000-0000-000009600000}"/>
    <cellStyle name="Obliczenia 2 26 33 2" xfId="24579" xr:uid="{00000000-0005-0000-0000-00000A600000}"/>
    <cellStyle name="Obliczenia 2 26 33 3" xfId="24580" xr:uid="{00000000-0005-0000-0000-00000B600000}"/>
    <cellStyle name="Obliczenia 2 26 34" xfId="24581" xr:uid="{00000000-0005-0000-0000-00000C600000}"/>
    <cellStyle name="Obliczenia 2 26 34 2" xfId="24582" xr:uid="{00000000-0005-0000-0000-00000D600000}"/>
    <cellStyle name="Obliczenia 2 26 34 3" xfId="24583" xr:uid="{00000000-0005-0000-0000-00000E600000}"/>
    <cellStyle name="Obliczenia 2 26 35" xfId="24584" xr:uid="{00000000-0005-0000-0000-00000F600000}"/>
    <cellStyle name="Obliczenia 2 26 35 2" xfId="24585" xr:uid="{00000000-0005-0000-0000-000010600000}"/>
    <cellStyle name="Obliczenia 2 26 35 3" xfId="24586" xr:uid="{00000000-0005-0000-0000-000011600000}"/>
    <cellStyle name="Obliczenia 2 26 36" xfId="24587" xr:uid="{00000000-0005-0000-0000-000012600000}"/>
    <cellStyle name="Obliczenia 2 26 36 2" xfId="24588" xr:uid="{00000000-0005-0000-0000-000013600000}"/>
    <cellStyle name="Obliczenia 2 26 36 3" xfId="24589" xr:uid="{00000000-0005-0000-0000-000014600000}"/>
    <cellStyle name="Obliczenia 2 26 37" xfId="24590" xr:uid="{00000000-0005-0000-0000-000015600000}"/>
    <cellStyle name="Obliczenia 2 26 37 2" xfId="24591" xr:uid="{00000000-0005-0000-0000-000016600000}"/>
    <cellStyle name="Obliczenia 2 26 37 3" xfId="24592" xr:uid="{00000000-0005-0000-0000-000017600000}"/>
    <cellStyle name="Obliczenia 2 26 38" xfId="24593" xr:uid="{00000000-0005-0000-0000-000018600000}"/>
    <cellStyle name="Obliczenia 2 26 38 2" xfId="24594" xr:uid="{00000000-0005-0000-0000-000019600000}"/>
    <cellStyle name="Obliczenia 2 26 38 3" xfId="24595" xr:uid="{00000000-0005-0000-0000-00001A600000}"/>
    <cellStyle name="Obliczenia 2 26 39" xfId="24596" xr:uid="{00000000-0005-0000-0000-00001B600000}"/>
    <cellStyle name="Obliczenia 2 26 39 2" xfId="24597" xr:uid="{00000000-0005-0000-0000-00001C600000}"/>
    <cellStyle name="Obliczenia 2 26 39 3" xfId="24598" xr:uid="{00000000-0005-0000-0000-00001D600000}"/>
    <cellStyle name="Obliczenia 2 26 4" xfId="24599" xr:uid="{00000000-0005-0000-0000-00001E600000}"/>
    <cellStyle name="Obliczenia 2 26 4 2" xfId="24600" xr:uid="{00000000-0005-0000-0000-00001F600000}"/>
    <cellStyle name="Obliczenia 2 26 4 3" xfId="24601" xr:uid="{00000000-0005-0000-0000-000020600000}"/>
    <cellStyle name="Obliczenia 2 26 4 4" xfId="24602" xr:uid="{00000000-0005-0000-0000-000021600000}"/>
    <cellStyle name="Obliczenia 2 26 40" xfId="24603" xr:uid="{00000000-0005-0000-0000-000022600000}"/>
    <cellStyle name="Obliczenia 2 26 40 2" xfId="24604" xr:uid="{00000000-0005-0000-0000-000023600000}"/>
    <cellStyle name="Obliczenia 2 26 40 3" xfId="24605" xr:uid="{00000000-0005-0000-0000-000024600000}"/>
    <cellStyle name="Obliczenia 2 26 41" xfId="24606" xr:uid="{00000000-0005-0000-0000-000025600000}"/>
    <cellStyle name="Obliczenia 2 26 41 2" xfId="24607" xr:uid="{00000000-0005-0000-0000-000026600000}"/>
    <cellStyle name="Obliczenia 2 26 41 3" xfId="24608" xr:uid="{00000000-0005-0000-0000-000027600000}"/>
    <cellStyle name="Obliczenia 2 26 42" xfId="24609" xr:uid="{00000000-0005-0000-0000-000028600000}"/>
    <cellStyle name="Obliczenia 2 26 42 2" xfId="24610" xr:uid="{00000000-0005-0000-0000-000029600000}"/>
    <cellStyle name="Obliczenia 2 26 42 3" xfId="24611" xr:uid="{00000000-0005-0000-0000-00002A600000}"/>
    <cellStyle name="Obliczenia 2 26 43" xfId="24612" xr:uid="{00000000-0005-0000-0000-00002B600000}"/>
    <cellStyle name="Obliczenia 2 26 43 2" xfId="24613" xr:uid="{00000000-0005-0000-0000-00002C600000}"/>
    <cellStyle name="Obliczenia 2 26 43 3" xfId="24614" xr:uid="{00000000-0005-0000-0000-00002D600000}"/>
    <cellStyle name="Obliczenia 2 26 44" xfId="24615" xr:uid="{00000000-0005-0000-0000-00002E600000}"/>
    <cellStyle name="Obliczenia 2 26 44 2" xfId="24616" xr:uid="{00000000-0005-0000-0000-00002F600000}"/>
    <cellStyle name="Obliczenia 2 26 44 3" xfId="24617" xr:uid="{00000000-0005-0000-0000-000030600000}"/>
    <cellStyle name="Obliczenia 2 26 45" xfId="24618" xr:uid="{00000000-0005-0000-0000-000031600000}"/>
    <cellStyle name="Obliczenia 2 26 45 2" xfId="24619" xr:uid="{00000000-0005-0000-0000-000032600000}"/>
    <cellStyle name="Obliczenia 2 26 45 3" xfId="24620" xr:uid="{00000000-0005-0000-0000-000033600000}"/>
    <cellStyle name="Obliczenia 2 26 46" xfId="24621" xr:uid="{00000000-0005-0000-0000-000034600000}"/>
    <cellStyle name="Obliczenia 2 26 46 2" xfId="24622" xr:uid="{00000000-0005-0000-0000-000035600000}"/>
    <cellStyle name="Obliczenia 2 26 46 3" xfId="24623" xr:uid="{00000000-0005-0000-0000-000036600000}"/>
    <cellStyle name="Obliczenia 2 26 47" xfId="24624" xr:uid="{00000000-0005-0000-0000-000037600000}"/>
    <cellStyle name="Obliczenia 2 26 47 2" xfId="24625" xr:uid="{00000000-0005-0000-0000-000038600000}"/>
    <cellStyle name="Obliczenia 2 26 47 3" xfId="24626" xr:uid="{00000000-0005-0000-0000-000039600000}"/>
    <cellStyle name="Obliczenia 2 26 48" xfId="24627" xr:uid="{00000000-0005-0000-0000-00003A600000}"/>
    <cellStyle name="Obliczenia 2 26 48 2" xfId="24628" xr:uid="{00000000-0005-0000-0000-00003B600000}"/>
    <cellStyle name="Obliczenia 2 26 48 3" xfId="24629" xr:uid="{00000000-0005-0000-0000-00003C600000}"/>
    <cellStyle name="Obliczenia 2 26 49" xfId="24630" xr:uid="{00000000-0005-0000-0000-00003D600000}"/>
    <cellStyle name="Obliczenia 2 26 49 2" xfId="24631" xr:uid="{00000000-0005-0000-0000-00003E600000}"/>
    <cellStyle name="Obliczenia 2 26 49 3" xfId="24632" xr:uid="{00000000-0005-0000-0000-00003F600000}"/>
    <cellStyle name="Obliczenia 2 26 5" xfId="24633" xr:uid="{00000000-0005-0000-0000-000040600000}"/>
    <cellStyle name="Obliczenia 2 26 5 2" xfId="24634" xr:uid="{00000000-0005-0000-0000-000041600000}"/>
    <cellStyle name="Obliczenia 2 26 5 3" xfId="24635" xr:uid="{00000000-0005-0000-0000-000042600000}"/>
    <cellStyle name="Obliczenia 2 26 5 4" xfId="24636" xr:uid="{00000000-0005-0000-0000-000043600000}"/>
    <cellStyle name="Obliczenia 2 26 50" xfId="24637" xr:uid="{00000000-0005-0000-0000-000044600000}"/>
    <cellStyle name="Obliczenia 2 26 50 2" xfId="24638" xr:uid="{00000000-0005-0000-0000-000045600000}"/>
    <cellStyle name="Obliczenia 2 26 50 3" xfId="24639" xr:uid="{00000000-0005-0000-0000-000046600000}"/>
    <cellStyle name="Obliczenia 2 26 51" xfId="24640" xr:uid="{00000000-0005-0000-0000-000047600000}"/>
    <cellStyle name="Obliczenia 2 26 51 2" xfId="24641" xr:uid="{00000000-0005-0000-0000-000048600000}"/>
    <cellStyle name="Obliczenia 2 26 51 3" xfId="24642" xr:uid="{00000000-0005-0000-0000-000049600000}"/>
    <cellStyle name="Obliczenia 2 26 52" xfId="24643" xr:uid="{00000000-0005-0000-0000-00004A600000}"/>
    <cellStyle name="Obliczenia 2 26 52 2" xfId="24644" xr:uid="{00000000-0005-0000-0000-00004B600000}"/>
    <cellStyle name="Obliczenia 2 26 52 3" xfId="24645" xr:uid="{00000000-0005-0000-0000-00004C600000}"/>
    <cellStyle name="Obliczenia 2 26 53" xfId="24646" xr:uid="{00000000-0005-0000-0000-00004D600000}"/>
    <cellStyle name="Obliczenia 2 26 53 2" xfId="24647" xr:uid="{00000000-0005-0000-0000-00004E600000}"/>
    <cellStyle name="Obliczenia 2 26 53 3" xfId="24648" xr:uid="{00000000-0005-0000-0000-00004F600000}"/>
    <cellStyle name="Obliczenia 2 26 54" xfId="24649" xr:uid="{00000000-0005-0000-0000-000050600000}"/>
    <cellStyle name="Obliczenia 2 26 54 2" xfId="24650" xr:uid="{00000000-0005-0000-0000-000051600000}"/>
    <cellStyle name="Obliczenia 2 26 54 3" xfId="24651" xr:uid="{00000000-0005-0000-0000-000052600000}"/>
    <cellStyle name="Obliczenia 2 26 55" xfId="24652" xr:uid="{00000000-0005-0000-0000-000053600000}"/>
    <cellStyle name="Obliczenia 2 26 55 2" xfId="24653" xr:uid="{00000000-0005-0000-0000-000054600000}"/>
    <cellStyle name="Obliczenia 2 26 55 3" xfId="24654" xr:uid="{00000000-0005-0000-0000-000055600000}"/>
    <cellStyle name="Obliczenia 2 26 56" xfId="24655" xr:uid="{00000000-0005-0000-0000-000056600000}"/>
    <cellStyle name="Obliczenia 2 26 56 2" xfId="24656" xr:uid="{00000000-0005-0000-0000-000057600000}"/>
    <cellStyle name="Obliczenia 2 26 56 3" xfId="24657" xr:uid="{00000000-0005-0000-0000-000058600000}"/>
    <cellStyle name="Obliczenia 2 26 57" xfId="24658" xr:uid="{00000000-0005-0000-0000-000059600000}"/>
    <cellStyle name="Obliczenia 2 26 58" xfId="24659" xr:uid="{00000000-0005-0000-0000-00005A600000}"/>
    <cellStyle name="Obliczenia 2 26 6" xfId="24660" xr:uid="{00000000-0005-0000-0000-00005B600000}"/>
    <cellStyle name="Obliczenia 2 26 6 2" xfId="24661" xr:uid="{00000000-0005-0000-0000-00005C600000}"/>
    <cellStyle name="Obliczenia 2 26 6 3" xfId="24662" xr:uid="{00000000-0005-0000-0000-00005D600000}"/>
    <cellStyle name="Obliczenia 2 26 6 4" xfId="24663" xr:uid="{00000000-0005-0000-0000-00005E600000}"/>
    <cellStyle name="Obliczenia 2 26 7" xfId="24664" xr:uid="{00000000-0005-0000-0000-00005F600000}"/>
    <cellStyle name="Obliczenia 2 26 7 2" xfId="24665" xr:uid="{00000000-0005-0000-0000-000060600000}"/>
    <cellStyle name="Obliczenia 2 26 7 3" xfId="24666" xr:uid="{00000000-0005-0000-0000-000061600000}"/>
    <cellStyle name="Obliczenia 2 26 7 4" xfId="24667" xr:uid="{00000000-0005-0000-0000-000062600000}"/>
    <cellStyle name="Obliczenia 2 26 8" xfId="24668" xr:uid="{00000000-0005-0000-0000-000063600000}"/>
    <cellStyle name="Obliczenia 2 26 8 2" xfId="24669" xr:uid="{00000000-0005-0000-0000-000064600000}"/>
    <cellStyle name="Obliczenia 2 26 8 3" xfId="24670" xr:uid="{00000000-0005-0000-0000-000065600000}"/>
    <cellStyle name="Obliczenia 2 26 8 4" xfId="24671" xr:uid="{00000000-0005-0000-0000-000066600000}"/>
    <cellStyle name="Obliczenia 2 26 9" xfId="24672" xr:uid="{00000000-0005-0000-0000-000067600000}"/>
    <cellStyle name="Obliczenia 2 26 9 2" xfId="24673" xr:uid="{00000000-0005-0000-0000-000068600000}"/>
    <cellStyle name="Obliczenia 2 26 9 3" xfId="24674" xr:uid="{00000000-0005-0000-0000-000069600000}"/>
    <cellStyle name="Obliczenia 2 26 9 4" xfId="24675" xr:uid="{00000000-0005-0000-0000-00006A600000}"/>
    <cellStyle name="Obliczenia 2 27" xfId="24676" xr:uid="{00000000-0005-0000-0000-00006B600000}"/>
    <cellStyle name="Obliczenia 2 27 10" xfId="24677" xr:uid="{00000000-0005-0000-0000-00006C600000}"/>
    <cellStyle name="Obliczenia 2 27 10 2" xfId="24678" xr:uid="{00000000-0005-0000-0000-00006D600000}"/>
    <cellStyle name="Obliczenia 2 27 10 3" xfId="24679" xr:uid="{00000000-0005-0000-0000-00006E600000}"/>
    <cellStyle name="Obliczenia 2 27 10 4" xfId="24680" xr:uid="{00000000-0005-0000-0000-00006F600000}"/>
    <cellStyle name="Obliczenia 2 27 11" xfId="24681" xr:uid="{00000000-0005-0000-0000-000070600000}"/>
    <cellStyle name="Obliczenia 2 27 11 2" xfId="24682" xr:uid="{00000000-0005-0000-0000-000071600000}"/>
    <cellStyle name="Obliczenia 2 27 11 3" xfId="24683" xr:uid="{00000000-0005-0000-0000-000072600000}"/>
    <cellStyle name="Obliczenia 2 27 11 4" xfId="24684" xr:uid="{00000000-0005-0000-0000-000073600000}"/>
    <cellStyle name="Obliczenia 2 27 12" xfId="24685" xr:uid="{00000000-0005-0000-0000-000074600000}"/>
    <cellStyle name="Obliczenia 2 27 12 2" xfId="24686" xr:uid="{00000000-0005-0000-0000-000075600000}"/>
    <cellStyle name="Obliczenia 2 27 12 3" xfId="24687" xr:uid="{00000000-0005-0000-0000-000076600000}"/>
    <cellStyle name="Obliczenia 2 27 12 4" xfId="24688" xr:uid="{00000000-0005-0000-0000-000077600000}"/>
    <cellStyle name="Obliczenia 2 27 13" xfId="24689" xr:uid="{00000000-0005-0000-0000-000078600000}"/>
    <cellStyle name="Obliczenia 2 27 13 2" xfId="24690" xr:uid="{00000000-0005-0000-0000-000079600000}"/>
    <cellStyle name="Obliczenia 2 27 13 3" xfId="24691" xr:uid="{00000000-0005-0000-0000-00007A600000}"/>
    <cellStyle name="Obliczenia 2 27 13 4" xfId="24692" xr:uid="{00000000-0005-0000-0000-00007B600000}"/>
    <cellStyle name="Obliczenia 2 27 14" xfId="24693" xr:uid="{00000000-0005-0000-0000-00007C600000}"/>
    <cellStyle name="Obliczenia 2 27 14 2" xfId="24694" xr:uid="{00000000-0005-0000-0000-00007D600000}"/>
    <cellStyle name="Obliczenia 2 27 14 3" xfId="24695" xr:uid="{00000000-0005-0000-0000-00007E600000}"/>
    <cellStyle name="Obliczenia 2 27 14 4" xfId="24696" xr:uid="{00000000-0005-0000-0000-00007F600000}"/>
    <cellStyle name="Obliczenia 2 27 15" xfId="24697" xr:uid="{00000000-0005-0000-0000-000080600000}"/>
    <cellStyle name="Obliczenia 2 27 15 2" xfId="24698" xr:uid="{00000000-0005-0000-0000-000081600000}"/>
    <cellStyle name="Obliczenia 2 27 15 3" xfId="24699" xr:uid="{00000000-0005-0000-0000-000082600000}"/>
    <cellStyle name="Obliczenia 2 27 15 4" xfId="24700" xr:uid="{00000000-0005-0000-0000-000083600000}"/>
    <cellStyle name="Obliczenia 2 27 16" xfId="24701" xr:uid="{00000000-0005-0000-0000-000084600000}"/>
    <cellStyle name="Obliczenia 2 27 16 2" xfId="24702" xr:uid="{00000000-0005-0000-0000-000085600000}"/>
    <cellStyle name="Obliczenia 2 27 16 3" xfId="24703" xr:uid="{00000000-0005-0000-0000-000086600000}"/>
    <cellStyle name="Obliczenia 2 27 16 4" xfId="24704" xr:uid="{00000000-0005-0000-0000-000087600000}"/>
    <cellStyle name="Obliczenia 2 27 17" xfId="24705" xr:uid="{00000000-0005-0000-0000-000088600000}"/>
    <cellStyle name="Obliczenia 2 27 17 2" xfId="24706" xr:uid="{00000000-0005-0000-0000-000089600000}"/>
    <cellStyle name="Obliczenia 2 27 17 3" xfId="24707" xr:uid="{00000000-0005-0000-0000-00008A600000}"/>
    <cellStyle name="Obliczenia 2 27 17 4" xfId="24708" xr:uid="{00000000-0005-0000-0000-00008B600000}"/>
    <cellStyle name="Obliczenia 2 27 18" xfId="24709" xr:uid="{00000000-0005-0000-0000-00008C600000}"/>
    <cellStyle name="Obliczenia 2 27 18 2" xfId="24710" xr:uid="{00000000-0005-0000-0000-00008D600000}"/>
    <cellStyle name="Obliczenia 2 27 18 3" xfId="24711" xr:uid="{00000000-0005-0000-0000-00008E600000}"/>
    <cellStyle name="Obliczenia 2 27 18 4" xfId="24712" xr:uid="{00000000-0005-0000-0000-00008F600000}"/>
    <cellStyle name="Obliczenia 2 27 19" xfId="24713" xr:uid="{00000000-0005-0000-0000-000090600000}"/>
    <cellStyle name="Obliczenia 2 27 19 2" xfId="24714" xr:uid="{00000000-0005-0000-0000-000091600000}"/>
    <cellStyle name="Obliczenia 2 27 19 3" xfId="24715" xr:uid="{00000000-0005-0000-0000-000092600000}"/>
    <cellStyle name="Obliczenia 2 27 19 4" xfId="24716" xr:uid="{00000000-0005-0000-0000-000093600000}"/>
    <cellStyle name="Obliczenia 2 27 2" xfId="24717" xr:uid="{00000000-0005-0000-0000-000094600000}"/>
    <cellStyle name="Obliczenia 2 27 2 2" xfId="24718" xr:uid="{00000000-0005-0000-0000-000095600000}"/>
    <cellStyle name="Obliczenia 2 27 2 3" xfId="24719" xr:uid="{00000000-0005-0000-0000-000096600000}"/>
    <cellStyle name="Obliczenia 2 27 2 4" xfId="24720" xr:uid="{00000000-0005-0000-0000-000097600000}"/>
    <cellStyle name="Obliczenia 2 27 20" xfId="24721" xr:uid="{00000000-0005-0000-0000-000098600000}"/>
    <cellStyle name="Obliczenia 2 27 20 2" xfId="24722" xr:uid="{00000000-0005-0000-0000-000099600000}"/>
    <cellStyle name="Obliczenia 2 27 20 3" xfId="24723" xr:uid="{00000000-0005-0000-0000-00009A600000}"/>
    <cellStyle name="Obliczenia 2 27 20 4" xfId="24724" xr:uid="{00000000-0005-0000-0000-00009B600000}"/>
    <cellStyle name="Obliczenia 2 27 21" xfId="24725" xr:uid="{00000000-0005-0000-0000-00009C600000}"/>
    <cellStyle name="Obliczenia 2 27 21 2" xfId="24726" xr:uid="{00000000-0005-0000-0000-00009D600000}"/>
    <cellStyle name="Obliczenia 2 27 21 3" xfId="24727" xr:uid="{00000000-0005-0000-0000-00009E600000}"/>
    <cellStyle name="Obliczenia 2 27 22" xfId="24728" xr:uid="{00000000-0005-0000-0000-00009F600000}"/>
    <cellStyle name="Obliczenia 2 27 22 2" xfId="24729" xr:uid="{00000000-0005-0000-0000-0000A0600000}"/>
    <cellStyle name="Obliczenia 2 27 22 3" xfId="24730" xr:uid="{00000000-0005-0000-0000-0000A1600000}"/>
    <cellStyle name="Obliczenia 2 27 23" xfId="24731" xr:uid="{00000000-0005-0000-0000-0000A2600000}"/>
    <cellStyle name="Obliczenia 2 27 23 2" xfId="24732" xr:uid="{00000000-0005-0000-0000-0000A3600000}"/>
    <cellStyle name="Obliczenia 2 27 23 3" xfId="24733" xr:uid="{00000000-0005-0000-0000-0000A4600000}"/>
    <cellStyle name="Obliczenia 2 27 24" xfId="24734" xr:uid="{00000000-0005-0000-0000-0000A5600000}"/>
    <cellStyle name="Obliczenia 2 27 24 2" xfId="24735" xr:uid="{00000000-0005-0000-0000-0000A6600000}"/>
    <cellStyle name="Obliczenia 2 27 24 3" xfId="24736" xr:uid="{00000000-0005-0000-0000-0000A7600000}"/>
    <cellStyle name="Obliczenia 2 27 25" xfId="24737" xr:uid="{00000000-0005-0000-0000-0000A8600000}"/>
    <cellStyle name="Obliczenia 2 27 25 2" xfId="24738" xr:uid="{00000000-0005-0000-0000-0000A9600000}"/>
    <cellStyle name="Obliczenia 2 27 25 3" xfId="24739" xr:uid="{00000000-0005-0000-0000-0000AA600000}"/>
    <cellStyle name="Obliczenia 2 27 26" xfId="24740" xr:uid="{00000000-0005-0000-0000-0000AB600000}"/>
    <cellStyle name="Obliczenia 2 27 26 2" xfId="24741" xr:uid="{00000000-0005-0000-0000-0000AC600000}"/>
    <cellStyle name="Obliczenia 2 27 26 3" xfId="24742" xr:uid="{00000000-0005-0000-0000-0000AD600000}"/>
    <cellStyle name="Obliczenia 2 27 27" xfId="24743" xr:uid="{00000000-0005-0000-0000-0000AE600000}"/>
    <cellStyle name="Obliczenia 2 27 27 2" xfId="24744" xr:uid="{00000000-0005-0000-0000-0000AF600000}"/>
    <cellStyle name="Obliczenia 2 27 27 3" xfId="24745" xr:uid="{00000000-0005-0000-0000-0000B0600000}"/>
    <cellStyle name="Obliczenia 2 27 28" xfId="24746" xr:uid="{00000000-0005-0000-0000-0000B1600000}"/>
    <cellStyle name="Obliczenia 2 27 28 2" xfId="24747" xr:uid="{00000000-0005-0000-0000-0000B2600000}"/>
    <cellStyle name="Obliczenia 2 27 28 3" xfId="24748" xr:uid="{00000000-0005-0000-0000-0000B3600000}"/>
    <cellStyle name="Obliczenia 2 27 29" xfId="24749" xr:uid="{00000000-0005-0000-0000-0000B4600000}"/>
    <cellStyle name="Obliczenia 2 27 29 2" xfId="24750" xr:uid="{00000000-0005-0000-0000-0000B5600000}"/>
    <cellStyle name="Obliczenia 2 27 29 3" xfId="24751" xr:uid="{00000000-0005-0000-0000-0000B6600000}"/>
    <cellStyle name="Obliczenia 2 27 3" xfId="24752" xr:uid="{00000000-0005-0000-0000-0000B7600000}"/>
    <cellStyle name="Obliczenia 2 27 3 2" xfId="24753" xr:uid="{00000000-0005-0000-0000-0000B8600000}"/>
    <cellStyle name="Obliczenia 2 27 3 3" xfId="24754" xr:uid="{00000000-0005-0000-0000-0000B9600000}"/>
    <cellStyle name="Obliczenia 2 27 3 4" xfId="24755" xr:uid="{00000000-0005-0000-0000-0000BA600000}"/>
    <cellStyle name="Obliczenia 2 27 30" xfId="24756" xr:uid="{00000000-0005-0000-0000-0000BB600000}"/>
    <cellStyle name="Obliczenia 2 27 30 2" xfId="24757" xr:uid="{00000000-0005-0000-0000-0000BC600000}"/>
    <cellStyle name="Obliczenia 2 27 30 3" xfId="24758" xr:uid="{00000000-0005-0000-0000-0000BD600000}"/>
    <cellStyle name="Obliczenia 2 27 31" xfId="24759" xr:uid="{00000000-0005-0000-0000-0000BE600000}"/>
    <cellStyle name="Obliczenia 2 27 31 2" xfId="24760" xr:uid="{00000000-0005-0000-0000-0000BF600000}"/>
    <cellStyle name="Obliczenia 2 27 31 3" xfId="24761" xr:uid="{00000000-0005-0000-0000-0000C0600000}"/>
    <cellStyle name="Obliczenia 2 27 32" xfId="24762" xr:uid="{00000000-0005-0000-0000-0000C1600000}"/>
    <cellStyle name="Obliczenia 2 27 32 2" xfId="24763" xr:uid="{00000000-0005-0000-0000-0000C2600000}"/>
    <cellStyle name="Obliczenia 2 27 32 3" xfId="24764" xr:uid="{00000000-0005-0000-0000-0000C3600000}"/>
    <cellStyle name="Obliczenia 2 27 33" xfId="24765" xr:uid="{00000000-0005-0000-0000-0000C4600000}"/>
    <cellStyle name="Obliczenia 2 27 33 2" xfId="24766" xr:uid="{00000000-0005-0000-0000-0000C5600000}"/>
    <cellStyle name="Obliczenia 2 27 33 3" xfId="24767" xr:uid="{00000000-0005-0000-0000-0000C6600000}"/>
    <cellStyle name="Obliczenia 2 27 34" xfId="24768" xr:uid="{00000000-0005-0000-0000-0000C7600000}"/>
    <cellStyle name="Obliczenia 2 27 34 2" xfId="24769" xr:uid="{00000000-0005-0000-0000-0000C8600000}"/>
    <cellStyle name="Obliczenia 2 27 34 3" xfId="24770" xr:uid="{00000000-0005-0000-0000-0000C9600000}"/>
    <cellStyle name="Obliczenia 2 27 35" xfId="24771" xr:uid="{00000000-0005-0000-0000-0000CA600000}"/>
    <cellStyle name="Obliczenia 2 27 35 2" xfId="24772" xr:uid="{00000000-0005-0000-0000-0000CB600000}"/>
    <cellStyle name="Obliczenia 2 27 35 3" xfId="24773" xr:uid="{00000000-0005-0000-0000-0000CC600000}"/>
    <cellStyle name="Obliczenia 2 27 36" xfId="24774" xr:uid="{00000000-0005-0000-0000-0000CD600000}"/>
    <cellStyle name="Obliczenia 2 27 36 2" xfId="24775" xr:uid="{00000000-0005-0000-0000-0000CE600000}"/>
    <cellStyle name="Obliczenia 2 27 36 3" xfId="24776" xr:uid="{00000000-0005-0000-0000-0000CF600000}"/>
    <cellStyle name="Obliczenia 2 27 37" xfId="24777" xr:uid="{00000000-0005-0000-0000-0000D0600000}"/>
    <cellStyle name="Obliczenia 2 27 37 2" xfId="24778" xr:uid="{00000000-0005-0000-0000-0000D1600000}"/>
    <cellStyle name="Obliczenia 2 27 37 3" xfId="24779" xr:uid="{00000000-0005-0000-0000-0000D2600000}"/>
    <cellStyle name="Obliczenia 2 27 38" xfId="24780" xr:uid="{00000000-0005-0000-0000-0000D3600000}"/>
    <cellStyle name="Obliczenia 2 27 38 2" xfId="24781" xr:uid="{00000000-0005-0000-0000-0000D4600000}"/>
    <cellStyle name="Obliczenia 2 27 38 3" xfId="24782" xr:uid="{00000000-0005-0000-0000-0000D5600000}"/>
    <cellStyle name="Obliczenia 2 27 39" xfId="24783" xr:uid="{00000000-0005-0000-0000-0000D6600000}"/>
    <cellStyle name="Obliczenia 2 27 39 2" xfId="24784" xr:uid="{00000000-0005-0000-0000-0000D7600000}"/>
    <cellStyle name="Obliczenia 2 27 39 3" xfId="24785" xr:uid="{00000000-0005-0000-0000-0000D8600000}"/>
    <cellStyle name="Obliczenia 2 27 4" xfId="24786" xr:uid="{00000000-0005-0000-0000-0000D9600000}"/>
    <cellStyle name="Obliczenia 2 27 4 2" xfId="24787" xr:uid="{00000000-0005-0000-0000-0000DA600000}"/>
    <cellStyle name="Obliczenia 2 27 4 3" xfId="24788" xr:uid="{00000000-0005-0000-0000-0000DB600000}"/>
    <cellStyle name="Obliczenia 2 27 4 4" xfId="24789" xr:uid="{00000000-0005-0000-0000-0000DC600000}"/>
    <cellStyle name="Obliczenia 2 27 40" xfId="24790" xr:uid="{00000000-0005-0000-0000-0000DD600000}"/>
    <cellStyle name="Obliczenia 2 27 40 2" xfId="24791" xr:uid="{00000000-0005-0000-0000-0000DE600000}"/>
    <cellStyle name="Obliczenia 2 27 40 3" xfId="24792" xr:uid="{00000000-0005-0000-0000-0000DF600000}"/>
    <cellStyle name="Obliczenia 2 27 41" xfId="24793" xr:uid="{00000000-0005-0000-0000-0000E0600000}"/>
    <cellStyle name="Obliczenia 2 27 41 2" xfId="24794" xr:uid="{00000000-0005-0000-0000-0000E1600000}"/>
    <cellStyle name="Obliczenia 2 27 41 3" xfId="24795" xr:uid="{00000000-0005-0000-0000-0000E2600000}"/>
    <cellStyle name="Obliczenia 2 27 42" xfId="24796" xr:uid="{00000000-0005-0000-0000-0000E3600000}"/>
    <cellStyle name="Obliczenia 2 27 42 2" xfId="24797" xr:uid="{00000000-0005-0000-0000-0000E4600000}"/>
    <cellStyle name="Obliczenia 2 27 42 3" xfId="24798" xr:uid="{00000000-0005-0000-0000-0000E5600000}"/>
    <cellStyle name="Obliczenia 2 27 43" xfId="24799" xr:uid="{00000000-0005-0000-0000-0000E6600000}"/>
    <cellStyle name="Obliczenia 2 27 43 2" xfId="24800" xr:uid="{00000000-0005-0000-0000-0000E7600000}"/>
    <cellStyle name="Obliczenia 2 27 43 3" xfId="24801" xr:uid="{00000000-0005-0000-0000-0000E8600000}"/>
    <cellStyle name="Obliczenia 2 27 44" xfId="24802" xr:uid="{00000000-0005-0000-0000-0000E9600000}"/>
    <cellStyle name="Obliczenia 2 27 44 2" xfId="24803" xr:uid="{00000000-0005-0000-0000-0000EA600000}"/>
    <cellStyle name="Obliczenia 2 27 44 3" xfId="24804" xr:uid="{00000000-0005-0000-0000-0000EB600000}"/>
    <cellStyle name="Obliczenia 2 27 45" xfId="24805" xr:uid="{00000000-0005-0000-0000-0000EC600000}"/>
    <cellStyle name="Obliczenia 2 27 45 2" xfId="24806" xr:uid="{00000000-0005-0000-0000-0000ED600000}"/>
    <cellStyle name="Obliczenia 2 27 45 3" xfId="24807" xr:uid="{00000000-0005-0000-0000-0000EE600000}"/>
    <cellStyle name="Obliczenia 2 27 46" xfId="24808" xr:uid="{00000000-0005-0000-0000-0000EF600000}"/>
    <cellStyle name="Obliczenia 2 27 46 2" xfId="24809" xr:uid="{00000000-0005-0000-0000-0000F0600000}"/>
    <cellStyle name="Obliczenia 2 27 46 3" xfId="24810" xr:uid="{00000000-0005-0000-0000-0000F1600000}"/>
    <cellStyle name="Obliczenia 2 27 47" xfId="24811" xr:uid="{00000000-0005-0000-0000-0000F2600000}"/>
    <cellStyle name="Obliczenia 2 27 47 2" xfId="24812" xr:uid="{00000000-0005-0000-0000-0000F3600000}"/>
    <cellStyle name="Obliczenia 2 27 47 3" xfId="24813" xr:uid="{00000000-0005-0000-0000-0000F4600000}"/>
    <cellStyle name="Obliczenia 2 27 48" xfId="24814" xr:uid="{00000000-0005-0000-0000-0000F5600000}"/>
    <cellStyle name="Obliczenia 2 27 48 2" xfId="24815" xr:uid="{00000000-0005-0000-0000-0000F6600000}"/>
    <cellStyle name="Obliczenia 2 27 48 3" xfId="24816" xr:uid="{00000000-0005-0000-0000-0000F7600000}"/>
    <cellStyle name="Obliczenia 2 27 49" xfId="24817" xr:uid="{00000000-0005-0000-0000-0000F8600000}"/>
    <cellStyle name="Obliczenia 2 27 49 2" xfId="24818" xr:uid="{00000000-0005-0000-0000-0000F9600000}"/>
    <cellStyle name="Obliczenia 2 27 49 3" xfId="24819" xr:uid="{00000000-0005-0000-0000-0000FA600000}"/>
    <cellStyle name="Obliczenia 2 27 5" xfId="24820" xr:uid="{00000000-0005-0000-0000-0000FB600000}"/>
    <cellStyle name="Obliczenia 2 27 5 2" xfId="24821" xr:uid="{00000000-0005-0000-0000-0000FC600000}"/>
    <cellStyle name="Obliczenia 2 27 5 3" xfId="24822" xr:uid="{00000000-0005-0000-0000-0000FD600000}"/>
    <cellStyle name="Obliczenia 2 27 5 4" xfId="24823" xr:uid="{00000000-0005-0000-0000-0000FE600000}"/>
    <cellStyle name="Obliczenia 2 27 50" xfId="24824" xr:uid="{00000000-0005-0000-0000-0000FF600000}"/>
    <cellStyle name="Obliczenia 2 27 50 2" xfId="24825" xr:uid="{00000000-0005-0000-0000-000000610000}"/>
    <cellStyle name="Obliczenia 2 27 50 3" xfId="24826" xr:uid="{00000000-0005-0000-0000-000001610000}"/>
    <cellStyle name="Obliczenia 2 27 51" xfId="24827" xr:uid="{00000000-0005-0000-0000-000002610000}"/>
    <cellStyle name="Obliczenia 2 27 51 2" xfId="24828" xr:uid="{00000000-0005-0000-0000-000003610000}"/>
    <cellStyle name="Obliczenia 2 27 51 3" xfId="24829" xr:uid="{00000000-0005-0000-0000-000004610000}"/>
    <cellStyle name="Obliczenia 2 27 52" xfId="24830" xr:uid="{00000000-0005-0000-0000-000005610000}"/>
    <cellStyle name="Obliczenia 2 27 52 2" xfId="24831" xr:uid="{00000000-0005-0000-0000-000006610000}"/>
    <cellStyle name="Obliczenia 2 27 52 3" xfId="24832" xr:uid="{00000000-0005-0000-0000-000007610000}"/>
    <cellStyle name="Obliczenia 2 27 53" xfId="24833" xr:uid="{00000000-0005-0000-0000-000008610000}"/>
    <cellStyle name="Obliczenia 2 27 53 2" xfId="24834" xr:uid="{00000000-0005-0000-0000-000009610000}"/>
    <cellStyle name="Obliczenia 2 27 53 3" xfId="24835" xr:uid="{00000000-0005-0000-0000-00000A610000}"/>
    <cellStyle name="Obliczenia 2 27 54" xfId="24836" xr:uid="{00000000-0005-0000-0000-00000B610000}"/>
    <cellStyle name="Obliczenia 2 27 54 2" xfId="24837" xr:uid="{00000000-0005-0000-0000-00000C610000}"/>
    <cellStyle name="Obliczenia 2 27 54 3" xfId="24838" xr:uid="{00000000-0005-0000-0000-00000D610000}"/>
    <cellStyle name="Obliczenia 2 27 55" xfId="24839" xr:uid="{00000000-0005-0000-0000-00000E610000}"/>
    <cellStyle name="Obliczenia 2 27 55 2" xfId="24840" xr:uid="{00000000-0005-0000-0000-00000F610000}"/>
    <cellStyle name="Obliczenia 2 27 55 3" xfId="24841" xr:uid="{00000000-0005-0000-0000-000010610000}"/>
    <cellStyle name="Obliczenia 2 27 56" xfId="24842" xr:uid="{00000000-0005-0000-0000-000011610000}"/>
    <cellStyle name="Obliczenia 2 27 56 2" xfId="24843" xr:uid="{00000000-0005-0000-0000-000012610000}"/>
    <cellStyle name="Obliczenia 2 27 56 3" xfId="24844" xr:uid="{00000000-0005-0000-0000-000013610000}"/>
    <cellStyle name="Obliczenia 2 27 57" xfId="24845" xr:uid="{00000000-0005-0000-0000-000014610000}"/>
    <cellStyle name="Obliczenia 2 27 58" xfId="24846" xr:uid="{00000000-0005-0000-0000-000015610000}"/>
    <cellStyle name="Obliczenia 2 27 6" xfId="24847" xr:uid="{00000000-0005-0000-0000-000016610000}"/>
    <cellStyle name="Obliczenia 2 27 6 2" xfId="24848" xr:uid="{00000000-0005-0000-0000-000017610000}"/>
    <cellStyle name="Obliczenia 2 27 6 3" xfId="24849" xr:uid="{00000000-0005-0000-0000-000018610000}"/>
    <cellStyle name="Obliczenia 2 27 6 4" xfId="24850" xr:uid="{00000000-0005-0000-0000-000019610000}"/>
    <cellStyle name="Obliczenia 2 27 7" xfId="24851" xr:uid="{00000000-0005-0000-0000-00001A610000}"/>
    <cellStyle name="Obliczenia 2 27 7 2" xfId="24852" xr:uid="{00000000-0005-0000-0000-00001B610000}"/>
    <cellStyle name="Obliczenia 2 27 7 3" xfId="24853" xr:uid="{00000000-0005-0000-0000-00001C610000}"/>
    <cellStyle name="Obliczenia 2 27 7 4" xfId="24854" xr:uid="{00000000-0005-0000-0000-00001D610000}"/>
    <cellStyle name="Obliczenia 2 27 8" xfId="24855" xr:uid="{00000000-0005-0000-0000-00001E610000}"/>
    <cellStyle name="Obliczenia 2 27 8 2" xfId="24856" xr:uid="{00000000-0005-0000-0000-00001F610000}"/>
    <cellStyle name="Obliczenia 2 27 8 3" xfId="24857" xr:uid="{00000000-0005-0000-0000-000020610000}"/>
    <cellStyle name="Obliczenia 2 27 8 4" xfId="24858" xr:uid="{00000000-0005-0000-0000-000021610000}"/>
    <cellStyle name="Obliczenia 2 27 9" xfId="24859" xr:uid="{00000000-0005-0000-0000-000022610000}"/>
    <cellStyle name="Obliczenia 2 27 9 2" xfId="24860" xr:uid="{00000000-0005-0000-0000-000023610000}"/>
    <cellStyle name="Obliczenia 2 27 9 3" xfId="24861" xr:uid="{00000000-0005-0000-0000-000024610000}"/>
    <cellStyle name="Obliczenia 2 27 9 4" xfId="24862" xr:uid="{00000000-0005-0000-0000-000025610000}"/>
    <cellStyle name="Obliczenia 2 28" xfId="24863" xr:uid="{00000000-0005-0000-0000-000026610000}"/>
    <cellStyle name="Obliczenia 2 28 10" xfId="24864" xr:uid="{00000000-0005-0000-0000-000027610000}"/>
    <cellStyle name="Obliczenia 2 28 10 2" xfId="24865" xr:uid="{00000000-0005-0000-0000-000028610000}"/>
    <cellStyle name="Obliczenia 2 28 10 3" xfId="24866" xr:uid="{00000000-0005-0000-0000-000029610000}"/>
    <cellStyle name="Obliczenia 2 28 10 4" xfId="24867" xr:uid="{00000000-0005-0000-0000-00002A610000}"/>
    <cellStyle name="Obliczenia 2 28 11" xfId="24868" xr:uid="{00000000-0005-0000-0000-00002B610000}"/>
    <cellStyle name="Obliczenia 2 28 11 2" xfId="24869" xr:uid="{00000000-0005-0000-0000-00002C610000}"/>
    <cellStyle name="Obliczenia 2 28 11 3" xfId="24870" xr:uid="{00000000-0005-0000-0000-00002D610000}"/>
    <cellStyle name="Obliczenia 2 28 11 4" xfId="24871" xr:uid="{00000000-0005-0000-0000-00002E610000}"/>
    <cellStyle name="Obliczenia 2 28 12" xfId="24872" xr:uid="{00000000-0005-0000-0000-00002F610000}"/>
    <cellStyle name="Obliczenia 2 28 12 2" xfId="24873" xr:uid="{00000000-0005-0000-0000-000030610000}"/>
    <cellStyle name="Obliczenia 2 28 12 3" xfId="24874" xr:uid="{00000000-0005-0000-0000-000031610000}"/>
    <cellStyle name="Obliczenia 2 28 12 4" xfId="24875" xr:uid="{00000000-0005-0000-0000-000032610000}"/>
    <cellStyle name="Obliczenia 2 28 13" xfId="24876" xr:uid="{00000000-0005-0000-0000-000033610000}"/>
    <cellStyle name="Obliczenia 2 28 13 2" xfId="24877" xr:uid="{00000000-0005-0000-0000-000034610000}"/>
    <cellStyle name="Obliczenia 2 28 13 3" xfId="24878" xr:uid="{00000000-0005-0000-0000-000035610000}"/>
    <cellStyle name="Obliczenia 2 28 13 4" xfId="24879" xr:uid="{00000000-0005-0000-0000-000036610000}"/>
    <cellStyle name="Obliczenia 2 28 14" xfId="24880" xr:uid="{00000000-0005-0000-0000-000037610000}"/>
    <cellStyle name="Obliczenia 2 28 14 2" xfId="24881" xr:uid="{00000000-0005-0000-0000-000038610000}"/>
    <cellStyle name="Obliczenia 2 28 14 3" xfId="24882" xr:uid="{00000000-0005-0000-0000-000039610000}"/>
    <cellStyle name="Obliczenia 2 28 14 4" xfId="24883" xr:uid="{00000000-0005-0000-0000-00003A610000}"/>
    <cellStyle name="Obliczenia 2 28 15" xfId="24884" xr:uid="{00000000-0005-0000-0000-00003B610000}"/>
    <cellStyle name="Obliczenia 2 28 15 2" xfId="24885" xr:uid="{00000000-0005-0000-0000-00003C610000}"/>
    <cellStyle name="Obliczenia 2 28 15 3" xfId="24886" xr:uid="{00000000-0005-0000-0000-00003D610000}"/>
    <cellStyle name="Obliczenia 2 28 15 4" xfId="24887" xr:uid="{00000000-0005-0000-0000-00003E610000}"/>
    <cellStyle name="Obliczenia 2 28 16" xfId="24888" xr:uid="{00000000-0005-0000-0000-00003F610000}"/>
    <cellStyle name="Obliczenia 2 28 16 2" xfId="24889" xr:uid="{00000000-0005-0000-0000-000040610000}"/>
    <cellStyle name="Obliczenia 2 28 16 3" xfId="24890" xr:uid="{00000000-0005-0000-0000-000041610000}"/>
    <cellStyle name="Obliczenia 2 28 16 4" xfId="24891" xr:uid="{00000000-0005-0000-0000-000042610000}"/>
    <cellStyle name="Obliczenia 2 28 17" xfId="24892" xr:uid="{00000000-0005-0000-0000-000043610000}"/>
    <cellStyle name="Obliczenia 2 28 17 2" xfId="24893" xr:uid="{00000000-0005-0000-0000-000044610000}"/>
    <cellStyle name="Obliczenia 2 28 17 3" xfId="24894" xr:uid="{00000000-0005-0000-0000-000045610000}"/>
    <cellStyle name="Obliczenia 2 28 17 4" xfId="24895" xr:uid="{00000000-0005-0000-0000-000046610000}"/>
    <cellStyle name="Obliczenia 2 28 18" xfId="24896" xr:uid="{00000000-0005-0000-0000-000047610000}"/>
    <cellStyle name="Obliczenia 2 28 18 2" xfId="24897" xr:uid="{00000000-0005-0000-0000-000048610000}"/>
    <cellStyle name="Obliczenia 2 28 18 3" xfId="24898" xr:uid="{00000000-0005-0000-0000-000049610000}"/>
    <cellStyle name="Obliczenia 2 28 18 4" xfId="24899" xr:uid="{00000000-0005-0000-0000-00004A610000}"/>
    <cellStyle name="Obliczenia 2 28 19" xfId="24900" xr:uid="{00000000-0005-0000-0000-00004B610000}"/>
    <cellStyle name="Obliczenia 2 28 19 2" xfId="24901" xr:uid="{00000000-0005-0000-0000-00004C610000}"/>
    <cellStyle name="Obliczenia 2 28 19 3" xfId="24902" xr:uid="{00000000-0005-0000-0000-00004D610000}"/>
    <cellStyle name="Obliczenia 2 28 19 4" xfId="24903" xr:uid="{00000000-0005-0000-0000-00004E610000}"/>
    <cellStyle name="Obliczenia 2 28 2" xfId="24904" xr:uid="{00000000-0005-0000-0000-00004F610000}"/>
    <cellStyle name="Obliczenia 2 28 2 2" xfId="24905" xr:uid="{00000000-0005-0000-0000-000050610000}"/>
    <cellStyle name="Obliczenia 2 28 2 3" xfId="24906" xr:uid="{00000000-0005-0000-0000-000051610000}"/>
    <cellStyle name="Obliczenia 2 28 2 4" xfId="24907" xr:uid="{00000000-0005-0000-0000-000052610000}"/>
    <cellStyle name="Obliczenia 2 28 20" xfId="24908" xr:uid="{00000000-0005-0000-0000-000053610000}"/>
    <cellStyle name="Obliczenia 2 28 20 2" xfId="24909" xr:uid="{00000000-0005-0000-0000-000054610000}"/>
    <cellStyle name="Obliczenia 2 28 20 3" xfId="24910" xr:uid="{00000000-0005-0000-0000-000055610000}"/>
    <cellStyle name="Obliczenia 2 28 20 4" xfId="24911" xr:uid="{00000000-0005-0000-0000-000056610000}"/>
    <cellStyle name="Obliczenia 2 28 21" xfId="24912" xr:uid="{00000000-0005-0000-0000-000057610000}"/>
    <cellStyle name="Obliczenia 2 28 21 2" xfId="24913" xr:uid="{00000000-0005-0000-0000-000058610000}"/>
    <cellStyle name="Obliczenia 2 28 21 3" xfId="24914" xr:uid="{00000000-0005-0000-0000-000059610000}"/>
    <cellStyle name="Obliczenia 2 28 22" xfId="24915" xr:uid="{00000000-0005-0000-0000-00005A610000}"/>
    <cellStyle name="Obliczenia 2 28 22 2" xfId="24916" xr:uid="{00000000-0005-0000-0000-00005B610000}"/>
    <cellStyle name="Obliczenia 2 28 22 3" xfId="24917" xr:uid="{00000000-0005-0000-0000-00005C610000}"/>
    <cellStyle name="Obliczenia 2 28 23" xfId="24918" xr:uid="{00000000-0005-0000-0000-00005D610000}"/>
    <cellStyle name="Obliczenia 2 28 23 2" xfId="24919" xr:uid="{00000000-0005-0000-0000-00005E610000}"/>
    <cellStyle name="Obliczenia 2 28 23 3" xfId="24920" xr:uid="{00000000-0005-0000-0000-00005F610000}"/>
    <cellStyle name="Obliczenia 2 28 24" xfId="24921" xr:uid="{00000000-0005-0000-0000-000060610000}"/>
    <cellStyle name="Obliczenia 2 28 24 2" xfId="24922" xr:uid="{00000000-0005-0000-0000-000061610000}"/>
    <cellStyle name="Obliczenia 2 28 24 3" xfId="24923" xr:uid="{00000000-0005-0000-0000-000062610000}"/>
    <cellStyle name="Obliczenia 2 28 25" xfId="24924" xr:uid="{00000000-0005-0000-0000-000063610000}"/>
    <cellStyle name="Obliczenia 2 28 25 2" xfId="24925" xr:uid="{00000000-0005-0000-0000-000064610000}"/>
    <cellStyle name="Obliczenia 2 28 25 3" xfId="24926" xr:uid="{00000000-0005-0000-0000-000065610000}"/>
    <cellStyle name="Obliczenia 2 28 26" xfId="24927" xr:uid="{00000000-0005-0000-0000-000066610000}"/>
    <cellStyle name="Obliczenia 2 28 26 2" xfId="24928" xr:uid="{00000000-0005-0000-0000-000067610000}"/>
    <cellStyle name="Obliczenia 2 28 26 3" xfId="24929" xr:uid="{00000000-0005-0000-0000-000068610000}"/>
    <cellStyle name="Obliczenia 2 28 27" xfId="24930" xr:uid="{00000000-0005-0000-0000-000069610000}"/>
    <cellStyle name="Obliczenia 2 28 27 2" xfId="24931" xr:uid="{00000000-0005-0000-0000-00006A610000}"/>
    <cellStyle name="Obliczenia 2 28 27 3" xfId="24932" xr:uid="{00000000-0005-0000-0000-00006B610000}"/>
    <cellStyle name="Obliczenia 2 28 28" xfId="24933" xr:uid="{00000000-0005-0000-0000-00006C610000}"/>
    <cellStyle name="Obliczenia 2 28 28 2" xfId="24934" xr:uid="{00000000-0005-0000-0000-00006D610000}"/>
    <cellStyle name="Obliczenia 2 28 28 3" xfId="24935" xr:uid="{00000000-0005-0000-0000-00006E610000}"/>
    <cellStyle name="Obliczenia 2 28 29" xfId="24936" xr:uid="{00000000-0005-0000-0000-00006F610000}"/>
    <cellStyle name="Obliczenia 2 28 29 2" xfId="24937" xr:uid="{00000000-0005-0000-0000-000070610000}"/>
    <cellStyle name="Obliczenia 2 28 29 3" xfId="24938" xr:uid="{00000000-0005-0000-0000-000071610000}"/>
    <cellStyle name="Obliczenia 2 28 3" xfId="24939" xr:uid="{00000000-0005-0000-0000-000072610000}"/>
    <cellStyle name="Obliczenia 2 28 3 2" xfId="24940" xr:uid="{00000000-0005-0000-0000-000073610000}"/>
    <cellStyle name="Obliczenia 2 28 3 3" xfId="24941" xr:uid="{00000000-0005-0000-0000-000074610000}"/>
    <cellStyle name="Obliczenia 2 28 3 4" xfId="24942" xr:uid="{00000000-0005-0000-0000-000075610000}"/>
    <cellStyle name="Obliczenia 2 28 30" xfId="24943" xr:uid="{00000000-0005-0000-0000-000076610000}"/>
    <cellStyle name="Obliczenia 2 28 30 2" xfId="24944" xr:uid="{00000000-0005-0000-0000-000077610000}"/>
    <cellStyle name="Obliczenia 2 28 30 3" xfId="24945" xr:uid="{00000000-0005-0000-0000-000078610000}"/>
    <cellStyle name="Obliczenia 2 28 31" xfId="24946" xr:uid="{00000000-0005-0000-0000-000079610000}"/>
    <cellStyle name="Obliczenia 2 28 31 2" xfId="24947" xr:uid="{00000000-0005-0000-0000-00007A610000}"/>
    <cellStyle name="Obliczenia 2 28 31 3" xfId="24948" xr:uid="{00000000-0005-0000-0000-00007B610000}"/>
    <cellStyle name="Obliczenia 2 28 32" xfId="24949" xr:uid="{00000000-0005-0000-0000-00007C610000}"/>
    <cellStyle name="Obliczenia 2 28 32 2" xfId="24950" xr:uid="{00000000-0005-0000-0000-00007D610000}"/>
    <cellStyle name="Obliczenia 2 28 32 3" xfId="24951" xr:uid="{00000000-0005-0000-0000-00007E610000}"/>
    <cellStyle name="Obliczenia 2 28 33" xfId="24952" xr:uid="{00000000-0005-0000-0000-00007F610000}"/>
    <cellStyle name="Obliczenia 2 28 33 2" xfId="24953" xr:uid="{00000000-0005-0000-0000-000080610000}"/>
    <cellStyle name="Obliczenia 2 28 33 3" xfId="24954" xr:uid="{00000000-0005-0000-0000-000081610000}"/>
    <cellStyle name="Obliczenia 2 28 34" xfId="24955" xr:uid="{00000000-0005-0000-0000-000082610000}"/>
    <cellStyle name="Obliczenia 2 28 34 2" xfId="24956" xr:uid="{00000000-0005-0000-0000-000083610000}"/>
    <cellStyle name="Obliczenia 2 28 34 3" xfId="24957" xr:uid="{00000000-0005-0000-0000-000084610000}"/>
    <cellStyle name="Obliczenia 2 28 35" xfId="24958" xr:uid="{00000000-0005-0000-0000-000085610000}"/>
    <cellStyle name="Obliczenia 2 28 35 2" xfId="24959" xr:uid="{00000000-0005-0000-0000-000086610000}"/>
    <cellStyle name="Obliczenia 2 28 35 3" xfId="24960" xr:uid="{00000000-0005-0000-0000-000087610000}"/>
    <cellStyle name="Obliczenia 2 28 36" xfId="24961" xr:uid="{00000000-0005-0000-0000-000088610000}"/>
    <cellStyle name="Obliczenia 2 28 36 2" xfId="24962" xr:uid="{00000000-0005-0000-0000-000089610000}"/>
    <cellStyle name="Obliczenia 2 28 36 3" xfId="24963" xr:uid="{00000000-0005-0000-0000-00008A610000}"/>
    <cellStyle name="Obliczenia 2 28 37" xfId="24964" xr:uid="{00000000-0005-0000-0000-00008B610000}"/>
    <cellStyle name="Obliczenia 2 28 37 2" xfId="24965" xr:uid="{00000000-0005-0000-0000-00008C610000}"/>
    <cellStyle name="Obliczenia 2 28 37 3" xfId="24966" xr:uid="{00000000-0005-0000-0000-00008D610000}"/>
    <cellStyle name="Obliczenia 2 28 38" xfId="24967" xr:uid="{00000000-0005-0000-0000-00008E610000}"/>
    <cellStyle name="Obliczenia 2 28 38 2" xfId="24968" xr:uid="{00000000-0005-0000-0000-00008F610000}"/>
    <cellStyle name="Obliczenia 2 28 38 3" xfId="24969" xr:uid="{00000000-0005-0000-0000-000090610000}"/>
    <cellStyle name="Obliczenia 2 28 39" xfId="24970" xr:uid="{00000000-0005-0000-0000-000091610000}"/>
    <cellStyle name="Obliczenia 2 28 39 2" xfId="24971" xr:uid="{00000000-0005-0000-0000-000092610000}"/>
    <cellStyle name="Obliczenia 2 28 39 3" xfId="24972" xr:uid="{00000000-0005-0000-0000-000093610000}"/>
    <cellStyle name="Obliczenia 2 28 4" xfId="24973" xr:uid="{00000000-0005-0000-0000-000094610000}"/>
    <cellStyle name="Obliczenia 2 28 4 2" xfId="24974" xr:uid="{00000000-0005-0000-0000-000095610000}"/>
    <cellStyle name="Obliczenia 2 28 4 3" xfId="24975" xr:uid="{00000000-0005-0000-0000-000096610000}"/>
    <cellStyle name="Obliczenia 2 28 4 4" xfId="24976" xr:uid="{00000000-0005-0000-0000-000097610000}"/>
    <cellStyle name="Obliczenia 2 28 40" xfId="24977" xr:uid="{00000000-0005-0000-0000-000098610000}"/>
    <cellStyle name="Obliczenia 2 28 40 2" xfId="24978" xr:uid="{00000000-0005-0000-0000-000099610000}"/>
    <cellStyle name="Obliczenia 2 28 40 3" xfId="24979" xr:uid="{00000000-0005-0000-0000-00009A610000}"/>
    <cellStyle name="Obliczenia 2 28 41" xfId="24980" xr:uid="{00000000-0005-0000-0000-00009B610000}"/>
    <cellStyle name="Obliczenia 2 28 41 2" xfId="24981" xr:uid="{00000000-0005-0000-0000-00009C610000}"/>
    <cellStyle name="Obliczenia 2 28 41 3" xfId="24982" xr:uid="{00000000-0005-0000-0000-00009D610000}"/>
    <cellStyle name="Obliczenia 2 28 42" xfId="24983" xr:uid="{00000000-0005-0000-0000-00009E610000}"/>
    <cellStyle name="Obliczenia 2 28 42 2" xfId="24984" xr:uid="{00000000-0005-0000-0000-00009F610000}"/>
    <cellStyle name="Obliczenia 2 28 42 3" xfId="24985" xr:uid="{00000000-0005-0000-0000-0000A0610000}"/>
    <cellStyle name="Obliczenia 2 28 43" xfId="24986" xr:uid="{00000000-0005-0000-0000-0000A1610000}"/>
    <cellStyle name="Obliczenia 2 28 43 2" xfId="24987" xr:uid="{00000000-0005-0000-0000-0000A2610000}"/>
    <cellStyle name="Obliczenia 2 28 43 3" xfId="24988" xr:uid="{00000000-0005-0000-0000-0000A3610000}"/>
    <cellStyle name="Obliczenia 2 28 44" xfId="24989" xr:uid="{00000000-0005-0000-0000-0000A4610000}"/>
    <cellStyle name="Obliczenia 2 28 44 2" xfId="24990" xr:uid="{00000000-0005-0000-0000-0000A5610000}"/>
    <cellStyle name="Obliczenia 2 28 44 3" xfId="24991" xr:uid="{00000000-0005-0000-0000-0000A6610000}"/>
    <cellStyle name="Obliczenia 2 28 45" xfId="24992" xr:uid="{00000000-0005-0000-0000-0000A7610000}"/>
    <cellStyle name="Obliczenia 2 28 45 2" xfId="24993" xr:uid="{00000000-0005-0000-0000-0000A8610000}"/>
    <cellStyle name="Obliczenia 2 28 45 3" xfId="24994" xr:uid="{00000000-0005-0000-0000-0000A9610000}"/>
    <cellStyle name="Obliczenia 2 28 46" xfId="24995" xr:uid="{00000000-0005-0000-0000-0000AA610000}"/>
    <cellStyle name="Obliczenia 2 28 46 2" xfId="24996" xr:uid="{00000000-0005-0000-0000-0000AB610000}"/>
    <cellStyle name="Obliczenia 2 28 46 3" xfId="24997" xr:uid="{00000000-0005-0000-0000-0000AC610000}"/>
    <cellStyle name="Obliczenia 2 28 47" xfId="24998" xr:uid="{00000000-0005-0000-0000-0000AD610000}"/>
    <cellStyle name="Obliczenia 2 28 47 2" xfId="24999" xr:uid="{00000000-0005-0000-0000-0000AE610000}"/>
    <cellStyle name="Obliczenia 2 28 47 3" xfId="25000" xr:uid="{00000000-0005-0000-0000-0000AF610000}"/>
    <cellStyle name="Obliczenia 2 28 48" xfId="25001" xr:uid="{00000000-0005-0000-0000-0000B0610000}"/>
    <cellStyle name="Obliczenia 2 28 48 2" xfId="25002" xr:uid="{00000000-0005-0000-0000-0000B1610000}"/>
    <cellStyle name="Obliczenia 2 28 48 3" xfId="25003" xr:uid="{00000000-0005-0000-0000-0000B2610000}"/>
    <cellStyle name="Obliczenia 2 28 49" xfId="25004" xr:uid="{00000000-0005-0000-0000-0000B3610000}"/>
    <cellStyle name="Obliczenia 2 28 49 2" xfId="25005" xr:uid="{00000000-0005-0000-0000-0000B4610000}"/>
    <cellStyle name="Obliczenia 2 28 49 3" xfId="25006" xr:uid="{00000000-0005-0000-0000-0000B5610000}"/>
    <cellStyle name="Obliczenia 2 28 5" xfId="25007" xr:uid="{00000000-0005-0000-0000-0000B6610000}"/>
    <cellStyle name="Obliczenia 2 28 5 2" xfId="25008" xr:uid="{00000000-0005-0000-0000-0000B7610000}"/>
    <cellStyle name="Obliczenia 2 28 5 3" xfId="25009" xr:uid="{00000000-0005-0000-0000-0000B8610000}"/>
    <cellStyle name="Obliczenia 2 28 5 4" xfId="25010" xr:uid="{00000000-0005-0000-0000-0000B9610000}"/>
    <cellStyle name="Obliczenia 2 28 50" xfId="25011" xr:uid="{00000000-0005-0000-0000-0000BA610000}"/>
    <cellStyle name="Obliczenia 2 28 50 2" xfId="25012" xr:uid="{00000000-0005-0000-0000-0000BB610000}"/>
    <cellStyle name="Obliczenia 2 28 50 3" xfId="25013" xr:uid="{00000000-0005-0000-0000-0000BC610000}"/>
    <cellStyle name="Obliczenia 2 28 51" xfId="25014" xr:uid="{00000000-0005-0000-0000-0000BD610000}"/>
    <cellStyle name="Obliczenia 2 28 51 2" xfId="25015" xr:uid="{00000000-0005-0000-0000-0000BE610000}"/>
    <cellStyle name="Obliczenia 2 28 51 3" xfId="25016" xr:uid="{00000000-0005-0000-0000-0000BF610000}"/>
    <cellStyle name="Obliczenia 2 28 52" xfId="25017" xr:uid="{00000000-0005-0000-0000-0000C0610000}"/>
    <cellStyle name="Obliczenia 2 28 52 2" xfId="25018" xr:uid="{00000000-0005-0000-0000-0000C1610000}"/>
    <cellStyle name="Obliczenia 2 28 52 3" xfId="25019" xr:uid="{00000000-0005-0000-0000-0000C2610000}"/>
    <cellStyle name="Obliczenia 2 28 53" xfId="25020" xr:uid="{00000000-0005-0000-0000-0000C3610000}"/>
    <cellStyle name="Obliczenia 2 28 53 2" xfId="25021" xr:uid="{00000000-0005-0000-0000-0000C4610000}"/>
    <cellStyle name="Obliczenia 2 28 53 3" xfId="25022" xr:uid="{00000000-0005-0000-0000-0000C5610000}"/>
    <cellStyle name="Obliczenia 2 28 54" xfId="25023" xr:uid="{00000000-0005-0000-0000-0000C6610000}"/>
    <cellStyle name="Obliczenia 2 28 54 2" xfId="25024" xr:uid="{00000000-0005-0000-0000-0000C7610000}"/>
    <cellStyle name="Obliczenia 2 28 54 3" xfId="25025" xr:uid="{00000000-0005-0000-0000-0000C8610000}"/>
    <cellStyle name="Obliczenia 2 28 55" xfId="25026" xr:uid="{00000000-0005-0000-0000-0000C9610000}"/>
    <cellStyle name="Obliczenia 2 28 55 2" xfId="25027" xr:uid="{00000000-0005-0000-0000-0000CA610000}"/>
    <cellStyle name="Obliczenia 2 28 55 3" xfId="25028" xr:uid="{00000000-0005-0000-0000-0000CB610000}"/>
    <cellStyle name="Obliczenia 2 28 56" xfId="25029" xr:uid="{00000000-0005-0000-0000-0000CC610000}"/>
    <cellStyle name="Obliczenia 2 28 56 2" xfId="25030" xr:uid="{00000000-0005-0000-0000-0000CD610000}"/>
    <cellStyle name="Obliczenia 2 28 56 3" xfId="25031" xr:uid="{00000000-0005-0000-0000-0000CE610000}"/>
    <cellStyle name="Obliczenia 2 28 57" xfId="25032" xr:uid="{00000000-0005-0000-0000-0000CF610000}"/>
    <cellStyle name="Obliczenia 2 28 58" xfId="25033" xr:uid="{00000000-0005-0000-0000-0000D0610000}"/>
    <cellStyle name="Obliczenia 2 28 6" xfId="25034" xr:uid="{00000000-0005-0000-0000-0000D1610000}"/>
    <cellStyle name="Obliczenia 2 28 6 2" xfId="25035" xr:uid="{00000000-0005-0000-0000-0000D2610000}"/>
    <cellStyle name="Obliczenia 2 28 6 3" xfId="25036" xr:uid="{00000000-0005-0000-0000-0000D3610000}"/>
    <cellStyle name="Obliczenia 2 28 6 4" xfId="25037" xr:uid="{00000000-0005-0000-0000-0000D4610000}"/>
    <cellStyle name="Obliczenia 2 28 7" xfId="25038" xr:uid="{00000000-0005-0000-0000-0000D5610000}"/>
    <cellStyle name="Obliczenia 2 28 7 2" xfId="25039" xr:uid="{00000000-0005-0000-0000-0000D6610000}"/>
    <cellStyle name="Obliczenia 2 28 7 3" xfId="25040" xr:uid="{00000000-0005-0000-0000-0000D7610000}"/>
    <cellStyle name="Obliczenia 2 28 7 4" xfId="25041" xr:uid="{00000000-0005-0000-0000-0000D8610000}"/>
    <cellStyle name="Obliczenia 2 28 8" xfId="25042" xr:uid="{00000000-0005-0000-0000-0000D9610000}"/>
    <cellStyle name="Obliczenia 2 28 8 2" xfId="25043" xr:uid="{00000000-0005-0000-0000-0000DA610000}"/>
    <cellStyle name="Obliczenia 2 28 8 3" xfId="25044" xr:uid="{00000000-0005-0000-0000-0000DB610000}"/>
    <cellStyle name="Obliczenia 2 28 8 4" xfId="25045" xr:uid="{00000000-0005-0000-0000-0000DC610000}"/>
    <cellStyle name="Obliczenia 2 28 9" xfId="25046" xr:uid="{00000000-0005-0000-0000-0000DD610000}"/>
    <cellStyle name="Obliczenia 2 28 9 2" xfId="25047" xr:uid="{00000000-0005-0000-0000-0000DE610000}"/>
    <cellStyle name="Obliczenia 2 28 9 3" xfId="25048" xr:uid="{00000000-0005-0000-0000-0000DF610000}"/>
    <cellStyle name="Obliczenia 2 28 9 4" xfId="25049" xr:uid="{00000000-0005-0000-0000-0000E0610000}"/>
    <cellStyle name="Obliczenia 2 29" xfId="25050" xr:uid="{00000000-0005-0000-0000-0000E1610000}"/>
    <cellStyle name="Obliczenia 2 29 2" xfId="25051" xr:uid="{00000000-0005-0000-0000-0000E2610000}"/>
    <cellStyle name="Obliczenia 2 29 3" xfId="25052" xr:uid="{00000000-0005-0000-0000-0000E3610000}"/>
    <cellStyle name="Obliczenia 2 29 4" xfId="25053" xr:uid="{00000000-0005-0000-0000-0000E4610000}"/>
    <cellStyle name="Obliczenia 2 3" xfId="25054" xr:uid="{00000000-0005-0000-0000-0000E5610000}"/>
    <cellStyle name="Obliczenia 2 3 10" xfId="25055" xr:uid="{00000000-0005-0000-0000-0000E6610000}"/>
    <cellStyle name="Obliczenia 2 3 10 2" xfId="25056" xr:uid="{00000000-0005-0000-0000-0000E7610000}"/>
    <cellStyle name="Obliczenia 2 3 10 3" xfId="25057" xr:uid="{00000000-0005-0000-0000-0000E8610000}"/>
    <cellStyle name="Obliczenia 2 3 10 4" xfId="25058" xr:uid="{00000000-0005-0000-0000-0000E9610000}"/>
    <cellStyle name="Obliczenia 2 3 11" xfId="25059" xr:uid="{00000000-0005-0000-0000-0000EA610000}"/>
    <cellStyle name="Obliczenia 2 3 11 2" xfId="25060" xr:uid="{00000000-0005-0000-0000-0000EB610000}"/>
    <cellStyle name="Obliczenia 2 3 11 3" xfId="25061" xr:uid="{00000000-0005-0000-0000-0000EC610000}"/>
    <cellStyle name="Obliczenia 2 3 11 4" xfId="25062" xr:uid="{00000000-0005-0000-0000-0000ED610000}"/>
    <cellStyle name="Obliczenia 2 3 12" xfId="25063" xr:uid="{00000000-0005-0000-0000-0000EE610000}"/>
    <cellStyle name="Obliczenia 2 3 12 2" xfId="25064" xr:uid="{00000000-0005-0000-0000-0000EF610000}"/>
    <cellStyle name="Obliczenia 2 3 12 3" xfId="25065" xr:uid="{00000000-0005-0000-0000-0000F0610000}"/>
    <cellStyle name="Obliczenia 2 3 12 4" xfId="25066" xr:uid="{00000000-0005-0000-0000-0000F1610000}"/>
    <cellStyle name="Obliczenia 2 3 13" xfId="25067" xr:uid="{00000000-0005-0000-0000-0000F2610000}"/>
    <cellStyle name="Obliczenia 2 3 13 2" xfId="25068" xr:uid="{00000000-0005-0000-0000-0000F3610000}"/>
    <cellStyle name="Obliczenia 2 3 13 3" xfId="25069" xr:uid="{00000000-0005-0000-0000-0000F4610000}"/>
    <cellStyle name="Obliczenia 2 3 13 4" xfId="25070" xr:uid="{00000000-0005-0000-0000-0000F5610000}"/>
    <cellStyle name="Obliczenia 2 3 14" xfId="25071" xr:uid="{00000000-0005-0000-0000-0000F6610000}"/>
    <cellStyle name="Obliczenia 2 3 14 2" xfId="25072" xr:uid="{00000000-0005-0000-0000-0000F7610000}"/>
    <cellStyle name="Obliczenia 2 3 14 3" xfId="25073" xr:uid="{00000000-0005-0000-0000-0000F8610000}"/>
    <cellStyle name="Obliczenia 2 3 14 4" xfId="25074" xr:uid="{00000000-0005-0000-0000-0000F9610000}"/>
    <cellStyle name="Obliczenia 2 3 15" xfId="25075" xr:uid="{00000000-0005-0000-0000-0000FA610000}"/>
    <cellStyle name="Obliczenia 2 3 15 2" xfId="25076" xr:uid="{00000000-0005-0000-0000-0000FB610000}"/>
    <cellStyle name="Obliczenia 2 3 15 3" xfId="25077" xr:uid="{00000000-0005-0000-0000-0000FC610000}"/>
    <cellStyle name="Obliczenia 2 3 15 4" xfId="25078" xr:uid="{00000000-0005-0000-0000-0000FD610000}"/>
    <cellStyle name="Obliczenia 2 3 16" xfId="25079" xr:uid="{00000000-0005-0000-0000-0000FE610000}"/>
    <cellStyle name="Obliczenia 2 3 16 2" xfId="25080" xr:uid="{00000000-0005-0000-0000-0000FF610000}"/>
    <cellStyle name="Obliczenia 2 3 16 3" xfId="25081" xr:uid="{00000000-0005-0000-0000-000000620000}"/>
    <cellStyle name="Obliczenia 2 3 16 4" xfId="25082" xr:uid="{00000000-0005-0000-0000-000001620000}"/>
    <cellStyle name="Obliczenia 2 3 17" xfId="25083" xr:uid="{00000000-0005-0000-0000-000002620000}"/>
    <cellStyle name="Obliczenia 2 3 17 2" xfId="25084" xr:uid="{00000000-0005-0000-0000-000003620000}"/>
    <cellStyle name="Obliczenia 2 3 17 3" xfId="25085" xr:uid="{00000000-0005-0000-0000-000004620000}"/>
    <cellStyle name="Obliczenia 2 3 17 4" xfId="25086" xr:uid="{00000000-0005-0000-0000-000005620000}"/>
    <cellStyle name="Obliczenia 2 3 18" xfId="25087" xr:uid="{00000000-0005-0000-0000-000006620000}"/>
    <cellStyle name="Obliczenia 2 3 18 2" xfId="25088" xr:uid="{00000000-0005-0000-0000-000007620000}"/>
    <cellStyle name="Obliczenia 2 3 18 3" xfId="25089" xr:uid="{00000000-0005-0000-0000-000008620000}"/>
    <cellStyle name="Obliczenia 2 3 18 4" xfId="25090" xr:uid="{00000000-0005-0000-0000-000009620000}"/>
    <cellStyle name="Obliczenia 2 3 19" xfId="25091" xr:uid="{00000000-0005-0000-0000-00000A620000}"/>
    <cellStyle name="Obliczenia 2 3 19 2" xfId="25092" xr:uid="{00000000-0005-0000-0000-00000B620000}"/>
    <cellStyle name="Obliczenia 2 3 19 3" xfId="25093" xr:uid="{00000000-0005-0000-0000-00000C620000}"/>
    <cellStyle name="Obliczenia 2 3 19 4" xfId="25094" xr:uid="{00000000-0005-0000-0000-00000D620000}"/>
    <cellStyle name="Obliczenia 2 3 2" xfId="25095" xr:uid="{00000000-0005-0000-0000-00000E620000}"/>
    <cellStyle name="Obliczenia 2 3 2 2" xfId="25096" xr:uid="{00000000-0005-0000-0000-00000F620000}"/>
    <cellStyle name="Obliczenia 2 3 2 3" xfId="25097" xr:uid="{00000000-0005-0000-0000-000010620000}"/>
    <cellStyle name="Obliczenia 2 3 2 4" xfId="25098" xr:uid="{00000000-0005-0000-0000-000011620000}"/>
    <cellStyle name="Obliczenia 2 3 20" xfId="25099" xr:uid="{00000000-0005-0000-0000-000012620000}"/>
    <cellStyle name="Obliczenia 2 3 20 2" xfId="25100" xr:uid="{00000000-0005-0000-0000-000013620000}"/>
    <cellStyle name="Obliczenia 2 3 20 3" xfId="25101" xr:uid="{00000000-0005-0000-0000-000014620000}"/>
    <cellStyle name="Obliczenia 2 3 20 4" xfId="25102" xr:uid="{00000000-0005-0000-0000-000015620000}"/>
    <cellStyle name="Obliczenia 2 3 21" xfId="25103" xr:uid="{00000000-0005-0000-0000-000016620000}"/>
    <cellStyle name="Obliczenia 2 3 21 2" xfId="25104" xr:uid="{00000000-0005-0000-0000-000017620000}"/>
    <cellStyle name="Obliczenia 2 3 21 3" xfId="25105" xr:uid="{00000000-0005-0000-0000-000018620000}"/>
    <cellStyle name="Obliczenia 2 3 22" xfId="25106" xr:uid="{00000000-0005-0000-0000-000019620000}"/>
    <cellStyle name="Obliczenia 2 3 22 2" xfId="25107" xr:uid="{00000000-0005-0000-0000-00001A620000}"/>
    <cellStyle name="Obliczenia 2 3 22 3" xfId="25108" xr:uid="{00000000-0005-0000-0000-00001B620000}"/>
    <cellStyle name="Obliczenia 2 3 23" xfId="25109" xr:uid="{00000000-0005-0000-0000-00001C620000}"/>
    <cellStyle name="Obliczenia 2 3 23 2" xfId="25110" xr:uid="{00000000-0005-0000-0000-00001D620000}"/>
    <cellStyle name="Obliczenia 2 3 23 3" xfId="25111" xr:uid="{00000000-0005-0000-0000-00001E620000}"/>
    <cellStyle name="Obliczenia 2 3 24" xfId="25112" xr:uid="{00000000-0005-0000-0000-00001F620000}"/>
    <cellStyle name="Obliczenia 2 3 24 2" xfId="25113" xr:uid="{00000000-0005-0000-0000-000020620000}"/>
    <cellStyle name="Obliczenia 2 3 24 3" xfId="25114" xr:uid="{00000000-0005-0000-0000-000021620000}"/>
    <cellStyle name="Obliczenia 2 3 25" xfId="25115" xr:uid="{00000000-0005-0000-0000-000022620000}"/>
    <cellStyle name="Obliczenia 2 3 25 2" xfId="25116" xr:uid="{00000000-0005-0000-0000-000023620000}"/>
    <cellStyle name="Obliczenia 2 3 25 3" xfId="25117" xr:uid="{00000000-0005-0000-0000-000024620000}"/>
    <cellStyle name="Obliczenia 2 3 26" xfId="25118" xr:uid="{00000000-0005-0000-0000-000025620000}"/>
    <cellStyle name="Obliczenia 2 3 26 2" xfId="25119" xr:uid="{00000000-0005-0000-0000-000026620000}"/>
    <cellStyle name="Obliczenia 2 3 26 3" xfId="25120" xr:uid="{00000000-0005-0000-0000-000027620000}"/>
    <cellStyle name="Obliczenia 2 3 27" xfId="25121" xr:uid="{00000000-0005-0000-0000-000028620000}"/>
    <cellStyle name="Obliczenia 2 3 27 2" xfId="25122" xr:uid="{00000000-0005-0000-0000-000029620000}"/>
    <cellStyle name="Obliczenia 2 3 27 3" xfId="25123" xr:uid="{00000000-0005-0000-0000-00002A620000}"/>
    <cellStyle name="Obliczenia 2 3 28" xfId="25124" xr:uid="{00000000-0005-0000-0000-00002B620000}"/>
    <cellStyle name="Obliczenia 2 3 28 2" xfId="25125" xr:uid="{00000000-0005-0000-0000-00002C620000}"/>
    <cellStyle name="Obliczenia 2 3 28 3" xfId="25126" xr:uid="{00000000-0005-0000-0000-00002D620000}"/>
    <cellStyle name="Obliczenia 2 3 29" xfId="25127" xr:uid="{00000000-0005-0000-0000-00002E620000}"/>
    <cellStyle name="Obliczenia 2 3 29 2" xfId="25128" xr:uid="{00000000-0005-0000-0000-00002F620000}"/>
    <cellStyle name="Obliczenia 2 3 29 3" xfId="25129" xr:uid="{00000000-0005-0000-0000-000030620000}"/>
    <cellStyle name="Obliczenia 2 3 3" xfId="25130" xr:uid="{00000000-0005-0000-0000-000031620000}"/>
    <cellStyle name="Obliczenia 2 3 3 2" xfId="25131" xr:uid="{00000000-0005-0000-0000-000032620000}"/>
    <cellStyle name="Obliczenia 2 3 3 3" xfId="25132" xr:uid="{00000000-0005-0000-0000-000033620000}"/>
    <cellStyle name="Obliczenia 2 3 3 4" xfId="25133" xr:uid="{00000000-0005-0000-0000-000034620000}"/>
    <cellStyle name="Obliczenia 2 3 30" xfId="25134" xr:uid="{00000000-0005-0000-0000-000035620000}"/>
    <cellStyle name="Obliczenia 2 3 30 2" xfId="25135" xr:uid="{00000000-0005-0000-0000-000036620000}"/>
    <cellStyle name="Obliczenia 2 3 30 3" xfId="25136" xr:uid="{00000000-0005-0000-0000-000037620000}"/>
    <cellStyle name="Obliczenia 2 3 31" xfId="25137" xr:uid="{00000000-0005-0000-0000-000038620000}"/>
    <cellStyle name="Obliczenia 2 3 31 2" xfId="25138" xr:uid="{00000000-0005-0000-0000-000039620000}"/>
    <cellStyle name="Obliczenia 2 3 31 3" xfId="25139" xr:uid="{00000000-0005-0000-0000-00003A620000}"/>
    <cellStyle name="Obliczenia 2 3 32" xfId="25140" xr:uid="{00000000-0005-0000-0000-00003B620000}"/>
    <cellStyle name="Obliczenia 2 3 32 2" xfId="25141" xr:uid="{00000000-0005-0000-0000-00003C620000}"/>
    <cellStyle name="Obliczenia 2 3 32 3" xfId="25142" xr:uid="{00000000-0005-0000-0000-00003D620000}"/>
    <cellStyle name="Obliczenia 2 3 33" xfId="25143" xr:uid="{00000000-0005-0000-0000-00003E620000}"/>
    <cellStyle name="Obliczenia 2 3 33 2" xfId="25144" xr:uid="{00000000-0005-0000-0000-00003F620000}"/>
    <cellStyle name="Obliczenia 2 3 33 3" xfId="25145" xr:uid="{00000000-0005-0000-0000-000040620000}"/>
    <cellStyle name="Obliczenia 2 3 34" xfId="25146" xr:uid="{00000000-0005-0000-0000-000041620000}"/>
    <cellStyle name="Obliczenia 2 3 34 2" xfId="25147" xr:uid="{00000000-0005-0000-0000-000042620000}"/>
    <cellStyle name="Obliczenia 2 3 34 3" xfId="25148" xr:uid="{00000000-0005-0000-0000-000043620000}"/>
    <cellStyle name="Obliczenia 2 3 35" xfId="25149" xr:uid="{00000000-0005-0000-0000-000044620000}"/>
    <cellStyle name="Obliczenia 2 3 35 2" xfId="25150" xr:uid="{00000000-0005-0000-0000-000045620000}"/>
    <cellStyle name="Obliczenia 2 3 35 3" xfId="25151" xr:uid="{00000000-0005-0000-0000-000046620000}"/>
    <cellStyle name="Obliczenia 2 3 36" xfId="25152" xr:uid="{00000000-0005-0000-0000-000047620000}"/>
    <cellStyle name="Obliczenia 2 3 36 2" xfId="25153" xr:uid="{00000000-0005-0000-0000-000048620000}"/>
    <cellStyle name="Obliczenia 2 3 36 3" xfId="25154" xr:uid="{00000000-0005-0000-0000-000049620000}"/>
    <cellStyle name="Obliczenia 2 3 37" xfId="25155" xr:uid="{00000000-0005-0000-0000-00004A620000}"/>
    <cellStyle name="Obliczenia 2 3 37 2" xfId="25156" xr:uid="{00000000-0005-0000-0000-00004B620000}"/>
    <cellStyle name="Obliczenia 2 3 37 3" xfId="25157" xr:uid="{00000000-0005-0000-0000-00004C620000}"/>
    <cellStyle name="Obliczenia 2 3 38" xfId="25158" xr:uid="{00000000-0005-0000-0000-00004D620000}"/>
    <cellStyle name="Obliczenia 2 3 38 2" xfId="25159" xr:uid="{00000000-0005-0000-0000-00004E620000}"/>
    <cellStyle name="Obliczenia 2 3 38 3" xfId="25160" xr:uid="{00000000-0005-0000-0000-00004F620000}"/>
    <cellStyle name="Obliczenia 2 3 39" xfId="25161" xr:uid="{00000000-0005-0000-0000-000050620000}"/>
    <cellStyle name="Obliczenia 2 3 39 2" xfId="25162" xr:uid="{00000000-0005-0000-0000-000051620000}"/>
    <cellStyle name="Obliczenia 2 3 39 3" xfId="25163" xr:uid="{00000000-0005-0000-0000-000052620000}"/>
    <cellStyle name="Obliczenia 2 3 4" xfId="25164" xr:uid="{00000000-0005-0000-0000-000053620000}"/>
    <cellStyle name="Obliczenia 2 3 4 2" xfId="25165" xr:uid="{00000000-0005-0000-0000-000054620000}"/>
    <cellStyle name="Obliczenia 2 3 4 3" xfId="25166" xr:uid="{00000000-0005-0000-0000-000055620000}"/>
    <cellStyle name="Obliczenia 2 3 4 4" xfId="25167" xr:uid="{00000000-0005-0000-0000-000056620000}"/>
    <cellStyle name="Obliczenia 2 3 40" xfId="25168" xr:uid="{00000000-0005-0000-0000-000057620000}"/>
    <cellStyle name="Obliczenia 2 3 40 2" xfId="25169" xr:uid="{00000000-0005-0000-0000-000058620000}"/>
    <cellStyle name="Obliczenia 2 3 40 3" xfId="25170" xr:uid="{00000000-0005-0000-0000-000059620000}"/>
    <cellStyle name="Obliczenia 2 3 41" xfId="25171" xr:uid="{00000000-0005-0000-0000-00005A620000}"/>
    <cellStyle name="Obliczenia 2 3 41 2" xfId="25172" xr:uid="{00000000-0005-0000-0000-00005B620000}"/>
    <cellStyle name="Obliczenia 2 3 41 3" xfId="25173" xr:uid="{00000000-0005-0000-0000-00005C620000}"/>
    <cellStyle name="Obliczenia 2 3 42" xfId="25174" xr:uid="{00000000-0005-0000-0000-00005D620000}"/>
    <cellStyle name="Obliczenia 2 3 42 2" xfId="25175" xr:uid="{00000000-0005-0000-0000-00005E620000}"/>
    <cellStyle name="Obliczenia 2 3 42 3" xfId="25176" xr:uid="{00000000-0005-0000-0000-00005F620000}"/>
    <cellStyle name="Obliczenia 2 3 43" xfId="25177" xr:uid="{00000000-0005-0000-0000-000060620000}"/>
    <cellStyle name="Obliczenia 2 3 43 2" xfId="25178" xr:uid="{00000000-0005-0000-0000-000061620000}"/>
    <cellStyle name="Obliczenia 2 3 43 3" xfId="25179" xr:uid="{00000000-0005-0000-0000-000062620000}"/>
    <cellStyle name="Obliczenia 2 3 44" xfId="25180" xr:uid="{00000000-0005-0000-0000-000063620000}"/>
    <cellStyle name="Obliczenia 2 3 44 2" xfId="25181" xr:uid="{00000000-0005-0000-0000-000064620000}"/>
    <cellStyle name="Obliczenia 2 3 44 3" xfId="25182" xr:uid="{00000000-0005-0000-0000-000065620000}"/>
    <cellStyle name="Obliczenia 2 3 45" xfId="25183" xr:uid="{00000000-0005-0000-0000-000066620000}"/>
    <cellStyle name="Obliczenia 2 3 45 2" xfId="25184" xr:uid="{00000000-0005-0000-0000-000067620000}"/>
    <cellStyle name="Obliczenia 2 3 45 3" xfId="25185" xr:uid="{00000000-0005-0000-0000-000068620000}"/>
    <cellStyle name="Obliczenia 2 3 46" xfId="25186" xr:uid="{00000000-0005-0000-0000-000069620000}"/>
    <cellStyle name="Obliczenia 2 3 46 2" xfId="25187" xr:uid="{00000000-0005-0000-0000-00006A620000}"/>
    <cellStyle name="Obliczenia 2 3 46 3" xfId="25188" xr:uid="{00000000-0005-0000-0000-00006B620000}"/>
    <cellStyle name="Obliczenia 2 3 47" xfId="25189" xr:uid="{00000000-0005-0000-0000-00006C620000}"/>
    <cellStyle name="Obliczenia 2 3 47 2" xfId="25190" xr:uid="{00000000-0005-0000-0000-00006D620000}"/>
    <cellStyle name="Obliczenia 2 3 47 3" xfId="25191" xr:uid="{00000000-0005-0000-0000-00006E620000}"/>
    <cellStyle name="Obliczenia 2 3 48" xfId="25192" xr:uid="{00000000-0005-0000-0000-00006F620000}"/>
    <cellStyle name="Obliczenia 2 3 48 2" xfId="25193" xr:uid="{00000000-0005-0000-0000-000070620000}"/>
    <cellStyle name="Obliczenia 2 3 48 3" xfId="25194" xr:uid="{00000000-0005-0000-0000-000071620000}"/>
    <cellStyle name="Obliczenia 2 3 49" xfId="25195" xr:uid="{00000000-0005-0000-0000-000072620000}"/>
    <cellStyle name="Obliczenia 2 3 49 2" xfId="25196" xr:uid="{00000000-0005-0000-0000-000073620000}"/>
    <cellStyle name="Obliczenia 2 3 49 3" xfId="25197" xr:uid="{00000000-0005-0000-0000-000074620000}"/>
    <cellStyle name="Obliczenia 2 3 5" xfId="25198" xr:uid="{00000000-0005-0000-0000-000075620000}"/>
    <cellStyle name="Obliczenia 2 3 5 2" xfId="25199" xr:uid="{00000000-0005-0000-0000-000076620000}"/>
    <cellStyle name="Obliczenia 2 3 5 3" xfId="25200" xr:uid="{00000000-0005-0000-0000-000077620000}"/>
    <cellStyle name="Obliczenia 2 3 5 4" xfId="25201" xr:uid="{00000000-0005-0000-0000-000078620000}"/>
    <cellStyle name="Obliczenia 2 3 50" xfId="25202" xr:uid="{00000000-0005-0000-0000-000079620000}"/>
    <cellStyle name="Obliczenia 2 3 50 2" xfId="25203" xr:uid="{00000000-0005-0000-0000-00007A620000}"/>
    <cellStyle name="Obliczenia 2 3 50 3" xfId="25204" xr:uid="{00000000-0005-0000-0000-00007B620000}"/>
    <cellStyle name="Obliczenia 2 3 51" xfId="25205" xr:uid="{00000000-0005-0000-0000-00007C620000}"/>
    <cellStyle name="Obliczenia 2 3 51 2" xfId="25206" xr:uid="{00000000-0005-0000-0000-00007D620000}"/>
    <cellStyle name="Obliczenia 2 3 51 3" xfId="25207" xr:uid="{00000000-0005-0000-0000-00007E620000}"/>
    <cellStyle name="Obliczenia 2 3 52" xfId="25208" xr:uid="{00000000-0005-0000-0000-00007F620000}"/>
    <cellStyle name="Obliczenia 2 3 52 2" xfId="25209" xr:uid="{00000000-0005-0000-0000-000080620000}"/>
    <cellStyle name="Obliczenia 2 3 52 3" xfId="25210" xr:uid="{00000000-0005-0000-0000-000081620000}"/>
    <cellStyle name="Obliczenia 2 3 53" xfId="25211" xr:uid="{00000000-0005-0000-0000-000082620000}"/>
    <cellStyle name="Obliczenia 2 3 53 2" xfId="25212" xr:uid="{00000000-0005-0000-0000-000083620000}"/>
    <cellStyle name="Obliczenia 2 3 53 3" xfId="25213" xr:uid="{00000000-0005-0000-0000-000084620000}"/>
    <cellStyle name="Obliczenia 2 3 54" xfId="25214" xr:uid="{00000000-0005-0000-0000-000085620000}"/>
    <cellStyle name="Obliczenia 2 3 54 2" xfId="25215" xr:uid="{00000000-0005-0000-0000-000086620000}"/>
    <cellStyle name="Obliczenia 2 3 54 3" xfId="25216" xr:uid="{00000000-0005-0000-0000-000087620000}"/>
    <cellStyle name="Obliczenia 2 3 55" xfId="25217" xr:uid="{00000000-0005-0000-0000-000088620000}"/>
    <cellStyle name="Obliczenia 2 3 55 2" xfId="25218" xr:uid="{00000000-0005-0000-0000-000089620000}"/>
    <cellStyle name="Obliczenia 2 3 55 3" xfId="25219" xr:uid="{00000000-0005-0000-0000-00008A620000}"/>
    <cellStyle name="Obliczenia 2 3 56" xfId="25220" xr:uid="{00000000-0005-0000-0000-00008B620000}"/>
    <cellStyle name="Obliczenia 2 3 56 2" xfId="25221" xr:uid="{00000000-0005-0000-0000-00008C620000}"/>
    <cellStyle name="Obliczenia 2 3 56 3" xfId="25222" xr:uid="{00000000-0005-0000-0000-00008D620000}"/>
    <cellStyle name="Obliczenia 2 3 57" xfId="25223" xr:uid="{00000000-0005-0000-0000-00008E620000}"/>
    <cellStyle name="Obliczenia 2 3 58" xfId="25224" xr:uid="{00000000-0005-0000-0000-00008F620000}"/>
    <cellStyle name="Obliczenia 2 3 6" xfId="25225" xr:uid="{00000000-0005-0000-0000-000090620000}"/>
    <cellStyle name="Obliczenia 2 3 6 2" xfId="25226" xr:uid="{00000000-0005-0000-0000-000091620000}"/>
    <cellStyle name="Obliczenia 2 3 6 3" xfId="25227" xr:uid="{00000000-0005-0000-0000-000092620000}"/>
    <cellStyle name="Obliczenia 2 3 6 4" xfId="25228" xr:uid="{00000000-0005-0000-0000-000093620000}"/>
    <cellStyle name="Obliczenia 2 3 7" xfId="25229" xr:uid="{00000000-0005-0000-0000-000094620000}"/>
    <cellStyle name="Obliczenia 2 3 7 2" xfId="25230" xr:uid="{00000000-0005-0000-0000-000095620000}"/>
    <cellStyle name="Obliczenia 2 3 7 3" xfId="25231" xr:uid="{00000000-0005-0000-0000-000096620000}"/>
    <cellStyle name="Obliczenia 2 3 7 4" xfId="25232" xr:uid="{00000000-0005-0000-0000-000097620000}"/>
    <cellStyle name="Obliczenia 2 3 8" xfId="25233" xr:uid="{00000000-0005-0000-0000-000098620000}"/>
    <cellStyle name="Obliczenia 2 3 8 2" xfId="25234" xr:uid="{00000000-0005-0000-0000-000099620000}"/>
    <cellStyle name="Obliczenia 2 3 8 3" xfId="25235" xr:uid="{00000000-0005-0000-0000-00009A620000}"/>
    <cellStyle name="Obliczenia 2 3 8 4" xfId="25236" xr:uid="{00000000-0005-0000-0000-00009B620000}"/>
    <cellStyle name="Obliczenia 2 3 9" xfId="25237" xr:uid="{00000000-0005-0000-0000-00009C620000}"/>
    <cellStyle name="Obliczenia 2 3 9 2" xfId="25238" xr:uid="{00000000-0005-0000-0000-00009D620000}"/>
    <cellStyle name="Obliczenia 2 3 9 3" xfId="25239" xr:uid="{00000000-0005-0000-0000-00009E620000}"/>
    <cellStyle name="Obliczenia 2 3 9 4" xfId="25240" xr:uid="{00000000-0005-0000-0000-00009F620000}"/>
    <cellStyle name="Obliczenia 2 30" xfId="25241" xr:uid="{00000000-0005-0000-0000-0000A0620000}"/>
    <cellStyle name="Obliczenia 2 30 2" xfId="25242" xr:uid="{00000000-0005-0000-0000-0000A1620000}"/>
    <cellStyle name="Obliczenia 2 30 3" xfId="25243" xr:uid="{00000000-0005-0000-0000-0000A2620000}"/>
    <cellStyle name="Obliczenia 2 30 4" xfId="25244" xr:uid="{00000000-0005-0000-0000-0000A3620000}"/>
    <cellStyle name="Obliczenia 2 31" xfId="25245" xr:uid="{00000000-0005-0000-0000-0000A4620000}"/>
    <cellStyle name="Obliczenia 2 31 2" xfId="25246" xr:uid="{00000000-0005-0000-0000-0000A5620000}"/>
    <cellStyle name="Obliczenia 2 31 3" xfId="25247" xr:uid="{00000000-0005-0000-0000-0000A6620000}"/>
    <cellStyle name="Obliczenia 2 31 4" xfId="25248" xr:uid="{00000000-0005-0000-0000-0000A7620000}"/>
    <cellStyle name="Obliczenia 2 32" xfId="25249" xr:uid="{00000000-0005-0000-0000-0000A8620000}"/>
    <cellStyle name="Obliczenia 2 32 2" xfId="25250" xr:uid="{00000000-0005-0000-0000-0000A9620000}"/>
    <cellStyle name="Obliczenia 2 32 3" xfId="25251" xr:uid="{00000000-0005-0000-0000-0000AA620000}"/>
    <cellStyle name="Obliczenia 2 32 4" xfId="25252" xr:uid="{00000000-0005-0000-0000-0000AB620000}"/>
    <cellStyle name="Obliczenia 2 33" xfId="25253" xr:uid="{00000000-0005-0000-0000-0000AC620000}"/>
    <cellStyle name="Obliczenia 2 33 2" xfId="25254" xr:uid="{00000000-0005-0000-0000-0000AD620000}"/>
    <cellStyle name="Obliczenia 2 33 3" xfId="25255" xr:uid="{00000000-0005-0000-0000-0000AE620000}"/>
    <cellStyle name="Obliczenia 2 33 4" xfId="25256" xr:uid="{00000000-0005-0000-0000-0000AF620000}"/>
    <cellStyle name="Obliczenia 2 34" xfId="25257" xr:uid="{00000000-0005-0000-0000-0000B0620000}"/>
    <cellStyle name="Obliczenia 2 34 2" xfId="25258" xr:uid="{00000000-0005-0000-0000-0000B1620000}"/>
    <cellStyle name="Obliczenia 2 34 3" xfId="25259" xr:uid="{00000000-0005-0000-0000-0000B2620000}"/>
    <cellStyle name="Obliczenia 2 34 4" xfId="25260" xr:uid="{00000000-0005-0000-0000-0000B3620000}"/>
    <cellStyle name="Obliczenia 2 35" xfId="25261" xr:uid="{00000000-0005-0000-0000-0000B4620000}"/>
    <cellStyle name="Obliczenia 2 35 2" xfId="25262" xr:uid="{00000000-0005-0000-0000-0000B5620000}"/>
    <cellStyle name="Obliczenia 2 35 3" xfId="25263" xr:uid="{00000000-0005-0000-0000-0000B6620000}"/>
    <cellStyle name="Obliczenia 2 35 4" xfId="25264" xr:uid="{00000000-0005-0000-0000-0000B7620000}"/>
    <cellStyle name="Obliczenia 2 36" xfId="25265" xr:uid="{00000000-0005-0000-0000-0000B8620000}"/>
    <cellStyle name="Obliczenia 2 36 2" xfId="25266" xr:uid="{00000000-0005-0000-0000-0000B9620000}"/>
    <cellStyle name="Obliczenia 2 36 3" xfId="25267" xr:uid="{00000000-0005-0000-0000-0000BA620000}"/>
    <cellStyle name="Obliczenia 2 36 4" xfId="25268" xr:uid="{00000000-0005-0000-0000-0000BB620000}"/>
    <cellStyle name="Obliczenia 2 37" xfId="25269" xr:uid="{00000000-0005-0000-0000-0000BC620000}"/>
    <cellStyle name="Obliczenia 2 37 2" xfId="25270" xr:uid="{00000000-0005-0000-0000-0000BD620000}"/>
    <cellStyle name="Obliczenia 2 37 3" xfId="25271" xr:uid="{00000000-0005-0000-0000-0000BE620000}"/>
    <cellStyle name="Obliczenia 2 37 4" xfId="25272" xr:uid="{00000000-0005-0000-0000-0000BF620000}"/>
    <cellStyle name="Obliczenia 2 38" xfId="25273" xr:uid="{00000000-0005-0000-0000-0000C0620000}"/>
    <cellStyle name="Obliczenia 2 38 2" xfId="25274" xr:uid="{00000000-0005-0000-0000-0000C1620000}"/>
    <cellStyle name="Obliczenia 2 38 3" xfId="25275" xr:uid="{00000000-0005-0000-0000-0000C2620000}"/>
    <cellStyle name="Obliczenia 2 38 4" xfId="25276" xr:uid="{00000000-0005-0000-0000-0000C3620000}"/>
    <cellStyle name="Obliczenia 2 39" xfId="25277" xr:uid="{00000000-0005-0000-0000-0000C4620000}"/>
    <cellStyle name="Obliczenia 2 39 2" xfId="25278" xr:uid="{00000000-0005-0000-0000-0000C5620000}"/>
    <cellStyle name="Obliczenia 2 39 3" xfId="25279" xr:uid="{00000000-0005-0000-0000-0000C6620000}"/>
    <cellStyle name="Obliczenia 2 39 4" xfId="25280" xr:uid="{00000000-0005-0000-0000-0000C7620000}"/>
    <cellStyle name="Obliczenia 2 4" xfId="25281" xr:uid="{00000000-0005-0000-0000-0000C8620000}"/>
    <cellStyle name="Obliczenia 2 4 10" xfId="25282" xr:uid="{00000000-0005-0000-0000-0000C9620000}"/>
    <cellStyle name="Obliczenia 2 4 10 2" xfId="25283" xr:uid="{00000000-0005-0000-0000-0000CA620000}"/>
    <cellStyle name="Obliczenia 2 4 10 3" xfId="25284" xr:uid="{00000000-0005-0000-0000-0000CB620000}"/>
    <cellStyle name="Obliczenia 2 4 10 4" xfId="25285" xr:uid="{00000000-0005-0000-0000-0000CC620000}"/>
    <cellStyle name="Obliczenia 2 4 11" xfId="25286" xr:uid="{00000000-0005-0000-0000-0000CD620000}"/>
    <cellStyle name="Obliczenia 2 4 11 2" xfId="25287" xr:uid="{00000000-0005-0000-0000-0000CE620000}"/>
    <cellStyle name="Obliczenia 2 4 11 3" xfId="25288" xr:uid="{00000000-0005-0000-0000-0000CF620000}"/>
    <cellStyle name="Obliczenia 2 4 11 4" xfId="25289" xr:uid="{00000000-0005-0000-0000-0000D0620000}"/>
    <cellStyle name="Obliczenia 2 4 12" xfId="25290" xr:uid="{00000000-0005-0000-0000-0000D1620000}"/>
    <cellStyle name="Obliczenia 2 4 12 2" xfId="25291" xr:uid="{00000000-0005-0000-0000-0000D2620000}"/>
    <cellStyle name="Obliczenia 2 4 12 3" xfId="25292" xr:uid="{00000000-0005-0000-0000-0000D3620000}"/>
    <cellStyle name="Obliczenia 2 4 12 4" xfId="25293" xr:uid="{00000000-0005-0000-0000-0000D4620000}"/>
    <cellStyle name="Obliczenia 2 4 13" xfId="25294" xr:uid="{00000000-0005-0000-0000-0000D5620000}"/>
    <cellStyle name="Obliczenia 2 4 13 2" xfId="25295" xr:uid="{00000000-0005-0000-0000-0000D6620000}"/>
    <cellStyle name="Obliczenia 2 4 13 3" xfId="25296" xr:uid="{00000000-0005-0000-0000-0000D7620000}"/>
    <cellStyle name="Obliczenia 2 4 13 4" xfId="25297" xr:uid="{00000000-0005-0000-0000-0000D8620000}"/>
    <cellStyle name="Obliczenia 2 4 14" xfId="25298" xr:uid="{00000000-0005-0000-0000-0000D9620000}"/>
    <cellStyle name="Obliczenia 2 4 14 2" xfId="25299" xr:uid="{00000000-0005-0000-0000-0000DA620000}"/>
    <cellStyle name="Obliczenia 2 4 14 3" xfId="25300" xr:uid="{00000000-0005-0000-0000-0000DB620000}"/>
    <cellStyle name="Obliczenia 2 4 14 4" xfId="25301" xr:uid="{00000000-0005-0000-0000-0000DC620000}"/>
    <cellStyle name="Obliczenia 2 4 15" xfId="25302" xr:uid="{00000000-0005-0000-0000-0000DD620000}"/>
    <cellStyle name="Obliczenia 2 4 15 2" xfId="25303" xr:uid="{00000000-0005-0000-0000-0000DE620000}"/>
    <cellStyle name="Obliczenia 2 4 15 3" xfId="25304" xr:uid="{00000000-0005-0000-0000-0000DF620000}"/>
    <cellStyle name="Obliczenia 2 4 15 4" xfId="25305" xr:uid="{00000000-0005-0000-0000-0000E0620000}"/>
    <cellStyle name="Obliczenia 2 4 16" xfId="25306" xr:uid="{00000000-0005-0000-0000-0000E1620000}"/>
    <cellStyle name="Obliczenia 2 4 16 2" xfId="25307" xr:uid="{00000000-0005-0000-0000-0000E2620000}"/>
    <cellStyle name="Obliczenia 2 4 16 3" xfId="25308" xr:uid="{00000000-0005-0000-0000-0000E3620000}"/>
    <cellStyle name="Obliczenia 2 4 16 4" xfId="25309" xr:uid="{00000000-0005-0000-0000-0000E4620000}"/>
    <cellStyle name="Obliczenia 2 4 17" xfId="25310" xr:uid="{00000000-0005-0000-0000-0000E5620000}"/>
    <cellStyle name="Obliczenia 2 4 17 2" xfId="25311" xr:uid="{00000000-0005-0000-0000-0000E6620000}"/>
    <cellStyle name="Obliczenia 2 4 17 3" xfId="25312" xr:uid="{00000000-0005-0000-0000-0000E7620000}"/>
    <cellStyle name="Obliczenia 2 4 17 4" xfId="25313" xr:uid="{00000000-0005-0000-0000-0000E8620000}"/>
    <cellStyle name="Obliczenia 2 4 18" xfId="25314" xr:uid="{00000000-0005-0000-0000-0000E9620000}"/>
    <cellStyle name="Obliczenia 2 4 18 2" xfId="25315" xr:uid="{00000000-0005-0000-0000-0000EA620000}"/>
    <cellStyle name="Obliczenia 2 4 18 3" xfId="25316" xr:uid="{00000000-0005-0000-0000-0000EB620000}"/>
    <cellStyle name="Obliczenia 2 4 18 4" xfId="25317" xr:uid="{00000000-0005-0000-0000-0000EC620000}"/>
    <cellStyle name="Obliczenia 2 4 19" xfId="25318" xr:uid="{00000000-0005-0000-0000-0000ED620000}"/>
    <cellStyle name="Obliczenia 2 4 19 2" xfId="25319" xr:uid="{00000000-0005-0000-0000-0000EE620000}"/>
    <cellStyle name="Obliczenia 2 4 19 3" xfId="25320" xr:uid="{00000000-0005-0000-0000-0000EF620000}"/>
    <cellStyle name="Obliczenia 2 4 19 4" xfId="25321" xr:uid="{00000000-0005-0000-0000-0000F0620000}"/>
    <cellStyle name="Obliczenia 2 4 2" xfId="25322" xr:uid="{00000000-0005-0000-0000-0000F1620000}"/>
    <cellStyle name="Obliczenia 2 4 2 2" xfId="25323" xr:uid="{00000000-0005-0000-0000-0000F2620000}"/>
    <cellStyle name="Obliczenia 2 4 2 3" xfId="25324" xr:uid="{00000000-0005-0000-0000-0000F3620000}"/>
    <cellStyle name="Obliczenia 2 4 2 4" xfId="25325" xr:uid="{00000000-0005-0000-0000-0000F4620000}"/>
    <cellStyle name="Obliczenia 2 4 20" xfId="25326" xr:uid="{00000000-0005-0000-0000-0000F5620000}"/>
    <cellStyle name="Obliczenia 2 4 20 2" xfId="25327" xr:uid="{00000000-0005-0000-0000-0000F6620000}"/>
    <cellStyle name="Obliczenia 2 4 20 3" xfId="25328" xr:uid="{00000000-0005-0000-0000-0000F7620000}"/>
    <cellStyle name="Obliczenia 2 4 20 4" xfId="25329" xr:uid="{00000000-0005-0000-0000-0000F8620000}"/>
    <cellStyle name="Obliczenia 2 4 21" xfId="25330" xr:uid="{00000000-0005-0000-0000-0000F9620000}"/>
    <cellStyle name="Obliczenia 2 4 21 2" xfId="25331" xr:uid="{00000000-0005-0000-0000-0000FA620000}"/>
    <cellStyle name="Obliczenia 2 4 21 3" xfId="25332" xr:uid="{00000000-0005-0000-0000-0000FB620000}"/>
    <cellStyle name="Obliczenia 2 4 22" xfId="25333" xr:uid="{00000000-0005-0000-0000-0000FC620000}"/>
    <cellStyle name="Obliczenia 2 4 22 2" xfId="25334" xr:uid="{00000000-0005-0000-0000-0000FD620000}"/>
    <cellStyle name="Obliczenia 2 4 22 3" xfId="25335" xr:uid="{00000000-0005-0000-0000-0000FE620000}"/>
    <cellStyle name="Obliczenia 2 4 23" xfId="25336" xr:uid="{00000000-0005-0000-0000-0000FF620000}"/>
    <cellStyle name="Obliczenia 2 4 23 2" xfId="25337" xr:uid="{00000000-0005-0000-0000-000000630000}"/>
    <cellStyle name="Obliczenia 2 4 23 3" xfId="25338" xr:uid="{00000000-0005-0000-0000-000001630000}"/>
    <cellStyle name="Obliczenia 2 4 24" xfId="25339" xr:uid="{00000000-0005-0000-0000-000002630000}"/>
    <cellStyle name="Obliczenia 2 4 24 2" xfId="25340" xr:uid="{00000000-0005-0000-0000-000003630000}"/>
    <cellStyle name="Obliczenia 2 4 24 3" xfId="25341" xr:uid="{00000000-0005-0000-0000-000004630000}"/>
    <cellStyle name="Obliczenia 2 4 25" xfId="25342" xr:uid="{00000000-0005-0000-0000-000005630000}"/>
    <cellStyle name="Obliczenia 2 4 25 2" xfId="25343" xr:uid="{00000000-0005-0000-0000-000006630000}"/>
    <cellStyle name="Obliczenia 2 4 25 3" xfId="25344" xr:uid="{00000000-0005-0000-0000-000007630000}"/>
    <cellStyle name="Obliczenia 2 4 26" xfId="25345" xr:uid="{00000000-0005-0000-0000-000008630000}"/>
    <cellStyle name="Obliczenia 2 4 26 2" xfId="25346" xr:uid="{00000000-0005-0000-0000-000009630000}"/>
    <cellStyle name="Obliczenia 2 4 26 3" xfId="25347" xr:uid="{00000000-0005-0000-0000-00000A630000}"/>
    <cellStyle name="Obliczenia 2 4 27" xfId="25348" xr:uid="{00000000-0005-0000-0000-00000B630000}"/>
    <cellStyle name="Obliczenia 2 4 27 2" xfId="25349" xr:uid="{00000000-0005-0000-0000-00000C630000}"/>
    <cellStyle name="Obliczenia 2 4 27 3" xfId="25350" xr:uid="{00000000-0005-0000-0000-00000D630000}"/>
    <cellStyle name="Obliczenia 2 4 28" xfId="25351" xr:uid="{00000000-0005-0000-0000-00000E630000}"/>
    <cellStyle name="Obliczenia 2 4 28 2" xfId="25352" xr:uid="{00000000-0005-0000-0000-00000F630000}"/>
    <cellStyle name="Obliczenia 2 4 28 3" xfId="25353" xr:uid="{00000000-0005-0000-0000-000010630000}"/>
    <cellStyle name="Obliczenia 2 4 29" xfId="25354" xr:uid="{00000000-0005-0000-0000-000011630000}"/>
    <cellStyle name="Obliczenia 2 4 29 2" xfId="25355" xr:uid="{00000000-0005-0000-0000-000012630000}"/>
    <cellStyle name="Obliczenia 2 4 29 3" xfId="25356" xr:uid="{00000000-0005-0000-0000-000013630000}"/>
    <cellStyle name="Obliczenia 2 4 3" xfId="25357" xr:uid="{00000000-0005-0000-0000-000014630000}"/>
    <cellStyle name="Obliczenia 2 4 3 2" xfId="25358" xr:uid="{00000000-0005-0000-0000-000015630000}"/>
    <cellStyle name="Obliczenia 2 4 3 3" xfId="25359" xr:uid="{00000000-0005-0000-0000-000016630000}"/>
    <cellStyle name="Obliczenia 2 4 3 4" xfId="25360" xr:uid="{00000000-0005-0000-0000-000017630000}"/>
    <cellStyle name="Obliczenia 2 4 30" xfId="25361" xr:uid="{00000000-0005-0000-0000-000018630000}"/>
    <cellStyle name="Obliczenia 2 4 30 2" xfId="25362" xr:uid="{00000000-0005-0000-0000-000019630000}"/>
    <cellStyle name="Obliczenia 2 4 30 3" xfId="25363" xr:uid="{00000000-0005-0000-0000-00001A630000}"/>
    <cellStyle name="Obliczenia 2 4 31" xfId="25364" xr:uid="{00000000-0005-0000-0000-00001B630000}"/>
    <cellStyle name="Obliczenia 2 4 31 2" xfId="25365" xr:uid="{00000000-0005-0000-0000-00001C630000}"/>
    <cellStyle name="Obliczenia 2 4 31 3" xfId="25366" xr:uid="{00000000-0005-0000-0000-00001D630000}"/>
    <cellStyle name="Obliczenia 2 4 32" xfId="25367" xr:uid="{00000000-0005-0000-0000-00001E630000}"/>
    <cellStyle name="Obliczenia 2 4 32 2" xfId="25368" xr:uid="{00000000-0005-0000-0000-00001F630000}"/>
    <cellStyle name="Obliczenia 2 4 32 3" xfId="25369" xr:uid="{00000000-0005-0000-0000-000020630000}"/>
    <cellStyle name="Obliczenia 2 4 33" xfId="25370" xr:uid="{00000000-0005-0000-0000-000021630000}"/>
    <cellStyle name="Obliczenia 2 4 33 2" xfId="25371" xr:uid="{00000000-0005-0000-0000-000022630000}"/>
    <cellStyle name="Obliczenia 2 4 33 3" xfId="25372" xr:uid="{00000000-0005-0000-0000-000023630000}"/>
    <cellStyle name="Obliczenia 2 4 34" xfId="25373" xr:uid="{00000000-0005-0000-0000-000024630000}"/>
    <cellStyle name="Obliczenia 2 4 34 2" xfId="25374" xr:uid="{00000000-0005-0000-0000-000025630000}"/>
    <cellStyle name="Obliczenia 2 4 34 3" xfId="25375" xr:uid="{00000000-0005-0000-0000-000026630000}"/>
    <cellStyle name="Obliczenia 2 4 35" xfId="25376" xr:uid="{00000000-0005-0000-0000-000027630000}"/>
    <cellStyle name="Obliczenia 2 4 35 2" xfId="25377" xr:uid="{00000000-0005-0000-0000-000028630000}"/>
    <cellStyle name="Obliczenia 2 4 35 3" xfId="25378" xr:uid="{00000000-0005-0000-0000-000029630000}"/>
    <cellStyle name="Obliczenia 2 4 36" xfId="25379" xr:uid="{00000000-0005-0000-0000-00002A630000}"/>
    <cellStyle name="Obliczenia 2 4 36 2" xfId="25380" xr:uid="{00000000-0005-0000-0000-00002B630000}"/>
    <cellStyle name="Obliczenia 2 4 36 3" xfId="25381" xr:uid="{00000000-0005-0000-0000-00002C630000}"/>
    <cellStyle name="Obliczenia 2 4 37" xfId="25382" xr:uid="{00000000-0005-0000-0000-00002D630000}"/>
    <cellStyle name="Obliczenia 2 4 37 2" xfId="25383" xr:uid="{00000000-0005-0000-0000-00002E630000}"/>
    <cellStyle name="Obliczenia 2 4 37 3" xfId="25384" xr:uid="{00000000-0005-0000-0000-00002F630000}"/>
    <cellStyle name="Obliczenia 2 4 38" xfId="25385" xr:uid="{00000000-0005-0000-0000-000030630000}"/>
    <cellStyle name="Obliczenia 2 4 38 2" xfId="25386" xr:uid="{00000000-0005-0000-0000-000031630000}"/>
    <cellStyle name="Obliczenia 2 4 38 3" xfId="25387" xr:uid="{00000000-0005-0000-0000-000032630000}"/>
    <cellStyle name="Obliczenia 2 4 39" xfId="25388" xr:uid="{00000000-0005-0000-0000-000033630000}"/>
    <cellStyle name="Obliczenia 2 4 39 2" xfId="25389" xr:uid="{00000000-0005-0000-0000-000034630000}"/>
    <cellStyle name="Obliczenia 2 4 39 3" xfId="25390" xr:uid="{00000000-0005-0000-0000-000035630000}"/>
    <cellStyle name="Obliczenia 2 4 4" xfId="25391" xr:uid="{00000000-0005-0000-0000-000036630000}"/>
    <cellStyle name="Obliczenia 2 4 4 2" xfId="25392" xr:uid="{00000000-0005-0000-0000-000037630000}"/>
    <cellStyle name="Obliczenia 2 4 4 3" xfId="25393" xr:uid="{00000000-0005-0000-0000-000038630000}"/>
    <cellStyle name="Obliczenia 2 4 4 4" xfId="25394" xr:uid="{00000000-0005-0000-0000-000039630000}"/>
    <cellStyle name="Obliczenia 2 4 40" xfId="25395" xr:uid="{00000000-0005-0000-0000-00003A630000}"/>
    <cellStyle name="Obliczenia 2 4 40 2" xfId="25396" xr:uid="{00000000-0005-0000-0000-00003B630000}"/>
    <cellStyle name="Obliczenia 2 4 40 3" xfId="25397" xr:uid="{00000000-0005-0000-0000-00003C630000}"/>
    <cellStyle name="Obliczenia 2 4 41" xfId="25398" xr:uid="{00000000-0005-0000-0000-00003D630000}"/>
    <cellStyle name="Obliczenia 2 4 41 2" xfId="25399" xr:uid="{00000000-0005-0000-0000-00003E630000}"/>
    <cellStyle name="Obliczenia 2 4 41 3" xfId="25400" xr:uid="{00000000-0005-0000-0000-00003F630000}"/>
    <cellStyle name="Obliczenia 2 4 42" xfId="25401" xr:uid="{00000000-0005-0000-0000-000040630000}"/>
    <cellStyle name="Obliczenia 2 4 42 2" xfId="25402" xr:uid="{00000000-0005-0000-0000-000041630000}"/>
    <cellStyle name="Obliczenia 2 4 42 3" xfId="25403" xr:uid="{00000000-0005-0000-0000-000042630000}"/>
    <cellStyle name="Obliczenia 2 4 43" xfId="25404" xr:uid="{00000000-0005-0000-0000-000043630000}"/>
    <cellStyle name="Obliczenia 2 4 43 2" xfId="25405" xr:uid="{00000000-0005-0000-0000-000044630000}"/>
    <cellStyle name="Obliczenia 2 4 43 3" xfId="25406" xr:uid="{00000000-0005-0000-0000-000045630000}"/>
    <cellStyle name="Obliczenia 2 4 44" xfId="25407" xr:uid="{00000000-0005-0000-0000-000046630000}"/>
    <cellStyle name="Obliczenia 2 4 44 2" xfId="25408" xr:uid="{00000000-0005-0000-0000-000047630000}"/>
    <cellStyle name="Obliczenia 2 4 44 3" xfId="25409" xr:uid="{00000000-0005-0000-0000-000048630000}"/>
    <cellStyle name="Obliczenia 2 4 45" xfId="25410" xr:uid="{00000000-0005-0000-0000-000049630000}"/>
    <cellStyle name="Obliczenia 2 4 45 2" xfId="25411" xr:uid="{00000000-0005-0000-0000-00004A630000}"/>
    <cellStyle name="Obliczenia 2 4 45 3" xfId="25412" xr:uid="{00000000-0005-0000-0000-00004B630000}"/>
    <cellStyle name="Obliczenia 2 4 46" xfId="25413" xr:uid="{00000000-0005-0000-0000-00004C630000}"/>
    <cellStyle name="Obliczenia 2 4 46 2" xfId="25414" xr:uid="{00000000-0005-0000-0000-00004D630000}"/>
    <cellStyle name="Obliczenia 2 4 46 3" xfId="25415" xr:uid="{00000000-0005-0000-0000-00004E630000}"/>
    <cellStyle name="Obliczenia 2 4 47" xfId="25416" xr:uid="{00000000-0005-0000-0000-00004F630000}"/>
    <cellStyle name="Obliczenia 2 4 47 2" xfId="25417" xr:uid="{00000000-0005-0000-0000-000050630000}"/>
    <cellStyle name="Obliczenia 2 4 47 3" xfId="25418" xr:uid="{00000000-0005-0000-0000-000051630000}"/>
    <cellStyle name="Obliczenia 2 4 48" xfId="25419" xr:uid="{00000000-0005-0000-0000-000052630000}"/>
    <cellStyle name="Obliczenia 2 4 48 2" xfId="25420" xr:uid="{00000000-0005-0000-0000-000053630000}"/>
    <cellStyle name="Obliczenia 2 4 48 3" xfId="25421" xr:uid="{00000000-0005-0000-0000-000054630000}"/>
    <cellStyle name="Obliczenia 2 4 49" xfId="25422" xr:uid="{00000000-0005-0000-0000-000055630000}"/>
    <cellStyle name="Obliczenia 2 4 49 2" xfId="25423" xr:uid="{00000000-0005-0000-0000-000056630000}"/>
    <cellStyle name="Obliczenia 2 4 49 3" xfId="25424" xr:uid="{00000000-0005-0000-0000-000057630000}"/>
    <cellStyle name="Obliczenia 2 4 5" xfId="25425" xr:uid="{00000000-0005-0000-0000-000058630000}"/>
    <cellStyle name="Obliczenia 2 4 5 2" xfId="25426" xr:uid="{00000000-0005-0000-0000-000059630000}"/>
    <cellStyle name="Obliczenia 2 4 5 3" xfId="25427" xr:uid="{00000000-0005-0000-0000-00005A630000}"/>
    <cellStyle name="Obliczenia 2 4 5 4" xfId="25428" xr:uid="{00000000-0005-0000-0000-00005B630000}"/>
    <cellStyle name="Obliczenia 2 4 50" xfId="25429" xr:uid="{00000000-0005-0000-0000-00005C630000}"/>
    <cellStyle name="Obliczenia 2 4 50 2" xfId="25430" xr:uid="{00000000-0005-0000-0000-00005D630000}"/>
    <cellStyle name="Obliczenia 2 4 50 3" xfId="25431" xr:uid="{00000000-0005-0000-0000-00005E630000}"/>
    <cellStyle name="Obliczenia 2 4 51" xfId="25432" xr:uid="{00000000-0005-0000-0000-00005F630000}"/>
    <cellStyle name="Obliczenia 2 4 51 2" xfId="25433" xr:uid="{00000000-0005-0000-0000-000060630000}"/>
    <cellStyle name="Obliczenia 2 4 51 3" xfId="25434" xr:uid="{00000000-0005-0000-0000-000061630000}"/>
    <cellStyle name="Obliczenia 2 4 52" xfId="25435" xr:uid="{00000000-0005-0000-0000-000062630000}"/>
    <cellStyle name="Obliczenia 2 4 52 2" xfId="25436" xr:uid="{00000000-0005-0000-0000-000063630000}"/>
    <cellStyle name="Obliczenia 2 4 52 3" xfId="25437" xr:uid="{00000000-0005-0000-0000-000064630000}"/>
    <cellStyle name="Obliczenia 2 4 53" xfId="25438" xr:uid="{00000000-0005-0000-0000-000065630000}"/>
    <cellStyle name="Obliczenia 2 4 53 2" xfId="25439" xr:uid="{00000000-0005-0000-0000-000066630000}"/>
    <cellStyle name="Obliczenia 2 4 53 3" xfId="25440" xr:uid="{00000000-0005-0000-0000-000067630000}"/>
    <cellStyle name="Obliczenia 2 4 54" xfId="25441" xr:uid="{00000000-0005-0000-0000-000068630000}"/>
    <cellStyle name="Obliczenia 2 4 54 2" xfId="25442" xr:uid="{00000000-0005-0000-0000-000069630000}"/>
    <cellStyle name="Obliczenia 2 4 54 3" xfId="25443" xr:uid="{00000000-0005-0000-0000-00006A630000}"/>
    <cellStyle name="Obliczenia 2 4 55" xfId="25444" xr:uid="{00000000-0005-0000-0000-00006B630000}"/>
    <cellStyle name="Obliczenia 2 4 55 2" xfId="25445" xr:uid="{00000000-0005-0000-0000-00006C630000}"/>
    <cellStyle name="Obliczenia 2 4 55 3" xfId="25446" xr:uid="{00000000-0005-0000-0000-00006D630000}"/>
    <cellStyle name="Obliczenia 2 4 56" xfId="25447" xr:uid="{00000000-0005-0000-0000-00006E630000}"/>
    <cellStyle name="Obliczenia 2 4 56 2" xfId="25448" xr:uid="{00000000-0005-0000-0000-00006F630000}"/>
    <cellStyle name="Obliczenia 2 4 56 3" xfId="25449" xr:uid="{00000000-0005-0000-0000-000070630000}"/>
    <cellStyle name="Obliczenia 2 4 57" xfId="25450" xr:uid="{00000000-0005-0000-0000-000071630000}"/>
    <cellStyle name="Obliczenia 2 4 58" xfId="25451" xr:uid="{00000000-0005-0000-0000-000072630000}"/>
    <cellStyle name="Obliczenia 2 4 6" xfId="25452" xr:uid="{00000000-0005-0000-0000-000073630000}"/>
    <cellStyle name="Obliczenia 2 4 6 2" xfId="25453" xr:uid="{00000000-0005-0000-0000-000074630000}"/>
    <cellStyle name="Obliczenia 2 4 6 3" xfId="25454" xr:uid="{00000000-0005-0000-0000-000075630000}"/>
    <cellStyle name="Obliczenia 2 4 6 4" xfId="25455" xr:uid="{00000000-0005-0000-0000-000076630000}"/>
    <cellStyle name="Obliczenia 2 4 7" xfId="25456" xr:uid="{00000000-0005-0000-0000-000077630000}"/>
    <cellStyle name="Obliczenia 2 4 7 2" xfId="25457" xr:uid="{00000000-0005-0000-0000-000078630000}"/>
    <cellStyle name="Obliczenia 2 4 7 3" xfId="25458" xr:uid="{00000000-0005-0000-0000-000079630000}"/>
    <cellStyle name="Obliczenia 2 4 7 4" xfId="25459" xr:uid="{00000000-0005-0000-0000-00007A630000}"/>
    <cellStyle name="Obliczenia 2 4 8" xfId="25460" xr:uid="{00000000-0005-0000-0000-00007B630000}"/>
    <cellStyle name="Obliczenia 2 4 8 2" xfId="25461" xr:uid="{00000000-0005-0000-0000-00007C630000}"/>
    <cellStyle name="Obliczenia 2 4 8 3" xfId="25462" xr:uid="{00000000-0005-0000-0000-00007D630000}"/>
    <cellStyle name="Obliczenia 2 4 8 4" xfId="25463" xr:uid="{00000000-0005-0000-0000-00007E630000}"/>
    <cellStyle name="Obliczenia 2 4 9" xfId="25464" xr:uid="{00000000-0005-0000-0000-00007F630000}"/>
    <cellStyle name="Obliczenia 2 4 9 2" xfId="25465" xr:uid="{00000000-0005-0000-0000-000080630000}"/>
    <cellStyle name="Obliczenia 2 4 9 3" xfId="25466" xr:uid="{00000000-0005-0000-0000-000081630000}"/>
    <cellStyle name="Obliczenia 2 4 9 4" xfId="25467" xr:uid="{00000000-0005-0000-0000-000082630000}"/>
    <cellStyle name="Obliczenia 2 40" xfId="25468" xr:uid="{00000000-0005-0000-0000-000083630000}"/>
    <cellStyle name="Obliczenia 2 40 2" xfId="25469" xr:uid="{00000000-0005-0000-0000-000084630000}"/>
    <cellStyle name="Obliczenia 2 40 3" xfId="25470" xr:uid="{00000000-0005-0000-0000-000085630000}"/>
    <cellStyle name="Obliczenia 2 40 4" xfId="25471" xr:uid="{00000000-0005-0000-0000-000086630000}"/>
    <cellStyle name="Obliczenia 2 41" xfId="25472" xr:uid="{00000000-0005-0000-0000-000087630000}"/>
    <cellStyle name="Obliczenia 2 41 2" xfId="25473" xr:uid="{00000000-0005-0000-0000-000088630000}"/>
    <cellStyle name="Obliczenia 2 41 3" xfId="25474" xr:uid="{00000000-0005-0000-0000-000089630000}"/>
    <cellStyle name="Obliczenia 2 41 4" xfId="25475" xr:uid="{00000000-0005-0000-0000-00008A630000}"/>
    <cellStyle name="Obliczenia 2 42" xfId="25476" xr:uid="{00000000-0005-0000-0000-00008B630000}"/>
    <cellStyle name="Obliczenia 2 42 2" xfId="25477" xr:uid="{00000000-0005-0000-0000-00008C630000}"/>
    <cellStyle name="Obliczenia 2 42 3" xfId="25478" xr:uid="{00000000-0005-0000-0000-00008D630000}"/>
    <cellStyle name="Obliczenia 2 42 4" xfId="25479" xr:uid="{00000000-0005-0000-0000-00008E630000}"/>
    <cellStyle name="Obliczenia 2 43" xfId="25480" xr:uid="{00000000-0005-0000-0000-00008F630000}"/>
    <cellStyle name="Obliczenia 2 43 2" xfId="25481" xr:uid="{00000000-0005-0000-0000-000090630000}"/>
    <cellStyle name="Obliczenia 2 43 3" xfId="25482" xr:uid="{00000000-0005-0000-0000-000091630000}"/>
    <cellStyle name="Obliczenia 2 43 4" xfId="25483" xr:uid="{00000000-0005-0000-0000-000092630000}"/>
    <cellStyle name="Obliczenia 2 44" xfId="25484" xr:uid="{00000000-0005-0000-0000-000093630000}"/>
    <cellStyle name="Obliczenia 2 44 2" xfId="25485" xr:uid="{00000000-0005-0000-0000-000094630000}"/>
    <cellStyle name="Obliczenia 2 44 3" xfId="25486" xr:uid="{00000000-0005-0000-0000-000095630000}"/>
    <cellStyle name="Obliczenia 2 44 4" xfId="25487" xr:uid="{00000000-0005-0000-0000-000096630000}"/>
    <cellStyle name="Obliczenia 2 45" xfId="25488" xr:uid="{00000000-0005-0000-0000-000097630000}"/>
    <cellStyle name="Obliczenia 2 45 2" xfId="25489" xr:uid="{00000000-0005-0000-0000-000098630000}"/>
    <cellStyle name="Obliczenia 2 45 3" xfId="25490" xr:uid="{00000000-0005-0000-0000-000099630000}"/>
    <cellStyle name="Obliczenia 2 45 4" xfId="25491" xr:uid="{00000000-0005-0000-0000-00009A630000}"/>
    <cellStyle name="Obliczenia 2 46" xfId="25492" xr:uid="{00000000-0005-0000-0000-00009B630000}"/>
    <cellStyle name="Obliczenia 2 46 2" xfId="25493" xr:uid="{00000000-0005-0000-0000-00009C630000}"/>
    <cellStyle name="Obliczenia 2 46 3" xfId="25494" xr:uid="{00000000-0005-0000-0000-00009D630000}"/>
    <cellStyle name="Obliczenia 2 46 4" xfId="25495" xr:uid="{00000000-0005-0000-0000-00009E630000}"/>
    <cellStyle name="Obliczenia 2 47" xfId="25496" xr:uid="{00000000-0005-0000-0000-00009F630000}"/>
    <cellStyle name="Obliczenia 2 47 2" xfId="25497" xr:uid="{00000000-0005-0000-0000-0000A0630000}"/>
    <cellStyle name="Obliczenia 2 47 3" xfId="25498" xr:uid="{00000000-0005-0000-0000-0000A1630000}"/>
    <cellStyle name="Obliczenia 2 47 4" xfId="25499" xr:uid="{00000000-0005-0000-0000-0000A2630000}"/>
    <cellStyle name="Obliczenia 2 48" xfId="25500" xr:uid="{00000000-0005-0000-0000-0000A3630000}"/>
    <cellStyle name="Obliczenia 2 48 2" xfId="25501" xr:uid="{00000000-0005-0000-0000-0000A4630000}"/>
    <cellStyle name="Obliczenia 2 48 3" xfId="25502" xr:uid="{00000000-0005-0000-0000-0000A5630000}"/>
    <cellStyle name="Obliczenia 2 48 4" xfId="25503" xr:uid="{00000000-0005-0000-0000-0000A6630000}"/>
    <cellStyle name="Obliczenia 2 49" xfId="25504" xr:uid="{00000000-0005-0000-0000-0000A7630000}"/>
    <cellStyle name="Obliczenia 2 49 2" xfId="25505" xr:uid="{00000000-0005-0000-0000-0000A8630000}"/>
    <cellStyle name="Obliczenia 2 49 3" xfId="25506" xr:uid="{00000000-0005-0000-0000-0000A9630000}"/>
    <cellStyle name="Obliczenia 2 49 4" xfId="25507" xr:uid="{00000000-0005-0000-0000-0000AA630000}"/>
    <cellStyle name="Obliczenia 2 5" xfId="25508" xr:uid="{00000000-0005-0000-0000-0000AB630000}"/>
    <cellStyle name="Obliczenia 2 5 10" xfId="25509" xr:uid="{00000000-0005-0000-0000-0000AC630000}"/>
    <cellStyle name="Obliczenia 2 5 10 2" xfId="25510" xr:uid="{00000000-0005-0000-0000-0000AD630000}"/>
    <cellStyle name="Obliczenia 2 5 10 3" xfId="25511" xr:uid="{00000000-0005-0000-0000-0000AE630000}"/>
    <cellStyle name="Obliczenia 2 5 10 4" xfId="25512" xr:uid="{00000000-0005-0000-0000-0000AF630000}"/>
    <cellStyle name="Obliczenia 2 5 11" xfId="25513" xr:uid="{00000000-0005-0000-0000-0000B0630000}"/>
    <cellStyle name="Obliczenia 2 5 11 2" xfId="25514" xr:uid="{00000000-0005-0000-0000-0000B1630000}"/>
    <cellStyle name="Obliczenia 2 5 11 3" xfId="25515" xr:uid="{00000000-0005-0000-0000-0000B2630000}"/>
    <cellStyle name="Obliczenia 2 5 11 4" xfId="25516" xr:uid="{00000000-0005-0000-0000-0000B3630000}"/>
    <cellStyle name="Obliczenia 2 5 12" xfId="25517" xr:uid="{00000000-0005-0000-0000-0000B4630000}"/>
    <cellStyle name="Obliczenia 2 5 12 2" xfId="25518" xr:uid="{00000000-0005-0000-0000-0000B5630000}"/>
    <cellStyle name="Obliczenia 2 5 12 3" xfId="25519" xr:uid="{00000000-0005-0000-0000-0000B6630000}"/>
    <cellStyle name="Obliczenia 2 5 12 4" xfId="25520" xr:uid="{00000000-0005-0000-0000-0000B7630000}"/>
    <cellStyle name="Obliczenia 2 5 13" xfId="25521" xr:uid="{00000000-0005-0000-0000-0000B8630000}"/>
    <cellStyle name="Obliczenia 2 5 13 2" xfId="25522" xr:uid="{00000000-0005-0000-0000-0000B9630000}"/>
    <cellStyle name="Obliczenia 2 5 13 3" xfId="25523" xr:uid="{00000000-0005-0000-0000-0000BA630000}"/>
    <cellStyle name="Obliczenia 2 5 13 4" xfId="25524" xr:uid="{00000000-0005-0000-0000-0000BB630000}"/>
    <cellStyle name="Obliczenia 2 5 14" xfId="25525" xr:uid="{00000000-0005-0000-0000-0000BC630000}"/>
    <cellStyle name="Obliczenia 2 5 14 2" xfId="25526" xr:uid="{00000000-0005-0000-0000-0000BD630000}"/>
    <cellStyle name="Obliczenia 2 5 14 3" xfId="25527" xr:uid="{00000000-0005-0000-0000-0000BE630000}"/>
    <cellStyle name="Obliczenia 2 5 14 4" xfId="25528" xr:uid="{00000000-0005-0000-0000-0000BF630000}"/>
    <cellStyle name="Obliczenia 2 5 15" xfId="25529" xr:uid="{00000000-0005-0000-0000-0000C0630000}"/>
    <cellStyle name="Obliczenia 2 5 15 2" xfId="25530" xr:uid="{00000000-0005-0000-0000-0000C1630000}"/>
    <cellStyle name="Obliczenia 2 5 15 3" xfId="25531" xr:uid="{00000000-0005-0000-0000-0000C2630000}"/>
    <cellStyle name="Obliczenia 2 5 15 4" xfId="25532" xr:uid="{00000000-0005-0000-0000-0000C3630000}"/>
    <cellStyle name="Obliczenia 2 5 16" xfId="25533" xr:uid="{00000000-0005-0000-0000-0000C4630000}"/>
    <cellStyle name="Obliczenia 2 5 16 2" xfId="25534" xr:uid="{00000000-0005-0000-0000-0000C5630000}"/>
    <cellStyle name="Obliczenia 2 5 16 3" xfId="25535" xr:uid="{00000000-0005-0000-0000-0000C6630000}"/>
    <cellStyle name="Obliczenia 2 5 16 4" xfId="25536" xr:uid="{00000000-0005-0000-0000-0000C7630000}"/>
    <cellStyle name="Obliczenia 2 5 17" xfId="25537" xr:uid="{00000000-0005-0000-0000-0000C8630000}"/>
    <cellStyle name="Obliczenia 2 5 17 2" xfId="25538" xr:uid="{00000000-0005-0000-0000-0000C9630000}"/>
    <cellStyle name="Obliczenia 2 5 17 3" xfId="25539" xr:uid="{00000000-0005-0000-0000-0000CA630000}"/>
    <cellStyle name="Obliczenia 2 5 17 4" xfId="25540" xr:uid="{00000000-0005-0000-0000-0000CB630000}"/>
    <cellStyle name="Obliczenia 2 5 18" xfId="25541" xr:uid="{00000000-0005-0000-0000-0000CC630000}"/>
    <cellStyle name="Obliczenia 2 5 18 2" xfId="25542" xr:uid="{00000000-0005-0000-0000-0000CD630000}"/>
    <cellStyle name="Obliczenia 2 5 18 3" xfId="25543" xr:uid="{00000000-0005-0000-0000-0000CE630000}"/>
    <cellStyle name="Obliczenia 2 5 18 4" xfId="25544" xr:uid="{00000000-0005-0000-0000-0000CF630000}"/>
    <cellStyle name="Obliczenia 2 5 19" xfId="25545" xr:uid="{00000000-0005-0000-0000-0000D0630000}"/>
    <cellStyle name="Obliczenia 2 5 19 2" xfId="25546" xr:uid="{00000000-0005-0000-0000-0000D1630000}"/>
    <cellStyle name="Obliczenia 2 5 19 3" xfId="25547" xr:uid="{00000000-0005-0000-0000-0000D2630000}"/>
    <cellStyle name="Obliczenia 2 5 19 4" xfId="25548" xr:uid="{00000000-0005-0000-0000-0000D3630000}"/>
    <cellStyle name="Obliczenia 2 5 2" xfId="25549" xr:uid="{00000000-0005-0000-0000-0000D4630000}"/>
    <cellStyle name="Obliczenia 2 5 2 2" xfId="25550" xr:uid="{00000000-0005-0000-0000-0000D5630000}"/>
    <cellStyle name="Obliczenia 2 5 2 3" xfId="25551" xr:uid="{00000000-0005-0000-0000-0000D6630000}"/>
    <cellStyle name="Obliczenia 2 5 2 4" xfId="25552" xr:uid="{00000000-0005-0000-0000-0000D7630000}"/>
    <cellStyle name="Obliczenia 2 5 20" xfId="25553" xr:uid="{00000000-0005-0000-0000-0000D8630000}"/>
    <cellStyle name="Obliczenia 2 5 20 2" xfId="25554" xr:uid="{00000000-0005-0000-0000-0000D9630000}"/>
    <cellStyle name="Obliczenia 2 5 20 3" xfId="25555" xr:uid="{00000000-0005-0000-0000-0000DA630000}"/>
    <cellStyle name="Obliczenia 2 5 20 4" xfId="25556" xr:uid="{00000000-0005-0000-0000-0000DB630000}"/>
    <cellStyle name="Obliczenia 2 5 21" xfId="25557" xr:uid="{00000000-0005-0000-0000-0000DC630000}"/>
    <cellStyle name="Obliczenia 2 5 21 2" xfId="25558" xr:uid="{00000000-0005-0000-0000-0000DD630000}"/>
    <cellStyle name="Obliczenia 2 5 21 3" xfId="25559" xr:uid="{00000000-0005-0000-0000-0000DE630000}"/>
    <cellStyle name="Obliczenia 2 5 22" xfId="25560" xr:uid="{00000000-0005-0000-0000-0000DF630000}"/>
    <cellStyle name="Obliczenia 2 5 22 2" xfId="25561" xr:uid="{00000000-0005-0000-0000-0000E0630000}"/>
    <cellStyle name="Obliczenia 2 5 22 3" xfId="25562" xr:uid="{00000000-0005-0000-0000-0000E1630000}"/>
    <cellStyle name="Obliczenia 2 5 23" xfId="25563" xr:uid="{00000000-0005-0000-0000-0000E2630000}"/>
    <cellStyle name="Obliczenia 2 5 23 2" xfId="25564" xr:uid="{00000000-0005-0000-0000-0000E3630000}"/>
    <cellStyle name="Obliczenia 2 5 23 3" xfId="25565" xr:uid="{00000000-0005-0000-0000-0000E4630000}"/>
    <cellStyle name="Obliczenia 2 5 24" xfId="25566" xr:uid="{00000000-0005-0000-0000-0000E5630000}"/>
    <cellStyle name="Obliczenia 2 5 24 2" xfId="25567" xr:uid="{00000000-0005-0000-0000-0000E6630000}"/>
    <cellStyle name="Obliczenia 2 5 24 3" xfId="25568" xr:uid="{00000000-0005-0000-0000-0000E7630000}"/>
    <cellStyle name="Obliczenia 2 5 25" xfId="25569" xr:uid="{00000000-0005-0000-0000-0000E8630000}"/>
    <cellStyle name="Obliczenia 2 5 25 2" xfId="25570" xr:uid="{00000000-0005-0000-0000-0000E9630000}"/>
    <cellStyle name="Obliczenia 2 5 25 3" xfId="25571" xr:uid="{00000000-0005-0000-0000-0000EA630000}"/>
    <cellStyle name="Obliczenia 2 5 26" xfId="25572" xr:uid="{00000000-0005-0000-0000-0000EB630000}"/>
    <cellStyle name="Obliczenia 2 5 26 2" xfId="25573" xr:uid="{00000000-0005-0000-0000-0000EC630000}"/>
    <cellStyle name="Obliczenia 2 5 26 3" xfId="25574" xr:uid="{00000000-0005-0000-0000-0000ED630000}"/>
    <cellStyle name="Obliczenia 2 5 27" xfId="25575" xr:uid="{00000000-0005-0000-0000-0000EE630000}"/>
    <cellStyle name="Obliczenia 2 5 27 2" xfId="25576" xr:uid="{00000000-0005-0000-0000-0000EF630000}"/>
    <cellStyle name="Obliczenia 2 5 27 3" xfId="25577" xr:uid="{00000000-0005-0000-0000-0000F0630000}"/>
    <cellStyle name="Obliczenia 2 5 28" xfId="25578" xr:uid="{00000000-0005-0000-0000-0000F1630000}"/>
    <cellStyle name="Obliczenia 2 5 28 2" xfId="25579" xr:uid="{00000000-0005-0000-0000-0000F2630000}"/>
    <cellStyle name="Obliczenia 2 5 28 3" xfId="25580" xr:uid="{00000000-0005-0000-0000-0000F3630000}"/>
    <cellStyle name="Obliczenia 2 5 29" xfId="25581" xr:uid="{00000000-0005-0000-0000-0000F4630000}"/>
    <cellStyle name="Obliczenia 2 5 29 2" xfId="25582" xr:uid="{00000000-0005-0000-0000-0000F5630000}"/>
    <cellStyle name="Obliczenia 2 5 29 3" xfId="25583" xr:uid="{00000000-0005-0000-0000-0000F6630000}"/>
    <cellStyle name="Obliczenia 2 5 3" xfId="25584" xr:uid="{00000000-0005-0000-0000-0000F7630000}"/>
    <cellStyle name="Obliczenia 2 5 3 2" xfId="25585" xr:uid="{00000000-0005-0000-0000-0000F8630000}"/>
    <cellStyle name="Obliczenia 2 5 3 3" xfId="25586" xr:uid="{00000000-0005-0000-0000-0000F9630000}"/>
    <cellStyle name="Obliczenia 2 5 3 4" xfId="25587" xr:uid="{00000000-0005-0000-0000-0000FA630000}"/>
    <cellStyle name="Obliczenia 2 5 30" xfId="25588" xr:uid="{00000000-0005-0000-0000-0000FB630000}"/>
    <cellStyle name="Obliczenia 2 5 30 2" xfId="25589" xr:uid="{00000000-0005-0000-0000-0000FC630000}"/>
    <cellStyle name="Obliczenia 2 5 30 3" xfId="25590" xr:uid="{00000000-0005-0000-0000-0000FD630000}"/>
    <cellStyle name="Obliczenia 2 5 31" xfId="25591" xr:uid="{00000000-0005-0000-0000-0000FE630000}"/>
    <cellStyle name="Obliczenia 2 5 31 2" xfId="25592" xr:uid="{00000000-0005-0000-0000-0000FF630000}"/>
    <cellStyle name="Obliczenia 2 5 31 3" xfId="25593" xr:uid="{00000000-0005-0000-0000-000000640000}"/>
    <cellStyle name="Obliczenia 2 5 32" xfId="25594" xr:uid="{00000000-0005-0000-0000-000001640000}"/>
    <cellStyle name="Obliczenia 2 5 32 2" xfId="25595" xr:uid="{00000000-0005-0000-0000-000002640000}"/>
    <cellStyle name="Obliczenia 2 5 32 3" xfId="25596" xr:uid="{00000000-0005-0000-0000-000003640000}"/>
    <cellStyle name="Obliczenia 2 5 33" xfId="25597" xr:uid="{00000000-0005-0000-0000-000004640000}"/>
    <cellStyle name="Obliczenia 2 5 33 2" xfId="25598" xr:uid="{00000000-0005-0000-0000-000005640000}"/>
    <cellStyle name="Obliczenia 2 5 33 3" xfId="25599" xr:uid="{00000000-0005-0000-0000-000006640000}"/>
    <cellStyle name="Obliczenia 2 5 34" xfId="25600" xr:uid="{00000000-0005-0000-0000-000007640000}"/>
    <cellStyle name="Obliczenia 2 5 34 2" xfId="25601" xr:uid="{00000000-0005-0000-0000-000008640000}"/>
    <cellStyle name="Obliczenia 2 5 34 3" xfId="25602" xr:uid="{00000000-0005-0000-0000-000009640000}"/>
    <cellStyle name="Obliczenia 2 5 35" xfId="25603" xr:uid="{00000000-0005-0000-0000-00000A640000}"/>
    <cellStyle name="Obliczenia 2 5 35 2" xfId="25604" xr:uid="{00000000-0005-0000-0000-00000B640000}"/>
    <cellStyle name="Obliczenia 2 5 35 3" xfId="25605" xr:uid="{00000000-0005-0000-0000-00000C640000}"/>
    <cellStyle name="Obliczenia 2 5 36" xfId="25606" xr:uid="{00000000-0005-0000-0000-00000D640000}"/>
    <cellStyle name="Obliczenia 2 5 36 2" xfId="25607" xr:uid="{00000000-0005-0000-0000-00000E640000}"/>
    <cellStyle name="Obliczenia 2 5 36 3" xfId="25608" xr:uid="{00000000-0005-0000-0000-00000F640000}"/>
    <cellStyle name="Obliczenia 2 5 37" xfId="25609" xr:uid="{00000000-0005-0000-0000-000010640000}"/>
    <cellStyle name="Obliczenia 2 5 37 2" xfId="25610" xr:uid="{00000000-0005-0000-0000-000011640000}"/>
    <cellStyle name="Obliczenia 2 5 37 3" xfId="25611" xr:uid="{00000000-0005-0000-0000-000012640000}"/>
    <cellStyle name="Obliczenia 2 5 38" xfId="25612" xr:uid="{00000000-0005-0000-0000-000013640000}"/>
    <cellStyle name="Obliczenia 2 5 38 2" xfId="25613" xr:uid="{00000000-0005-0000-0000-000014640000}"/>
    <cellStyle name="Obliczenia 2 5 38 3" xfId="25614" xr:uid="{00000000-0005-0000-0000-000015640000}"/>
    <cellStyle name="Obliczenia 2 5 39" xfId="25615" xr:uid="{00000000-0005-0000-0000-000016640000}"/>
    <cellStyle name="Obliczenia 2 5 39 2" xfId="25616" xr:uid="{00000000-0005-0000-0000-000017640000}"/>
    <cellStyle name="Obliczenia 2 5 39 3" xfId="25617" xr:uid="{00000000-0005-0000-0000-000018640000}"/>
    <cellStyle name="Obliczenia 2 5 4" xfId="25618" xr:uid="{00000000-0005-0000-0000-000019640000}"/>
    <cellStyle name="Obliczenia 2 5 4 2" xfId="25619" xr:uid="{00000000-0005-0000-0000-00001A640000}"/>
    <cellStyle name="Obliczenia 2 5 4 3" xfId="25620" xr:uid="{00000000-0005-0000-0000-00001B640000}"/>
    <cellStyle name="Obliczenia 2 5 4 4" xfId="25621" xr:uid="{00000000-0005-0000-0000-00001C640000}"/>
    <cellStyle name="Obliczenia 2 5 40" xfId="25622" xr:uid="{00000000-0005-0000-0000-00001D640000}"/>
    <cellStyle name="Obliczenia 2 5 40 2" xfId="25623" xr:uid="{00000000-0005-0000-0000-00001E640000}"/>
    <cellStyle name="Obliczenia 2 5 40 3" xfId="25624" xr:uid="{00000000-0005-0000-0000-00001F640000}"/>
    <cellStyle name="Obliczenia 2 5 41" xfId="25625" xr:uid="{00000000-0005-0000-0000-000020640000}"/>
    <cellStyle name="Obliczenia 2 5 41 2" xfId="25626" xr:uid="{00000000-0005-0000-0000-000021640000}"/>
    <cellStyle name="Obliczenia 2 5 41 3" xfId="25627" xr:uid="{00000000-0005-0000-0000-000022640000}"/>
    <cellStyle name="Obliczenia 2 5 42" xfId="25628" xr:uid="{00000000-0005-0000-0000-000023640000}"/>
    <cellStyle name="Obliczenia 2 5 42 2" xfId="25629" xr:uid="{00000000-0005-0000-0000-000024640000}"/>
    <cellStyle name="Obliczenia 2 5 42 3" xfId="25630" xr:uid="{00000000-0005-0000-0000-000025640000}"/>
    <cellStyle name="Obliczenia 2 5 43" xfId="25631" xr:uid="{00000000-0005-0000-0000-000026640000}"/>
    <cellStyle name="Obliczenia 2 5 43 2" xfId="25632" xr:uid="{00000000-0005-0000-0000-000027640000}"/>
    <cellStyle name="Obliczenia 2 5 43 3" xfId="25633" xr:uid="{00000000-0005-0000-0000-000028640000}"/>
    <cellStyle name="Obliczenia 2 5 44" xfId="25634" xr:uid="{00000000-0005-0000-0000-000029640000}"/>
    <cellStyle name="Obliczenia 2 5 44 2" xfId="25635" xr:uid="{00000000-0005-0000-0000-00002A640000}"/>
    <cellStyle name="Obliczenia 2 5 44 3" xfId="25636" xr:uid="{00000000-0005-0000-0000-00002B640000}"/>
    <cellStyle name="Obliczenia 2 5 45" xfId="25637" xr:uid="{00000000-0005-0000-0000-00002C640000}"/>
    <cellStyle name="Obliczenia 2 5 45 2" xfId="25638" xr:uid="{00000000-0005-0000-0000-00002D640000}"/>
    <cellStyle name="Obliczenia 2 5 45 3" xfId="25639" xr:uid="{00000000-0005-0000-0000-00002E640000}"/>
    <cellStyle name="Obliczenia 2 5 46" xfId="25640" xr:uid="{00000000-0005-0000-0000-00002F640000}"/>
    <cellStyle name="Obliczenia 2 5 46 2" xfId="25641" xr:uid="{00000000-0005-0000-0000-000030640000}"/>
    <cellStyle name="Obliczenia 2 5 46 3" xfId="25642" xr:uid="{00000000-0005-0000-0000-000031640000}"/>
    <cellStyle name="Obliczenia 2 5 47" xfId="25643" xr:uid="{00000000-0005-0000-0000-000032640000}"/>
    <cellStyle name="Obliczenia 2 5 47 2" xfId="25644" xr:uid="{00000000-0005-0000-0000-000033640000}"/>
    <cellStyle name="Obliczenia 2 5 47 3" xfId="25645" xr:uid="{00000000-0005-0000-0000-000034640000}"/>
    <cellStyle name="Obliczenia 2 5 48" xfId="25646" xr:uid="{00000000-0005-0000-0000-000035640000}"/>
    <cellStyle name="Obliczenia 2 5 48 2" xfId="25647" xr:uid="{00000000-0005-0000-0000-000036640000}"/>
    <cellStyle name="Obliczenia 2 5 48 3" xfId="25648" xr:uid="{00000000-0005-0000-0000-000037640000}"/>
    <cellStyle name="Obliczenia 2 5 49" xfId="25649" xr:uid="{00000000-0005-0000-0000-000038640000}"/>
    <cellStyle name="Obliczenia 2 5 49 2" xfId="25650" xr:uid="{00000000-0005-0000-0000-000039640000}"/>
    <cellStyle name="Obliczenia 2 5 49 3" xfId="25651" xr:uid="{00000000-0005-0000-0000-00003A640000}"/>
    <cellStyle name="Obliczenia 2 5 5" xfId="25652" xr:uid="{00000000-0005-0000-0000-00003B640000}"/>
    <cellStyle name="Obliczenia 2 5 5 2" xfId="25653" xr:uid="{00000000-0005-0000-0000-00003C640000}"/>
    <cellStyle name="Obliczenia 2 5 5 3" xfId="25654" xr:uid="{00000000-0005-0000-0000-00003D640000}"/>
    <cellStyle name="Obliczenia 2 5 5 4" xfId="25655" xr:uid="{00000000-0005-0000-0000-00003E640000}"/>
    <cellStyle name="Obliczenia 2 5 50" xfId="25656" xr:uid="{00000000-0005-0000-0000-00003F640000}"/>
    <cellStyle name="Obliczenia 2 5 50 2" xfId="25657" xr:uid="{00000000-0005-0000-0000-000040640000}"/>
    <cellStyle name="Obliczenia 2 5 50 3" xfId="25658" xr:uid="{00000000-0005-0000-0000-000041640000}"/>
    <cellStyle name="Obliczenia 2 5 51" xfId="25659" xr:uid="{00000000-0005-0000-0000-000042640000}"/>
    <cellStyle name="Obliczenia 2 5 51 2" xfId="25660" xr:uid="{00000000-0005-0000-0000-000043640000}"/>
    <cellStyle name="Obliczenia 2 5 51 3" xfId="25661" xr:uid="{00000000-0005-0000-0000-000044640000}"/>
    <cellStyle name="Obliczenia 2 5 52" xfId="25662" xr:uid="{00000000-0005-0000-0000-000045640000}"/>
    <cellStyle name="Obliczenia 2 5 52 2" xfId="25663" xr:uid="{00000000-0005-0000-0000-000046640000}"/>
    <cellStyle name="Obliczenia 2 5 52 3" xfId="25664" xr:uid="{00000000-0005-0000-0000-000047640000}"/>
    <cellStyle name="Obliczenia 2 5 53" xfId="25665" xr:uid="{00000000-0005-0000-0000-000048640000}"/>
    <cellStyle name="Obliczenia 2 5 53 2" xfId="25666" xr:uid="{00000000-0005-0000-0000-000049640000}"/>
    <cellStyle name="Obliczenia 2 5 53 3" xfId="25667" xr:uid="{00000000-0005-0000-0000-00004A640000}"/>
    <cellStyle name="Obliczenia 2 5 54" xfId="25668" xr:uid="{00000000-0005-0000-0000-00004B640000}"/>
    <cellStyle name="Obliczenia 2 5 54 2" xfId="25669" xr:uid="{00000000-0005-0000-0000-00004C640000}"/>
    <cellStyle name="Obliczenia 2 5 54 3" xfId="25670" xr:uid="{00000000-0005-0000-0000-00004D640000}"/>
    <cellStyle name="Obliczenia 2 5 55" xfId="25671" xr:uid="{00000000-0005-0000-0000-00004E640000}"/>
    <cellStyle name="Obliczenia 2 5 55 2" xfId="25672" xr:uid="{00000000-0005-0000-0000-00004F640000}"/>
    <cellStyle name="Obliczenia 2 5 55 3" xfId="25673" xr:uid="{00000000-0005-0000-0000-000050640000}"/>
    <cellStyle name="Obliczenia 2 5 56" xfId="25674" xr:uid="{00000000-0005-0000-0000-000051640000}"/>
    <cellStyle name="Obliczenia 2 5 56 2" xfId="25675" xr:uid="{00000000-0005-0000-0000-000052640000}"/>
    <cellStyle name="Obliczenia 2 5 56 3" xfId="25676" xr:uid="{00000000-0005-0000-0000-000053640000}"/>
    <cellStyle name="Obliczenia 2 5 57" xfId="25677" xr:uid="{00000000-0005-0000-0000-000054640000}"/>
    <cellStyle name="Obliczenia 2 5 58" xfId="25678" xr:uid="{00000000-0005-0000-0000-000055640000}"/>
    <cellStyle name="Obliczenia 2 5 6" xfId="25679" xr:uid="{00000000-0005-0000-0000-000056640000}"/>
    <cellStyle name="Obliczenia 2 5 6 2" xfId="25680" xr:uid="{00000000-0005-0000-0000-000057640000}"/>
    <cellStyle name="Obliczenia 2 5 6 3" xfId="25681" xr:uid="{00000000-0005-0000-0000-000058640000}"/>
    <cellStyle name="Obliczenia 2 5 6 4" xfId="25682" xr:uid="{00000000-0005-0000-0000-000059640000}"/>
    <cellStyle name="Obliczenia 2 5 7" xfId="25683" xr:uid="{00000000-0005-0000-0000-00005A640000}"/>
    <cellStyle name="Obliczenia 2 5 7 2" xfId="25684" xr:uid="{00000000-0005-0000-0000-00005B640000}"/>
    <cellStyle name="Obliczenia 2 5 7 3" xfId="25685" xr:uid="{00000000-0005-0000-0000-00005C640000}"/>
    <cellStyle name="Obliczenia 2 5 7 4" xfId="25686" xr:uid="{00000000-0005-0000-0000-00005D640000}"/>
    <cellStyle name="Obliczenia 2 5 8" xfId="25687" xr:uid="{00000000-0005-0000-0000-00005E640000}"/>
    <cellStyle name="Obliczenia 2 5 8 2" xfId="25688" xr:uid="{00000000-0005-0000-0000-00005F640000}"/>
    <cellStyle name="Obliczenia 2 5 8 3" xfId="25689" xr:uid="{00000000-0005-0000-0000-000060640000}"/>
    <cellStyle name="Obliczenia 2 5 8 4" xfId="25690" xr:uid="{00000000-0005-0000-0000-000061640000}"/>
    <cellStyle name="Obliczenia 2 5 9" xfId="25691" xr:uid="{00000000-0005-0000-0000-000062640000}"/>
    <cellStyle name="Obliczenia 2 5 9 2" xfId="25692" xr:uid="{00000000-0005-0000-0000-000063640000}"/>
    <cellStyle name="Obliczenia 2 5 9 3" xfId="25693" xr:uid="{00000000-0005-0000-0000-000064640000}"/>
    <cellStyle name="Obliczenia 2 5 9 4" xfId="25694" xr:uid="{00000000-0005-0000-0000-000065640000}"/>
    <cellStyle name="Obliczenia 2 50" xfId="25695" xr:uid="{00000000-0005-0000-0000-000066640000}"/>
    <cellStyle name="Obliczenia 2 50 2" xfId="25696" xr:uid="{00000000-0005-0000-0000-000067640000}"/>
    <cellStyle name="Obliczenia 2 50 3" xfId="25697" xr:uid="{00000000-0005-0000-0000-000068640000}"/>
    <cellStyle name="Obliczenia 2 50 4" xfId="25698" xr:uid="{00000000-0005-0000-0000-000069640000}"/>
    <cellStyle name="Obliczenia 2 51" xfId="25699" xr:uid="{00000000-0005-0000-0000-00006A640000}"/>
    <cellStyle name="Obliczenia 2 51 2" xfId="25700" xr:uid="{00000000-0005-0000-0000-00006B640000}"/>
    <cellStyle name="Obliczenia 2 51 3" xfId="25701" xr:uid="{00000000-0005-0000-0000-00006C640000}"/>
    <cellStyle name="Obliczenia 2 51 4" xfId="25702" xr:uid="{00000000-0005-0000-0000-00006D640000}"/>
    <cellStyle name="Obliczenia 2 52" xfId="25703" xr:uid="{00000000-0005-0000-0000-00006E640000}"/>
    <cellStyle name="Obliczenia 2 52 2" xfId="25704" xr:uid="{00000000-0005-0000-0000-00006F640000}"/>
    <cellStyle name="Obliczenia 2 52 3" xfId="25705" xr:uid="{00000000-0005-0000-0000-000070640000}"/>
    <cellStyle name="Obliczenia 2 52 4" xfId="25706" xr:uid="{00000000-0005-0000-0000-000071640000}"/>
    <cellStyle name="Obliczenia 2 53" xfId="25707" xr:uid="{00000000-0005-0000-0000-000072640000}"/>
    <cellStyle name="Obliczenia 2 53 2" xfId="25708" xr:uid="{00000000-0005-0000-0000-000073640000}"/>
    <cellStyle name="Obliczenia 2 53 3" xfId="25709" xr:uid="{00000000-0005-0000-0000-000074640000}"/>
    <cellStyle name="Obliczenia 2 53 4" xfId="25710" xr:uid="{00000000-0005-0000-0000-000075640000}"/>
    <cellStyle name="Obliczenia 2 54" xfId="25711" xr:uid="{00000000-0005-0000-0000-000076640000}"/>
    <cellStyle name="Obliczenia 2 54 2" xfId="25712" xr:uid="{00000000-0005-0000-0000-000077640000}"/>
    <cellStyle name="Obliczenia 2 54 3" xfId="25713" xr:uid="{00000000-0005-0000-0000-000078640000}"/>
    <cellStyle name="Obliczenia 2 54 4" xfId="25714" xr:uid="{00000000-0005-0000-0000-000079640000}"/>
    <cellStyle name="Obliczenia 2 55" xfId="25715" xr:uid="{00000000-0005-0000-0000-00007A640000}"/>
    <cellStyle name="Obliczenia 2 55 2" xfId="25716" xr:uid="{00000000-0005-0000-0000-00007B640000}"/>
    <cellStyle name="Obliczenia 2 55 3" xfId="25717" xr:uid="{00000000-0005-0000-0000-00007C640000}"/>
    <cellStyle name="Obliczenia 2 55 4" xfId="25718" xr:uid="{00000000-0005-0000-0000-00007D640000}"/>
    <cellStyle name="Obliczenia 2 56" xfId="25719" xr:uid="{00000000-0005-0000-0000-00007E640000}"/>
    <cellStyle name="Obliczenia 2 56 2" xfId="25720" xr:uid="{00000000-0005-0000-0000-00007F640000}"/>
    <cellStyle name="Obliczenia 2 56 3" xfId="25721" xr:uid="{00000000-0005-0000-0000-000080640000}"/>
    <cellStyle name="Obliczenia 2 56 4" xfId="25722" xr:uid="{00000000-0005-0000-0000-000081640000}"/>
    <cellStyle name="Obliczenia 2 57" xfId="25723" xr:uid="{00000000-0005-0000-0000-000082640000}"/>
    <cellStyle name="Obliczenia 2 57 2" xfId="25724" xr:uid="{00000000-0005-0000-0000-000083640000}"/>
    <cellStyle name="Obliczenia 2 57 3" xfId="25725" xr:uid="{00000000-0005-0000-0000-000084640000}"/>
    <cellStyle name="Obliczenia 2 57 4" xfId="25726" xr:uid="{00000000-0005-0000-0000-000085640000}"/>
    <cellStyle name="Obliczenia 2 58" xfId="25727" xr:uid="{00000000-0005-0000-0000-000086640000}"/>
    <cellStyle name="Obliczenia 2 58 2" xfId="25728" xr:uid="{00000000-0005-0000-0000-000087640000}"/>
    <cellStyle name="Obliczenia 2 58 3" xfId="25729" xr:uid="{00000000-0005-0000-0000-000088640000}"/>
    <cellStyle name="Obliczenia 2 58 4" xfId="25730" xr:uid="{00000000-0005-0000-0000-000089640000}"/>
    <cellStyle name="Obliczenia 2 59" xfId="25731" xr:uid="{00000000-0005-0000-0000-00008A640000}"/>
    <cellStyle name="Obliczenia 2 59 2" xfId="25732" xr:uid="{00000000-0005-0000-0000-00008B640000}"/>
    <cellStyle name="Obliczenia 2 59 3" xfId="25733" xr:uid="{00000000-0005-0000-0000-00008C640000}"/>
    <cellStyle name="Obliczenia 2 59 4" xfId="25734" xr:uid="{00000000-0005-0000-0000-00008D640000}"/>
    <cellStyle name="Obliczenia 2 6" xfId="25735" xr:uid="{00000000-0005-0000-0000-00008E640000}"/>
    <cellStyle name="Obliczenia 2 6 10" xfId="25736" xr:uid="{00000000-0005-0000-0000-00008F640000}"/>
    <cellStyle name="Obliczenia 2 6 10 2" xfId="25737" xr:uid="{00000000-0005-0000-0000-000090640000}"/>
    <cellStyle name="Obliczenia 2 6 10 3" xfId="25738" xr:uid="{00000000-0005-0000-0000-000091640000}"/>
    <cellStyle name="Obliczenia 2 6 10 4" xfId="25739" xr:uid="{00000000-0005-0000-0000-000092640000}"/>
    <cellStyle name="Obliczenia 2 6 11" xfId="25740" xr:uid="{00000000-0005-0000-0000-000093640000}"/>
    <cellStyle name="Obliczenia 2 6 11 2" xfId="25741" xr:uid="{00000000-0005-0000-0000-000094640000}"/>
    <cellStyle name="Obliczenia 2 6 11 3" xfId="25742" xr:uid="{00000000-0005-0000-0000-000095640000}"/>
    <cellStyle name="Obliczenia 2 6 11 4" xfId="25743" xr:uid="{00000000-0005-0000-0000-000096640000}"/>
    <cellStyle name="Obliczenia 2 6 12" xfId="25744" xr:uid="{00000000-0005-0000-0000-000097640000}"/>
    <cellStyle name="Obliczenia 2 6 12 2" xfId="25745" xr:uid="{00000000-0005-0000-0000-000098640000}"/>
    <cellStyle name="Obliczenia 2 6 12 3" xfId="25746" xr:uid="{00000000-0005-0000-0000-000099640000}"/>
    <cellStyle name="Obliczenia 2 6 12 4" xfId="25747" xr:uid="{00000000-0005-0000-0000-00009A640000}"/>
    <cellStyle name="Obliczenia 2 6 13" xfId="25748" xr:uid="{00000000-0005-0000-0000-00009B640000}"/>
    <cellStyle name="Obliczenia 2 6 13 2" xfId="25749" xr:uid="{00000000-0005-0000-0000-00009C640000}"/>
    <cellStyle name="Obliczenia 2 6 13 3" xfId="25750" xr:uid="{00000000-0005-0000-0000-00009D640000}"/>
    <cellStyle name="Obliczenia 2 6 13 4" xfId="25751" xr:uid="{00000000-0005-0000-0000-00009E640000}"/>
    <cellStyle name="Obliczenia 2 6 14" xfId="25752" xr:uid="{00000000-0005-0000-0000-00009F640000}"/>
    <cellStyle name="Obliczenia 2 6 14 2" xfId="25753" xr:uid="{00000000-0005-0000-0000-0000A0640000}"/>
    <cellStyle name="Obliczenia 2 6 14 3" xfId="25754" xr:uid="{00000000-0005-0000-0000-0000A1640000}"/>
    <cellStyle name="Obliczenia 2 6 14 4" xfId="25755" xr:uid="{00000000-0005-0000-0000-0000A2640000}"/>
    <cellStyle name="Obliczenia 2 6 15" xfId="25756" xr:uid="{00000000-0005-0000-0000-0000A3640000}"/>
    <cellStyle name="Obliczenia 2 6 15 2" xfId="25757" xr:uid="{00000000-0005-0000-0000-0000A4640000}"/>
    <cellStyle name="Obliczenia 2 6 15 3" xfId="25758" xr:uid="{00000000-0005-0000-0000-0000A5640000}"/>
    <cellStyle name="Obliczenia 2 6 15 4" xfId="25759" xr:uid="{00000000-0005-0000-0000-0000A6640000}"/>
    <cellStyle name="Obliczenia 2 6 16" xfId="25760" xr:uid="{00000000-0005-0000-0000-0000A7640000}"/>
    <cellStyle name="Obliczenia 2 6 16 2" xfId="25761" xr:uid="{00000000-0005-0000-0000-0000A8640000}"/>
    <cellStyle name="Obliczenia 2 6 16 3" xfId="25762" xr:uid="{00000000-0005-0000-0000-0000A9640000}"/>
    <cellStyle name="Obliczenia 2 6 16 4" xfId="25763" xr:uid="{00000000-0005-0000-0000-0000AA640000}"/>
    <cellStyle name="Obliczenia 2 6 17" xfId="25764" xr:uid="{00000000-0005-0000-0000-0000AB640000}"/>
    <cellStyle name="Obliczenia 2 6 17 2" xfId="25765" xr:uid="{00000000-0005-0000-0000-0000AC640000}"/>
    <cellStyle name="Obliczenia 2 6 17 3" xfId="25766" xr:uid="{00000000-0005-0000-0000-0000AD640000}"/>
    <cellStyle name="Obliczenia 2 6 17 4" xfId="25767" xr:uid="{00000000-0005-0000-0000-0000AE640000}"/>
    <cellStyle name="Obliczenia 2 6 18" xfId="25768" xr:uid="{00000000-0005-0000-0000-0000AF640000}"/>
    <cellStyle name="Obliczenia 2 6 18 2" xfId="25769" xr:uid="{00000000-0005-0000-0000-0000B0640000}"/>
    <cellStyle name="Obliczenia 2 6 18 3" xfId="25770" xr:uid="{00000000-0005-0000-0000-0000B1640000}"/>
    <cellStyle name="Obliczenia 2 6 18 4" xfId="25771" xr:uid="{00000000-0005-0000-0000-0000B2640000}"/>
    <cellStyle name="Obliczenia 2 6 19" xfId="25772" xr:uid="{00000000-0005-0000-0000-0000B3640000}"/>
    <cellStyle name="Obliczenia 2 6 19 2" xfId="25773" xr:uid="{00000000-0005-0000-0000-0000B4640000}"/>
    <cellStyle name="Obliczenia 2 6 19 3" xfId="25774" xr:uid="{00000000-0005-0000-0000-0000B5640000}"/>
    <cellStyle name="Obliczenia 2 6 19 4" xfId="25775" xr:uid="{00000000-0005-0000-0000-0000B6640000}"/>
    <cellStyle name="Obliczenia 2 6 2" xfId="25776" xr:uid="{00000000-0005-0000-0000-0000B7640000}"/>
    <cellStyle name="Obliczenia 2 6 2 2" xfId="25777" xr:uid="{00000000-0005-0000-0000-0000B8640000}"/>
    <cellStyle name="Obliczenia 2 6 2 3" xfId="25778" xr:uid="{00000000-0005-0000-0000-0000B9640000}"/>
    <cellStyle name="Obliczenia 2 6 2 4" xfId="25779" xr:uid="{00000000-0005-0000-0000-0000BA640000}"/>
    <cellStyle name="Obliczenia 2 6 20" xfId="25780" xr:uid="{00000000-0005-0000-0000-0000BB640000}"/>
    <cellStyle name="Obliczenia 2 6 20 2" xfId="25781" xr:uid="{00000000-0005-0000-0000-0000BC640000}"/>
    <cellStyle name="Obliczenia 2 6 20 3" xfId="25782" xr:uid="{00000000-0005-0000-0000-0000BD640000}"/>
    <cellStyle name="Obliczenia 2 6 20 4" xfId="25783" xr:uid="{00000000-0005-0000-0000-0000BE640000}"/>
    <cellStyle name="Obliczenia 2 6 21" xfId="25784" xr:uid="{00000000-0005-0000-0000-0000BF640000}"/>
    <cellStyle name="Obliczenia 2 6 21 2" xfId="25785" xr:uid="{00000000-0005-0000-0000-0000C0640000}"/>
    <cellStyle name="Obliczenia 2 6 21 3" xfId="25786" xr:uid="{00000000-0005-0000-0000-0000C1640000}"/>
    <cellStyle name="Obliczenia 2 6 22" xfId="25787" xr:uid="{00000000-0005-0000-0000-0000C2640000}"/>
    <cellStyle name="Obliczenia 2 6 22 2" xfId="25788" xr:uid="{00000000-0005-0000-0000-0000C3640000}"/>
    <cellStyle name="Obliczenia 2 6 22 3" xfId="25789" xr:uid="{00000000-0005-0000-0000-0000C4640000}"/>
    <cellStyle name="Obliczenia 2 6 23" xfId="25790" xr:uid="{00000000-0005-0000-0000-0000C5640000}"/>
    <cellStyle name="Obliczenia 2 6 23 2" xfId="25791" xr:uid="{00000000-0005-0000-0000-0000C6640000}"/>
    <cellStyle name="Obliczenia 2 6 23 3" xfId="25792" xr:uid="{00000000-0005-0000-0000-0000C7640000}"/>
    <cellStyle name="Obliczenia 2 6 24" xfId="25793" xr:uid="{00000000-0005-0000-0000-0000C8640000}"/>
    <cellStyle name="Obliczenia 2 6 24 2" xfId="25794" xr:uid="{00000000-0005-0000-0000-0000C9640000}"/>
    <cellStyle name="Obliczenia 2 6 24 3" xfId="25795" xr:uid="{00000000-0005-0000-0000-0000CA640000}"/>
    <cellStyle name="Obliczenia 2 6 25" xfId="25796" xr:uid="{00000000-0005-0000-0000-0000CB640000}"/>
    <cellStyle name="Obliczenia 2 6 25 2" xfId="25797" xr:uid="{00000000-0005-0000-0000-0000CC640000}"/>
    <cellStyle name="Obliczenia 2 6 25 3" xfId="25798" xr:uid="{00000000-0005-0000-0000-0000CD640000}"/>
    <cellStyle name="Obliczenia 2 6 26" xfId="25799" xr:uid="{00000000-0005-0000-0000-0000CE640000}"/>
    <cellStyle name="Obliczenia 2 6 26 2" xfId="25800" xr:uid="{00000000-0005-0000-0000-0000CF640000}"/>
    <cellStyle name="Obliczenia 2 6 26 3" xfId="25801" xr:uid="{00000000-0005-0000-0000-0000D0640000}"/>
    <cellStyle name="Obliczenia 2 6 27" xfId="25802" xr:uid="{00000000-0005-0000-0000-0000D1640000}"/>
    <cellStyle name="Obliczenia 2 6 27 2" xfId="25803" xr:uid="{00000000-0005-0000-0000-0000D2640000}"/>
    <cellStyle name="Obliczenia 2 6 27 3" xfId="25804" xr:uid="{00000000-0005-0000-0000-0000D3640000}"/>
    <cellStyle name="Obliczenia 2 6 28" xfId="25805" xr:uid="{00000000-0005-0000-0000-0000D4640000}"/>
    <cellStyle name="Obliczenia 2 6 28 2" xfId="25806" xr:uid="{00000000-0005-0000-0000-0000D5640000}"/>
    <cellStyle name="Obliczenia 2 6 28 3" xfId="25807" xr:uid="{00000000-0005-0000-0000-0000D6640000}"/>
    <cellStyle name="Obliczenia 2 6 29" xfId="25808" xr:uid="{00000000-0005-0000-0000-0000D7640000}"/>
    <cellStyle name="Obliczenia 2 6 29 2" xfId="25809" xr:uid="{00000000-0005-0000-0000-0000D8640000}"/>
    <cellStyle name="Obliczenia 2 6 29 3" xfId="25810" xr:uid="{00000000-0005-0000-0000-0000D9640000}"/>
    <cellStyle name="Obliczenia 2 6 3" xfId="25811" xr:uid="{00000000-0005-0000-0000-0000DA640000}"/>
    <cellStyle name="Obliczenia 2 6 3 2" xfId="25812" xr:uid="{00000000-0005-0000-0000-0000DB640000}"/>
    <cellStyle name="Obliczenia 2 6 3 3" xfId="25813" xr:uid="{00000000-0005-0000-0000-0000DC640000}"/>
    <cellStyle name="Obliczenia 2 6 3 4" xfId="25814" xr:uid="{00000000-0005-0000-0000-0000DD640000}"/>
    <cellStyle name="Obliczenia 2 6 30" xfId="25815" xr:uid="{00000000-0005-0000-0000-0000DE640000}"/>
    <cellStyle name="Obliczenia 2 6 30 2" xfId="25816" xr:uid="{00000000-0005-0000-0000-0000DF640000}"/>
    <cellStyle name="Obliczenia 2 6 30 3" xfId="25817" xr:uid="{00000000-0005-0000-0000-0000E0640000}"/>
    <cellStyle name="Obliczenia 2 6 31" xfId="25818" xr:uid="{00000000-0005-0000-0000-0000E1640000}"/>
    <cellStyle name="Obliczenia 2 6 31 2" xfId="25819" xr:uid="{00000000-0005-0000-0000-0000E2640000}"/>
    <cellStyle name="Obliczenia 2 6 31 3" xfId="25820" xr:uid="{00000000-0005-0000-0000-0000E3640000}"/>
    <cellStyle name="Obliczenia 2 6 32" xfId="25821" xr:uid="{00000000-0005-0000-0000-0000E4640000}"/>
    <cellStyle name="Obliczenia 2 6 32 2" xfId="25822" xr:uid="{00000000-0005-0000-0000-0000E5640000}"/>
    <cellStyle name="Obliczenia 2 6 32 3" xfId="25823" xr:uid="{00000000-0005-0000-0000-0000E6640000}"/>
    <cellStyle name="Obliczenia 2 6 33" xfId="25824" xr:uid="{00000000-0005-0000-0000-0000E7640000}"/>
    <cellStyle name="Obliczenia 2 6 33 2" xfId="25825" xr:uid="{00000000-0005-0000-0000-0000E8640000}"/>
    <cellStyle name="Obliczenia 2 6 33 3" xfId="25826" xr:uid="{00000000-0005-0000-0000-0000E9640000}"/>
    <cellStyle name="Obliczenia 2 6 34" xfId="25827" xr:uid="{00000000-0005-0000-0000-0000EA640000}"/>
    <cellStyle name="Obliczenia 2 6 34 2" xfId="25828" xr:uid="{00000000-0005-0000-0000-0000EB640000}"/>
    <cellStyle name="Obliczenia 2 6 34 3" xfId="25829" xr:uid="{00000000-0005-0000-0000-0000EC640000}"/>
    <cellStyle name="Obliczenia 2 6 35" xfId="25830" xr:uid="{00000000-0005-0000-0000-0000ED640000}"/>
    <cellStyle name="Obliczenia 2 6 35 2" xfId="25831" xr:uid="{00000000-0005-0000-0000-0000EE640000}"/>
    <cellStyle name="Obliczenia 2 6 35 3" xfId="25832" xr:uid="{00000000-0005-0000-0000-0000EF640000}"/>
    <cellStyle name="Obliczenia 2 6 36" xfId="25833" xr:uid="{00000000-0005-0000-0000-0000F0640000}"/>
    <cellStyle name="Obliczenia 2 6 36 2" xfId="25834" xr:uid="{00000000-0005-0000-0000-0000F1640000}"/>
    <cellStyle name="Obliczenia 2 6 36 3" xfId="25835" xr:uid="{00000000-0005-0000-0000-0000F2640000}"/>
    <cellStyle name="Obliczenia 2 6 37" xfId="25836" xr:uid="{00000000-0005-0000-0000-0000F3640000}"/>
    <cellStyle name="Obliczenia 2 6 37 2" xfId="25837" xr:uid="{00000000-0005-0000-0000-0000F4640000}"/>
    <cellStyle name="Obliczenia 2 6 37 3" xfId="25838" xr:uid="{00000000-0005-0000-0000-0000F5640000}"/>
    <cellStyle name="Obliczenia 2 6 38" xfId="25839" xr:uid="{00000000-0005-0000-0000-0000F6640000}"/>
    <cellStyle name="Obliczenia 2 6 38 2" xfId="25840" xr:uid="{00000000-0005-0000-0000-0000F7640000}"/>
    <cellStyle name="Obliczenia 2 6 38 3" xfId="25841" xr:uid="{00000000-0005-0000-0000-0000F8640000}"/>
    <cellStyle name="Obliczenia 2 6 39" xfId="25842" xr:uid="{00000000-0005-0000-0000-0000F9640000}"/>
    <cellStyle name="Obliczenia 2 6 39 2" xfId="25843" xr:uid="{00000000-0005-0000-0000-0000FA640000}"/>
    <cellStyle name="Obliczenia 2 6 39 3" xfId="25844" xr:uid="{00000000-0005-0000-0000-0000FB640000}"/>
    <cellStyle name="Obliczenia 2 6 4" xfId="25845" xr:uid="{00000000-0005-0000-0000-0000FC640000}"/>
    <cellStyle name="Obliczenia 2 6 4 2" xfId="25846" xr:uid="{00000000-0005-0000-0000-0000FD640000}"/>
    <cellStyle name="Obliczenia 2 6 4 3" xfId="25847" xr:uid="{00000000-0005-0000-0000-0000FE640000}"/>
    <cellStyle name="Obliczenia 2 6 4 4" xfId="25848" xr:uid="{00000000-0005-0000-0000-0000FF640000}"/>
    <cellStyle name="Obliczenia 2 6 40" xfId="25849" xr:uid="{00000000-0005-0000-0000-000000650000}"/>
    <cellStyle name="Obliczenia 2 6 40 2" xfId="25850" xr:uid="{00000000-0005-0000-0000-000001650000}"/>
    <cellStyle name="Obliczenia 2 6 40 3" xfId="25851" xr:uid="{00000000-0005-0000-0000-000002650000}"/>
    <cellStyle name="Obliczenia 2 6 41" xfId="25852" xr:uid="{00000000-0005-0000-0000-000003650000}"/>
    <cellStyle name="Obliczenia 2 6 41 2" xfId="25853" xr:uid="{00000000-0005-0000-0000-000004650000}"/>
    <cellStyle name="Obliczenia 2 6 41 3" xfId="25854" xr:uid="{00000000-0005-0000-0000-000005650000}"/>
    <cellStyle name="Obliczenia 2 6 42" xfId="25855" xr:uid="{00000000-0005-0000-0000-000006650000}"/>
    <cellStyle name="Obliczenia 2 6 42 2" xfId="25856" xr:uid="{00000000-0005-0000-0000-000007650000}"/>
    <cellStyle name="Obliczenia 2 6 42 3" xfId="25857" xr:uid="{00000000-0005-0000-0000-000008650000}"/>
    <cellStyle name="Obliczenia 2 6 43" xfId="25858" xr:uid="{00000000-0005-0000-0000-000009650000}"/>
    <cellStyle name="Obliczenia 2 6 43 2" xfId="25859" xr:uid="{00000000-0005-0000-0000-00000A650000}"/>
    <cellStyle name="Obliczenia 2 6 43 3" xfId="25860" xr:uid="{00000000-0005-0000-0000-00000B650000}"/>
    <cellStyle name="Obliczenia 2 6 44" xfId="25861" xr:uid="{00000000-0005-0000-0000-00000C650000}"/>
    <cellStyle name="Obliczenia 2 6 44 2" xfId="25862" xr:uid="{00000000-0005-0000-0000-00000D650000}"/>
    <cellStyle name="Obliczenia 2 6 44 3" xfId="25863" xr:uid="{00000000-0005-0000-0000-00000E650000}"/>
    <cellStyle name="Obliczenia 2 6 45" xfId="25864" xr:uid="{00000000-0005-0000-0000-00000F650000}"/>
    <cellStyle name="Obliczenia 2 6 45 2" xfId="25865" xr:uid="{00000000-0005-0000-0000-000010650000}"/>
    <cellStyle name="Obliczenia 2 6 45 3" xfId="25866" xr:uid="{00000000-0005-0000-0000-000011650000}"/>
    <cellStyle name="Obliczenia 2 6 46" xfId="25867" xr:uid="{00000000-0005-0000-0000-000012650000}"/>
    <cellStyle name="Obliczenia 2 6 46 2" xfId="25868" xr:uid="{00000000-0005-0000-0000-000013650000}"/>
    <cellStyle name="Obliczenia 2 6 46 3" xfId="25869" xr:uid="{00000000-0005-0000-0000-000014650000}"/>
    <cellStyle name="Obliczenia 2 6 47" xfId="25870" xr:uid="{00000000-0005-0000-0000-000015650000}"/>
    <cellStyle name="Obliczenia 2 6 47 2" xfId="25871" xr:uid="{00000000-0005-0000-0000-000016650000}"/>
    <cellStyle name="Obliczenia 2 6 47 3" xfId="25872" xr:uid="{00000000-0005-0000-0000-000017650000}"/>
    <cellStyle name="Obliczenia 2 6 48" xfId="25873" xr:uid="{00000000-0005-0000-0000-000018650000}"/>
    <cellStyle name="Obliczenia 2 6 48 2" xfId="25874" xr:uid="{00000000-0005-0000-0000-000019650000}"/>
    <cellStyle name="Obliczenia 2 6 48 3" xfId="25875" xr:uid="{00000000-0005-0000-0000-00001A650000}"/>
    <cellStyle name="Obliczenia 2 6 49" xfId="25876" xr:uid="{00000000-0005-0000-0000-00001B650000}"/>
    <cellStyle name="Obliczenia 2 6 49 2" xfId="25877" xr:uid="{00000000-0005-0000-0000-00001C650000}"/>
    <cellStyle name="Obliczenia 2 6 49 3" xfId="25878" xr:uid="{00000000-0005-0000-0000-00001D650000}"/>
    <cellStyle name="Obliczenia 2 6 5" xfId="25879" xr:uid="{00000000-0005-0000-0000-00001E650000}"/>
    <cellStyle name="Obliczenia 2 6 5 2" xfId="25880" xr:uid="{00000000-0005-0000-0000-00001F650000}"/>
    <cellStyle name="Obliczenia 2 6 5 3" xfId="25881" xr:uid="{00000000-0005-0000-0000-000020650000}"/>
    <cellStyle name="Obliczenia 2 6 5 4" xfId="25882" xr:uid="{00000000-0005-0000-0000-000021650000}"/>
    <cellStyle name="Obliczenia 2 6 50" xfId="25883" xr:uid="{00000000-0005-0000-0000-000022650000}"/>
    <cellStyle name="Obliczenia 2 6 50 2" xfId="25884" xr:uid="{00000000-0005-0000-0000-000023650000}"/>
    <cellStyle name="Obliczenia 2 6 50 3" xfId="25885" xr:uid="{00000000-0005-0000-0000-000024650000}"/>
    <cellStyle name="Obliczenia 2 6 51" xfId="25886" xr:uid="{00000000-0005-0000-0000-000025650000}"/>
    <cellStyle name="Obliczenia 2 6 51 2" xfId="25887" xr:uid="{00000000-0005-0000-0000-000026650000}"/>
    <cellStyle name="Obliczenia 2 6 51 3" xfId="25888" xr:uid="{00000000-0005-0000-0000-000027650000}"/>
    <cellStyle name="Obliczenia 2 6 52" xfId="25889" xr:uid="{00000000-0005-0000-0000-000028650000}"/>
    <cellStyle name="Obliczenia 2 6 52 2" xfId="25890" xr:uid="{00000000-0005-0000-0000-000029650000}"/>
    <cellStyle name="Obliczenia 2 6 52 3" xfId="25891" xr:uid="{00000000-0005-0000-0000-00002A650000}"/>
    <cellStyle name="Obliczenia 2 6 53" xfId="25892" xr:uid="{00000000-0005-0000-0000-00002B650000}"/>
    <cellStyle name="Obliczenia 2 6 53 2" xfId="25893" xr:uid="{00000000-0005-0000-0000-00002C650000}"/>
    <cellStyle name="Obliczenia 2 6 53 3" xfId="25894" xr:uid="{00000000-0005-0000-0000-00002D650000}"/>
    <cellStyle name="Obliczenia 2 6 54" xfId="25895" xr:uid="{00000000-0005-0000-0000-00002E650000}"/>
    <cellStyle name="Obliczenia 2 6 54 2" xfId="25896" xr:uid="{00000000-0005-0000-0000-00002F650000}"/>
    <cellStyle name="Obliczenia 2 6 54 3" xfId="25897" xr:uid="{00000000-0005-0000-0000-000030650000}"/>
    <cellStyle name="Obliczenia 2 6 55" xfId="25898" xr:uid="{00000000-0005-0000-0000-000031650000}"/>
    <cellStyle name="Obliczenia 2 6 55 2" xfId="25899" xr:uid="{00000000-0005-0000-0000-000032650000}"/>
    <cellStyle name="Obliczenia 2 6 55 3" xfId="25900" xr:uid="{00000000-0005-0000-0000-000033650000}"/>
    <cellStyle name="Obliczenia 2 6 56" xfId="25901" xr:uid="{00000000-0005-0000-0000-000034650000}"/>
    <cellStyle name="Obliczenia 2 6 56 2" xfId="25902" xr:uid="{00000000-0005-0000-0000-000035650000}"/>
    <cellStyle name="Obliczenia 2 6 56 3" xfId="25903" xr:uid="{00000000-0005-0000-0000-000036650000}"/>
    <cellStyle name="Obliczenia 2 6 57" xfId="25904" xr:uid="{00000000-0005-0000-0000-000037650000}"/>
    <cellStyle name="Obliczenia 2 6 58" xfId="25905" xr:uid="{00000000-0005-0000-0000-000038650000}"/>
    <cellStyle name="Obliczenia 2 6 6" xfId="25906" xr:uid="{00000000-0005-0000-0000-000039650000}"/>
    <cellStyle name="Obliczenia 2 6 6 2" xfId="25907" xr:uid="{00000000-0005-0000-0000-00003A650000}"/>
    <cellStyle name="Obliczenia 2 6 6 3" xfId="25908" xr:uid="{00000000-0005-0000-0000-00003B650000}"/>
    <cellStyle name="Obliczenia 2 6 6 4" xfId="25909" xr:uid="{00000000-0005-0000-0000-00003C650000}"/>
    <cellStyle name="Obliczenia 2 6 7" xfId="25910" xr:uid="{00000000-0005-0000-0000-00003D650000}"/>
    <cellStyle name="Obliczenia 2 6 7 2" xfId="25911" xr:uid="{00000000-0005-0000-0000-00003E650000}"/>
    <cellStyle name="Obliczenia 2 6 7 3" xfId="25912" xr:uid="{00000000-0005-0000-0000-00003F650000}"/>
    <cellStyle name="Obliczenia 2 6 7 4" xfId="25913" xr:uid="{00000000-0005-0000-0000-000040650000}"/>
    <cellStyle name="Obliczenia 2 6 8" xfId="25914" xr:uid="{00000000-0005-0000-0000-000041650000}"/>
    <cellStyle name="Obliczenia 2 6 8 2" xfId="25915" xr:uid="{00000000-0005-0000-0000-000042650000}"/>
    <cellStyle name="Obliczenia 2 6 8 3" xfId="25916" xr:uid="{00000000-0005-0000-0000-000043650000}"/>
    <cellStyle name="Obliczenia 2 6 8 4" xfId="25917" xr:uid="{00000000-0005-0000-0000-000044650000}"/>
    <cellStyle name="Obliczenia 2 6 9" xfId="25918" xr:uid="{00000000-0005-0000-0000-000045650000}"/>
    <cellStyle name="Obliczenia 2 6 9 2" xfId="25919" xr:uid="{00000000-0005-0000-0000-000046650000}"/>
    <cellStyle name="Obliczenia 2 6 9 3" xfId="25920" xr:uid="{00000000-0005-0000-0000-000047650000}"/>
    <cellStyle name="Obliczenia 2 6 9 4" xfId="25921" xr:uid="{00000000-0005-0000-0000-000048650000}"/>
    <cellStyle name="Obliczenia 2 60" xfId="25922" xr:uid="{00000000-0005-0000-0000-000049650000}"/>
    <cellStyle name="Obliczenia 2 60 2" xfId="25923" xr:uid="{00000000-0005-0000-0000-00004A650000}"/>
    <cellStyle name="Obliczenia 2 60 3" xfId="25924" xr:uid="{00000000-0005-0000-0000-00004B650000}"/>
    <cellStyle name="Obliczenia 2 60 4" xfId="25925" xr:uid="{00000000-0005-0000-0000-00004C650000}"/>
    <cellStyle name="Obliczenia 2 61" xfId="25926" xr:uid="{00000000-0005-0000-0000-00004D650000}"/>
    <cellStyle name="Obliczenia 2 61 2" xfId="25927" xr:uid="{00000000-0005-0000-0000-00004E650000}"/>
    <cellStyle name="Obliczenia 2 61 3" xfId="25928" xr:uid="{00000000-0005-0000-0000-00004F650000}"/>
    <cellStyle name="Obliczenia 2 61 4" xfId="25929" xr:uid="{00000000-0005-0000-0000-000050650000}"/>
    <cellStyle name="Obliczenia 2 62" xfId="25930" xr:uid="{00000000-0005-0000-0000-000051650000}"/>
    <cellStyle name="Obliczenia 2 62 2" xfId="25931" xr:uid="{00000000-0005-0000-0000-000052650000}"/>
    <cellStyle name="Obliczenia 2 62 3" xfId="25932" xr:uid="{00000000-0005-0000-0000-000053650000}"/>
    <cellStyle name="Obliczenia 2 62 4" xfId="25933" xr:uid="{00000000-0005-0000-0000-000054650000}"/>
    <cellStyle name="Obliczenia 2 63" xfId="25934" xr:uid="{00000000-0005-0000-0000-000055650000}"/>
    <cellStyle name="Obliczenia 2 63 2" xfId="25935" xr:uid="{00000000-0005-0000-0000-000056650000}"/>
    <cellStyle name="Obliczenia 2 63 3" xfId="25936" xr:uid="{00000000-0005-0000-0000-000057650000}"/>
    <cellStyle name="Obliczenia 2 63 4" xfId="25937" xr:uid="{00000000-0005-0000-0000-000058650000}"/>
    <cellStyle name="Obliczenia 2 64" xfId="25938" xr:uid="{00000000-0005-0000-0000-000059650000}"/>
    <cellStyle name="Obliczenia 2 64 2" xfId="25939" xr:uid="{00000000-0005-0000-0000-00005A650000}"/>
    <cellStyle name="Obliczenia 2 64 3" xfId="25940" xr:uid="{00000000-0005-0000-0000-00005B650000}"/>
    <cellStyle name="Obliczenia 2 64 4" xfId="25941" xr:uid="{00000000-0005-0000-0000-00005C650000}"/>
    <cellStyle name="Obliczenia 2 65" xfId="25942" xr:uid="{00000000-0005-0000-0000-00005D650000}"/>
    <cellStyle name="Obliczenia 2 65 2" xfId="25943" xr:uid="{00000000-0005-0000-0000-00005E650000}"/>
    <cellStyle name="Obliczenia 2 65 3" xfId="25944" xr:uid="{00000000-0005-0000-0000-00005F650000}"/>
    <cellStyle name="Obliczenia 2 65 4" xfId="25945" xr:uid="{00000000-0005-0000-0000-000060650000}"/>
    <cellStyle name="Obliczenia 2 66" xfId="25946" xr:uid="{00000000-0005-0000-0000-000061650000}"/>
    <cellStyle name="Obliczenia 2 66 2" xfId="25947" xr:uid="{00000000-0005-0000-0000-000062650000}"/>
    <cellStyle name="Obliczenia 2 66 3" xfId="25948" xr:uid="{00000000-0005-0000-0000-000063650000}"/>
    <cellStyle name="Obliczenia 2 66 4" xfId="25949" xr:uid="{00000000-0005-0000-0000-000064650000}"/>
    <cellStyle name="Obliczenia 2 67" xfId="25950" xr:uid="{00000000-0005-0000-0000-000065650000}"/>
    <cellStyle name="Obliczenia 2 67 2" xfId="25951" xr:uid="{00000000-0005-0000-0000-000066650000}"/>
    <cellStyle name="Obliczenia 2 67 3" xfId="25952" xr:uid="{00000000-0005-0000-0000-000067650000}"/>
    <cellStyle name="Obliczenia 2 68" xfId="25953" xr:uid="{00000000-0005-0000-0000-000068650000}"/>
    <cellStyle name="Obliczenia 2 68 2" xfId="25954" xr:uid="{00000000-0005-0000-0000-000069650000}"/>
    <cellStyle name="Obliczenia 2 68 3" xfId="25955" xr:uid="{00000000-0005-0000-0000-00006A650000}"/>
    <cellStyle name="Obliczenia 2 69" xfId="25956" xr:uid="{00000000-0005-0000-0000-00006B650000}"/>
    <cellStyle name="Obliczenia 2 69 2" xfId="25957" xr:uid="{00000000-0005-0000-0000-00006C650000}"/>
    <cellStyle name="Obliczenia 2 69 3" xfId="25958" xr:uid="{00000000-0005-0000-0000-00006D650000}"/>
    <cellStyle name="Obliczenia 2 7" xfId="25959" xr:uid="{00000000-0005-0000-0000-00006E650000}"/>
    <cellStyle name="Obliczenia 2 7 10" xfId="25960" xr:uid="{00000000-0005-0000-0000-00006F650000}"/>
    <cellStyle name="Obliczenia 2 7 10 2" xfId="25961" xr:uid="{00000000-0005-0000-0000-000070650000}"/>
    <cellStyle name="Obliczenia 2 7 10 3" xfId="25962" xr:uid="{00000000-0005-0000-0000-000071650000}"/>
    <cellStyle name="Obliczenia 2 7 10 4" xfId="25963" xr:uid="{00000000-0005-0000-0000-000072650000}"/>
    <cellStyle name="Obliczenia 2 7 11" xfId="25964" xr:uid="{00000000-0005-0000-0000-000073650000}"/>
    <cellStyle name="Obliczenia 2 7 11 2" xfId="25965" xr:uid="{00000000-0005-0000-0000-000074650000}"/>
    <cellStyle name="Obliczenia 2 7 11 3" xfId="25966" xr:uid="{00000000-0005-0000-0000-000075650000}"/>
    <cellStyle name="Obliczenia 2 7 11 4" xfId="25967" xr:uid="{00000000-0005-0000-0000-000076650000}"/>
    <cellStyle name="Obliczenia 2 7 12" xfId="25968" xr:uid="{00000000-0005-0000-0000-000077650000}"/>
    <cellStyle name="Obliczenia 2 7 12 2" xfId="25969" xr:uid="{00000000-0005-0000-0000-000078650000}"/>
    <cellStyle name="Obliczenia 2 7 12 3" xfId="25970" xr:uid="{00000000-0005-0000-0000-000079650000}"/>
    <cellStyle name="Obliczenia 2 7 12 4" xfId="25971" xr:uid="{00000000-0005-0000-0000-00007A650000}"/>
    <cellStyle name="Obliczenia 2 7 13" xfId="25972" xr:uid="{00000000-0005-0000-0000-00007B650000}"/>
    <cellStyle name="Obliczenia 2 7 13 2" xfId="25973" xr:uid="{00000000-0005-0000-0000-00007C650000}"/>
    <cellStyle name="Obliczenia 2 7 13 3" xfId="25974" xr:uid="{00000000-0005-0000-0000-00007D650000}"/>
    <cellStyle name="Obliczenia 2 7 13 4" xfId="25975" xr:uid="{00000000-0005-0000-0000-00007E650000}"/>
    <cellStyle name="Obliczenia 2 7 14" xfId="25976" xr:uid="{00000000-0005-0000-0000-00007F650000}"/>
    <cellStyle name="Obliczenia 2 7 14 2" xfId="25977" xr:uid="{00000000-0005-0000-0000-000080650000}"/>
    <cellStyle name="Obliczenia 2 7 14 3" xfId="25978" xr:uid="{00000000-0005-0000-0000-000081650000}"/>
    <cellStyle name="Obliczenia 2 7 14 4" xfId="25979" xr:uid="{00000000-0005-0000-0000-000082650000}"/>
    <cellStyle name="Obliczenia 2 7 15" xfId="25980" xr:uid="{00000000-0005-0000-0000-000083650000}"/>
    <cellStyle name="Obliczenia 2 7 15 2" xfId="25981" xr:uid="{00000000-0005-0000-0000-000084650000}"/>
    <cellStyle name="Obliczenia 2 7 15 3" xfId="25982" xr:uid="{00000000-0005-0000-0000-000085650000}"/>
    <cellStyle name="Obliczenia 2 7 15 4" xfId="25983" xr:uid="{00000000-0005-0000-0000-000086650000}"/>
    <cellStyle name="Obliczenia 2 7 16" xfId="25984" xr:uid="{00000000-0005-0000-0000-000087650000}"/>
    <cellStyle name="Obliczenia 2 7 16 2" xfId="25985" xr:uid="{00000000-0005-0000-0000-000088650000}"/>
    <cellStyle name="Obliczenia 2 7 16 3" xfId="25986" xr:uid="{00000000-0005-0000-0000-000089650000}"/>
    <cellStyle name="Obliczenia 2 7 16 4" xfId="25987" xr:uid="{00000000-0005-0000-0000-00008A650000}"/>
    <cellStyle name="Obliczenia 2 7 17" xfId="25988" xr:uid="{00000000-0005-0000-0000-00008B650000}"/>
    <cellStyle name="Obliczenia 2 7 17 2" xfId="25989" xr:uid="{00000000-0005-0000-0000-00008C650000}"/>
    <cellStyle name="Obliczenia 2 7 17 3" xfId="25990" xr:uid="{00000000-0005-0000-0000-00008D650000}"/>
    <cellStyle name="Obliczenia 2 7 17 4" xfId="25991" xr:uid="{00000000-0005-0000-0000-00008E650000}"/>
    <cellStyle name="Obliczenia 2 7 18" xfId="25992" xr:uid="{00000000-0005-0000-0000-00008F650000}"/>
    <cellStyle name="Obliczenia 2 7 18 2" xfId="25993" xr:uid="{00000000-0005-0000-0000-000090650000}"/>
    <cellStyle name="Obliczenia 2 7 18 3" xfId="25994" xr:uid="{00000000-0005-0000-0000-000091650000}"/>
    <cellStyle name="Obliczenia 2 7 18 4" xfId="25995" xr:uid="{00000000-0005-0000-0000-000092650000}"/>
    <cellStyle name="Obliczenia 2 7 19" xfId="25996" xr:uid="{00000000-0005-0000-0000-000093650000}"/>
    <cellStyle name="Obliczenia 2 7 19 2" xfId="25997" xr:uid="{00000000-0005-0000-0000-000094650000}"/>
    <cellStyle name="Obliczenia 2 7 19 3" xfId="25998" xr:uid="{00000000-0005-0000-0000-000095650000}"/>
    <cellStyle name="Obliczenia 2 7 19 4" xfId="25999" xr:uid="{00000000-0005-0000-0000-000096650000}"/>
    <cellStyle name="Obliczenia 2 7 2" xfId="26000" xr:uid="{00000000-0005-0000-0000-000097650000}"/>
    <cellStyle name="Obliczenia 2 7 2 2" xfId="26001" xr:uid="{00000000-0005-0000-0000-000098650000}"/>
    <cellStyle name="Obliczenia 2 7 2 3" xfId="26002" xr:uid="{00000000-0005-0000-0000-000099650000}"/>
    <cellStyle name="Obliczenia 2 7 2 4" xfId="26003" xr:uid="{00000000-0005-0000-0000-00009A650000}"/>
    <cellStyle name="Obliczenia 2 7 20" xfId="26004" xr:uid="{00000000-0005-0000-0000-00009B650000}"/>
    <cellStyle name="Obliczenia 2 7 20 2" xfId="26005" xr:uid="{00000000-0005-0000-0000-00009C650000}"/>
    <cellStyle name="Obliczenia 2 7 20 3" xfId="26006" xr:uid="{00000000-0005-0000-0000-00009D650000}"/>
    <cellStyle name="Obliczenia 2 7 20 4" xfId="26007" xr:uid="{00000000-0005-0000-0000-00009E650000}"/>
    <cellStyle name="Obliczenia 2 7 21" xfId="26008" xr:uid="{00000000-0005-0000-0000-00009F650000}"/>
    <cellStyle name="Obliczenia 2 7 21 2" xfId="26009" xr:uid="{00000000-0005-0000-0000-0000A0650000}"/>
    <cellStyle name="Obliczenia 2 7 21 3" xfId="26010" xr:uid="{00000000-0005-0000-0000-0000A1650000}"/>
    <cellStyle name="Obliczenia 2 7 22" xfId="26011" xr:uid="{00000000-0005-0000-0000-0000A2650000}"/>
    <cellStyle name="Obliczenia 2 7 22 2" xfId="26012" xr:uid="{00000000-0005-0000-0000-0000A3650000}"/>
    <cellStyle name="Obliczenia 2 7 22 3" xfId="26013" xr:uid="{00000000-0005-0000-0000-0000A4650000}"/>
    <cellStyle name="Obliczenia 2 7 23" xfId="26014" xr:uid="{00000000-0005-0000-0000-0000A5650000}"/>
    <cellStyle name="Obliczenia 2 7 23 2" xfId="26015" xr:uid="{00000000-0005-0000-0000-0000A6650000}"/>
    <cellStyle name="Obliczenia 2 7 23 3" xfId="26016" xr:uid="{00000000-0005-0000-0000-0000A7650000}"/>
    <cellStyle name="Obliczenia 2 7 24" xfId="26017" xr:uid="{00000000-0005-0000-0000-0000A8650000}"/>
    <cellStyle name="Obliczenia 2 7 24 2" xfId="26018" xr:uid="{00000000-0005-0000-0000-0000A9650000}"/>
    <cellStyle name="Obliczenia 2 7 24 3" xfId="26019" xr:uid="{00000000-0005-0000-0000-0000AA650000}"/>
    <cellStyle name="Obliczenia 2 7 25" xfId="26020" xr:uid="{00000000-0005-0000-0000-0000AB650000}"/>
    <cellStyle name="Obliczenia 2 7 25 2" xfId="26021" xr:uid="{00000000-0005-0000-0000-0000AC650000}"/>
    <cellStyle name="Obliczenia 2 7 25 3" xfId="26022" xr:uid="{00000000-0005-0000-0000-0000AD650000}"/>
    <cellStyle name="Obliczenia 2 7 26" xfId="26023" xr:uid="{00000000-0005-0000-0000-0000AE650000}"/>
    <cellStyle name="Obliczenia 2 7 26 2" xfId="26024" xr:uid="{00000000-0005-0000-0000-0000AF650000}"/>
    <cellStyle name="Obliczenia 2 7 26 3" xfId="26025" xr:uid="{00000000-0005-0000-0000-0000B0650000}"/>
    <cellStyle name="Obliczenia 2 7 27" xfId="26026" xr:uid="{00000000-0005-0000-0000-0000B1650000}"/>
    <cellStyle name="Obliczenia 2 7 27 2" xfId="26027" xr:uid="{00000000-0005-0000-0000-0000B2650000}"/>
    <cellStyle name="Obliczenia 2 7 27 3" xfId="26028" xr:uid="{00000000-0005-0000-0000-0000B3650000}"/>
    <cellStyle name="Obliczenia 2 7 28" xfId="26029" xr:uid="{00000000-0005-0000-0000-0000B4650000}"/>
    <cellStyle name="Obliczenia 2 7 28 2" xfId="26030" xr:uid="{00000000-0005-0000-0000-0000B5650000}"/>
    <cellStyle name="Obliczenia 2 7 28 3" xfId="26031" xr:uid="{00000000-0005-0000-0000-0000B6650000}"/>
    <cellStyle name="Obliczenia 2 7 29" xfId="26032" xr:uid="{00000000-0005-0000-0000-0000B7650000}"/>
    <cellStyle name="Obliczenia 2 7 29 2" xfId="26033" xr:uid="{00000000-0005-0000-0000-0000B8650000}"/>
    <cellStyle name="Obliczenia 2 7 29 3" xfId="26034" xr:uid="{00000000-0005-0000-0000-0000B9650000}"/>
    <cellStyle name="Obliczenia 2 7 3" xfId="26035" xr:uid="{00000000-0005-0000-0000-0000BA650000}"/>
    <cellStyle name="Obliczenia 2 7 3 2" xfId="26036" xr:uid="{00000000-0005-0000-0000-0000BB650000}"/>
    <cellStyle name="Obliczenia 2 7 3 3" xfId="26037" xr:uid="{00000000-0005-0000-0000-0000BC650000}"/>
    <cellStyle name="Obliczenia 2 7 3 4" xfId="26038" xr:uid="{00000000-0005-0000-0000-0000BD650000}"/>
    <cellStyle name="Obliczenia 2 7 30" xfId="26039" xr:uid="{00000000-0005-0000-0000-0000BE650000}"/>
    <cellStyle name="Obliczenia 2 7 30 2" xfId="26040" xr:uid="{00000000-0005-0000-0000-0000BF650000}"/>
    <cellStyle name="Obliczenia 2 7 30 3" xfId="26041" xr:uid="{00000000-0005-0000-0000-0000C0650000}"/>
    <cellStyle name="Obliczenia 2 7 31" xfId="26042" xr:uid="{00000000-0005-0000-0000-0000C1650000}"/>
    <cellStyle name="Obliczenia 2 7 31 2" xfId="26043" xr:uid="{00000000-0005-0000-0000-0000C2650000}"/>
    <cellStyle name="Obliczenia 2 7 31 3" xfId="26044" xr:uid="{00000000-0005-0000-0000-0000C3650000}"/>
    <cellStyle name="Obliczenia 2 7 32" xfId="26045" xr:uid="{00000000-0005-0000-0000-0000C4650000}"/>
    <cellStyle name="Obliczenia 2 7 32 2" xfId="26046" xr:uid="{00000000-0005-0000-0000-0000C5650000}"/>
    <cellStyle name="Obliczenia 2 7 32 3" xfId="26047" xr:uid="{00000000-0005-0000-0000-0000C6650000}"/>
    <cellStyle name="Obliczenia 2 7 33" xfId="26048" xr:uid="{00000000-0005-0000-0000-0000C7650000}"/>
    <cellStyle name="Obliczenia 2 7 33 2" xfId="26049" xr:uid="{00000000-0005-0000-0000-0000C8650000}"/>
    <cellStyle name="Obliczenia 2 7 33 3" xfId="26050" xr:uid="{00000000-0005-0000-0000-0000C9650000}"/>
    <cellStyle name="Obliczenia 2 7 34" xfId="26051" xr:uid="{00000000-0005-0000-0000-0000CA650000}"/>
    <cellStyle name="Obliczenia 2 7 34 2" xfId="26052" xr:uid="{00000000-0005-0000-0000-0000CB650000}"/>
    <cellStyle name="Obliczenia 2 7 34 3" xfId="26053" xr:uid="{00000000-0005-0000-0000-0000CC650000}"/>
    <cellStyle name="Obliczenia 2 7 35" xfId="26054" xr:uid="{00000000-0005-0000-0000-0000CD650000}"/>
    <cellStyle name="Obliczenia 2 7 35 2" xfId="26055" xr:uid="{00000000-0005-0000-0000-0000CE650000}"/>
    <cellStyle name="Obliczenia 2 7 35 3" xfId="26056" xr:uid="{00000000-0005-0000-0000-0000CF650000}"/>
    <cellStyle name="Obliczenia 2 7 36" xfId="26057" xr:uid="{00000000-0005-0000-0000-0000D0650000}"/>
    <cellStyle name="Obliczenia 2 7 36 2" xfId="26058" xr:uid="{00000000-0005-0000-0000-0000D1650000}"/>
    <cellStyle name="Obliczenia 2 7 36 3" xfId="26059" xr:uid="{00000000-0005-0000-0000-0000D2650000}"/>
    <cellStyle name="Obliczenia 2 7 37" xfId="26060" xr:uid="{00000000-0005-0000-0000-0000D3650000}"/>
    <cellStyle name="Obliczenia 2 7 37 2" xfId="26061" xr:uid="{00000000-0005-0000-0000-0000D4650000}"/>
    <cellStyle name="Obliczenia 2 7 37 3" xfId="26062" xr:uid="{00000000-0005-0000-0000-0000D5650000}"/>
    <cellStyle name="Obliczenia 2 7 38" xfId="26063" xr:uid="{00000000-0005-0000-0000-0000D6650000}"/>
    <cellStyle name="Obliczenia 2 7 38 2" xfId="26064" xr:uid="{00000000-0005-0000-0000-0000D7650000}"/>
    <cellStyle name="Obliczenia 2 7 38 3" xfId="26065" xr:uid="{00000000-0005-0000-0000-0000D8650000}"/>
    <cellStyle name="Obliczenia 2 7 39" xfId="26066" xr:uid="{00000000-0005-0000-0000-0000D9650000}"/>
    <cellStyle name="Obliczenia 2 7 39 2" xfId="26067" xr:uid="{00000000-0005-0000-0000-0000DA650000}"/>
    <cellStyle name="Obliczenia 2 7 39 3" xfId="26068" xr:uid="{00000000-0005-0000-0000-0000DB650000}"/>
    <cellStyle name="Obliczenia 2 7 4" xfId="26069" xr:uid="{00000000-0005-0000-0000-0000DC650000}"/>
    <cellStyle name="Obliczenia 2 7 4 2" xfId="26070" xr:uid="{00000000-0005-0000-0000-0000DD650000}"/>
    <cellStyle name="Obliczenia 2 7 4 3" xfId="26071" xr:uid="{00000000-0005-0000-0000-0000DE650000}"/>
    <cellStyle name="Obliczenia 2 7 4 4" xfId="26072" xr:uid="{00000000-0005-0000-0000-0000DF650000}"/>
    <cellStyle name="Obliczenia 2 7 40" xfId="26073" xr:uid="{00000000-0005-0000-0000-0000E0650000}"/>
    <cellStyle name="Obliczenia 2 7 40 2" xfId="26074" xr:uid="{00000000-0005-0000-0000-0000E1650000}"/>
    <cellStyle name="Obliczenia 2 7 40 3" xfId="26075" xr:uid="{00000000-0005-0000-0000-0000E2650000}"/>
    <cellStyle name="Obliczenia 2 7 41" xfId="26076" xr:uid="{00000000-0005-0000-0000-0000E3650000}"/>
    <cellStyle name="Obliczenia 2 7 41 2" xfId="26077" xr:uid="{00000000-0005-0000-0000-0000E4650000}"/>
    <cellStyle name="Obliczenia 2 7 41 3" xfId="26078" xr:uid="{00000000-0005-0000-0000-0000E5650000}"/>
    <cellStyle name="Obliczenia 2 7 42" xfId="26079" xr:uid="{00000000-0005-0000-0000-0000E6650000}"/>
    <cellStyle name="Obliczenia 2 7 42 2" xfId="26080" xr:uid="{00000000-0005-0000-0000-0000E7650000}"/>
    <cellStyle name="Obliczenia 2 7 42 3" xfId="26081" xr:uid="{00000000-0005-0000-0000-0000E8650000}"/>
    <cellStyle name="Obliczenia 2 7 43" xfId="26082" xr:uid="{00000000-0005-0000-0000-0000E9650000}"/>
    <cellStyle name="Obliczenia 2 7 43 2" xfId="26083" xr:uid="{00000000-0005-0000-0000-0000EA650000}"/>
    <cellStyle name="Obliczenia 2 7 43 3" xfId="26084" xr:uid="{00000000-0005-0000-0000-0000EB650000}"/>
    <cellStyle name="Obliczenia 2 7 44" xfId="26085" xr:uid="{00000000-0005-0000-0000-0000EC650000}"/>
    <cellStyle name="Obliczenia 2 7 44 2" xfId="26086" xr:uid="{00000000-0005-0000-0000-0000ED650000}"/>
    <cellStyle name="Obliczenia 2 7 44 3" xfId="26087" xr:uid="{00000000-0005-0000-0000-0000EE650000}"/>
    <cellStyle name="Obliczenia 2 7 45" xfId="26088" xr:uid="{00000000-0005-0000-0000-0000EF650000}"/>
    <cellStyle name="Obliczenia 2 7 45 2" xfId="26089" xr:uid="{00000000-0005-0000-0000-0000F0650000}"/>
    <cellStyle name="Obliczenia 2 7 45 3" xfId="26090" xr:uid="{00000000-0005-0000-0000-0000F1650000}"/>
    <cellStyle name="Obliczenia 2 7 46" xfId="26091" xr:uid="{00000000-0005-0000-0000-0000F2650000}"/>
    <cellStyle name="Obliczenia 2 7 46 2" xfId="26092" xr:uid="{00000000-0005-0000-0000-0000F3650000}"/>
    <cellStyle name="Obliczenia 2 7 46 3" xfId="26093" xr:uid="{00000000-0005-0000-0000-0000F4650000}"/>
    <cellStyle name="Obliczenia 2 7 47" xfId="26094" xr:uid="{00000000-0005-0000-0000-0000F5650000}"/>
    <cellStyle name="Obliczenia 2 7 47 2" xfId="26095" xr:uid="{00000000-0005-0000-0000-0000F6650000}"/>
    <cellStyle name="Obliczenia 2 7 47 3" xfId="26096" xr:uid="{00000000-0005-0000-0000-0000F7650000}"/>
    <cellStyle name="Obliczenia 2 7 48" xfId="26097" xr:uid="{00000000-0005-0000-0000-0000F8650000}"/>
    <cellStyle name="Obliczenia 2 7 48 2" xfId="26098" xr:uid="{00000000-0005-0000-0000-0000F9650000}"/>
    <cellStyle name="Obliczenia 2 7 48 3" xfId="26099" xr:uid="{00000000-0005-0000-0000-0000FA650000}"/>
    <cellStyle name="Obliczenia 2 7 49" xfId="26100" xr:uid="{00000000-0005-0000-0000-0000FB650000}"/>
    <cellStyle name="Obliczenia 2 7 49 2" xfId="26101" xr:uid="{00000000-0005-0000-0000-0000FC650000}"/>
    <cellStyle name="Obliczenia 2 7 49 3" xfId="26102" xr:uid="{00000000-0005-0000-0000-0000FD650000}"/>
    <cellStyle name="Obliczenia 2 7 5" xfId="26103" xr:uid="{00000000-0005-0000-0000-0000FE650000}"/>
    <cellStyle name="Obliczenia 2 7 5 2" xfId="26104" xr:uid="{00000000-0005-0000-0000-0000FF650000}"/>
    <cellStyle name="Obliczenia 2 7 5 3" xfId="26105" xr:uid="{00000000-0005-0000-0000-000000660000}"/>
    <cellStyle name="Obliczenia 2 7 5 4" xfId="26106" xr:uid="{00000000-0005-0000-0000-000001660000}"/>
    <cellStyle name="Obliczenia 2 7 50" xfId="26107" xr:uid="{00000000-0005-0000-0000-000002660000}"/>
    <cellStyle name="Obliczenia 2 7 50 2" xfId="26108" xr:uid="{00000000-0005-0000-0000-000003660000}"/>
    <cellStyle name="Obliczenia 2 7 50 3" xfId="26109" xr:uid="{00000000-0005-0000-0000-000004660000}"/>
    <cellStyle name="Obliczenia 2 7 51" xfId="26110" xr:uid="{00000000-0005-0000-0000-000005660000}"/>
    <cellStyle name="Obliczenia 2 7 51 2" xfId="26111" xr:uid="{00000000-0005-0000-0000-000006660000}"/>
    <cellStyle name="Obliczenia 2 7 51 3" xfId="26112" xr:uid="{00000000-0005-0000-0000-000007660000}"/>
    <cellStyle name="Obliczenia 2 7 52" xfId="26113" xr:uid="{00000000-0005-0000-0000-000008660000}"/>
    <cellStyle name="Obliczenia 2 7 52 2" xfId="26114" xr:uid="{00000000-0005-0000-0000-000009660000}"/>
    <cellStyle name="Obliczenia 2 7 52 3" xfId="26115" xr:uid="{00000000-0005-0000-0000-00000A660000}"/>
    <cellStyle name="Obliczenia 2 7 53" xfId="26116" xr:uid="{00000000-0005-0000-0000-00000B660000}"/>
    <cellStyle name="Obliczenia 2 7 53 2" xfId="26117" xr:uid="{00000000-0005-0000-0000-00000C660000}"/>
    <cellStyle name="Obliczenia 2 7 53 3" xfId="26118" xr:uid="{00000000-0005-0000-0000-00000D660000}"/>
    <cellStyle name="Obliczenia 2 7 54" xfId="26119" xr:uid="{00000000-0005-0000-0000-00000E660000}"/>
    <cellStyle name="Obliczenia 2 7 54 2" xfId="26120" xr:uid="{00000000-0005-0000-0000-00000F660000}"/>
    <cellStyle name="Obliczenia 2 7 54 3" xfId="26121" xr:uid="{00000000-0005-0000-0000-000010660000}"/>
    <cellStyle name="Obliczenia 2 7 55" xfId="26122" xr:uid="{00000000-0005-0000-0000-000011660000}"/>
    <cellStyle name="Obliczenia 2 7 55 2" xfId="26123" xr:uid="{00000000-0005-0000-0000-000012660000}"/>
    <cellStyle name="Obliczenia 2 7 55 3" xfId="26124" xr:uid="{00000000-0005-0000-0000-000013660000}"/>
    <cellStyle name="Obliczenia 2 7 56" xfId="26125" xr:uid="{00000000-0005-0000-0000-000014660000}"/>
    <cellStyle name="Obliczenia 2 7 56 2" xfId="26126" xr:uid="{00000000-0005-0000-0000-000015660000}"/>
    <cellStyle name="Obliczenia 2 7 56 3" xfId="26127" xr:uid="{00000000-0005-0000-0000-000016660000}"/>
    <cellStyle name="Obliczenia 2 7 57" xfId="26128" xr:uid="{00000000-0005-0000-0000-000017660000}"/>
    <cellStyle name="Obliczenia 2 7 58" xfId="26129" xr:uid="{00000000-0005-0000-0000-000018660000}"/>
    <cellStyle name="Obliczenia 2 7 6" xfId="26130" xr:uid="{00000000-0005-0000-0000-000019660000}"/>
    <cellStyle name="Obliczenia 2 7 6 2" xfId="26131" xr:uid="{00000000-0005-0000-0000-00001A660000}"/>
    <cellStyle name="Obliczenia 2 7 6 3" xfId="26132" xr:uid="{00000000-0005-0000-0000-00001B660000}"/>
    <cellStyle name="Obliczenia 2 7 6 4" xfId="26133" xr:uid="{00000000-0005-0000-0000-00001C660000}"/>
    <cellStyle name="Obliczenia 2 7 7" xfId="26134" xr:uid="{00000000-0005-0000-0000-00001D660000}"/>
    <cellStyle name="Obliczenia 2 7 7 2" xfId="26135" xr:uid="{00000000-0005-0000-0000-00001E660000}"/>
    <cellStyle name="Obliczenia 2 7 7 3" xfId="26136" xr:uid="{00000000-0005-0000-0000-00001F660000}"/>
    <cellStyle name="Obliczenia 2 7 7 4" xfId="26137" xr:uid="{00000000-0005-0000-0000-000020660000}"/>
    <cellStyle name="Obliczenia 2 7 8" xfId="26138" xr:uid="{00000000-0005-0000-0000-000021660000}"/>
    <cellStyle name="Obliczenia 2 7 8 2" xfId="26139" xr:uid="{00000000-0005-0000-0000-000022660000}"/>
    <cellStyle name="Obliczenia 2 7 8 3" xfId="26140" xr:uid="{00000000-0005-0000-0000-000023660000}"/>
    <cellStyle name="Obliczenia 2 7 8 4" xfId="26141" xr:uid="{00000000-0005-0000-0000-000024660000}"/>
    <cellStyle name="Obliczenia 2 7 9" xfId="26142" xr:uid="{00000000-0005-0000-0000-000025660000}"/>
    <cellStyle name="Obliczenia 2 7 9 2" xfId="26143" xr:uid="{00000000-0005-0000-0000-000026660000}"/>
    <cellStyle name="Obliczenia 2 7 9 3" xfId="26144" xr:uid="{00000000-0005-0000-0000-000027660000}"/>
    <cellStyle name="Obliczenia 2 7 9 4" xfId="26145" xr:uid="{00000000-0005-0000-0000-000028660000}"/>
    <cellStyle name="Obliczenia 2 70" xfId="26146" xr:uid="{00000000-0005-0000-0000-000029660000}"/>
    <cellStyle name="Obliczenia 2 70 2" xfId="26147" xr:uid="{00000000-0005-0000-0000-00002A660000}"/>
    <cellStyle name="Obliczenia 2 70 3" xfId="26148" xr:uid="{00000000-0005-0000-0000-00002B660000}"/>
    <cellStyle name="Obliczenia 2 71" xfId="26149" xr:uid="{00000000-0005-0000-0000-00002C660000}"/>
    <cellStyle name="Obliczenia 2 71 2" xfId="26150" xr:uid="{00000000-0005-0000-0000-00002D660000}"/>
    <cellStyle name="Obliczenia 2 71 3" xfId="26151" xr:uid="{00000000-0005-0000-0000-00002E660000}"/>
    <cellStyle name="Obliczenia 2 72" xfId="26152" xr:uid="{00000000-0005-0000-0000-00002F660000}"/>
    <cellStyle name="Obliczenia 2 72 2" xfId="26153" xr:uid="{00000000-0005-0000-0000-000030660000}"/>
    <cellStyle name="Obliczenia 2 72 3" xfId="26154" xr:uid="{00000000-0005-0000-0000-000031660000}"/>
    <cellStyle name="Obliczenia 2 73" xfId="26155" xr:uid="{00000000-0005-0000-0000-000032660000}"/>
    <cellStyle name="Obliczenia 2 73 2" xfId="26156" xr:uid="{00000000-0005-0000-0000-000033660000}"/>
    <cellStyle name="Obliczenia 2 73 3" xfId="26157" xr:uid="{00000000-0005-0000-0000-000034660000}"/>
    <cellStyle name="Obliczenia 2 74" xfId="26158" xr:uid="{00000000-0005-0000-0000-000035660000}"/>
    <cellStyle name="Obliczenia 2 74 2" xfId="26159" xr:uid="{00000000-0005-0000-0000-000036660000}"/>
    <cellStyle name="Obliczenia 2 74 3" xfId="26160" xr:uid="{00000000-0005-0000-0000-000037660000}"/>
    <cellStyle name="Obliczenia 2 75" xfId="26161" xr:uid="{00000000-0005-0000-0000-000038660000}"/>
    <cellStyle name="Obliczenia 2 75 2" xfId="26162" xr:uid="{00000000-0005-0000-0000-000039660000}"/>
    <cellStyle name="Obliczenia 2 75 3" xfId="26163" xr:uid="{00000000-0005-0000-0000-00003A660000}"/>
    <cellStyle name="Obliczenia 2 76" xfId="26164" xr:uid="{00000000-0005-0000-0000-00003B660000}"/>
    <cellStyle name="Obliczenia 2 76 2" xfId="26165" xr:uid="{00000000-0005-0000-0000-00003C660000}"/>
    <cellStyle name="Obliczenia 2 76 3" xfId="26166" xr:uid="{00000000-0005-0000-0000-00003D660000}"/>
    <cellStyle name="Obliczenia 2 77" xfId="26167" xr:uid="{00000000-0005-0000-0000-00003E660000}"/>
    <cellStyle name="Obliczenia 2 77 2" xfId="26168" xr:uid="{00000000-0005-0000-0000-00003F660000}"/>
    <cellStyle name="Obliczenia 2 77 3" xfId="26169" xr:uid="{00000000-0005-0000-0000-000040660000}"/>
    <cellStyle name="Obliczenia 2 78" xfId="26170" xr:uid="{00000000-0005-0000-0000-000041660000}"/>
    <cellStyle name="Obliczenia 2 78 2" xfId="26171" xr:uid="{00000000-0005-0000-0000-000042660000}"/>
    <cellStyle name="Obliczenia 2 78 3" xfId="26172" xr:uid="{00000000-0005-0000-0000-000043660000}"/>
    <cellStyle name="Obliczenia 2 79" xfId="26173" xr:uid="{00000000-0005-0000-0000-000044660000}"/>
    <cellStyle name="Obliczenia 2 79 2" xfId="26174" xr:uid="{00000000-0005-0000-0000-000045660000}"/>
    <cellStyle name="Obliczenia 2 79 3" xfId="26175" xr:uid="{00000000-0005-0000-0000-000046660000}"/>
    <cellStyle name="Obliczenia 2 8" xfId="26176" xr:uid="{00000000-0005-0000-0000-000047660000}"/>
    <cellStyle name="Obliczenia 2 8 10" xfId="26177" xr:uid="{00000000-0005-0000-0000-000048660000}"/>
    <cellStyle name="Obliczenia 2 8 10 2" xfId="26178" xr:uid="{00000000-0005-0000-0000-000049660000}"/>
    <cellStyle name="Obliczenia 2 8 10 3" xfId="26179" xr:uid="{00000000-0005-0000-0000-00004A660000}"/>
    <cellStyle name="Obliczenia 2 8 10 4" xfId="26180" xr:uid="{00000000-0005-0000-0000-00004B660000}"/>
    <cellStyle name="Obliczenia 2 8 11" xfId="26181" xr:uid="{00000000-0005-0000-0000-00004C660000}"/>
    <cellStyle name="Obliczenia 2 8 11 2" xfId="26182" xr:uid="{00000000-0005-0000-0000-00004D660000}"/>
    <cellStyle name="Obliczenia 2 8 11 3" xfId="26183" xr:uid="{00000000-0005-0000-0000-00004E660000}"/>
    <cellStyle name="Obliczenia 2 8 11 4" xfId="26184" xr:uid="{00000000-0005-0000-0000-00004F660000}"/>
    <cellStyle name="Obliczenia 2 8 12" xfId="26185" xr:uid="{00000000-0005-0000-0000-000050660000}"/>
    <cellStyle name="Obliczenia 2 8 12 2" xfId="26186" xr:uid="{00000000-0005-0000-0000-000051660000}"/>
    <cellStyle name="Obliczenia 2 8 12 3" xfId="26187" xr:uid="{00000000-0005-0000-0000-000052660000}"/>
    <cellStyle name="Obliczenia 2 8 12 4" xfId="26188" xr:uid="{00000000-0005-0000-0000-000053660000}"/>
    <cellStyle name="Obliczenia 2 8 13" xfId="26189" xr:uid="{00000000-0005-0000-0000-000054660000}"/>
    <cellStyle name="Obliczenia 2 8 13 2" xfId="26190" xr:uid="{00000000-0005-0000-0000-000055660000}"/>
    <cellStyle name="Obliczenia 2 8 13 3" xfId="26191" xr:uid="{00000000-0005-0000-0000-000056660000}"/>
    <cellStyle name="Obliczenia 2 8 13 4" xfId="26192" xr:uid="{00000000-0005-0000-0000-000057660000}"/>
    <cellStyle name="Obliczenia 2 8 14" xfId="26193" xr:uid="{00000000-0005-0000-0000-000058660000}"/>
    <cellStyle name="Obliczenia 2 8 14 2" xfId="26194" xr:uid="{00000000-0005-0000-0000-000059660000}"/>
    <cellStyle name="Obliczenia 2 8 14 3" xfId="26195" xr:uid="{00000000-0005-0000-0000-00005A660000}"/>
    <cellStyle name="Obliczenia 2 8 14 4" xfId="26196" xr:uid="{00000000-0005-0000-0000-00005B660000}"/>
    <cellStyle name="Obliczenia 2 8 15" xfId="26197" xr:uid="{00000000-0005-0000-0000-00005C660000}"/>
    <cellStyle name="Obliczenia 2 8 15 2" xfId="26198" xr:uid="{00000000-0005-0000-0000-00005D660000}"/>
    <cellStyle name="Obliczenia 2 8 15 3" xfId="26199" xr:uid="{00000000-0005-0000-0000-00005E660000}"/>
    <cellStyle name="Obliczenia 2 8 15 4" xfId="26200" xr:uid="{00000000-0005-0000-0000-00005F660000}"/>
    <cellStyle name="Obliczenia 2 8 16" xfId="26201" xr:uid="{00000000-0005-0000-0000-000060660000}"/>
    <cellStyle name="Obliczenia 2 8 16 2" xfId="26202" xr:uid="{00000000-0005-0000-0000-000061660000}"/>
    <cellStyle name="Obliczenia 2 8 16 3" xfId="26203" xr:uid="{00000000-0005-0000-0000-000062660000}"/>
    <cellStyle name="Obliczenia 2 8 16 4" xfId="26204" xr:uid="{00000000-0005-0000-0000-000063660000}"/>
    <cellStyle name="Obliczenia 2 8 17" xfId="26205" xr:uid="{00000000-0005-0000-0000-000064660000}"/>
    <cellStyle name="Obliczenia 2 8 17 2" xfId="26206" xr:uid="{00000000-0005-0000-0000-000065660000}"/>
    <cellStyle name="Obliczenia 2 8 17 3" xfId="26207" xr:uid="{00000000-0005-0000-0000-000066660000}"/>
    <cellStyle name="Obliczenia 2 8 17 4" xfId="26208" xr:uid="{00000000-0005-0000-0000-000067660000}"/>
    <cellStyle name="Obliczenia 2 8 18" xfId="26209" xr:uid="{00000000-0005-0000-0000-000068660000}"/>
    <cellStyle name="Obliczenia 2 8 18 2" xfId="26210" xr:uid="{00000000-0005-0000-0000-000069660000}"/>
    <cellStyle name="Obliczenia 2 8 18 3" xfId="26211" xr:uid="{00000000-0005-0000-0000-00006A660000}"/>
    <cellStyle name="Obliczenia 2 8 18 4" xfId="26212" xr:uid="{00000000-0005-0000-0000-00006B660000}"/>
    <cellStyle name="Obliczenia 2 8 19" xfId="26213" xr:uid="{00000000-0005-0000-0000-00006C660000}"/>
    <cellStyle name="Obliczenia 2 8 19 2" xfId="26214" xr:uid="{00000000-0005-0000-0000-00006D660000}"/>
    <cellStyle name="Obliczenia 2 8 19 3" xfId="26215" xr:uid="{00000000-0005-0000-0000-00006E660000}"/>
    <cellStyle name="Obliczenia 2 8 19 4" xfId="26216" xr:uid="{00000000-0005-0000-0000-00006F660000}"/>
    <cellStyle name="Obliczenia 2 8 2" xfId="26217" xr:uid="{00000000-0005-0000-0000-000070660000}"/>
    <cellStyle name="Obliczenia 2 8 2 2" xfId="26218" xr:uid="{00000000-0005-0000-0000-000071660000}"/>
    <cellStyle name="Obliczenia 2 8 2 3" xfId="26219" xr:uid="{00000000-0005-0000-0000-000072660000}"/>
    <cellStyle name="Obliczenia 2 8 2 4" xfId="26220" xr:uid="{00000000-0005-0000-0000-000073660000}"/>
    <cellStyle name="Obliczenia 2 8 20" xfId="26221" xr:uid="{00000000-0005-0000-0000-000074660000}"/>
    <cellStyle name="Obliczenia 2 8 20 2" xfId="26222" xr:uid="{00000000-0005-0000-0000-000075660000}"/>
    <cellStyle name="Obliczenia 2 8 20 3" xfId="26223" xr:uid="{00000000-0005-0000-0000-000076660000}"/>
    <cellStyle name="Obliczenia 2 8 20 4" xfId="26224" xr:uid="{00000000-0005-0000-0000-000077660000}"/>
    <cellStyle name="Obliczenia 2 8 21" xfId="26225" xr:uid="{00000000-0005-0000-0000-000078660000}"/>
    <cellStyle name="Obliczenia 2 8 21 2" xfId="26226" xr:uid="{00000000-0005-0000-0000-000079660000}"/>
    <cellStyle name="Obliczenia 2 8 21 3" xfId="26227" xr:uid="{00000000-0005-0000-0000-00007A660000}"/>
    <cellStyle name="Obliczenia 2 8 22" xfId="26228" xr:uid="{00000000-0005-0000-0000-00007B660000}"/>
    <cellStyle name="Obliczenia 2 8 22 2" xfId="26229" xr:uid="{00000000-0005-0000-0000-00007C660000}"/>
    <cellStyle name="Obliczenia 2 8 22 3" xfId="26230" xr:uid="{00000000-0005-0000-0000-00007D660000}"/>
    <cellStyle name="Obliczenia 2 8 23" xfId="26231" xr:uid="{00000000-0005-0000-0000-00007E660000}"/>
    <cellStyle name="Obliczenia 2 8 23 2" xfId="26232" xr:uid="{00000000-0005-0000-0000-00007F660000}"/>
    <cellStyle name="Obliczenia 2 8 23 3" xfId="26233" xr:uid="{00000000-0005-0000-0000-000080660000}"/>
    <cellStyle name="Obliczenia 2 8 24" xfId="26234" xr:uid="{00000000-0005-0000-0000-000081660000}"/>
    <cellStyle name="Obliczenia 2 8 24 2" xfId="26235" xr:uid="{00000000-0005-0000-0000-000082660000}"/>
    <cellStyle name="Obliczenia 2 8 24 3" xfId="26236" xr:uid="{00000000-0005-0000-0000-000083660000}"/>
    <cellStyle name="Obliczenia 2 8 25" xfId="26237" xr:uid="{00000000-0005-0000-0000-000084660000}"/>
    <cellStyle name="Obliczenia 2 8 25 2" xfId="26238" xr:uid="{00000000-0005-0000-0000-000085660000}"/>
    <cellStyle name="Obliczenia 2 8 25 3" xfId="26239" xr:uid="{00000000-0005-0000-0000-000086660000}"/>
    <cellStyle name="Obliczenia 2 8 26" xfId="26240" xr:uid="{00000000-0005-0000-0000-000087660000}"/>
    <cellStyle name="Obliczenia 2 8 26 2" xfId="26241" xr:uid="{00000000-0005-0000-0000-000088660000}"/>
    <cellStyle name="Obliczenia 2 8 26 3" xfId="26242" xr:uid="{00000000-0005-0000-0000-000089660000}"/>
    <cellStyle name="Obliczenia 2 8 27" xfId="26243" xr:uid="{00000000-0005-0000-0000-00008A660000}"/>
    <cellStyle name="Obliczenia 2 8 27 2" xfId="26244" xr:uid="{00000000-0005-0000-0000-00008B660000}"/>
    <cellStyle name="Obliczenia 2 8 27 3" xfId="26245" xr:uid="{00000000-0005-0000-0000-00008C660000}"/>
    <cellStyle name="Obliczenia 2 8 28" xfId="26246" xr:uid="{00000000-0005-0000-0000-00008D660000}"/>
    <cellStyle name="Obliczenia 2 8 28 2" xfId="26247" xr:uid="{00000000-0005-0000-0000-00008E660000}"/>
    <cellStyle name="Obliczenia 2 8 28 3" xfId="26248" xr:uid="{00000000-0005-0000-0000-00008F660000}"/>
    <cellStyle name="Obliczenia 2 8 29" xfId="26249" xr:uid="{00000000-0005-0000-0000-000090660000}"/>
    <cellStyle name="Obliczenia 2 8 29 2" xfId="26250" xr:uid="{00000000-0005-0000-0000-000091660000}"/>
    <cellStyle name="Obliczenia 2 8 29 3" xfId="26251" xr:uid="{00000000-0005-0000-0000-000092660000}"/>
    <cellStyle name="Obliczenia 2 8 3" xfId="26252" xr:uid="{00000000-0005-0000-0000-000093660000}"/>
    <cellStyle name="Obliczenia 2 8 3 2" xfId="26253" xr:uid="{00000000-0005-0000-0000-000094660000}"/>
    <cellStyle name="Obliczenia 2 8 3 3" xfId="26254" xr:uid="{00000000-0005-0000-0000-000095660000}"/>
    <cellStyle name="Obliczenia 2 8 3 4" xfId="26255" xr:uid="{00000000-0005-0000-0000-000096660000}"/>
    <cellStyle name="Obliczenia 2 8 30" xfId="26256" xr:uid="{00000000-0005-0000-0000-000097660000}"/>
    <cellStyle name="Obliczenia 2 8 30 2" xfId="26257" xr:uid="{00000000-0005-0000-0000-000098660000}"/>
    <cellStyle name="Obliczenia 2 8 30 3" xfId="26258" xr:uid="{00000000-0005-0000-0000-000099660000}"/>
    <cellStyle name="Obliczenia 2 8 31" xfId="26259" xr:uid="{00000000-0005-0000-0000-00009A660000}"/>
    <cellStyle name="Obliczenia 2 8 31 2" xfId="26260" xr:uid="{00000000-0005-0000-0000-00009B660000}"/>
    <cellStyle name="Obliczenia 2 8 31 3" xfId="26261" xr:uid="{00000000-0005-0000-0000-00009C660000}"/>
    <cellStyle name="Obliczenia 2 8 32" xfId="26262" xr:uid="{00000000-0005-0000-0000-00009D660000}"/>
    <cellStyle name="Obliczenia 2 8 32 2" xfId="26263" xr:uid="{00000000-0005-0000-0000-00009E660000}"/>
    <cellStyle name="Obliczenia 2 8 32 3" xfId="26264" xr:uid="{00000000-0005-0000-0000-00009F660000}"/>
    <cellStyle name="Obliczenia 2 8 33" xfId="26265" xr:uid="{00000000-0005-0000-0000-0000A0660000}"/>
    <cellStyle name="Obliczenia 2 8 33 2" xfId="26266" xr:uid="{00000000-0005-0000-0000-0000A1660000}"/>
    <cellStyle name="Obliczenia 2 8 33 3" xfId="26267" xr:uid="{00000000-0005-0000-0000-0000A2660000}"/>
    <cellStyle name="Obliczenia 2 8 34" xfId="26268" xr:uid="{00000000-0005-0000-0000-0000A3660000}"/>
    <cellStyle name="Obliczenia 2 8 34 2" xfId="26269" xr:uid="{00000000-0005-0000-0000-0000A4660000}"/>
    <cellStyle name="Obliczenia 2 8 34 3" xfId="26270" xr:uid="{00000000-0005-0000-0000-0000A5660000}"/>
    <cellStyle name="Obliczenia 2 8 35" xfId="26271" xr:uid="{00000000-0005-0000-0000-0000A6660000}"/>
    <cellStyle name="Obliczenia 2 8 35 2" xfId="26272" xr:uid="{00000000-0005-0000-0000-0000A7660000}"/>
    <cellStyle name="Obliczenia 2 8 35 3" xfId="26273" xr:uid="{00000000-0005-0000-0000-0000A8660000}"/>
    <cellStyle name="Obliczenia 2 8 36" xfId="26274" xr:uid="{00000000-0005-0000-0000-0000A9660000}"/>
    <cellStyle name="Obliczenia 2 8 36 2" xfId="26275" xr:uid="{00000000-0005-0000-0000-0000AA660000}"/>
    <cellStyle name="Obliczenia 2 8 36 3" xfId="26276" xr:uid="{00000000-0005-0000-0000-0000AB660000}"/>
    <cellStyle name="Obliczenia 2 8 37" xfId="26277" xr:uid="{00000000-0005-0000-0000-0000AC660000}"/>
    <cellStyle name="Obliczenia 2 8 37 2" xfId="26278" xr:uid="{00000000-0005-0000-0000-0000AD660000}"/>
    <cellStyle name="Obliczenia 2 8 37 3" xfId="26279" xr:uid="{00000000-0005-0000-0000-0000AE660000}"/>
    <cellStyle name="Obliczenia 2 8 38" xfId="26280" xr:uid="{00000000-0005-0000-0000-0000AF660000}"/>
    <cellStyle name="Obliczenia 2 8 38 2" xfId="26281" xr:uid="{00000000-0005-0000-0000-0000B0660000}"/>
    <cellStyle name="Obliczenia 2 8 38 3" xfId="26282" xr:uid="{00000000-0005-0000-0000-0000B1660000}"/>
    <cellStyle name="Obliczenia 2 8 39" xfId="26283" xr:uid="{00000000-0005-0000-0000-0000B2660000}"/>
    <cellStyle name="Obliczenia 2 8 39 2" xfId="26284" xr:uid="{00000000-0005-0000-0000-0000B3660000}"/>
    <cellStyle name="Obliczenia 2 8 39 3" xfId="26285" xr:uid="{00000000-0005-0000-0000-0000B4660000}"/>
    <cellStyle name="Obliczenia 2 8 4" xfId="26286" xr:uid="{00000000-0005-0000-0000-0000B5660000}"/>
    <cellStyle name="Obliczenia 2 8 4 2" xfId="26287" xr:uid="{00000000-0005-0000-0000-0000B6660000}"/>
    <cellStyle name="Obliczenia 2 8 4 3" xfId="26288" xr:uid="{00000000-0005-0000-0000-0000B7660000}"/>
    <cellStyle name="Obliczenia 2 8 4 4" xfId="26289" xr:uid="{00000000-0005-0000-0000-0000B8660000}"/>
    <cellStyle name="Obliczenia 2 8 40" xfId="26290" xr:uid="{00000000-0005-0000-0000-0000B9660000}"/>
    <cellStyle name="Obliczenia 2 8 40 2" xfId="26291" xr:uid="{00000000-0005-0000-0000-0000BA660000}"/>
    <cellStyle name="Obliczenia 2 8 40 3" xfId="26292" xr:uid="{00000000-0005-0000-0000-0000BB660000}"/>
    <cellStyle name="Obliczenia 2 8 41" xfId="26293" xr:uid="{00000000-0005-0000-0000-0000BC660000}"/>
    <cellStyle name="Obliczenia 2 8 41 2" xfId="26294" xr:uid="{00000000-0005-0000-0000-0000BD660000}"/>
    <cellStyle name="Obliczenia 2 8 41 3" xfId="26295" xr:uid="{00000000-0005-0000-0000-0000BE660000}"/>
    <cellStyle name="Obliczenia 2 8 42" xfId="26296" xr:uid="{00000000-0005-0000-0000-0000BF660000}"/>
    <cellStyle name="Obliczenia 2 8 42 2" xfId="26297" xr:uid="{00000000-0005-0000-0000-0000C0660000}"/>
    <cellStyle name="Obliczenia 2 8 42 3" xfId="26298" xr:uid="{00000000-0005-0000-0000-0000C1660000}"/>
    <cellStyle name="Obliczenia 2 8 43" xfId="26299" xr:uid="{00000000-0005-0000-0000-0000C2660000}"/>
    <cellStyle name="Obliczenia 2 8 43 2" xfId="26300" xr:uid="{00000000-0005-0000-0000-0000C3660000}"/>
    <cellStyle name="Obliczenia 2 8 43 3" xfId="26301" xr:uid="{00000000-0005-0000-0000-0000C4660000}"/>
    <cellStyle name="Obliczenia 2 8 44" xfId="26302" xr:uid="{00000000-0005-0000-0000-0000C5660000}"/>
    <cellStyle name="Obliczenia 2 8 44 2" xfId="26303" xr:uid="{00000000-0005-0000-0000-0000C6660000}"/>
    <cellStyle name="Obliczenia 2 8 44 3" xfId="26304" xr:uid="{00000000-0005-0000-0000-0000C7660000}"/>
    <cellStyle name="Obliczenia 2 8 45" xfId="26305" xr:uid="{00000000-0005-0000-0000-0000C8660000}"/>
    <cellStyle name="Obliczenia 2 8 45 2" xfId="26306" xr:uid="{00000000-0005-0000-0000-0000C9660000}"/>
    <cellStyle name="Obliczenia 2 8 45 3" xfId="26307" xr:uid="{00000000-0005-0000-0000-0000CA660000}"/>
    <cellStyle name="Obliczenia 2 8 46" xfId="26308" xr:uid="{00000000-0005-0000-0000-0000CB660000}"/>
    <cellStyle name="Obliczenia 2 8 46 2" xfId="26309" xr:uid="{00000000-0005-0000-0000-0000CC660000}"/>
    <cellStyle name="Obliczenia 2 8 46 3" xfId="26310" xr:uid="{00000000-0005-0000-0000-0000CD660000}"/>
    <cellStyle name="Obliczenia 2 8 47" xfId="26311" xr:uid="{00000000-0005-0000-0000-0000CE660000}"/>
    <cellStyle name="Obliczenia 2 8 47 2" xfId="26312" xr:uid="{00000000-0005-0000-0000-0000CF660000}"/>
    <cellStyle name="Obliczenia 2 8 47 3" xfId="26313" xr:uid="{00000000-0005-0000-0000-0000D0660000}"/>
    <cellStyle name="Obliczenia 2 8 48" xfId="26314" xr:uid="{00000000-0005-0000-0000-0000D1660000}"/>
    <cellStyle name="Obliczenia 2 8 48 2" xfId="26315" xr:uid="{00000000-0005-0000-0000-0000D2660000}"/>
    <cellStyle name="Obliczenia 2 8 48 3" xfId="26316" xr:uid="{00000000-0005-0000-0000-0000D3660000}"/>
    <cellStyle name="Obliczenia 2 8 49" xfId="26317" xr:uid="{00000000-0005-0000-0000-0000D4660000}"/>
    <cellStyle name="Obliczenia 2 8 49 2" xfId="26318" xr:uid="{00000000-0005-0000-0000-0000D5660000}"/>
    <cellStyle name="Obliczenia 2 8 49 3" xfId="26319" xr:uid="{00000000-0005-0000-0000-0000D6660000}"/>
    <cellStyle name="Obliczenia 2 8 5" xfId="26320" xr:uid="{00000000-0005-0000-0000-0000D7660000}"/>
    <cellStyle name="Obliczenia 2 8 5 2" xfId="26321" xr:uid="{00000000-0005-0000-0000-0000D8660000}"/>
    <cellStyle name="Obliczenia 2 8 5 3" xfId="26322" xr:uid="{00000000-0005-0000-0000-0000D9660000}"/>
    <cellStyle name="Obliczenia 2 8 5 4" xfId="26323" xr:uid="{00000000-0005-0000-0000-0000DA660000}"/>
    <cellStyle name="Obliczenia 2 8 50" xfId="26324" xr:uid="{00000000-0005-0000-0000-0000DB660000}"/>
    <cellStyle name="Obliczenia 2 8 50 2" xfId="26325" xr:uid="{00000000-0005-0000-0000-0000DC660000}"/>
    <cellStyle name="Obliczenia 2 8 50 3" xfId="26326" xr:uid="{00000000-0005-0000-0000-0000DD660000}"/>
    <cellStyle name="Obliczenia 2 8 51" xfId="26327" xr:uid="{00000000-0005-0000-0000-0000DE660000}"/>
    <cellStyle name="Obliczenia 2 8 51 2" xfId="26328" xr:uid="{00000000-0005-0000-0000-0000DF660000}"/>
    <cellStyle name="Obliczenia 2 8 51 3" xfId="26329" xr:uid="{00000000-0005-0000-0000-0000E0660000}"/>
    <cellStyle name="Obliczenia 2 8 52" xfId="26330" xr:uid="{00000000-0005-0000-0000-0000E1660000}"/>
    <cellStyle name="Obliczenia 2 8 52 2" xfId="26331" xr:uid="{00000000-0005-0000-0000-0000E2660000}"/>
    <cellStyle name="Obliczenia 2 8 52 3" xfId="26332" xr:uid="{00000000-0005-0000-0000-0000E3660000}"/>
    <cellStyle name="Obliczenia 2 8 53" xfId="26333" xr:uid="{00000000-0005-0000-0000-0000E4660000}"/>
    <cellStyle name="Obliczenia 2 8 53 2" xfId="26334" xr:uid="{00000000-0005-0000-0000-0000E5660000}"/>
    <cellStyle name="Obliczenia 2 8 53 3" xfId="26335" xr:uid="{00000000-0005-0000-0000-0000E6660000}"/>
    <cellStyle name="Obliczenia 2 8 54" xfId="26336" xr:uid="{00000000-0005-0000-0000-0000E7660000}"/>
    <cellStyle name="Obliczenia 2 8 54 2" xfId="26337" xr:uid="{00000000-0005-0000-0000-0000E8660000}"/>
    <cellStyle name="Obliczenia 2 8 54 3" xfId="26338" xr:uid="{00000000-0005-0000-0000-0000E9660000}"/>
    <cellStyle name="Obliczenia 2 8 55" xfId="26339" xr:uid="{00000000-0005-0000-0000-0000EA660000}"/>
    <cellStyle name="Obliczenia 2 8 55 2" xfId="26340" xr:uid="{00000000-0005-0000-0000-0000EB660000}"/>
    <cellStyle name="Obliczenia 2 8 55 3" xfId="26341" xr:uid="{00000000-0005-0000-0000-0000EC660000}"/>
    <cellStyle name="Obliczenia 2 8 56" xfId="26342" xr:uid="{00000000-0005-0000-0000-0000ED660000}"/>
    <cellStyle name="Obliczenia 2 8 56 2" xfId="26343" xr:uid="{00000000-0005-0000-0000-0000EE660000}"/>
    <cellStyle name="Obliczenia 2 8 56 3" xfId="26344" xr:uid="{00000000-0005-0000-0000-0000EF660000}"/>
    <cellStyle name="Obliczenia 2 8 57" xfId="26345" xr:uid="{00000000-0005-0000-0000-0000F0660000}"/>
    <cellStyle name="Obliczenia 2 8 58" xfId="26346" xr:uid="{00000000-0005-0000-0000-0000F1660000}"/>
    <cellStyle name="Obliczenia 2 8 6" xfId="26347" xr:uid="{00000000-0005-0000-0000-0000F2660000}"/>
    <cellStyle name="Obliczenia 2 8 6 2" xfId="26348" xr:uid="{00000000-0005-0000-0000-0000F3660000}"/>
    <cellStyle name="Obliczenia 2 8 6 3" xfId="26349" xr:uid="{00000000-0005-0000-0000-0000F4660000}"/>
    <cellStyle name="Obliczenia 2 8 6 4" xfId="26350" xr:uid="{00000000-0005-0000-0000-0000F5660000}"/>
    <cellStyle name="Obliczenia 2 8 7" xfId="26351" xr:uid="{00000000-0005-0000-0000-0000F6660000}"/>
    <cellStyle name="Obliczenia 2 8 7 2" xfId="26352" xr:uid="{00000000-0005-0000-0000-0000F7660000}"/>
    <cellStyle name="Obliczenia 2 8 7 3" xfId="26353" xr:uid="{00000000-0005-0000-0000-0000F8660000}"/>
    <cellStyle name="Obliczenia 2 8 7 4" xfId="26354" xr:uid="{00000000-0005-0000-0000-0000F9660000}"/>
    <cellStyle name="Obliczenia 2 8 8" xfId="26355" xr:uid="{00000000-0005-0000-0000-0000FA660000}"/>
    <cellStyle name="Obliczenia 2 8 8 2" xfId="26356" xr:uid="{00000000-0005-0000-0000-0000FB660000}"/>
    <cellStyle name="Obliczenia 2 8 8 3" xfId="26357" xr:uid="{00000000-0005-0000-0000-0000FC660000}"/>
    <cellStyle name="Obliczenia 2 8 8 4" xfId="26358" xr:uid="{00000000-0005-0000-0000-0000FD660000}"/>
    <cellStyle name="Obliczenia 2 8 9" xfId="26359" xr:uid="{00000000-0005-0000-0000-0000FE660000}"/>
    <cellStyle name="Obliczenia 2 8 9 2" xfId="26360" xr:uid="{00000000-0005-0000-0000-0000FF660000}"/>
    <cellStyle name="Obliczenia 2 8 9 3" xfId="26361" xr:uid="{00000000-0005-0000-0000-000000670000}"/>
    <cellStyle name="Obliczenia 2 8 9 4" xfId="26362" xr:uid="{00000000-0005-0000-0000-000001670000}"/>
    <cellStyle name="Obliczenia 2 80" xfId="26363" xr:uid="{00000000-0005-0000-0000-000002670000}"/>
    <cellStyle name="Obliczenia 2 80 2" xfId="26364" xr:uid="{00000000-0005-0000-0000-000003670000}"/>
    <cellStyle name="Obliczenia 2 80 3" xfId="26365" xr:uid="{00000000-0005-0000-0000-000004670000}"/>
    <cellStyle name="Obliczenia 2 81" xfId="26366" xr:uid="{00000000-0005-0000-0000-000005670000}"/>
    <cellStyle name="Obliczenia 2 81 2" xfId="26367" xr:uid="{00000000-0005-0000-0000-000006670000}"/>
    <cellStyle name="Obliczenia 2 81 3" xfId="26368" xr:uid="{00000000-0005-0000-0000-000007670000}"/>
    <cellStyle name="Obliczenia 2 82" xfId="26369" xr:uid="{00000000-0005-0000-0000-000008670000}"/>
    <cellStyle name="Obliczenia 2 82 2" xfId="26370" xr:uid="{00000000-0005-0000-0000-000009670000}"/>
    <cellStyle name="Obliczenia 2 82 3" xfId="26371" xr:uid="{00000000-0005-0000-0000-00000A670000}"/>
    <cellStyle name="Obliczenia 2 83" xfId="26372" xr:uid="{00000000-0005-0000-0000-00000B670000}"/>
    <cellStyle name="Obliczenia 2 83 2" xfId="26373" xr:uid="{00000000-0005-0000-0000-00000C670000}"/>
    <cellStyle name="Obliczenia 2 83 3" xfId="26374" xr:uid="{00000000-0005-0000-0000-00000D670000}"/>
    <cellStyle name="Obliczenia 2 84" xfId="26375" xr:uid="{00000000-0005-0000-0000-00000E670000}"/>
    <cellStyle name="Obliczenia 2 84 2" xfId="26376" xr:uid="{00000000-0005-0000-0000-00000F670000}"/>
    <cellStyle name="Obliczenia 2 84 3" xfId="26377" xr:uid="{00000000-0005-0000-0000-000010670000}"/>
    <cellStyle name="Obliczenia 2 85" xfId="26378" xr:uid="{00000000-0005-0000-0000-000011670000}"/>
    <cellStyle name="Obliczenia 2 85 2" xfId="26379" xr:uid="{00000000-0005-0000-0000-000012670000}"/>
    <cellStyle name="Obliczenia 2 85 3" xfId="26380" xr:uid="{00000000-0005-0000-0000-000013670000}"/>
    <cellStyle name="Obliczenia 2 86" xfId="26381" xr:uid="{00000000-0005-0000-0000-000014670000}"/>
    <cellStyle name="Obliczenia 2 86 2" xfId="26382" xr:uid="{00000000-0005-0000-0000-000015670000}"/>
    <cellStyle name="Obliczenia 2 86 3" xfId="26383" xr:uid="{00000000-0005-0000-0000-000016670000}"/>
    <cellStyle name="Obliczenia 2 87" xfId="26384" xr:uid="{00000000-0005-0000-0000-000017670000}"/>
    <cellStyle name="Obliczenia 2 87 2" xfId="26385" xr:uid="{00000000-0005-0000-0000-000018670000}"/>
    <cellStyle name="Obliczenia 2 87 3" xfId="26386" xr:uid="{00000000-0005-0000-0000-000019670000}"/>
    <cellStyle name="Obliczenia 2 88" xfId="26387" xr:uid="{00000000-0005-0000-0000-00001A670000}"/>
    <cellStyle name="Obliczenia 2 89" xfId="26388" xr:uid="{00000000-0005-0000-0000-00001B670000}"/>
    <cellStyle name="Obliczenia 2 9" xfId="26389" xr:uid="{00000000-0005-0000-0000-00001C670000}"/>
    <cellStyle name="Obliczenia 2 9 10" xfId="26390" xr:uid="{00000000-0005-0000-0000-00001D670000}"/>
    <cellStyle name="Obliczenia 2 9 10 2" xfId="26391" xr:uid="{00000000-0005-0000-0000-00001E670000}"/>
    <cellStyle name="Obliczenia 2 9 10 3" xfId="26392" xr:uid="{00000000-0005-0000-0000-00001F670000}"/>
    <cellStyle name="Obliczenia 2 9 10 4" xfId="26393" xr:uid="{00000000-0005-0000-0000-000020670000}"/>
    <cellStyle name="Obliczenia 2 9 11" xfId="26394" xr:uid="{00000000-0005-0000-0000-000021670000}"/>
    <cellStyle name="Obliczenia 2 9 11 2" xfId="26395" xr:uid="{00000000-0005-0000-0000-000022670000}"/>
    <cellStyle name="Obliczenia 2 9 11 3" xfId="26396" xr:uid="{00000000-0005-0000-0000-000023670000}"/>
    <cellStyle name="Obliczenia 2 9 11 4" xfId="26397" xr:uid="{00000000-0005-0000-0000-000024670000}"/>
    <cellStyle name="Obliczenia 2 9 12" xfId="26398" xr:uid="{00000000-0005-0000-0000-000025670000}"/>
    <cellStyle name="Obliczenia 2 9 12 2" xfId="26399" xr:uid="{00000000-0005-0000-0000-000026670000}"/>
    <cellStyle name="Obliczenia 2 9 12 3" xfId="26400" xr:uid="{00000000-0005-0000-0000-000027670000}"/>
    <cellStyle name="Obliczenia 2 9 12 4" xfId="26401" xr:uid="{00000000-0005-0000-0000-000028670000}"/>
    <cellStyle name="Obliczenia 2 9 13" xfId="26402" xr:uid="{00000000-0005-0000-0000-000029670000}"/>
    <cellStyle name="Obliczenia 2 9 13 2" xfId="26403" xr:uid="{00000000-0005-0000-0000-00002A670000}"/>
    <cellStyle name="Obliczenia 2 9 13 3" xfId="26404" xr:uid="{00000000-0005-0000-0000-00002B670000}"/>
    <cellStyle name="Obliczenia 2 9 13 4" xfId="26405" xr:uid="{00000000-0005-0000-0000-00002C670000}"/>
    <cellStyle name="Obliczenia 2 9 14" xfId="26406" xr:uid="{00000000-0005-0000-0000-00002D670000}"/>
    <cellStyle name="Obliczenia 2 9 14 2" xfId="26407" xr:uid="{00000000-0005-0000-0000-00002E670000}"/>
    <cellStyle name="Obliczenia 2 9 14 3" xfId="26408" xr:uid="{00000000-0005-0000-0000-00002F670000}"/>
    <cellStyle name="Obliczenia 2 9 14 4" xfId="26409" xr:uid="{00000000-0005-0000-0000-000030670000}"/>
    <cellStyle name="Obliczenia 2 9 15" xfId="26410" xr:uid="{00000000-0005-0000-0000-000031670000}"/>
    <cellStyle name="Obliczenia 2 9 15 2" xfId="26411" xr:uid="{00000000-0005-0000-0000-000032670000}"/>
    <cellStyle name="Obliczenia 2 9 15 3" xfId="26412" xr:uid="{00000000-0005-0000-0000-000033670000}"/>
    <cellStyle name="Obliczenia 2 9 15 4" xfId="26413" xr:uid="{00000000-0005-0000-0000-000034670000}"/>
    <cellStyle name="Obliczenia 2 9 16" xfId="26414" xr:uid="{00000000-0005-0000-0000-000035670000}"/>
    <cellStyle name="Obliczenia 2 9 16 2" xfId="26415" xr:uid="{00000000-0005-0000-0000-000036670000}"/>
    <cellStyle name="Obliczenia 2 9 16 3" xfId="26416" xr:uid="{00000000-0005-0000-0000-000037670000}"/>
    <cellStyle name="Obliczenia 2 9 16 4" xfId="26417" xr:uid="{00000000-0005-0000-0000-000038670000}"/>
    <cellStyle name="Obliczenia 2 9 17" xfId="26418" xr:uid="{00000000-0005-0000-0000-000039670000}"/>
    <cellStyle name="Obliczenia 2 9 17 2" xfId="26419" xr:uid="{00000000-0005-0000-0000-00003A670000}"/>
    <cellStyle name="Obliczenia 2 9 17 3" xfId="26420" xr:uid="{00000000-0005-0000-0000-00003B670000}"/>
    <cellStyle name="Obliczenia 2 9 17 4" xfId="26421" xr:uid="{00000000-0005-0000-0000-00003C670000}"/>
    <cellStyle name="Obliczenia 2 9 18" xfId="26422" xr:uid="{00000000-0005-0000-0000-00003D670000}"/>
    <cellStyle name="Obliczenia 2 9 18 2" xfId="26423" xr:uid="{00000000-0005-0000-0000-00003E670000}"/>
    <cellStyle name="Obliczenia 2 9 18 3" xfId="26424" xr:uid="{00000000-0005-0000-0000-00003F670000}"/>
    <cellStyle name="Obliczenia 2 9 18 4" xfId="26425" xr:uid="{00000000-0005-0000-0000-000040670000}"/>
    <cellStyle name="Obliczenia 2 9 19" xfId="26426" xr:uid="{00000000-0005-0000-0000-000041670000}"/>
    <cellStyle name="Obliczenia 2 9 19 2" xfId="26427" xr:uid="{00000000-0005-0000-0000-000042670000}"/>
    <cellStyle name="Obliczenia 2 9 19 3" xfId="26428" xr:uid="{00000000-0005-0000-0000-000043670000}"/>
    <cellStyle name="Obliczenia 2 9 19 4" xfId="26429" xr:uid="{00000000-0005-0000-0000-000044670000}"/>
    <cellStyle name="Obliczenia 2 9 2" xfId="26430" xr:uid="{00000000-0005-0000-0000-000045670000}"/>
    <cellStyle name="Obliczenia 2 9 2 2" xfId="26431" xr:uid="{00000000-0005-0000-0000-000046670000}"/>
    <cellStyle name="Obliczenia 2 9 2 3" xfId="26432" xr:uid="{00000000-0005-0000-0000-000047670000}"/>
    <cellStyle name="Obliczenia 2 9 2 4" xfId="26433" xr:uid="{00000000-0005-0000-0000-000048670000}"/>
    <cellStyle name="Obliczenia 2 9 20" xfId="26434" xr:uid="{00000000-0005-0000-0000-000049670000}"/>
    <cellStyle name="Obliczenia 2 9 20 2" xfId="26435" xr:uid="{00000000-0005-0000-0000-00004A670000}"/>
    <cellStyle name="Obliczenia 2 9 20 3" xfId="26436" xr:uid="{00000000-0005-0000-0000-00004B670000}"/>
    <cellStyle name="Obliczenia 2 9 20 4" xfId="26437" xr:uid="{00000000-0005-0000-0000-00004C670000}"/>
    <cellStyle name="Obliczenia 2 9 21" xfId="26438" xr:uid="{00000000-0005-0000-0000-00004D670000}"/>
    <cellStyle name="Obliczenia 2 9 21 2" xfId="26439" xr:uid="{00000000-0005-0000-0000-00004E670000}"/>
    <cellStyle name="Obliczenia 2 9 21 3" xfId="26440" xr:uid="{00000000-0005-0000-0000-00004F670000}"/>
    <cellStyle name="Obliczenia 2 9 22" xfId="26441" xr:uid="{00000000-0005-0000-0000-000050670000}"/>
    <cellStyle name="Obliczenia 2 9 22 2" xfId="26442" xr:uid="{00000000-0005-0000-0000-000051670000}"/>
    <cellStyle name="Obliczenia 2 9 22 3" xfId="26443" xr:uid="{00000000-0005-0000-0000-000052670000}"/>
    <cellStyle name="Obliczenia 2 9 23" xfId="26444" xr:uid="{00000000-0005-0000-0000-000053670000}"/>
    <cellStyle name="Obliczenia 2 9 23 2" xfId="26445" xr:uid="{00000000-0005-0000-0000-000054670000}"/>
    <cellStyle name="Obliczenia 2 9 23 3" xfId="26446" xr:uid="{00000000-0005-0000-0000-000055670000}"/>
    <cellStyle name="Obliczenia 2 9 24" xfId="26447" xr:uid="{00000000-0005-0000-0000-000056670000}"/>
    <cellStyle name="Obliczenia 2 9 24 2" xfId="26448" xr:uid="{00000000-0005-0000-0000-000057670000}"/>
    <cellStyle name="Obliczenia 2 9 24 3" xfId="26449" xr:uid="{00000000-0005-0000-0000-000058670000}"/>
    <cellStyle name="Obliczenia 2 9 25" xfId="26450" xr:uid="{00000000-0005-0000-0000-000059670000}"/>
    <cellStyle name="Obliczenia 2 9 25 2" xfId="26451" xr:uid="{00000000-0005-0000-0000-00005A670000}"/>
    <cellStyle name="Obliczenia 2 9 25 3" xfId="26452" xr:uid="{00000000-0005-0000-0000-00005B670000}"/>
    <cellStyle name="Obliczenia 2 9 26" xfId="26453" xr:uid="{00000000-0005-0000-0000-00005C670000}"/>
    <cellStyle name="Obliczenia 2 9 26 2" xfId="26454" xr:uid="{00000000-0005-0000-0000-00005D670000}"/>
    <cellStyle name="Obliczenia 2 9 26 3" xfId="26455" xr:uid="{00000000-0005-0000-0000-00005E670000}"/>
    <cellStyle name="Obliczenia 2 9 27" xfId="26456" xr:uid="{00000000-0005-0000-0000-00005F670000}"/>
    <cellStyle name="Obliczenia 2 9 27 2" xfId="26457" xr:uid="{00000000-0005-0000-0000-000060670000}"/>
    <cellStyle name="Obliczenia 2 9 27 3" xfId="26458" xr:uid="{00000000-0005-0000-0000-000061670000}"/>
    <cellStyle name="Obliczenia 2 9 28" xfId="26459" xr:uid="{00000000-0005-0000-0000-000062670000}"/>
    <cellStyle name="Obliczenia 2 9 28 2" xfId="26460" xr:uid="{00000000-0005-0000-0000-000063670000}"/>
    <cellStyle name="Obliczenia 2 9 28 3" xfId="26461" xr:uid="{00000000-0005-0000-0000-000064670000}"/>
    <cellStyle name="Obliczenia 2 9 29" xfId="26462" xr:uid="{00000000-0005-0000-0000-000065670000}"/>
    <cellStyle name="Obliczenia 2 9 29 2" xfId="26463" xr:uid="{00000000-0005-0000-0000-000066670000}"/>
    <cellStyle name="Obliczenia 2 9 29 3" xfId="26464" xr:uid="{00000000-0005-0000-0000-000067670000}"/>
    <cellStyle name="Obliczenia 2 9 3" xfId="26465" xr:uid="{00000000-0005-0000-0000-000068670000}"/>
    <cellStyle name="Obliczenia 2 9 3 2" xfId="26466" xr:uid="{00000000-0005-0000-0000-000069670000}"/>
    <cellStyle name="Obliczenia 2 9 3 3" xfId="26467" xr:uid="{00000000-0005-0000-0000-00006A670000}"/>
    <cellStyle name="Obliczenia 2 9 3 4" xfId="26468" xr:uid="{00000000-0005-0000-0000-00006B670000}"/>
    <cellStyle name="Obliczenia 2 9 30" xfId="26469" xr:uid="{00000000-0005-0000-0000-00006C670000}"/>
    <cellStyle name="Obliczenia 2 9 30 2" xfId="26470" xr:uid="{00000000-0005-0000-0000-00006D670000}"/>
    <cellStyle name="Obliczenia 2 9 30 3" xfId="26471" xr:uid="{00000000-0005-0000-0000-00006E670000}"/>
    <cellStyle name="Obliczenia 2 9 31" xfId="26472" xr:uid="{00000000-0005-0000-0000-00006F670000}"/>
    <cellStyle name="Obliczenia 2 9 31 2" xfId="26473" xr:uid="{00000000-0005-0000-0000-000070670000}"/>
    <cellStyle name="Obliczenia 2 9 31 3" xfId="26474" xr:uid="{00000000-0005-0000-0000-000071670000}"/>
    <cellStyle name="Obliczenia 2 9 32" xfId="26475" xr:uid="{00000000-0005-0000-0000-000072670000}"/>
    <cellStyle name="Obliczenia 2 9 32 2" xfId="26476" xr:uid="{00000000-0005-0000-0000-000073670000}"/>
    <cellStyle name="Obliczenia 2 9 32 3" xfId="26477" xr:uid="{00000000-0005-0000-0000-000074670000}"/>
    <cellStyle name="Obliczenia 2 9 33" xfId="26478" xr:uid="{00000000-0005-0000-0000-000075670000}"/>
    <cellStyle name="Obliczenia 2 9 33 2" xfId="26479" xr:uid="{00000000-0005-0000-0000-000076670000}"/>
    <cellStyle name="Obliczenia 2 9 33 3" xfId="26480" xr:uid="{00000000-0005-0000-0000-000077670000}"/>
    <cellStyle name="Obliczenia 2 9 34" xfId="26481" xr:uid="{00000000-0005-0000-0000-000078670000}"/>
    <cellStyle name="Obliczenia 2 9 34 2" xfId="26482" xr:uid="{00000000-0005-0000-0000-000079670000}"/>
    <cellStyle name="Obliczenia 2 9 34 3" xfId="26483" xr:uid="{00000000-0005-0000-0000-00007A670000}"/>
    <cellStyle name="Obliczenia 2 9 35" xfId="26484" xr:uid="{00000000-0005-0000-0000-00007B670000}"/>
    <cellStyle name="Obliczenia 2 9 35 2" xfId="26485" xr:uid="{00000000-0005-0000-0000-00007C670000}"/>
    <cellStyle name="Obliczenia 2 9 35 3" xfId="26486" xr:uid="{00000000-0005-0000-0000-00007D670000}"/>
    <cellStyle name="Obliczenia 2 9 36" xfId="26487" xr:uid="{00000000-0005-0000-0000-00007E670000}"/>
    <cellStyle name="Obliczenia 2 9 36 2" xfId="26488" xr:uid="{00000000-0005-0000-0000-00007F670000}"/>
    <cellStyle name="Obliczenia 2 9 36 3" xfId="26489" xr:uid="{00000000-0005-0000-0000-000080670000}"/>
    <cellStyle name="Obliczenia 2 9 37" xfId="26490" xr:uid="{00000000-0005-0000-0000-000081670000}"/>
    <cellStyle name="Obliczenia 2 9 37 2" xfId="26491" xr:uid="{00000000-0005-0000-0000-000082670000}"/>
    <cellStyle name="Obliczenia 2 9 37 3" xfId="26492" xr:uid="{00000000-0005-0000-0000-000083670000}"/>
    <cellStyle name="Obliczenia 2 9 38" xfId="26493" xr:uid="{00000000-0005-0000-0000-000084670000}"/>
    <cellStyle name="Obliczenia 2 9 38 2" xfId="26494" xr:uid="{00000000-0005-0000-0000-000085670000}"/>
    <cellStyle name="Obliczenia 2 9 38 3" xfId="26495" xr:uid="{00000000-0005-0000-0000-000086670000}"/>
    <cellStyle name="Obliczenia 2 9 39" xfId="26496" xr:uid="{00000000-0005-0000-0000-000087670000}"/>
    <cellStyle name="Obliczenia 2 9 39 2" xfId="26497" xr:uid="{00000000-0005-0000-0000-000088670000}"/>
    <cellStyle name="Obliczenia 2 9 39 3" xfId="26498" xr:uid="{00000000-0005-0000-0000-000089670000}"/>
    <cellStyle name="Obliczenia 2 9 4" xfId="26499" xr:uid="{00000000-0005-0000-0000-00008A670000}"/>
    <cellStyle name="Obliczenia 2 9 4 2" xfId="26500" xr:uid="{00000000-0005-0000-0000-00008B670000}"/>
    <cellStyle name="Obliczenia 2 9 4 3" xfId="26501" xr:uid="{00000000-0005-0000-0000-00008C670000}"/>
    <cellStyle name="Obliczenia 2 9 4 4" xfId="26502" xr:uid="{00000000-0005-0000-0000-00008D670000}"/>
    <cellStyle name="Obliczenia 2 9 40" xfId="26503" xr:uid="{00000000-0005-0000-0000-00008E670000}"/>
    <cellStyle name="Obliczenia 2 9 40 2" xfId="26504" xr:uid="{00000000-0005-0000-0000-00008F670000}"/>
    <cellStyle name="Obliczenia 2 9 40 3" xfId="26505" xr:uid="{00000000-0005-0000-0000-000090670000}"/>
    <cellStyle name="Obliczenia 2 9 41" xfId="26506" xr:uid="{00000000-0005-0000-0000-000091670000}"/>
    <cellStyle name="Obliczenia 2 9 41 2" xfId="26507" xr:uid="{00000000-0005-0000-0000-000092670000}"/>
    <cellStyle name="Obliczenia 2 9 41 3" xfId="26508" xr:uid="{00000000-0005-0000-0000-000093670000}"/>
    <cellStyle name="Obliczenia 2 9 42" xfId="26509" xr:uid="{00000000-0005-0000-0000-000094670000}"/>
    <cellStyle name="Obliczenia 2 9 42 2" xfId="26510" xr:uid="{00000000-0005-0000-0000-000095670000}"/>
    <cellStyle name="Obliczenia 2 9 42 3" xfId="26511" xr:uid="{00000000-0005-0000-0000-000096670000}"/>
    <cellStyle name="Obliczenia 2 9 43" xfId="26512" xr:uid="{00000000-0005-0000-0000-000097670000}"/>
    <cellStyle name="Obliczenia 2 9 43 2" xfId="26513" xr:uid="{00000000-0005-0000-0000-000098670000}"/>
    <cellStyle name="Obliczenia 2 9 43 3" xfId="26514" xr:uid="{00000000-0005-0000-0000-000099670000}"/>
    <cellStyle name="Obliczenia 2 9 44" xfId="26515" xr:uid="{00000000-0005-0000-0000-00009A670000}"/>
    <cellStyle name="Obliczenia 2 9 44 2" xfId="26516" xr:uid="{00000000-0005-0000-0000-00009B670000}"/>
    <cellStyle name="Obliczenia 2 9 44 3" xfId="26517" xr:uid="{00000000-0005-0000-0000-00009C670000}"/>
    <cellStyle name="Obliczenia 2 9 45" xfId="26518" xr:uid="{00000000-0005-0000-0000-00009D670000}"/>
    <cellStyle name="Obliczenia 2 9 45 2" xfId="26519" xr:uid="{00000000-0005-0000-0000-00009E670000}"/>
    <cellStyle name="Obliczenia 2 9 45 3" xfId="26520" xr:uid="{00000000-0005-0000-0000-00009F670000}"/>
    <cellStyle name="Obliczenia 2 9 46" xfId="26521" xr:uid="{00000000-0005-0000-0000-0000A0670000}"/>
    <cellStyle name="Obliczenia 2 9 46 2" xfId="26522" xr:uid="{00000000-0005-0000-0000-0000A1670000}"/>
    <cellStyle name="Obliczenia 2 9 46 3" xfId="26523" xr:uid="{00000000-0005-0000-0000-0000A2670000}"/>
    <cellStyle name="Obliczenia 2 9 47" xfId="26524" xr:uid="{00000000-0005-0000-0000-0000A3670000}"/>
    <cellStyle name="Obliczenia 2 9 47 2" xfId="26525" xr:uid="{00000000-0005-0000-0000-0000A4670000}"/>
    <cellStyle name="Obliczenia 2 9 47 3" xfId="26526" xr:uid="{00000000-0005-0000-0000-0000A5670000}"/>
    <cellStyle name="Obliczenia 2 9 48" xfId="26527" xr:uid="{00000000-0005-0000-0000-0000A6670000}"/>
    <cellStyle name="Obliczenia 2 9 48 2" xfId="26528" xr:uid="{00000000-0005-0000-0000-0000A7670000}"/>
    <cellStyle name="Obliczenia 2 9 48 3" xfId="26529" xr:uid="{00000000-0005-0000-0000-0000A8670000}"/>
    <cellStyle name="Obliczenia 2 9 49" xfId="26530" xr:uid="{00000000-0005-0000-0000-0000A9670000}"/>
    <cellStyle name="Obliczenia 2 9 49 2" xfId="26531" xr:uid="{00000000-0005-0000-0000-0000AA670000}"/>
    <cellStyle name="Obliczenia 2 9 49 3" xfId="26532" xr:uid="{00000000-0005-0000-0000-0000AB670000}"/>
    <cellStyle name="Obliczenia 2 9 5" xfId="26533" xr:uid="{00000000-0005-0000-0000-0000AC670000}"/>
    <cellStyle name="Obliczenia 2 9 5 2" xfId="26534" xr:uid="{00000000-0005-0000-0000-0000AD670000}"/>
    <cellStyle name="Obliczenia 2 9 5 3" xfId="26535" xr:uid="{00000000-0005-0000-0000-0000AE670000}"/>
    <cellStyle name="Obliczenia 2 9 5 4" xfId="26536" xr:uid="{00000000-0005-0000-0000-0000AF670000}"/>
    <cellStyle name="Obliczenia 2 9 50" xfId="26537" xr:uid="{00000000-0005-0000-0000-0000B0670000}"/>
    <cellStyle name="Obliczenia 2 9 50 2" xfId="26538" xr:uid="{00000000-0005-0000-0000-0000B1670000}"/>
    <cellStyle name="Obliczenia 2 9 50 3" xfId="26539" xr:uid="{00000000-0005-0000-0000-0000B2670000}"/>
    <cellStyle name="Obliczenia 2 9 51" xfId="26540" xr:uid="{00000000-0005-0000-0000-0000B3670000}"/>
    <cellStyle name="Obliczenia 2 9 51 2" xfId="26541" xr:uid="{00000000-0005-0000-0000-0000B4670000}"/>
    <cellStyle name="Obliczenia 2 9 51 3" xfId="26542" xr:uid="{00000000-0005-0000-0000-0000B5670000}"/>
    <cellStyle name="Obliczenia 2 9 52" xfId="26543" xr:uid="{00000000-0005-0000-0000-0000B6670000}"/>
    <cellStyle name="Obliczenia 2 9 52 2" xfId="26544" xr:uid="{00000000-0005-0000-0000-0000B7670000}"/>
    <cellStyle name="Obliczenia 2 9 52 3" xfId="26545" xr:uid="{00000000-0005-0000-0000-0000B8670000}"/>
    <cellStyle name="Obliczenia 2 9 53" xfId="26546" xr:uid="{00000000-0005-0000-0000-0000B9670000}"/>
    <cellStyle name="Obliczenia 2 9 53 2" xfId="26547" xr:uid="{00000000-0005-0000-0000-0000BA670000}"/>
    <cellStyle name="Obliczenia 2 9 53 3" xfId="26548" xr:uid="{00000000-0005-0000-0000-0000BB670000}"/>
    <cellStyle name="Obliczenia 2 9 54" xfId="26549" xr:uid="{00000000-0005-0000-0000-0000BC670000}"/>
    <cellStyle name="Obliczenia 2 9 54 2" xfId="26550" xr:uid="{00000000-0005-0000-0000-0000BD670000}"/>
    <cellStyle name="Obliczenia 2 9 54 3" xfId="26551" xr:uid="{00000000-0005-0000-0000-0000BE670000}"/>
    <cellStyle name="Obliczenia 2 9 55" xfId="26552" xr:uid="{00000000-0005-0000-0000-0000BF670000}"/>
    <cellStyle name="Obliczenia 2 9 55 2" xfId="26553" xr:uid="{00000000-0005-0000-0000-0000C0670000}"/>
    <cellStyle name="Obliczenia 2 9 55 3" xfId="26554" xr:uid="{00000000-0005-0000-0000-0000C1670000}"/>
    <cellStyle name="Obliczenia 2 9 56" xfId="26555" xr:uid="{00000000-0005-0000-0000-0000C2670000}"/>
    <cellStyle name="Obliczenia 2 9 56 2" xfId="26556" xr:uid="{00000000-0005-0000-0000-0000C3670000}"/>
    <cellStyle name="Obliczenia 2 9 56 3" xfId="26557" xr:uid="{00000000-0005-0000-0000-0000C4670000}"/>
    <cellStyle name="Obliczenia 2 9 57" xfId="26558" xr:uid="{00000000-0005-0000-0000-0000C5670000}"/>
    <cellStyle name="Obliczenia 2 9 58" xfId="26559" xr:uid="{00000000-0005-0000-0000-0000C6670000}"/>
    <cellStyle name="Obliczenia 2 9 6" xfId="26560" xr:uid="{00000000-0005-0000-0000-0000C7670000}"/>
    <cellStyle name="Obliczenia 2 9 6 2" xfId="26561" xr:uid="{00000000-0005-0000-0000-0000C8670000}"/>
    <cellStyle name="Obliczenia 2 9 6 3" xfId="26562" xr:uid="{00000000-0005-0000-0000-0000C9670000}"/>
    <cellStyle name="Obliczenia 2 9 6 4" xfId="26563" xr:uid="{00000000-0005-0000-0000-0000CA670000}"/>
    <cellStyle name="Obliczenia 2 9 7" xfId="26564" xr:uid="{00000000-0005-0000-0000-0000CB670000}"/>
    <cellStyle name="Obliczenia 2 9 7 2" xfId="26565" xr:uid="{00000000-0005-0000-0000-0000CC670000}"/>
    <cellStyle name="Obliczenia 2 9 7 3" xfId="26566" xr:uid="{00000000-0005-0000-0000-0000CD670000}"/>
    <cellStyle name="Obliczenia 2 9 7 4" xfId="26567" xr:uid="{00000000-0005-0000-0000-0000CE670000}"/>
    <cellStyle name="Obliczenia 2 9 8" xfId="26568" xr:uid="{00000000-0005-0000-0000-0000CF670000}"/>
    <cellStyle name="Obliczenia 2 9 8 2" xfId="26569" xr:uid="{00000000-0005-0000-0000-0000D0670000}"/>
    <cellStyle name="Obliczenia 2 9 8 3" xfId="26570" xr:uid="{00000000-0005-0000-0000-0000D1670000}"/>
    <cellStyle name="Obliczenia 2 9 8 4" xfId="26571" xr:uid="{00000000-0005-0000-0000-0000D2670000}"/>
    <cellStyle name="Obliczenia 2 9 9" xfId="26572" xr:uid="{00000000-0005-0000-0000-0000D3670000}"/>
    <cellStyle name="Obliczenia 2 9 9 2" xfId="26573" xr:uid="{00000000-0005-0000-0000-0000D4670000}"/>
    <cellStyle name="Obliczenia 2 9 9 3" xfId="26574" xr:uid="{00000000-0005-0000-0000-0000D5670000}"/>
    <cellStyle name="Obliczenia 2 9 9 4" xfId="26575" xr:uid="{00000000-0005-0000-0000-0000D6670000}"/>
    <cellStyle name="Obliczenia 3" xfId="26576" xr:uid="{00000000-0005-0000-0000-0000D7670000}"/>
    <cellStyle name="Obliczenia 3 2" xfId="26577" xr:uid="{00000000-0005-0000-0000-0000D8670000}"/>
    <cellStyle name="Obliczenia 3 2 2" xfId="26578" xr:uid="{00000000-0005-0000-0000-0000D9670000}"/>
    <cellStyle name="Obliczenia 3 3" xfId="26579" xr:uid="{00000000-0005-0000-0000-0000DA670000}"/>
    <cellStyle name="Obliczenia 3 4" xfId="26580" xr:uid="{00000000-0005-0000-0000-0000DB670000}"/>
    <cellStyle name="Obliczenia 3 5" xfId="26581" xr:uid="{00000000-0005-0000-0000-0000DC670000}"/>
    <cellStyle name="Obliczenia 3 6" xfId="26582" xr:uid="{00000000-0005-0000-0000-0000DD670000}"/>
    <cellStyle name="Obliczenia 3 7" xfId="26583" xr:uid="{00000000-0005-0000-0000-0000DE670000}"/>
    <cellStyle name="Obliczenia 3 8" xfId="26584" xr:uid="{00000000-0005-0000-0000-0000DF670000}"/>
    <cellStyle name="Obliczenia 3 9" xfId="26585" xr:uid="{00000000-0005-0000-0000-0000E0670000}"/>
    <cellStyle name="Obliczenia 4" xfId="26586" xr:uid="{00000000-0005-0000-0000-0000E1670000}"/>
    <cellStyle name="Obliczenia 4 2" xfId="26587" xr:uid="{00000000-0005-0000-0000-0000E2670000}"/>
    <cellStyle name="Obliczenia 4 3" xfId="26588" xr:uid="{00000000-0005-0000-0000-0000E3670000}"/>
    <cellStyle name="Obliczenia 4 4" xfId="26589" xr:uid="{00000000-0005-0000-0000-0000E4670000}"/>
    <cellStyle name="Obliczenia 4 5" xfId="26590" xr:uid="{00000000-0005-0000-0000-0000E5670000}"/>
    <cellStyle name="Obliczenia 4 6" xfId="26591" xr:uid="{00000000-0005-0000-0000-0000E6670000}"/>
    <cellStyle name="Obliczenia 4 7" xfId="26592" xr:uid="{00000000-0005-0000-0000-0000E7670000}"/>
    <cellStyle name="Obliczenia 4 8" xfId="26593" xr:uid="{00000000-0005-0000-0000-0000E8670000}"/>
    <cellStyle name="Obliczenia 4 9" xfId="26594" xr:uid="{00000000-0005-0000-0000-0000E9670000}"/>
    <cellStyle name="Obliczenia 5" xfId="26595" xr:uid="{00000000-0005-0000-0000-0000EA670000}"/>
    <cellStyle name="Obliczenia 5 2" xfId="26596" xr:uid="{00000000-0005-0000-0000-0000EB670000}"/>
    <cellStyle name="Obliczenia 5 3" xfId="26597" xr:uid="{00000000-0005-0000-0000-0000EC670000}"/>
    <cellStyle name="Obliczenia 6" xfId="26598" xr:uid="{00000000-0005-0000-0000-0000ED670000}"/>
    <cellStyle name="Obliczenia 6 2" xfId="26599" xr:uid="{00000000-0005-0000-0000-0000EE670000}"/>
    <cellStyle name="Obliczenia 7" xfId="26600" xr:uid="{00000000-0005-0000-0000-0000EF670000}"/>
    <cellStyle name="Option" xfId="26601" xr:uid="{00000000-0005-0000-0000-0000F0670000}"/>
    <cellStyle name="Output Amounts" xfId="26602" xr:uid="{00000000-0005-0000-0000-0000F1670000}"/>
    <cellStyle name="Output Column Headings" xfId="26603" xr:uid="{00000000-0005-0000-0000-0000F2670000}"/>
    <cellStyle name="Output Line Items" xfId="26604" xr:uid="{00000000-0005-0000-0000-0000F3670000}"/>
    <cellStyle name="Output Report Heading" xfId="26605" xr:uid="{00000000-0005-0000-0000-0000F4670000}"/>
    <cellStyle name="Output Report Title" xfId="26606" xr:uid="{00000000-0005-0000-0000-0000F5670000}"/>
    <cellStyle name="Pénznem [0]_cb-fr" xfId="26607" xr:uid="{00000000-0005-0000-0000-0000F6670000}"/>
    <cellStyle name="Pénznem_cb-fr" xfId="26608" xr:uid="{00000000-0005-0000-0000-0000F7670000}"/>
    <cellStyle name="Percent [2]" xfId="26609" xr:uid="{00000000-0005-0000-0000-0000F8670000}"/>
    <cellStyle name="Percent 2" xfId="26610" xr:uid="{00000000-0005-0000-0000-0000F9670000}"/>
    <cellStyle name="Pivot Table Category" xfId="26611" xr:uid="{00000000-0005-0000-0000-0000FA670000}"/>
    <cellStyle name="Pivot Table Corner" xfId="26612" xr:uid="{00000000-0005-0000-0000-0000FB670000}"/>
    <cellStyle name="Pivot Table Field" xfId="26613" xr:uid="{00000000-0005-0000-0000-0000FC670000}"/>
    <cellStyle name="Pivot Table Result" xfId="26614" xr:uid="{00000000-0005-0000-0000-0000FD670000}"/>
    <cellStyle name="Pivot Table Title" xfId="26615" xr:uid="{00000000-0005-0000-0000-0000FE670000}"/>
    <cellStyle name="Pivot Table Value" xfId="26616" xr:uid="{00000000-0005-0000-0000-0000FF670000}"/>
    <cellStyle name="pole" xfId="26617" xr:uid="{00000000-0005-0000-0000-000000680000}"/>
    <cellStyle name="Price" xfId="26618" xr:uid="{00000000-0005-0000-0000-000001680000}"/>
    <cellStyle name="Procentowy" xfId="7" builtinId="5"/>
    <cellStyle name="Procentowy 10" xfId="26619" xr:uid="{00000000-0005-0000-0000-000003680000}"/>
    <cellStyle name="Procentowy 10 2" xfId="26620" xr:uid="{00000000-0005-0000-0000-000004680000}"/>
    <cellStyle name="Procentowy 10 3" xfId="26621" xr:uid="{00000000-0005-0000-0000-000005680000}"/>
    <cellStyle name="Procentowy 10 4" xfId="26622" xr:uid="{00000000-0005-0000-0000-000006680000}"/>
    <cellStyle name="Procentowy 10 5" xfId="26623" xr:uid="{00000000-0005-0000-0000-000007680000}"/>
    <cellStyle name="Procentowy 10 6" xfId="26624" xr:uid="{00000000-0005-0000-0000-000008680000}"/>
    <cellStyle name="Procentowy 10 7" xfId="26625" xr:uid="{00000000-0005-0000-0000-000009680000}"/>
    <cellStyle name="Procentowy 11" xfId="26626" xr:uid="{00000000-0005-0000-0000-00000A680000}"/>
    <cellStyle name="Procentowy 12" xfId="26627" xr:uid="{00000000-0005-0000-0000-00000B680000}"/>
    <cellStyle name="Procentowy 13" xfId="42847" xr:uid="{00000000-0005-0000-0000-00000C680000}"/>
    <cellStyle name="Procentowy 14" xfId="42850" xr:uid="{00000000-0005-0000-0000-00000D680000}"/>
    <cellStyle name="Procentowy 15" xfId="42852" xr:uid="{00000000-0005-0000-0000-00000E680000}"/>
    <cellStyle name="Procentowy 16" xfId="42856" xr:uid="{00000000-0005-0000-0000-00000F680000}"/>
    <cellStyle name="Procentowy 2" xfId="2" xr:uid="{00000000-0005-0000-0000-000010680000}"/>
    <cellStyle name="Procentowy 2 10" xfId="26629" xr:uid="{00000000-0005-0000-0000-000011680000}"/>
    <cellStyle name="Procentowy 2 11" xfId="26630" xr:uid="{00000000-0005-0000-0000-000012680000}"/>
    <cellStyle name="Procentowy 2 12" xfId="26628" xr:uid="{00000000-0005-0000-0000-000013680000}"/>
    <cellStyle name="Procentowy 2 2" xfId="26631" xr:uid="{00000000-0005-0000-0000-000014680000}"/>
    <cellStyle name="Procentowy 2 2 2" xfId="26632" xr:uid="{00000000-0005-0000-0000-000015680000}"/>
    <cellStyle name="Procentowy 2 2 2 2" xfId="26633" xr:uid="{00000000-0005-0000-0000-000016680000}"/>
    <cellStyle name="Procentowy 2 2 2 3" xfId="26634" xr:uid="{00000000-0005-0000-0000-000017680000}"/>
    <cellStyle name="Procentowy 2 2 3" xfId="26635" xr:uid="{00000000-0005-0000-0000-000018680000}"/>
    <cellStyle name="Procentowy 2 2 3 2" xfId="26636" xr:uid="{00000000-0005-0000-0000-000019680000}"/>
    <cellStyle name="Procentowy 2 2 3 3" xfId="26637" xr:uid="{00000000-0005-0000-0000-00001A680000}"/>
    <cellStyle name="Procentowy 2 2 4" xfId="26638" xr:uid="{00000000-0005-0000-0000-00001B680000}"/>
    <cellStyle name="Procentowy 2 2 5" xfId="26639" xr:uid="{00000000-0005-0000-0000-00001C680000}"/>
    <cellStyle name="Procentowy 2 2 6" xfId="26640" xr:uid="{00000000-0005-0000-0000-00001D680000}"/>
    <cellStyle name="Procentowy 2 2 7" xfId="26641" xr:uid="{00000000-0005-0000-0000-00001E680000}"/>
    <cellStyle name="Procentowy 2 3" xfId="26642" xr:uid="{00000000-0005-0000-0000-00001F680000}"/>
    <cellStyle name="Procentowy 2 3 2" xfId="26643" xr:uid="{00000000-0005-0000-0000-000020680000}"/>
    <cellStyle name="Procentowy 2 3 3" xfId="26644" xr:uid="{00000000-0005-0000-0000-000021680000}"/>
    <cellStyle name="Procentowy 2 4" xfId="26645" xr:uid="{00000000-0005-0000-0000-000022680000}"/>
    <cellStyle name="Procentowy 2 4 2" xfId="26646" xr:uid="{00000000-0005-0000-0000-000023680000}"/>
    <cellStyle name="Procentowy 2 5" xfId="26647" xr:uid="{00000000-0005-0000-0000-000024680000}"/>
    <cellStyle name="Procentowy 2 5 2" xfId="26648" xr:uid="{00000000-0005-0000-0000-000025680000}"/>
    <cellStyle name="Procentowy 2 6" xfId="26649" xr:uid="{00000000-0005-0000-0000-000026680000}"/>
    <cellStyle name="Procentowy 2 6 2" xfId="26650" xr:uid="{00000000-0005-0000-0000-000027680000}"/>
    <cellStyle name="Procentowy 2 7" xfId="26651" xr:uid="{00000000-0005-0000-0000-000028680000}"/>
    <cellStyle name="Procentowy 2 7 2" xfId="26652" xr:uid="{00000000-0005-0000-0000-000029680000}"/>
    <cellStyle name="Procentowy 2 8" xfId="26653" xr:uid="{00000000-0005-0000-0000-00002A680000}"/>
    <cellStyle name="Procentowy 2 9" xfId="26654" xr:uid="{00000000-0005-0000-0000-00002B680000}"/>
    <cellStyle name="Procentowy 3" xfId="6" xr:uid="{00000000-0005-0000-0000-00002C680000}"/>
    <cellStyle name="Procentowy 3 10" xfId="26656" xr:uid="{00000000-0005-0000-0000-00002D680000}"/>
    <cellStyle name="Procentowy 3 10 10" xfId="26657" xr:uid="{00000000-0005-0000-0000-00002E680000}"/>
    <cellStyle name="Procentowy 3 10 10 2" xfId="26658" xr:uid="{00000000-0005-0000-0000-00002F680000}"/>
    <cellStyle name="Procentowy 3 10 11" xfId="26659" xr:uid="{00000000-0005-0000-0000-000030680000}"/>
    <cellStyle name="Procentowy 3 10 11 2" xfId="26660" xr:uid="{00000000-0005-0000-0000-000031680000}"/>
    <cellStyle name="Procentowy 3 10 12" xfId="26661" xr:uid="{00000000-0005-0000-0000-000032680000}"/>
    <cellStyle name="Procentowy 3 10 12 2" xfId="26662" xr:uid="{00000000-0005-0000-0000-000033680000}"/>
    <cellStyle name="Procentowy 3 10 13" xfId="26663" xr:uid="{00000000-0005-0000-0000-000034680000}"/>
    <cellStyle name="Procentowy 3 10 13 2" xfId="26664" xr:uid="{00000000-0005-0000-0000-000035680000}"/>
    <cellStyle name="Procentowy 3 10 14" xfId="26665" xr:uid="{00000000-0005-0000-0000-000036680000}"/>
    <cellStyle name="Procentowy 3 10 14 2" xfId="26666" xr:uid="{00000000-0005-0000-0000-000037680000}"/>
    <cellStyle name="Procentowy 3 10 15" xfId="26667" xr:uid="{00000000-0005-0000-0000-000038680000}"/>
    <cellStyle name="Procentowy 3 10 15 2" xfId="26668" xr:uid="{00000000-0005-0000-0000-000039680000}"/>
    <cellStyle name="Procentowy 3 10 16" xfId="26669" xr:uid="{00000000-0005-0000-0000-00003A680000}"/>
    <cellStyle name="Procentowy 3 10 16 2" xfId="26670" xr:uid="{00000000-0005-0000-0000-00003B680000}"/>
    <cellStyle name="Procentowy 3 10 17" xfId="26671" xr:uid="{00000000-0005-0000-0000-00003C680000}"/>
    <cellStyle name="Procentowy 3 10 17 2" xfId="26672" xr:uid="{00000000-0005-0000-0000-00003D680000}"/>
    <cellStyle name="Procentowy 3 10 18" xfId="26673" xr:uid="{00000000-0005-0000-0000-00003E680000}"/>
    <cellStyle name="Procentowy 3 10 18 2" xfId="26674" xr:uid="{00000000-0005-0000-0000-00003F680000}"/>
    <cellStyle name="Procentowy 3 10 19" xfId="26675" xr:uid="{00000000-0005-0000-0000-000040680000}"/>
    <cellStyle name="Procentowy 3 10 19 2" xfId="26676" xr:uid="{00000000-0005-0000-0000-000041680000}"/>
    <cellStyle name="Procentowy 3 10 2" xfId="26677" xr:uid="{00000000-0005-0000-0000-000042680000}"/>
    <cellStyle name="Procentowy 3 10 2 2" xfId="26678" xr:uid="{00000000-0005-0000-0000-000043680000}"/>
    <cellStyle name="Procentowy 3 10 2 3" xfId="26679" xr:uid="{00000000-0005-0000-0000-000044680000}"/>
    <cellStyle name="Procentowy 3 10 2 4" xfId="26680" xr:uid="{00000000-0005-0000-0000-000045680000}"/>
    <cellStyle name="Procentowy 3 10 2 5" xfId="26681" xr:uid="{00000000-0005-0000-0000-000046680000}"/>
    <cellStyle name="Procentowy 3 10 2 6" xfId="26682" xr:uid="{00000000-0005-0000-0000-000047680000}"/>
    <cellStyle name="Procentowy 3 10 2 7" xfId="26683" xr:uid="{00000000-0005-0000-0000-000048680000}"/>
    <cellStyle name="Procentowy 3 10 20" xfId="26684" xr:uid="{00000000-0005-0000-0000-000049680000}"/>
    <cellStyle name="Procentowy 3 10 20 2" xfId="26685" xr:uid="{00000000-0005-0000-0000-00004A680000}"/>
    <cellStyle name="Procentowy 3 10 21" xfId="26686" xr:uid="{00000000-0005-0000-0000-00004B680000}"/>
    <cellStyle name="Procentowy 3 10 21 2" xfId="26687" xr:uid="{00000000-0005-0000-0000-00004C680000}"/>
    <cellStyle name="Procentowy 3 10 22" xfId="26688" xr:uid="{00000000-0005-0000-0000-00004D680000}"/>
    <cellStyle name="Procentowy 3 10 22 2" xfId="26689" xr:uid="{00000000-0005-0000-0000-00004E680000}"/>
    <cellStyle name="Procentowy 3 10 23" xfId="26690" xr:uid="{00000000-0005-0000-0000-00004F680000}"/>
    <cellStyle name="Procentowy 3 10 23 2" xfId="26691" xr:uid="{00000000-0005-0000-0000-000050680000}"/>
    <cellStyle name="Procentowy 3 10 24" xfId="26692" xr:uid="{00000000-0005-0000-0000-000051680000}"/>
    <cellStyle name="Procentowy 3 10 24 2" xfId="26693" xr:uid="{00000000-0005-0000-0000-000052680000}"/>
    <cellStyle name="Procentowy 3 10 25" xfId="26694" xr:uid="{00000000-0005-0000-0000-000053680000}"/>
    <cellStyle name="Procentowy 3 10 25 2" xfId="26695" xr:uid="{00000000-0005-0000-0000-000054680000}"/>
    <cellStyle name="Procentowy 3 10 26" xfId="26696" xr:uid="{00000000-0005-0000-0000-000055680000}"/>
    <cellStyle name="Procentowy 3 10 26 2" xfId="26697" xr:uid="{00000000-0005-0000-0000-000056680000}"/>
    <cellStyle name="Procentowy 3 10 27" xfId="26698" xr:uid="{00000000-0005-0000-0000-000057680000}"/>
    <cellStyle name="Procentowy 3 10 27 2" xfId="26699" xr:uid="{00000000-0005-0000-0000-000058680000}"/>
    <cellStyle name="Procentowy 3 10 28" xfId="26700" xr:uid="{00000000-0005-0000-0000-000059680000}"/>
    <cellStyle name="Procentowy 3 10 28 2" xfId="26701" xr:uid="{00000000-0005-0000-0000-00005A680000}"/>
    <cellStyle name="Procentowy 3 10 29" xfId="26702" xr:uid="{00000000-0005-0000-0000-00005B680000}"/>
    <cellStyle name="Procentowy 3 10 29 2" xfId="26703" xr:uid="{00000000-0005-0000-0000-00005C680000}"/>
    <cellStyle name="Procentowy 3 10 3" xfId="26704" xr:uid="{00000000-0005-0000-0000-00005D680000}"/>
    <cellStyle name="Procentowy 3 10 3 2" xfId="26705" xr:uid="{00000000-0005-0000-0000-00005E680000}"/>
    <cellStyle name="Procentowy 3 10 3 3" xfId="26706" xr:uid="{00000000-0005-0000-0000-00005F680000}"/>
    <cellStyle name="Procentowy 3 10 3 4" xfId="26707" xr:uid="{00000000-0005-0000-0000-000060680000}"/>
    <cellStyle name="Procentowy 3 10 3 5" xfId="26708" xr:uid="{00000000-0005-0000-0000-000061680000}"/>
    <cellStyle name="Procentowy 3 10 3 6" xfId="26709" xr:uid="{00000000-0005-0000-0000-000062680000}"/>
    <cellStyle name="Procentowy 3 10 3 7" xfId="26710" xr:uid="{00000000-0005-0000-0000-000063680000}"/>
    <cellStyle name="Procentowy 3 10 30" xfId="26711" xr:uid="{00000000-0005-0000-0000-000064680000}"/>
    <cellStyle name="Procentowy 3 10 30 2" xfId="26712" xr:uid="{00000000-0005-0000-0000-000065680000}"/>
    <cellStyle name="Procentowy 3 10 31" xfId="26713" xr:uid="{00000000-0005-0000-0000-000066680000}"/>
    <cellStyle name="Procentowy 3 10 31 2" xfId="26714" xr:uid="{00000000-0005-0000-0000-000067680000}"/>
    <cellStyle name="Procentowy 3 10 32" xfId="26715" xr:uid="{00000000-0005-0000-0000-000068680000}"/>
    <cellStyle name="Procentowy 3 10 33" xfId="26716" xr:uid="{00000000-0005-0000-0000-000069680000}"/>
    <cellStyle name="Procentowy 3 10 34" xfId="26717" xr:uid="{00000000-0005-0000-0000-00006A680000}"/>
    <cellStyle name="Procentowy 3 10 35" xfId="26718" xr:uid="{00000000-0005-0000-0000-00006B680000}"/>
    <cellStyle name="Procentowy 3 10 36" xfId="26719" xr:uid="{00000000-0005-0000-0000-00006C680000}"/>
    <cellStyle name="Procentowy 3 10 37" xfId="26720" xr:uid="{00000000-0005-0000-0000-00006D680000}"/>
    <cellStyle name="Procentowy 3 10 38" xfId="26721" xr:uid="{00000000-0005-0000-0000-00006E680000}"/>
    <cellStyle name="Procentowy 3 10 39" xfId="26722" xr:uid="{00000000-0005-0000-0000-00006F680000}"/>
    <cellStyle name="Procentowy 3 10 4" xfId="26723" xr:uid="{00000000-0005-0000-0000-000070680000}"/>
    <cellStyle name="Procentowy 3 10 4 2" xfId="26724" xr:uid="{00000000-0005-0000-0000-000071680000}"/>
    <cellStyle name="Procentowy 3 10 4 3" xfId="26725" xr:uid="{00000000-0005-0000-0000-000072680000}"/>
    <cellStyle name="Procentowy 3 10 4 4" xfId="26726" xr:uid="{00000000-0005-0000-0000-000073680000}"/>
    <cellStyle name="Procentowy 3 10 4 5" xfId="26727" xr:uid="{00000000-0005-0000-0000-000074680000}"/>
    <cellStyle name="Procentowy 3 10 4 6" xfId="26728" xr:uid="{00000000-0005-0000-0000-000075680000}"/>
    <cellStyle name="Procentowy 3 10 4 7" xfId="26729" xr:uid="{00000000-0005-0000-0000-000076680000}"/>
    <cellStyle name="Procentowy 3 10 40" xfId="26730" xr:uid="{00000000-0005-0000-0000-000077680000}"/>
    <cellStyle name="Procentowy 3 10 41" xfId="26731" xr:uid="{00000000-0005-0000-0000-000078680000}"/>
    <cellStyle name="Procentowy 3 10 42" xfId="26732" xr:uid="{00000000-0005-0000-0000-000079680000}"/>
    <cellStyle name="Procentowy 3 10 43" xfId="26733" xr:uid="{00000000-0005-0000-0000-00007A680000}"/>
    <cellStyle name="Procentowy 3 10 44" xfId="26734" xr:uid="{00000000-0005-0000-0000-00007B680000}"/>
    <cellStyle name="Procentowy 3 10 45" xfId="26735" xr:uid="{00000000-0005-0000-0000-00007C680000}"/>
    <cellStyle name="Procentowy 3 10 46" xfId="26736" xr:uid="{00000000-0005-0000-0000-00007D680000}"/>
    <cellStyle name="Procentowy 3 10 47" xfId="26737" xr:uid="{00000000-0005-0000-0000-00007E680000}"/>
    <cellStyle name="Procentowy 3 10 48" xfId="26738" xr:uid="{00000000-0005-0000-0000-00007F680000}"/>
    <cellStyle name="Procentowy 3 10 49" xfId="26739" xr:uid="{00000000-0005-0000-0000-000080680000}"/>
    <cellStyle name="Procentowy 3 10 5" xfId="26740" xr:uid="{00000000-0005-0000-0000-000081680000}"/>
    <cellStyle name="Procentowy 3 10 5 2" xfId="26741" xr:uid="{00000000-0005-0000-0000-000082680000}"/>
    <cellStyle name="Procentowy 3 10 5 3" xfId="26742" xr:uid="{00000000-0005-0000-0000-000083680000}"/>
    <cellStyle name="Procentowy 3 10 5 4" xfId="26743" xr:uid="{00000000-0005-0000-0000-000084680000}"/>
    <cellStyle name="Procentowy 3 10 5 5" xfId="26744" xr:uid="{00000000-0005-0000-0000-000085680000}"/>
    <cellStyle name="Procentowy 3 10 5 6" xfId="26745" xr:uid="{00000000-0005-0000-0000-000086680000}"/>
    <cellStyle name="Procentowy 3 10 5 7" xfId="26746" xr:uid="{00000000-0005-0000-0000-000087680000}"/>
    <cellStyle name="Procentowy 3 10 50" xfId="26747" xr:uid="{00000000-0005-0000-0000-000088680000}"/>
    <cellStyle name="Procentowy 3 10 51" xfId="26748" xr:uid="{00000000-0005-0000-0000-000089680000}"/>
    <cellStyle name="Procentowy 3 10 52" xfId="26749" xr:uid="{00000000-0005-0000-0000-00008A680000}"/>
    <cellStyle name="Procentowy 3 10 53" xfId="26750" xr:uid="{00000000-0005-0000-0000-00008B680000}"/>
    <cellStyle name="Procentowy 3 10 54" xfId="26751" xr:uid="{00000000-0005-0000-0000-00008C680000}"/>
    <cellStyle name="Procentowy 3 10 55" xfId="26752" xr:uid="{00000000-0005-0000-0000-00008D680000}"/>
    <cellStyle name="Procentowy 3 10 56" xfId="26753" xr:uid="{00000000-0005-0000-0000-00008E680000}"/>
    <cellStyle name="Procentowy 3 10 57" xfId="26754" xr:uid="{00000000-0005-0000-0000-00008F680000}"/>
    <cellStyle name="Procentowy 3 10 58" xfId="26755" xr:uid="{00000000-0005-0000-0000-000090680000}"/>
    <cellStyle name="Procentowy 3 10 59" xfId="26756" xr:uid="{00000000-0005-0000-0000-000091680000}"/>
    <cellStyle name="Procentowy 3 10 6" xfId="26757" xr:uid="{00000000-0005-0000-0000-000092680000}"/>
    <cellStyle name="Procentowy 3 10 6 2" xfId="26758" xr:uid="{00000000-0005-0000-0000-000093680000}"/>
    <cellStyle name="Procentowy 3 10 60" xfId="26759" xr:uid="{00000000-0005-0000-0000-000094680000}"/>
    <cellStyle name="Procentowy 3 10 61" xfId="26760" xr:uid="{00000000-0005-0000-0000-000095680000}"/>
    <cellStyle name="Procentowy 3 10 62" xfId="26761" xr:uid="{00000000-0005-0000-0000-000096680000}"/>
    <cellStyle name="Procentowy 3 10 63" xfId="26762" xr:uid="{00000000-0005-0000-0000-000097680000}"/>
    <cellStyle name="Procentowy 3 10 64" xfId="26763" xr:uid="{00000000-0005-0000-0000-000098680000}"/>
    <cellStyle name="Procentowy 3 10 65" xfId="26764" xr:uid="{00000000-0005-0000-0000-000099680000}"/>
    <cellStyle name="Procentowy 3 10 66" xfId="26765" xr:uid="{00000000-0005-0000-0000-00009A680000}"/>
    <cellStyle name="Procentowy 3 10 67" xfId="26766" xr:uid="{00000000-0005-0000-0000-00009B680000}"/>
    <cellStyle name="Procentowy 3 10 68" xfId="26767" xr:uid="{00000000-0005-0000-0000-00009C680000}"/>
    <cellStyle name="Procentowy 3 10 69" xfId="26768" xr:uid="{00000000-0005-0000-0000-00009D680000}"/>
    <cellStyle name="Procentowy 3 10 7" xfId="26769" xr:uid="{00000000-0005-0000-0000-00009E680000}"/>
    <cellStyle name="Procentowy 3 10 7 2" xfId="26770" xr:uid="{00000000-0005-0000-0000-00009F680000}"/>
    <cellStyle name="Procentowy 3 10 70" xfId="26771" xr:uid="{00000000-0005-0000-0000-0000A0680000}"/>
    <cellStyle name="Procentowy 3 10 71" xfId="26772" xr:uid="{00000000-0005-0000-0000-0000A1680000}"/>
    <cellStyle name="Procentowy 3 10 72" xfId="26773" xr:uid="{00000000-0005-0000-0000-0000A2680000}"/>
    <cellStyle name="Procentowy 3 10 73" xfId="26774" xr:uid="{00000000-0005-0000-0000-0000A3680000}"/>
    <cellStyle name="Procentowy 3 10 74" xfId="26775" xr:uid="{00000000-0005-0000-0000-0000A4680000}"/>
    <cellStyle name="Procentowy 3 10 8" xfId="26776" xr:uid="{00000000-0005-0000-0000-0000A5680000}"/>
    <cellStyle name="Procentowy 3 10 8 2" xfId="26777" xr:uid="{00000000-0005-0000-0000-0000A6680000}"/>
    <cellStyle name="Procentowy 3 10 9" xfId="26778" xr:uid="{00000000-0005-0000-0000-0000A7680000}"/>
    <cellStyle name="Procentowy 3 10 9 2" xfId="26779" xr:uid="{00000000-0005-0000-0000-0000A8680000}"/>
    <cellStyle name="Procentowy 3 11" xfId="26780" xr:uid="{00000000-0005-0000-0000-0000A9680000}"/>
    <cellStyle name="Procentowy 3 11 10" xfId="26781" xr:uid="{00000000-0005-0000-0000-0000AA680000}"/>
    <cellStyle name="Procentowy 3 11 10 2" xfId="26782" xr:uid="{00000000-0005-0000-0000-0000AB680000}"/>
    <cellStyle name="Procentowy 3 11 11" xfId="26783" xr:uid="{00000000-0005-0000-0000-0000AC680000}"/>
    <cellStyle name="Procentowy 3 11 11 2" xfId="26784" xr:uid="{00000000-0005-0000-0000-0000AD680000}"/>
    <cellStyle name="Procentowy 3 11 12" xfId="26785" xr:uid="{00000000-0005-0000-0000-0000AE680000}"/>
    <cellStyle name="Procentowy 3 11 12 2" xfId="26786" xr:uid="{00000000-0005-0000-0000-0000AF680000}"/>
    <cellStyle name="Procentowy 3 11 13" xfId="26787" xr:uid="{00000000-0005-0000-0000-0000B0680000}"/>
    <cellStyle name="Procentowy 3 11 13 2" xfId="26788" xr:uid="{00000000-0005-0000-0000-0000B1680000}"/>
    <cellStyle name="Procentowy 3 11 14" xfId="26789" xr:uid="{00000000-0005-0000-0000-0000B2680000}"/>
    <cellStyle name="Procentowy 3 11 14 2" xfId="26790" xr:uid="{00000000-0005-0000-0000-0000B3680000}"/>
    <cellStyle name="Procentowy 3 11 15" xfId="26791" xr:uid="{00000000-0005-0000-0000-0000B4680000}"/>
    <cellStyle name="Procentowy 3 11 15 2" xfId="26792" xr:uid="{00000000-0005-0000-0000-0000B5680000}"/>
    <cellStyle name="Procentowy 3 11 16" xfId="26793" xr:uid="{00000000-0005-0000-0000-0000B6680000}"/>
    <cellStyle name="Procentowy 3 11 16 2" xfId="26794" xr:uid="{00000000-0005-0000-0000-0000B7680000}"/>
    <cellStyle name="Procentowy 3 11 17" xfId="26795" xr:uid="{00000000-0005-0000-0000-0000B8680000}"/>
    <cellStyle name="Procentowy 3 11 17 2" xfId="26796" xr:uid="{00000000-0005-0000-0000-0000B9680000}"/>
    <cellStyle name="Procentowy 3 11 18" xfId="26797" xr:uid="{00000000-0005-0000-0000-0000BA680000}"/>
    <cellStyle name="Procentowy 3 11 18 2" xfId="26798" xr:uid="{00000000-0005-0000-0000-0000BB680000}"/>
    <cellStyle name="Procentowy 3 11 19" xfId="26799" xr:uid="{00000000-0005-0000-0000-0000BC680000}"/>
    <cellStyle name="Procentowy 3 11 19 2" xfId="26800" xr:uid="{00000000-0005-0000-0000-0000BD680000}"/>
    <cellStyle name="Procentowy 3 11 2" xfId="26801" xr:uid="{00000000-0005-0000-0000-0000BE680000}"/>
    <cellStyle name="Procentowy 3 11 2 2" xfId="26802" xr:uid="{00000000-0005-0000-0000-0000BF680000}"/>
    <cellStyle name="Procentowy 3 11 2 3" xfId="26803" xr:uid="{00000000-0005-0000-0000-0000C0680000}"/>
    <cellStyle name="Procentowy 3 11 2 4" xfId="26804" xr:uid="{00000000-0005-0000-0000-0000C1680000}"/>
    <cellStyle name="Procentowy 3 11 2 5" xfId="26805" xr:uid="{00000000-0005-0000-0000-0000C2680000}"/>
    <cellStyle name="Procentowy 3 11 2 6" xfId="26806" xr:uid="{00000000-0005-0000-0000-0000C3680000}"/>
    <cellStyle name="Procentowy 3 11 2 7" xfId="26807" xr:uid="{00000000-0005-0000-0000-0000C4680000}"/>
    <cellStyle name="Procentowy 3 11 20" xfId="26808" xr:uid="{00000000-0005-0000-0000-0000C5680000}"/>
    <cellStyle name="Procentowy 3 11 20 2" xfId="26809" xr:uid="{00000000-0005-0000-0000-0000C6680000}"/>
    <cellStyle name="Procentowy 3 11 21" xfId="26810" xr:uid="{00000000-0005-0000-0000-0000C7680000}"/>
    <cellStyle name="Procentowy 3 11 21 2" xfId="26811" xr:uid="{00000000-0005-0000-0000-0000C8680000}"/>
    <cellStyle name="Procentowy 3 11 22" xfId="26812" xr:uid="{00000000-0005-0000-0000-0000C9680000}"/>
    <cellStyle name="Procentowy 3 11 22 2" xfId="26813" xr:uid="{00000000-0005-0000-0000-0000CA680000}"/>
    <cellStyle name="Procentowy 3 11 23" xfId="26814" xr:uid="{00000000-0005-0000-0000-0000CB680000}"/>
    <cellStyle name="Procentowy 3 11 23 2" xfId="26815" xr:uid="{00000000-0005-0000-0000-0000CC680000}"/>
    <cellStyle name="Procentowy 3 11 24" xfId="26816" xr:uid="{00000000-0005-0000-0000-0000CD680000}"/>
    <cellStyle name="Procentowy 3 11 24 2" xfId="26817" xr:uid="{00000000-0005-0000-0000-0000CE680000}"/>
    <cellStyle name="Procentowy 3 11 25" xfId="26818" xr:uid="{00000000-0005-0000-0000-0000CF680000}"/>
    <cellStyle name="Procentowy 3 11 25 2" xfId="26819" xr:uid="{00000000-0005-0000-0000-0000D0680000}"/>
    <cellStyle name="Procentowy 3 11 26" xfId="26820" xr:uid="{00000000-0005-0000-0000-0000D1680000}"/>
    <cellStyle name="Procentowy 3 11 26 2" xfId="26821" xr:uid="{00000000-0005-0000-0000-0000D2680000}"/>
    <cellStyle name="Procentowy 3 11 27" xfId="26822" xr:uid="{00000000-0005-0000-0000-0000D3680000}"/>
    <cellStyle name="Procentowy 3 11 27 2" xfId="26823" xr:uid="{00000000-0005-0000-0000-0000D4680000}"/>
    <cellStyle name="Procentowy 3 11 28" xfId="26824" xr:uid="{00000000-0005-0000-0000-0000D5680000}"/>
    <cellStyle name="Procentowy 3 11 28 2" xfId="26825" xr:uid="{00000000-0005-0000-0000-0000D6680000}"/>
    <cellStyle name="Procentowy 3 11 29" xfId="26826" xr:uid="{00000000-0005-0000-0000-0000D7680000}"/>
    <cellStyle name="Procentowy 3 11 29 2" xfId="26827" xr:uid="{00000000-0005-0000-0000-0000D8680000}"/>
    <cellStyle name="Procentowy 3 11 3" xfId="26828" xr:uid="{00000000-0005-0000-0000-0000D9680000}"/>
    <cellStyle name="Procentowy 3 11 3 2" xfId="26829" xr:uid="{00000000-0005-0000-0000-0000DA680000}"/>
    <cellStyle name="Procentowy 3 11 3 3" xfId="26830" xr:uid="{00000000-0005-0000-0000-0000DB680000}"/>
    <cellStyle name="Procentowy 3 11 3 4" xfId="26831" xr:uid="{00000000-0005-0000-0000-0000DC680000}"/>
    <cellStyle name="Procentowy 3 11 3 5" xfId="26832" xr:uid="{00000000-0005-0000-0000-0000DD680000}"/>
    <cellStyle name="Procentowy 3 11 3 6" xfId="26833" xr:uid="{00000000-0005-0000-0000-0000DE680000}"/>
    <cellStyle name="Procentowy 3 11 3 7" xfId="26834" xr:uid="{00000000-0005-0000-0000-0000DF680000}"/>
    <cellStyle name="Procentowy 3 11 30" xfId="26835" xr:uid="{00000000-0005-0000-0000-0000E0680000}"/>
    <cellStyle name="Procentowy 3 11 30 2" xfId="26836" xr:uid="{00000000-0005-0000-0000-0000E1680000}"/>
    <cellStyle name="Procentowy 3 11 31" xfId="26837" xr:uid="{00000000-0005-0000-0000-0000E2680000}"/>
    <cellStyle name="Procentowy 3 11 31 2" xfId="26838" xr:uid="{00000000-0005-0000-0000-0000E3680000}"/>
    <cellStyle name="Procentowy 3 11 32" xfId="26839" xr:uid="{00000000-0005-0000-0000-0000E4680000}"/>
    <cellStyle name="Procentowy 3 11 33" xfId="26840" xr:uid="{00000000-0005-0000-0000-0000E5680000}"/>
    <cellStyle name="Procentowy 3 11 34" xfId="26841" xr:uid="{00000000-0005-0000-0000-0000E6680000}"/>
    <cellStyle name="Procentowy 3 11 35" xfId="26842" xr:uid="{00000000-0005-0000-0000-0000E7680000}"/>
    <cellStyle name="Procentowy 3 11 36" xfId="26843" xr:uid="{00000000-0005-0000-0000-0000E8680000}"/>
    <cellStyle name="Procentowy 3 11 37" xfId="26844" xr:uid="{00000000-0005-0000-0000-0000E9680000}"/>
    <cellStyle name="Procentowy 3 11 38" xfId="26845" xr:uid="{00000000-0005-0000-0000-0000EA680000}"/>
    <cellStyle name="Procentowy 3 11 39" xfId="26846" xr:uid="{00000000-0005-0000-0000-0000EB680000}"/>
    <cellStyle name="Procentowy 3 11 4" xfId="26847" xr:uid="{00000000-0005-0000-0000-0000EC680000}"/>
    <cellStyle name="Procentowy 3 11 4 2" xfId="26848" xr:uid="{00000000-0005-0000-0000-0000ED680000}"/>
    <cellStyle name="Procentowy 3 11 4 3" xfId="26849" xr:uid="{00000000-0005-0000-0000-0000EE680000}"/>
    <cellStyle name="Procentowy 3 11 4 4" xfId="26850" xr:uid="{00000000-0005-0000-0000-0000EF680000}"/>
    <cellStyle name="Procentowy 3 11 4 5" xfId="26851" xr:uid="{00000000-0005-0000-0000-0000F0680000}"/>
    <cellStyle name="Procentowy 3 11 4 6" xfId="26852" xr:uid="{00000000-0005-0000-0000-0000F1680000}"/>
    <cellStyle name="Procentowy 3 11 4 7" xfId="26853" xr:uid="{00000000-0005-0000-0000-0000F2680000}"/>
    <cellStyle name="Procentowy 3 11 40" xfId="26854" xr:uid="{00000000-0005-0000-0000-0000F3680000}"/>
    <cellStyle name="Procentowy 3 11 41" xfId="26855" xr:uid="{00000000-0005-0000-0000-0000F4680000}"/>
    <cellStyle name="Procentowy 3 11 42" xfId="26856" xr:uid="{00000000-0005-0000-0000-0000F5680000}"/>
    <cellStyle name="Procentowy 3 11 43" xfId="26857" xr:uid="{00000000-0005-0000-0000-0000F6680000}"/>
    <cellStyle name="Procentowy 3 11 44" xfId="26858" xr:uid="{00000000-0005-0000-0000-0000F7680000}"/>
    <cellStyle name="Procentowy 3 11 45" xfId="26859" xr:uid="{00000000-0005-0000-0000-0000F8680000}"/>
    <cellStyle name="Procentowy 3 11 46" xfId="26860" xr:uid="{00000000-0005-0000-0000-0000F9680000}"/>
    <cellStyle name="Procentowy 3 11 47" xfId="26861" xr:uid="{00000000-0005-0000-0000-0000FA680000}"/>
    <cellStyle name="Procentowy 3 11 48" xfId="26862" xr:uid="{00000000-0005-0000-0000-0000FB680000}"/>
    <cellStyle name="Procentowy 3 11 49" xfId="26863" xr:uid="{00000000-0005-0000-0000-0000FC680000}"/>
    <cellStyle name="Procentowy 3 11 5" xfId="26864" xr:uid="{00000000-0005-0000-0000-0000FD680000}"/>
    <cellStyle name="Procentowy 3 11 5 2" xfId="26865" xr:uid="{00000000-0005-0000-0000-0000FE680000}"/>
    <cellStyle name="Procentowy 3 11 5 3" xfId="26866" xr:uid="{00000000-0005-0000-0000-0000FF680000}"/>
    <cellStyle name="Procentowy 3 11 5 4" xfId="26867" xr:uid="{00000000-0005-0000-0000-000000690000}"/>
    <cellStyle name="Procentowy 3 11 5 5" xfId="26868" xr:uid="{00000000-0005-0000-0000-000001690000}"/>
    <cellStyle name="Procentowy 3 11 5 6" xfId="26869" xr:uid="{00000000-0005-0000-0000-000002690000}"/>
    <cellStyle name="Procentowy 3 11 5 7" xfId="26870" xr:uid="{00000000-0005-0000-0000-000003690000}"/>
    <cellStyle name="Procentowy 3 11 50" xfId="26871" xr:uid="{00000000-0005-0000-0000-000004690000}"/>
    <cellStyle name="Procentowy 3 11 51" xfId="26872" xr:uid="{00000000-0005-0000-0000-000005690000}"/>
    <cellStyle name="Procentowy 3 11 52" xfId="26873" xr:uid="{00000000-0005-0000-0000-000006690000}"/>
    <cellStyle name="Procentowy 3 11 53" xfId="26874" xr:uid="{00000000-0005-0000-0000-000007690000}"/>
    <cellStyle name="Procentowy 3 11 54" xfId="26875" xr:uid="{00000000-0005-0000-0000-000008690000}"/>
    <cellStyle name="Procentowy 3 11 55" xfId="26876" xr:uid="{00000000-0005-0000-0000-000009690000}"/>
    <cellStyle name="Procentowy 3 11 56" xfId="26877" xr:uid="{00000000-0005-0000-0000-00000A690000}"/>
    <cellStyle name="Procentowy 3 11 57" xfId="26878" xr:uid="{00000000-0005-0000-0000-00000B690000}"/>
    <cellStyle name="Procentowy 3 11 58" xfId="26879" xr:uid="{00000000-0005-0000-0000-00000C690000}"/>
    <cellStyle name="Procentowy 3 11 59" xfId="26880" xr:uid="{00000000-0005-0000-0000-00000D690000}"/>
    <cellStyle name="Procentowy 3 11 6" xfId="26881" xr:uid="{00000000-0005-0000-0000-00000E690000}"/>
    <cellStyle name="Procentowy 3 11 6 2" xfId="26882" xr:uid="{00000000-0005-0000-0000-00000F690000}"/>
    <cellStyle name="Procentowy 3 11 60" xfId="26883" xr:uid="{00000000-0005-0000-0000-000010690000}"/>
    <cellStyle name="Procentowy 3 11 61" xfId="26884" xr:uid="{00000000-0005-0000-0000-000011690000}"/>
    <cellStyle name="Procentowy 3 11 62" xfId="26885" xr:uid="{00000000-0005-0000-0000-000012690000}"/>
    <cellStyle name="Procentowy 3 11 63" xfId="26886" xr:uid="{00000000-0005-0000-0000-000013690000}"/>
    <cellStyle name="Procentowy 3 11 64" xfId="26887" xr:uid="{00000000-0005-0000-0000-000014690000}"/>
    <cellStyle name="Procentowy 3 11 65" xfId="26888" xr:uid="{00000000-0005-0000-0000-000015690000}"/>
    <cellStyle name="Procentowy 3 11 66" xfId="26889" xr:uid="{00000000-0005-0000-0000-000016690000}"/>
    <cellStyle name="Procentowy 3 11 67" xfId="26890" xr:uid="{00000000-0005-0000-0000-000017690000}"/>
    <cellStyle name="Procentowy 3 11 68" xfId="26891" xr:uid="{00000000-0005-0000-0000-000018690000}"/>
    <cellStyle name="Procentowy 3 11 69" xfId="26892" xr:uid="{00000000-0005-0000-0000-000019690000}"/>
    <cellStyle name="Procentowy 3 11 7" xfId="26893" xr:uid="{00000000-0005-0000-0000-00001A690000}"/>
    <cellStyle name="Procentowy 3 11 7 2" xfId="26894" xr:uid="{00000000-0005-0000-0000-00001B690000}"/>
    <cellStyle name="Procentowy 3 11 70" xfId="26895" xr:uid="{00000000-0005-0000-0000-00001C690000}"/>
    <cellStyle name="Procentowy 3 11 71" xfId="26896" xr:uid="{00000000-0005-0000-0000-00001D690000}"/>
    <cellStyle name="Procentowy 3 11 72" xfId="26897" xr:uid="{00000000-0005-0000-0000-00001E690000}"/>
    <cellStyle name="Procentowy 3 11 73" xfId="26898" xr:uid="{00000000-0005-0000-0000-00001F690000}"/>
    <cellStyle name="Procentowy 3 11 74" xfId="26899" xr:uid="{00000000-0005-0000-0000-000020690000}"/>
    <cellStyle name="Procentowy 3 11 8" xfId="26900" xr:uid="{00000000-0005-0000-0000-000021690000}"/>
    <cellStyle name="Procentowy 3 11 8 2" xfId="26901" xr:uid="{00000000-0005-0000-0000-000022690000}"/>
    <cellStyle name="Procentowy 3 11 9" xfId="26902" xr:uid="{00000000-0005-0000-0000-000023690000}"/>
    <cellStyle name="Procentowy 3 11 9 2" xfId="26903" xr:uid="{00000000-0005-0000-0000-000024690000}"/>
    <cellStyle name="Procentowy 3 12" xfId="26904" xr:uid="{00000000-0005-0000-0000-000025690000}"/>
    <cellStyle name="Procentowy 3 12 10" xfId="26905" xr:uid="{00000000-0005-0000-0000-000026690000}"/>
    <cellStyle name="Procentowy 3 12 10 2" xfId="26906" xr:uid="{00000000-0005-0000-0000-000027690000}"/>
    <cellStyle name="Procentowy 3 12 11" xfId="26907" xr:uid="{00000000-0005-0000-0000-000028690000}"/>
    <cellStyle name="Procentowy 3 12 11 2" xfId="26908" xr:uid="{00000000-0005-0000-0000-000029690000}"/>
    <cellStyle name="Procentowy 3 12 12" xfId="26909" xr:uid="{00000000-0005-0000-0000-00002A690000}"/>
    <cellStyle name="Procentowy 3 12 12 2" xfId="26910" xr:uid="{00000000-0005-0000-0000-00002B690000}"/>
    <cellStyle name="Procentowy 3 12 13" xfId="26911" xr:uid="{00000000-0005-0000-0000-00002C690000}"/>
    <cellStyle name="Procentowy 3 12 13 2" xfId="26912" xr:uid="{00000000-0005-0000-0000-00002D690000}"/>
    <cellStyle name="Procentowy 3 12 14" xfId="26913" xr:uid="{00000000-0005-0000-0000-00002E690000}"/>
    <cellStyle name="Procentowy 3 12 14 2" xfId="26914" xr:uid="{00000000-0005-0000-0000-00002F690000}"/>
    <cellStyle name="Procentowy 3 12 15" xfId="26915" xr:uid="{00000000-0005-0000-0000-000030690000}"/>
    <cellStyle name="Procentowy 3 12 15 2" xfId="26916" xr:uid="{00000000-0005-0000-0000-000031690000}"/>
    <cellStyle name="Procentowy 3 12 16" xfId="26917" xr:uid="{00000000-0005-0000-0000-000032690000}"/>
    <cellStyle name="Procentowy 3 12 16 2" xfId="26918" xr:uid="{00000000-0005-0000-0000-000033690000}"/>
    <cellStyle name="Procentowy 3 12 17" xfId="26919" xr:uid="{00000000-0005-0000-0000-000034690000}"/>
    <cellStyle name="Procentowy 3 12 17 2" xfId="26920" xr:uid="{00000000-0005-0000-0000-000035690000}"/>
    <cellStyle name="Procentowy 3 12 18" xfId="26921" xr:uid="{00000000-0005-0000-0000-000036690000}"/>
    <cellStyle name="Procentowy 3 12 18 2" xfId="26922" xr:uid="{00000000-0005-0000-0000-000037690000}"/>
    <cellStyle name="Procentowy 3 12 19" xfId="26923" xr:uid="{00000000-0005-0000-0000-000038690000}"/>
    <cellStyle name="Procentowy 3 12 19 2" xfId="26924" xr:uid="{00000000-0005-0000-0000-000039690000}"/>
    <cellStyle name="Procentowy 3 12 2" xfId="26925" xr:uid="{00000000-0005-0000-0000-00003A690000}"/>
    <cellStyle name="Procentowy 3 12 2 2" xfId="26926" xr:uid="{00000000-0005-0000-0000-00003B690000}"/>
    <cellStyle name="Procentowy 3 12 2 3" xfId="26927" xr:uid="{00000000-0005-0000-0000-00003C690000}"/>
    <cellStyle name="Procentowy 3 12 2 4" xfId="26928" xr:uid="{00000000-0005-0000-0000-00003D690000}"/>
    <cellStyle name="Procentowy 3 12 2 5" xfId="26929" xr:uid="{00000000-0005-0000-0000-00003E690000}"/>
    <cellStyle name="Procentowy 3 12 2 6" xfId="26930" xr:uid="{00000000-0005-0000-0000-00003F690000}"/>
    <cellStyle name="Procentowy 3 12 2 7" xfId="26931" xr:uid="{00000000-0005-0000-0000-000040690000}"/>
    <cellStyle name="Procentowy 3 12 20" xfId="26932" xr:uid="{00000000-0005-0000-0000-000041690000}"/>
    <cellStyle name="Procentowy 3 12 20 2" xfId="26933" xr:uid="{00000000-0005-0000-0000-000042690000}"/>
    <cellStyle name="Procentowy 3 12 21" xfId="26934" xr:uid="{00000000-0005-0000-0000-000043690000}"/>
    <cellStyle name="Procentowy 3 12 21 2" xfId="26935" xr:uid="{00000000-0005-0000-0000-000044690000}"/>
    <cellStyle name="Procentowy 3 12 22" xfId="26936" xr:uid="{00000000-0005-0000-0000-000045690000}"/>
    <cellStyle name="Procentowy 3 12 22 2" xfId="26937" xr:uid="{00000000-0005-0000-0000-000046690000}"/>
    <cellStyle name="Procentowy 3 12 23" xfId="26938" xr:uid="{00000000-0005-0000-0000-000047690000}"/>
    <cellStyle name="Procentowy 3 12 23 2" xfId="26939" xr:uid="{00000000-0005-0000-0000-000048690000}"/>
    <cellStyle name="Procentowy 3 12 24" xfId="26940" xr:uid="{00000000-0005-0000-0000-000049690000}"/>
    <cellStyle name="Procentowy 3 12 24 2" xfId="26941" xr:uid="{00000000-0005-0000-0000-00004A690000}"/>
    <cellStyle name="Procentowy 3 12 25" xfId="26942" xr:uid="{00000000-0005-0000-0000-00004B690000}"/>
    <cellStyle name="Procentowy 3 12 25 2" xfId="26943" xr:uid="{00000000-0005-0000-0000-00004C690000}"/>
    <cellStyle name="Procentowy 3 12 26" xfId="26944" xr:uid="{00000000-0005-0000-0000-00004D690000}"/>
    <cellStyle name="Procentowy 3 12 26 2" xfId="26945" xr:uid="{00000000-0005-0000-0000-00004E690000}"/>
    <cellStyle name="Procentowy 3 12 27" xfId="26946" xr:uid="{00000000-0005-0000-0000-00004F690000}"/>
    <cellStyle name="Procentowy 3 12 27 2" xfId="26947" xr:uid="{00000000-0005-0000-0000-000050690000}"/>
    <cellStyle name="Procentowy 3 12 28" xfId="26948" xr:uid="{00000000-0005-0000-0000-000051690000}"/>
    <cellStyle name="Procentowy 3 12 28 2" xfId="26949" xr:uid="{00000000-0005-0000-0000-000052690000}"/>
    <cellStyle name="Procentowy 3 12 29" xfId="26950" xr:uid="{00000000-0005-0000-0000-000053690000}"/>
    <cellStyle name="Procentowy 3 12 29 2" xfId="26951" xr:uid="{00000000-0005-0000-0000-000054690000}"/>
    <cellStyle name="Procentowy 3 12 3" xfId="26952" xr:uid="{00000000-0005-0000-0000-000055690000}"/>
    <cellStyle name="Procentowy 3 12 3 2" xfId="26953" xr:uid="{00000000-0005-0000-0000-000056690000}"/>
    <cellStyle name="Procentowy 3 12 3 3" xfId="26954" xr:uid="{00000000-0005-0000-0000-000057690000}"/>
    <cellStyle name="Procentowy 3 12 3 4" xfId="26955" xr:uid="{00000000-0005-0000-0000-000058690000}"/>
    <cellStyle name="Procentowy 3 12 3 5" xfId="26956" xr:uid="{00000000-0005-0000-0000-000059690000}"/>
    <cellStyle name="Procentowy 3 12 3 6" xfId="26957" xr:uid="{00000000-0005-0000-0000-00005A690000}"/>
    <cellStyle name="Procentowy 3 12 3 7" xfId="26958" xr:uid="{00000000-0005-0000-0000-00005B690000}"/>
    <cellStyle name="Procentowy 3 12 30" xfId="26959" xr:uid="{00000000-0005-0000-0000-00005C690000}"/>
    <cellStyle name="Procentowy 3 12 30 2" xfId="26960" xr:uid="{00000000-0005-0000-0000-00005D690000}"/>
    <cellStyle name="Procentowy 3 12 31" xfId="26961" xr:uid="{00000000-0005-0000-0000-00005E690000}"/>
    <cellStyle name="Procentowy 3 12 31 2" xfId="26962" xr:uid="{00000000-0005-0000-0000-00005F690000}"/>
    <cellStyle name="Procentowy 3 12 32" xfId="26963" xr:uid="{00000000-0005-0000-0000-000060690000}"/>
    <cellStyle name="Procentowy 3 12 33" xfId="26964" xr:uid="{00000000-0005-0000-0000-000061690000}"/>
    <cellStyle name="Procentowy 3 12 34" xfId="26965" xr:uid="{00000000-0005-0000-0000-000062690000}"/>
    <cellStyle name="Procentowy 3 12 35" xfId="26966" xr:uid="{00000000-0005-0000-0000-000063690000}"/>
    <cellStyle name="Procentowy 3 12 36" xfId="26967" xr:uid="{00000000-0005-0000-0000-000064690000}"/>
    <cellStyle name="Procentowy 3 12 37" xfId="26968" xr:uid="{00000000-0005-0000-0000-000065690000}"/>
    <cellStyle name="Procentowy 3 12 38" xfId="26969" xr:uid="{00000000-0005-0000-0000-000066690000}"/>
    <cellStyle name="Procentowy 3 12 39" xfId="26970" xr:uid="{00000000-0005-0000-0000-000067690000}"/>
    <cellStyle name="Procentowy 3 12 4" xfId="26971" xr:uid="{00000000-0005-0000-0000-000068690000}"/>
    <cellStyle name="Procentowy 3 12 4 2" xfId="26972" xr:uid="{00000000-0005-0000-0000-000069690000}"/>
    <cellStyle name="Procentowy 3 12 4 3" xfId="26973" xr:uid="{00000000-0005-0000-0000-00006A690000}"/>
    <cellStyle name="Procentowy 3 12 4 4" xfId="26974" xr:uid="{00000000-0005-0000-0000-00006B690000}"/>
    <cellStyle name="Procentowy 3 12 4 5" xfId="26975" xr:uid="{00000000-0005-0000-0000-00006C690000}"/>
    <cellStyle name="Procentowy 3 12 4 6" xfId="26976" xr:uid="{00000000-0005-0000-0000-00006D690000}"/>
    <cellStyle name="Procentowy 3 12 4 7" xfId="26977" xr:uid="{00000000-0005-0000-0000-00006E690000}"/>
    <cellStyle name="Procentowy 3 12 40" xfId="26978" xr:uid="{00000000-0005-0000-0000-00006F690000}"/>
    <cellStyle name="Procentowy 3 12 41" xfId="26979" xr:uid="{00000000-0005-0000-0000-000070690000}"/>
    <cellStyle name="Procentowy 3 12 42" xfId="26980" xr:uid="{00000000-0005-0000-0000-000071690000}"/>
    <cellStyle name="Procentowy 3 12 43" xfId="26981" xr:uid="{00000000-0005-0000-0000-000072690000}"/>
    <cellStyle name="Procentowy 3 12 44" xfId="26982" xr:uid="{00000000-0005-0000-0000-000073690000}"/>
    <cellStyle name="Procentowy 3 12 45" xfId="26983" xr:uid="{00000000-0005-0000-0000-000074690000}"/>
    <cellStyle name="Procentowy 3 12 46" xfId="26984" xr:uid="{00000000-0005-0000-0000-000075690000}"/>
    <cellStyle name="Procentowy 3 12 47" xfId="26985" xr:uid="{00000000-0005-0000-0000-000076690000}"/>
    <cellStyle name="Procentowy 3 12 48" xfId="26986" xr:uid="{00000000-0005-0000-0000-000077690000}"/>
    <cellStyle name="Procentowy 3 12 49" xfId="26987" xr:uid="{00000000-0005-0000-0000-000078690000}"/>
    <cellStyle name="Procentowy 3 12 5" xfId="26988" xr:uid="{00000000-0005-0000-0000-000079690000}"/>
    <cellStyle name="Procentowy 3 12 5 2" xfId="26989" xr:uid="{00000000-0005-0000-0000-00007A690000}"/>
    <cellStyle name="Procentowy 3 12 5 3" xfId="26990" xr:uid="{00000000-0005-0000-0000-00007B690000}"/>
    <cellStyle name="Procentowy 3 12 5 4" xfId="26991" xr:uid="{00000000-0005-0000-0000-00007C690000}"/>
    <cellStyle name="Procentowy 3 12 5 5" xfId="26992" xr:uid="{00000000-0005-0000-0000-00007D690000}"/>
    <cellStyle name="Procentowy 3 12 5 6" xfId="26993" xr:uid="{00000000-0005-0000-0000-00007E690000}"/>
    <cellStyle name="Procentowy 3 12 5 7" xfId="26994" xr:uid="{00000000-0005-0000-0000-00007F690000}"/>
    <cellStyle name="Procentowy 3 12 50" xfId="26995" xr:uid="{00000000-0005-0000-0000-000080690000}"/>
    <cellStyle name="Procentowy 3 12 51" xfId="26996" xr:uid="{00000000-0005-0000-0000-000081690000}"/>
    <cellStyle name="Procentowy 3 12 52" xfId="26997" xr:uid="{00000000-0005-0000-0000-000082690000}"/>
    <cellStyle name="Procentowy 3 12 53" xfId="26998" xr:uid="{00000000-0005-0000-0000-000083690000}"/>
    <cellStyle name="Procentowy 3 12 54" xfId="26999" xr:uid="{00000000-0005-0000-0000-000084690000}"/>
    <cellStyle name="Procentowy 3 12 55" xfId="27000" xr:uid="{00000000-0005-0000-0000-000085690000}"/>
    <cellStyle name="Procentowy 3 12 56" xfId="27001" xr:uid="{00000000-0005-0000-0000-000086690000}"/>
    <cellStyle name="Procentowy 3 12 57" xfId="27002" xr:uid="{00000000-0005-0000-0000-000087690000}"/>
    <cellStyle name="Procentowy 3 12 58" xfId="27003" xr:uid="{00000000-0005-0000-0000-000088690000}"/>
    <cellStyle name="Procentowy 3 12 59" xfId="27004" xr:uid="{00000000-0005-0000-0000-000089690000}"/>
    <cellStyle name="Procentowy 3 12 6" xfId="27005" xr:uid="{00000000-0005-0000-0000-00008A690000}"/>
    <cellStyle name="Procentowy 3 12 6 2" xfId="27006" xr:uid="{00000000-0005-0000-0000-00008B690000}"/>
    <cellStyle name="Procentowy 3 12 60" xfId="27007" xr:uid="{00000000-0005-0000-0000-00008C690000}"/>
    <cellStyle name="Procentowy 3 12 61" xfId="27008" xr:uid="{00000000-0005-0000-0000-00008D690000}"/>
    <cellStyle name="Procentowy 3 12 62" xfId="27009" xr:uid="{00000000-0005-0000-0000-00008E690000}"/>
    <cellStyle name="Procentowy 3 12 63" xfId="27010" xr:uid="{00000000-0005-0000-0000-00008F690000}"/>
    <cellStyle name="Procentowy 3 12 64" xfId="27011" xr:uid="{00000000-0005-0000-0000-000090690000}"/>
    <cellStyle name="Procentowy 3 12 65" xfId="27012" xr:uid="{00000000-0005-0000-0000-000091690000}"/>
    <cellStyle name="Procentowy 3 12 66" xfId="27013" xr:uid="{00000000-0005-0000-0000-000092690000}"/>
    <cellStyle name="Procentowy 3 12 67" xfId="27014" xr:uid="{00000000-0005-0000-0000-000093690000}"/>
    <cellStyle name="Procentowy 3 12 68" xfId="27015" xr:uid="{00000000-0005-0000-0000-000094690000}"/>
    <cellStyle name="Procentowy 3 12 69" xfId="27016" xr:uid="{00000000-0005-0000-0000-000095690000}"/>
    <cellStyle name="Procentowy 3 12 7" xfId="27017" xr:uid="{00000000-0005-0000-0000-000096690000}"/>
    <cellStyle name="Procentowy 3 12 7 2" xfId="27018" xr:uid="{00000000-0005-0000-0000-000097690000}"/>
    <cellStyle name="Procentowy 3 12 70" xfId="27019" xr:uid="{00000000-0005-0000-0000-000098690000}"/>
    <cellStyle name="Procentowy 3 12 71" xfId="27020" xr:uid="{00000000-0005-0000-0000-000099690000}"/>
    <cellStyle name="Procentowy 3 12 72" xfId="27021" xr:uid="{00000000-0005-0000-0000-00009A690000}"/>
    <cellStyle name="Procentowy 3 12 73" xfId="27022" xr:uid="{00000000-0005-0000-0000-00009B690000}"/>
    <cellStyle name="Procentowy 3 12 74" xfId="27023" xr:uid="{00000000-0005-0000-0000-00009C690000}"/>
    <cellStyle name="Procentowy 3 12 8" xfId="27024" xr:uid="{00000000-0005-0000-0000-00009D690000}"/>
    <cellStyle name="Procentowy 3 12 8 2" xfId="27025" xr:uid="{00000000-0005-0000-0000-00009E690000}"/>
    <cellStyle name="Procentowy 3 12 9" xfId="27026" xr:uid="{00000000-0005-0000-0000-00009F690000}"/>
    <cellStyle name="Procentowy 3 12 9 2" xfId="27027" xr:uid="{00000000-0005-0000-0000-0000A0690000}"/>
    <cellStyle name="Procentowy 3 13" xfId="27028" xr:uid="{00000000-0005-0000-0000-0000A1690000}"/>
    <cellStyle name="Procentowy 3 13 10" xfId="27029" xr:uid="{00000000-0005-0000-0000-0000A2690000}"/>
    <cellStyle name="Procentowy 3 13 10 2" xfId="27030" xr:uid="{00000000-0005-0000-0000-0000A3690000}"/>
    <cellStyle name="Procentowy 3 13 11" xfId="27031" xr:uid="{00000000-0005-0000-0000-0000A4690000}"/>
    <cellStyle name="Procentowy 3 13 11 2" xfId="27032" xr:uid="{00000000-0005-0000-0000-0000A5690000}"/>
    <cellStyle name="Procentowy 3 13 12" xfId="27033" xr:uid="{00000000-0005-0000-0000-0000A6690000}"/>
    <cellStyle name="Procentowy 3 13 12 2" xfId="27034" xr:uid="{00000000-0005-0000-0000-0000A7690000}"/>
    <cellStyle name="Procentowy 3 13 13" xfId="27035" xr:uid="{00000000-0005-0000-0000-0000A8690000}"/>
    <cellStyle name="Procentowy 3 13 13 2" xfId="27036" xr:uid="{00000000-0005-0000-0000-0000A9690000}"/>
    <cellStyle name="Procentowy 3 13 14" xfId="27037" xr:uid="{00000000-0005-0000-0000-0000AA690000}"/>
    <cellStyle name="Procentowy 3 13 14 2" xfId="27038" xr:uid="{00000000-0005-0000-0000-0000AB690000}"/>
    <cellStyle name="Procentowy 3 13 15" xfId="27039" xr:uid="{00000000-0005-0000-0000-0000AC690000}"/>
    <cellStyle name="Procentowy 3 13 15 2" xfId="27040" xr:uid="{00000000-0005-0000-0000-0000AD690000}"/>
    <cellStyle name="Procentowy 3 13 16" xfId="27041" xr:uid="{00000000-0005-0000-0000-0000AE690000}"/>
    <cellStyle name="Procentowy 3 13 16 2" xfId="27042" xr:uid="{00000000-0005-0000-0000-0000AF690000}"/>
    <cellStyle name="Procentowy 3 13 17" xfId="27043" xr:uid="{00000000-0005-0000-0000-0000B0690000}"/>
    <cellStyle name="Procentowy 3 13 17 2" xfId="27044" xr:uid="{00000000-0005-0000-0000-0000B1690000}"/>
    <cellStyle name="Procentowy 3 13 18" xfId="27045" xr:uid="{00000000-0005-0000-0000-0000B2690000}"/>
    <cellStyle name="Procentowy 3 13 18 2" xfId="27046" xr:uid="{00000000-0005-0000-0000-0000B3690000}"/>
    <cellStyle name="Procentowy 3 13 19" xfId="27047" xr:uid="{00000000-0005-0000-0000-0000B4690000}"/>
    <cellStyle name="Procentowy 3 13 19 2" xfId="27048" xr:uid="{00000000-0005-0000-0000-0000B5690000}"/>
    <cellStyle name="Procentowy 3 13 2" xfId="27049" xr:uid="{00000000-0005-0000-0000-0000B6690000}"/>
    <cellStyle name="Procentowy 3 13 2 2" xfId="27050" xr:uid="{00000000-0005-0000-0000-0000B7690000}"/>
    <cellStyle name="Procentowy 3 13 2 3" xfId="27051" xr:uid="{00000000-0005-0000-0000-0000B8690000}"/>
    <cellStyle name="Procentowy 3 13 2 4" xfId="27052" xr:uid="{00000000-0005-0000-0000-0000B9690000}"/>
    <cellStyle name="Procentowy 3 13 2 5" xfId="27053" xr:uid="{00000000-0005-0000-0000-0000BA690000}"/>
    <cellStyle name="Procentowy 3 13 2 6" xfId="27054" xr:uid="{00000000-0005-0000-0000-0000BB690000}"/>
    <cellStyle name="Procentowy 3 13 2 7" xfId="27055" xr:uid="{00000000-0005-0000-0000-0000BC690000}"/>
    <cellStyle name="Procentowy 3 13 20" xfId="27056" xr:uid="{00000000-0005-0000-0000-0000BD690000}"/>
    <cellStyle name="Procentowy 3 13 20 2" xfId="27057" xr:uid="{00000000-0005-0000-0000-0000BE690000}"/>
    <cellStyle name="Procentowy 3 13 21" xfId="27058" xr:uid="{00000000-0005-0000-0000-0000BF690000}"/>
    <cellStyle name="Procentowy 3 13 21 2" xfId="27059" xr:uid="{00000000-0005-0000-0000-0000C0690000}"/>
    <cellStyle name="Procentowy 3 13 22" xfId="27060" xr:uid="{00000000-0005-0000-0000-0000C1690000}"/>
    <cellStyle name="Procentowy 3 13 22 2" xfId="27061" xr:uid="{00000000-0005-0000-0000-0000C2690000}"/>
    <cellStyle name="Procentowy 3 13 23" xfId="27062" xr:uid="{00000000-0005-0000-0000-0000C3690000}"/>
    <cellStyle name="Procentowy 3 13 23 2" xfId="27063" xr:uid="{00000000-0005-0000-0000-0000C4690000}"/>
    <cellStyle name="Procentowy 3 13 24" xfId="27064" xr:uid="{00000000-0005-0000-0000-0000C5690000}"/>
    <cellStyle name="Procentowy 3 13 24 2" xfId="27065" xr:uid="{00000000-0005-0000-0000-0000C6690000}"/>
    <cellStyle name="Procentowy 3 13 25" xfId="27066" xr:uid="{00000000-0005-0000-0000-0000C7690000}"/>
    <cellStyle name="Procentowy 3 13 25 2" xfId="27067" xr:uid="{00000000-0005-0000-0000-0000C8690000}"/>
    <cellStyle name="Procentowy 3 13 26" xfId="27068" xr:uid="{00000000-0005-0000-0000-0000C9690000}"/>
    <cellStyle name="Procentowy 3 13 26 2" xfId="27069" xr:uid="{00000000-0005-0000-0000-0000CA690000}"/>
    <cellStyle name="Procentowy 3 13 27" xfId="27070" xr:uid="{00000000-0005-0000-0000-0000CB690000}"/>
    <cellStyle name="Procentowy 3 13 27 2" xfId="27071" xr:uid="{00000000-0005-0000-0000-0000CC690000}"/>
    <cellStyle name="Procentowy 3 13 28" xfId="27072" xr:uid="{00000000-0005-0000-0000-0000CD690000}"/>
    <cellStyle name="Procentowy 3 13 28 2" xfId="27073" xr:uid="{00000000-0005-0000-0000-0000CE690000}"/>
    <cellStyle name="Procentowy 3 13 29" xfId="27074" xr:uid="{00000000-0005-0000-0000-0000CF690000}"/>
    <cellStyle name="Procentowy 3 13 29 2" xfId="27075" xr:uid="{00000000-0005-0000-0000-0000D0690000}"/>
    <cellStyle name="Procentowy 3 13 3" xfId="27076" xr:uid="{00000000-0005-0000-0000-0000D1690000}"/>
    <cellStyle name="Procentowy 3 13 3 2" xfId="27077" xr:uid="{00000000-0005-0000-0000-0000D2690000}"/>
    <cellStyle name="Procentowy 3 13 3 3" xfId="27078" xr:uid="{00000000-0005-0000-0000-0000D3690000}"/>
    <cellStyle name="Procentowy 3 13 3 4" xfId="27079" xr:uid="{00000000-0005-0000-0000-0000D4690000}"/>
    <cellStyle name="Procentowy 3 13 3 5" xfId="27080" xr:uid="{00000000-0005-0000-0000-0000D5690000}"/>
    <cellStyle name="Procentowy 3 13 3 6" xfId="27081" xr:uid="{00000000-0005-0000-0000-0000D6690000}"/>
    <cellStyle name="Procentowy 3 13 3 7" xfId="27082" xr:uid="{00000000-0005-0000-0000-0000D7690000}"/>
    <cellStyle name="Procentowy 3 13 30" xfId="27083" xr:uid="{00000000-0005-0000-0000-0000D8690000}"/>
    <cellStyle name="Procentowy 3 13 30 2" xfId="27084" xr:uid="{00000000-0005-0000-0000-0000D9690000}"/>
    <cellStyle name="Procentowy 3 13 31" xfId="27085" xr:uid="{00000000-0005-0000-0000-0000DA690000}"/>
    <cellStyle name="Procentowy 3 13 31 2" xfId="27086" xr:uid="{00000000-0005-0000-0000-0000DB690000}"/>
    <cellStyle name="Procentowy 3 13 32" xfId="27087" xr:uid="{00000000-0005-0000-0000-0000DC690000}"/>
    <cellStyle name="Procentowy 3 13 33" xfId="27088" xr:uid="{00000000-0005-0000-0000-0000DD690000}"/>
    <cellStyle name="Procentowy 3 13 34" xfId="27089" xr:uid="{00000000-0005-0000-0000-0000DE690000}"/>
    <cellStyle name="Procentowy 3 13 35" xfId="27090" xr:uid="{00000000-0005-0000-0000-0000DF690000}"/>
    <cellStyle name="Procentowy 3 13 36" xfId="27091" xr:uid="{00000000-0005-0000-0000-0000E0690000}"/>
    <cellStyle name="Procentowy 3 13 37" xfId="27092" xr:uid="{00000000-0005-0000-0000-0000E1690000}"/>
    <cellStyle name="Procentowy 3 13 38" xfId="27093" xr:uid="{00000000-0005-0000-0000-0000E2690000}"/>
    <cellStyle name="Procentowy 3 13 39" xfId="27094" xr:uid="{00000000-0005-0000-0000-0000E3690000}"/>
    <cellStyle name="Procentowy 3 13 4" xfId="27095" xr:uid="{00000000-0005-0000-0000-0000E4690000}"/>
    <cellStyle name="Procentowy 3 13 4 2" xfId="27096" xr:uid="{00000000-0005-0000-0000-0000E5690000}"/>
    <cellStyle name="Procentowy 3 13 4 3" xfId="27097" xr:uid="{00000000-0005-0000-0000-0000E6690000}"/>
    <cellStyle name="Procentowy 3 13 4 4" xfId="27098" xr:uid="{00000000-0005-0000-0000-0000E7690000}"/>
    <cellStyle name="Procentowy 3 13 4 5" xfId="27099" xr:uid="{00000000-0005-0000-0000-0000E8690000}"/>
    <cellStyle name="Procentowy 3 13 4 6" xfId="27100" xr:uid="{00000000-0005-0000-0000-0000E9690000}"/>
    <cellStyle name="Procentowy 3 13 4 7" xfId="27101" xr:uid="{00000000-0005-0000-0000-0000EA690000}"/>
    <cellStyle name="Procentowy 3 13 40" xfId="27102" xr:uid="{00000000-0005-0000-0000-0000EB690000}"/>
    <cellStyle name="Procentowy 3 13 41" xfId="27103" xr:uid="{00000000-0005-0000-0000-0000EC690000}"/>
    <cellStyle name="Procentowy 3 13 42" xfId="27104" xr:uid="{00000000-0005-0000-0000-0000ED690000}"/>
    <cellStyle name="Procentowy 3 13 43" xfId="27105" xr:uid="{00000000-0005-0000-0000-0000EE690000}"/>
    <cellStyle name="Procentowy 3 13 44" xfId="27106" xr:uid="{00000000-0005-0000-0000-0000EF690000}"/>
    <cellStyle name="Procentowy 3 13 45" xfId="27107" xr:uid="{00000000-0005-0000-0000-0000F0690000}"/>
    <cellStyle name="Procentowy 3 13 46" xfId="27108" xr:uid="{00000000-0005-0000-0000-0000F1690000}"/>
    <cellStyle name="Procentowy 3 13 47" xfId="27109" xr:uid="{00000000-0005-0000-0000-0000F2690000}"/>
    <cellStyle name="Procentowy 3 13 48" xfId="27110" xr:uid="{00000000-0005-0000-0000-0000F3690000}"/>
    <cellStyle name="Procentowy 3 13 49" xfId="27111" xr:uid="{00000000-0005-0000-0000-0000F4690000}"/>
    <cellStyle name="Procentowy 3 13 5" xfId="27112" xr:uid="{00000000-0005-0000-0000-0000F5690000}"/>
    <cellStyle name="Procentowy 3 13 5 2" xfId="27113" xr:uid="{00000000-0005-0000-0000-0000F6690000}"/>
    <cellStyle name="Procentowy 3 13 5 3" xfId="27114" xr:uid="{00000000-0005-0000-0000-0000F7690000}"/>
    <cellStyle name="Procentowy 3 13 5 4" xfId="27115" xr:uid="{00000000-0005-0000-0000-0000F8690000}"/>
    <cellStyle name="Procentowy 3 13 5 5" xfId="27116" xr:uid="{00000000-0005-0000-0000-0000F9690000}"/>
    <cellStyle name="Procentowy 3 13 5 6" xfId="27117" xr:uid="{00000000-0005-0000-0000-0000FA690000}"/>
    <cellStyle name="Procentowy 3 13 5 7" xfId="27118" xr:uid="{00000000-0005-0000-0000-0000FB690000}"/>
    <cellStyle name="Procentowy 3 13 50" xfId="27119" xr:uid="{00000000-0005-0000-0000-0000FC690000}"/>
    <cellStyle name="Procentowy 3 13 51" xfId="27120" xr:uid="{00000000-0005-0000-0000-0000FD690000}"/>
    <cellStyle name="Procentowy 3 13 52" xfId="27121" xr:uid="{00000000-0005-0000-0000-0000FE690000}"/>
    <cellStyle name="Procentowy 3 13 53" xfId="27122" xr:uid="{00000000-0005-0000-0000-0000FF690000}"/>
    <cellStyle name="Procentowy 3 13 54" xfId="27123" xr:uid="{00000000-0005-0000-0000-0000006A0000}"/>
    <cellStyle name="Procentowy 3 13 55" xfId="27124" xr:uid="{00000000-0005-0000-0000-0000016A0000}"/>
    <cellStyle name="Procentowy 3 13 56" xfId="27125" xr:uid="{00000000-0005-0000-0000-0000026A0000}"/>
    <cellStyle name="Procentowy 3 13 57" xfId="27126" xr:uid="{00000000-0005-0000-0000-0000036A0000}"/>
    <cellStyle name="Procentowy 3 13 58" xfId="27127" xr:uid="{00000000-0005-0000-0000-0000046A0000}"/>
    <cellStyle name="Procentowy 3 13 59" xfId="27128" xr:uid="{00000000-0005-0000-0000-0000056A0000}"/>
    <cellStyle name="Procentowy 3 13 6" xfId="27129" xr:uid="{00000000-0005-0000-0000-0000066A0000}"/>
    <cellStyle name="Procentowy 3 13 6 2" xfId="27130" xr:uid="{00000000-0005-0000-0000-0000076A0000}"/>
    <cellStyle name="Procentowy 3 13 60" xfId="27131" xr:uid="{00000000-0005-0000-0000-0000086A0000}"/>
    <cellStyle name="Procentowy 3 13 61" xfId="27132" xr:uid="{00000000-0005-0000-0000-0000096A0000}"/>
    <cellStyle name="Procentowy 3 13 62" xfId="27133" xr:uid="{00000000-0005-0000-0000-00000A6A0000}"/>
    <cellStyle name="Procentowy 3 13 63" xfId="27134" xr:uid="{00000000-0005-0000-0000-00000B6A0000}"/>
    <cellStyle name="Procentowy 3 13 64" xfId="27135" xr:uid="{00000000-0005-0000-0000-00000C6A0000}"/>
    <cellStyle name="Procentowy 3 13 65" xfId="27136" xr:uid="{00000000-0005-0000-0000-00000D6A0000}"/>
    <cellStyle name="Procentowy 3 13 66" xfId="27137" xr:uid="{00000000-0005-0000-0000-00000E6A0000}"/>
    <cellStyle name="Procentowy 3 13 67" xfId="27138" xr:uid="{00000000-0005-0000-0000-00000F6A0000}"/>
    <cellStyle name="Procentowy 3 13 68" xfId="27139" xr:uid="{00000000-0005-0000-0000-0000106A0000}"/>
    <cellStyle name="Procentowy 3 13 69" xfId="27140" xr:uid="{00000000-0005-0000-0000-0000116A0000}"/>
    <cellStyle name="Procentowy 3 13 7" xfId="27141" xr:uid="{00000000-0005-0000-0000-0000126A0000}"/>
    <cellStyle name="Procentowy 3 13 7 2" xfId="27142" xr:uid="{00000000-0005-0000-0000-0000136A0000}"/>
    <cellStyle name="Procentowy 3 13 70" xfId="27143" xr:uid="{00000000-0005-0000-0000-0000146A0000}"/>
    <cellStyle name="Procentowy 3 13 71" xfId="27144" xr:uid="{00000000-0005-0000-0000-0000156A0000}"/>
    <cellStyle name="Procentowy 3 13 72" xfId="27145" xr:uid="{00000000-0005-0000-0000-0000166A0000}"/>
    <cellStyle name="Procentowy 3 13 73" xfId="27146" xr:uid="{00000000-0005-0000-0000-0000176A0000}"/>
    <cellStyle name="Procentowy 3 13 74" xfId="27147" xr:uid="{00000000-0005-0000-0000-0000186A0000}"/>
    <cellStyle name="Procentowy 3 13 8" xfId="27148" xr:uid="{00000000-0005-0000-0000-0000196A0000}"/>
    <cellStyle name="Procentowy 3 13 8 2" xfId="27149" xr:uid="{00000000-0005-0000-0000-00001A6A0000}"/>
    <cellStyle name="Procentowy 3 13 9" xfId="27150" xr:uid="{00000000-0005-0000-0000-00001B6A0000}"/>
    <cellStyle name="Procentowy 3 13 9 2" xfId="27151" xr:uid="{00000000-0005-0000-0000-00001C6A0000}"/>
    <cellStyle name="Procentowy 3 14" xfId="27152" xr:uid="{00000000-0005-0000-0000-00001D6A0000}"/>
    <cellStyle name="Procentowy 3 14 10" xfId="27153" xr:uid="{00000000-0005-0000-0000-00001E6A0000}"/>
    <cellStyle name="Procentowy 3 14 10 2" xfId="27154" xr:uid="{00000000-0005-0000-0000-00001F6A0000}"/>
    <cellStyle name="Procentowy 3 14 11" xfId="27155" xr:uid="{00000000-0005-0000-0000-0000206A0000}"/>
    <cellStyle name="Procentowy 3 14 11 2" xfId="27156" xr:uid="{00000000-0005-0000-0000-0000216A0000}"/>
    <cellStyle name="Procentowy 3 14 12" xfId="27157" xr:uid="{00000000-0005-0000-0000-0000226A0000}"/>
    <cellStyle name="Procentowy 3 14 12 2" xfId="27158" xr:uid="{00000000-0005-0000-0000-0000236A0000}"/>
    <cellStyle name="Procentowy 3 14 13" xfId="27159" xr:uid="{00000000-0005-0000-0000-0000246A0000}"/>
    <cellStyle name="Procentowy 3 14 13 2" xfId="27160" xr:uid="{00000000-0005-0000-0000-0000256A0000}"/>
    <cellStyle name="Procentowy 3 14 14" xfId="27161" xr:uid="{00000000-0005-0000-0000-0000266A0000}"/>
    <cellStyle name="Procentowy 3 14 14 2" xfId="27162" xr:uid="{00000000-0005-0000-0000-0000276A0000}"/>
    <cellStyle name="Procentowy 3 14 15" xfId="27163" xr:uid="{00000000-0005-0000-0000-0000286A0000}"/>
    <cellStyle name="Procentowy 3 14 15 2" xfId="27164" xr:uid="{00000000-0005-0000-0000-0000296A0000}"/>
    <cellStyle name="Procentowy 3 14 16" xfId="27165" xr:uid="{00000000-0005-0000-0000-00002A6A0000}"/>
    <cellStyle name="Procentowy 3 14 16 2" xfId="27166" xr:uid="{00000000-0005-0000-0000-00002B6A0000}"/>
    <cellStyle name="Procentowy 3 14 17" xfId="27167" xr:uid="{00000000-0005-0000-0000-00002C6A0000}"/>
    <cellStyle name="Procentowy 3 14 17 2" xfId="27168" xr:uid="{00000000-0005-0000-0000-00002D6A0000}"/>
    <cellStyle name="Procentowy 3 14 18" xfId="27169" xr:uid="{00000000-0005-0000-0000-00002E6A0000}"/>
    <cellStyle name="Procentowy 3 14 18 2" xfId="27170" xr:uid="{00000000-0005-0000-0000-00002F6A0000}"/>
    <cellStyle name="Procentowy 3 14 19" xfId="27171" xr:uid="{00000000-0005-0000-0000-0000306A0000}"/>
    <cellStyle name="Procentowy 3 14 19 2" xfId="27172" xr:uid="{00000000-0005-0000-0000-0000316A0000}"/>
    <cellStyle name="Procentowy 3 14 2" xfId="27173" xr:uid="{00000000-0005-0000-0000-0000326A0000}"/>
    <cellStyle name="Procentowy 3 14 2 2" xfId="27174" xr:uid="{00000000-0005-0000-0000-0000336A0000}"/>
    <cellStyle name="Procentowy 3 14 2 3" xfId="27175" xr:uid="{00000000-0005-0000-0000-0000346A0000}"/>
    <cellStyle name="Procentowy 3 14 2 4" xfId="27176" xr:uid="{00000000-0005-0000-0000-0000356A0000}"/>
    <cellStyle name="Procentowy 3 14 2 5" xfId="27177" xr:uid="{00000000-0005-0000-0000-0000366A0000}"/>
    <cellStyle name="Procentowy 3 14 2 6" xfId="27178" xr:uid="{00000000-0005-0000-0000-0000376A0000}"/>
    <cellStyle name="Procentowy 3 14 2 7" xfId="27179" xr:uid="{00000000-0005-0000-0000-0000386A0000}"/>
    <cellStyle name="Procentowy 3 14 20" xfId="27180" xr:uid="{00000000-0005-0000-0000-0000396A0000}"/>
    <cellStyle name="Procentowy 3 14 20 2" xfId="27181" xr:uid="{00000000-0005-0000-0000-00003A6A0000}"/>
    <cellStyle name="Procentowy 3 14 21" xfId="27182" xr:uid="{00000000-0005-0000-0000-00003B6A0000}"/>
    <cellStyle name="Procentowy 3 14 21 2" xfId="27183" xr:uid="{00000000-0005-0000-0000-00003C6A0000}"/>
    <cellStyle name="Procentowy 3 14 22" xfId="27184" xr:uid="{00000000-0005-0000-0000-00003D6A0000}"/>
    <cellStyle name="Procentowy 3 14 22 2" xfId="27185" xr:uid="{00000000-0005-0000-0000-00003E6A0000}"/>
    <cellStyle name="Procentowy 3 14 23" xfId="27186" xr:uid="{00000000-0005-0000-0000-00003F6A0000}"/>
    <cellStyle name="Procentowy 3 14 23 2" xfId="27187" xr:uid="{00000000-0005-0000-0000-0000406A0000}"/>
    <cellStyle name="Procentowy 3 14 24" xfId="27188" xr:uid="{00000000-0005-0000-0000-0000416A0000}"/>
    <cellStyle name="Procentowy 3 14 24 2" xfId="27189" xr:uid="{00000000-0005-0000-0000-0000426A0000}"/>
    <cellStyle name="Procentowy 3 14 25" xfId="27190" xr:uid="{00000000-0005-0000-0000-0000436A0000}"/>
    <cellStyle name="Procentowy 3 14 25 2" xfId="27191" xr:uid="{00000000-0005-0000-0000-0000446A0000}"/>
    <cellStyle name="Procentowy 3 14 26" xfId="27192" xr:uid="{00000000-0005-0000-0000-0000456A0000}"/>
    <cellStyle name="Procentowy 3 14 26 2" xfId="27193" xr:uid="{00000000-0005-0000-0000-0000466A0000}"/>
    <cellStyle name="Procentowy 3 14 27" xfId="27194" xr:uid="{00000000-0005-0000-0000-0000476A0000}"/>
    <cellStyle name="Procentowy 3 14 27 2" xfId="27195" xr:uid="{00000000-0005-0000-0000-0000486A0000}"/>
    <cellStyle name="Procentowy 3 14 28" xfId="27196" xr:uid="{00000000-0005-0000-0000-0000496A0000}"/>
    <cellStyle name="Procentowy 3 14 28 2" xfId="27197" xr:uid="{00000000-0005-0000-0000-00004A6A0000}"/>
    <cellStyle name="Procentowy 3 14 29" xfId="27198" xr:uid="{00000000-0005-0000-0000-00004B6A0000}"/>
    <cellStyle name="Procentowy 3 14 29 2" xfId="27199" xr:uid="{00000000-0005-0000-0000-00004C6A0000}"/>
    <cellStyle name="Procentowy 3 14 3" xfId="27200" xr:uid="{00000000-0005-0000-0000-00004D6A0000}"/>
    <cellStyle name="Procentowy 3 14 3 2" xfId="27201" xr:uid="{00000000-0005-0000-0000-00004E6A0000}"/>
    <cellStyle name="Procentowy 3 14 3 3" xfId="27202" xr:uid="{00000000-0005-0000-0000-00004F6A0000}"/>
    <cellStyle name="Procentowy 3 14 3 4" xfId="27203" xr:uid="{00000000-0005-0000-0000-0000506A0000}"/>
    <cellStyle name="Procentowy 3 14 3 5" xfId="27204" xr:uid="{00000000-0005-0000-0000-0000516A0000}"/>
    <cellStyle name="Procentowy 3 14 3 6" xfId="27205" xr:uid="{00000000-0005-0000-0000-0000526A0000}"/>
    <cellStyle name="Procentowy 3 14 3 7" xfId="27206" xr:uid="{00000000-0005-0000-0000-0000536A0000}"/>
    <cellStyle name="Procentowy 3 14 30" xfId="27207" xr:uid="{00000000-0005-0000-0000-0000546A0000}"/>
    <cellStyle name="Procentowy 3 14 30 2" xfId="27208" xr:uid="{00000000-0005-0000-0000-0000556A0000}"/>
    <cellStyle name="Procentowy 3 14 31" xfId="27209" xr:uid="{00000000-0005-0000-0000-0000566A0000}"/>
    <cellStyle name="Procentowy 3 14 31 2" xfId="27210" xr:uid="{00000000-0005-0000-0000-0000576A0000}"/>
    <cellStyle name="Procentowy 3 14 32" xfId="27211" xr:uid="{00000000-0005-0000-0000-0000586A0000}"/>
    <cellStyle name="Procentowy 3 14 33" xfId="27212" xr:uid="{00000000-0005-0000-0000-0000596A0000}"/>
    <cellStyle name="Procentowy 3 14 34" xfId="27213" xr:uid="{00000000-0005-0000-0000-00005A6A0000}"/>
    <cellStyle name="Procentowy 3 14 35" xfId="27214" xr:uid="{00000000-0005-0000-0000-00005B6A0000}"/>
    <cellStyle name="Procentowy 3 14 36" xfId="27215" xr:uid="{00000000-0005-0000-0000-00005C6A0000}"/>
    <cellStyle name="Procentowy 3 14 37" xfId="27216" xr:uid="{00000000-0005-0000-0000-00005D6A0000}"/>
    <cellStyle name="Procentowy 3 14 38" xfId="27217" xr:uid="{00000000-0005-0000-0000-00005E6A0000}"/>
    <cellStyle name="Procentowy 3 14 39" xfId="27218" xr:uid="{00000000-0005-0000-0000-00005F6A0000}"/>
    <cellStyle name="Procentowy 3 14 4" xfId="27219" xr:uid="{00000000-0005-0000-0000-0000606A0000}"/>
    <cellStyle name="Procentowy 3 14 4 2" xfId="27220" xr:uid="{00000000-0005-0000-0000-0000616A0000}"/>
    <cellStyle name="Procentowy 3 14 4 3" xfId="27221" xr:uid="{00000000-0005-0000-0000-0000626A0000}"/>
    <cellStyle name="Procentowy 3 14 4 4" xfId="27222" xr:uid="{00000000-0005-0000-0000-0000636A0000}"/>
    <cellStyle name="Procentowy 3 14 4 5" xfId="27223" xr:uid="{00000000-0005-0000-0000-0000646A0000}"/>
    <cellStyle name="Procentowy 3 14 4 6" xfId="27224" xr:uid="{00000000-0005-0000-0000-0000656A0000}"/>
    <cellStyle name="Procentowy 3 14 4 7" xfId="27225" xr:uid="{00000000-0005-0000-0000-0000666A0000}"/>
    <cellStyle name="Procentowy 3 14 40" xfId="27226" xr:uid="{00000000-0005-0000-0000-0000676A0000}"/>
    <cellStyle name="Procentowy 3 14 41" xfId="27227" xr:uid="{00000000-0005-0000-0000-0000686A0000}"/>
    <cellStyle name="Procentowy 3 14 42" xfId="27228" xr:uid="{00000000-0005-0000-0000-0000696A0000}"/>
    <cellStyle name="Procentowy 3 14 43" xfId="27229" xr:uid="{00000000-0005-0000-0000-00006A6A0000}"/>
    <cellStyle name="Procentowy 3 14 44" xfId="27230" xr:uid="{00000000-0005-0000-0000-00006B6A0000}"/>
    <cellStyle name="Procentowy 3 14 45" xfId="27231" xr:uid="{00000000-0005-0000-0000-00006C6A0000}"/>
    <cellStyle name="Procentowy 3 14 46" xfId="27232" xr:uid="{00000000-0005-0000-0000-00006D6A0000}"/>
    <cellStyle name="Procentowy 3 14 47" xfId="27233" xr:uid="{00000000-0005-0000-0000-00006E6A0000}"/>
    <cellStyle name="Procentowy 3 14 48" xfId="27234" xr:uid="{00000000-0005-0000-0000-00006F6A0000}"/>
    <cellStyle name="Procentowy 3 14 49" xfId="27235" xr:uid="{00000000-0005-0000-0000-0000706A0000}"/>
    <cellStyle name="Procentowy 3 14 5" xfId="27236" xr:uid="{00000000-0005-0000-0000-0000716A0000}"/>
    <cellStyle name="Procentowy 3 14 5 2" xfId="27237" xr:uid="{00000000-0005-0000-0000-0000726A0000}"/>
    <cellStyle name="Procentowy 3 14 5 3" xfId="27238" xr:uid="{00000000-0005-0000-0000-0000736A0000}"/>
    <cellStyle name="Procentowy 3 14 5 4" xfId="27239" xr:uid="{00000000-0005-0000-0000-0000746A0000}"/>
    <cellStyle name="Procentowy 3 14 5 5" xfId="27240" xr:uid="{00000000-0005-0000-0000-0000756A0000}"/>
    <cellStyle name="Procentowy 3 14 5 6" xfId="27241" xr:uid="{00000000-0005-0000-0000-0000766A0000}"/>
    <cellStyle name="Procentowy 3 14 5 7" xfId="27242" xr:uid="{00000000-0005-0000-0000-0000776A0000}"/>
    <cellStyle name="Procentowy 3 14 50" xfId="27243" xr:uid="{00000000-0005-0000-0000-0000786A0000}"/>
    <cellStyle name="Procentowy 3 14 51" xfId="27244" xr:uid="{00000000-0005-0000-0000-0000796A0000}"/>
    <cellStyle name="Procentowy 3 14 52" xfId="27245" xr:uid="{00000000-0005-0000-0000-00007A6A0000}"/>
    <cellStyle name="Procentowy 3 14 53" xfId="27246" xr:uid="{00000000-0005-0000-0000-00007B6A0000}"/>
    <cellStyle name="Procentowy 3 14 54" xfId="27247" xr:uid="{00000000-0005-0000-0000-00007C6A0000}"/>
    <cellStyle name="Procentowy 3 14 55" xfId="27248" xr:uid="{00000000-0005-0000-0000-00007D6A0000}"/>
    <cellStyle name="Procentowy 3 14 56" xfId="27249" xr:uid="{00000000-0005-0000-0000-00007E6A0000}"/>
    <cellStyle name="Procentowy 3 14 57" xfId="27250" xr:uid="{00000000-0005-0000-0000-00007F6A0000}"/>
    <cellStyle name="Procentowy 3 14 58" xfId="27251" xr:uid="{00000000-0005-0000-0000-0000806A0000}"/>
    <cellStyle name="Procentowy 3 14 59" xfId="27252" xr:uid="{00000000-0005-0000-0000-0000816A0000}"/>
    <cellStyle name="Procentowy 3 14 6" xfId="27253" xr:uid="{00000000-0005-0000-0000-0000826A0000}"/>
    <cellStyle name="Procentowy 3 14 6 2" xfId="27254" xr:uid="{00000000-0005-0000-0000-0000836A0000}"/>
    <cellStyle name="Procentowy 3 14 60" xfId="27255" xr:uid="{00000000-0005-0000-0000-0000846A0000}"/>
    <cellStyle name="Procentowy 3 14 61" xfId="27256" xr:uid="{00000000-0005-0000-0000-0000856A0000}"/>
    <cellStyle name="Procentowy 3 14 62" xfId="27257" xr:uid="{00000000-0005-0000-0000-0000866A0000}"/>
    <cellStyle name="Procentowy 3 14 63" xfId="27258" xr:uid="{00000000-0005-0000-0000-0000876A0000}"/>
    <cellStyle name="Procentowy 3 14 64" xfId="27259" xr:uid="{00000000-0005-0000-0000-0000886A0000}"/>
    <cellStyle name="Procentowy 3 14 65" xfId="27260" xr:uid="{00000000-0005-0000-0000-0000896A0000}"/>
    <cellStyle name="Procentowy 3 14 66" xfId="27261" xr:uid="{00000000-0005-0000-0000-00008A6A0000}"/>
    <cellStyle name="Procentowy 3 14 67" xfId="27262" xr:uid="{00000000-0005-0000-0000-00008B6A0000}"/>
    <cellStyle name="Procentowy 3 14 68" xfId="27263" xr:uid="{00000000-0005-0000-0000-00008C6A0000}"/>
    <cellStyle name="Procentowy 3 14 69" xfId="27264" xr:uid="{00000000-0005-0000-0000-00008D6A0000}"/>
    <cellStyle name="Procentowy 3 14 7" xfId="27265" xr:uid="{00000000-0005-0000-0000-00008E6A0000}"/>
    <cellStyle name="Procentowy 3 14 7 2" xfId="27266" xr:uid="{00000000-0005-0000-0000-00008F6A0000}"/>
    <cellStyle name="Procentowy 3 14 70" xfId="27267" xr:uid="{00000000-0005-0000-0000-0000906A0000}"/>
    <cellStyle name="Procentowy 3 14 71" xfId="27268" xr:uid="{00000000-0005-0000-0000-0000916A0000}"/>
    <cellStyle name="Procentowy 3 14 72" xfId="27269" xr:uid="{00000000-0005-0000-0000-0000926A0000}"/>
    <cellStyle name="Procentowy 3 14 73" xfId="27270" xr:uid="{00000000-0005-0000-0000-0000936A0000}"/>
    <cellStyle name="Procentowy 3 14 74" xfId="27271" xr:uid="{00000000-0005-0000-0000-0000946A0000}"/>
    <cellStyle name="Procentowy 3 14 8" xfId="27272" xr:uid="{00000000-0005-0000-0000-0000956A0000}"/>
    <cellStyle name="Procentowy 3 14 8 2" xfId="27273" xr:uid="{00000000-0005-0000-0000-0000966A0000}"/>
    <cellStyle name="Procentowy 3 14 9" xfId="27274" xr:uid="{00000000-0005-0000-0000-0000976A0000}"/>
    <cellStyle name="Procentowy 3 14 9 2" xfId="27275" xr:uid="{00000000-0005-0000-0000-0000986A0000}"/>
    <cellStyle name="Procentowy 3 15" xfId="27276" xr:uid="{00000000-0005-0000-0000-0000996A0000}"/>
    <cellStyle name="Procentowy 3 15 10" xfId="27277" xr:uid="{00000000-0005-0000-0000-00009A6A0000}"/>
    <cellStyle name="Procentowy 3 15 10 2" xfId="27278" xr:uid="{00000000-0005-0000-0000-00009B6A0000}"/>
    <cellStyle name="Procentowy 3 15 11" xfId="27279" xr:uid="{00000000-0005-0000-0000-00009C6A0000}"/>
    <cellStyle name="Procentowy 3 15 11 2" xfId="27280" xr:uid="{00000000-0005-0000-0000-00009D6A0000}"/>
    <cellStyle name="Procentowy 3 15 12" xfId="27281" xr:uid="{00000000-0005-0000-0000-00009E6A0000}"/>
    <cellStyle name="Procentowy 3 15 12 2" xfId="27282" xr:uid="{00000000-0005-0000-0000-00009F6A0000}"/>
    <cellStyle name="Procentowy 3 15 13" xfId="27283" xr:uid="{00000000-0005-0000-0000-0000A06A0000}"/>
    <cellStyle name="Procentowy 3 15 13 2" xfId="27284" xr:uid="{00000000-0005-0000-0000-0000A16A0000}"/>
    <cellStyle name="Procentowy 3 15 14" xfId="27285" xr:uid="{00000000-0005-0000-0000-0000A26A0000}"/>
    <cellStyle name="Procentowy 3 15 14 2" xfId="27286" xr:uid="{00000000-0005-0000-0000-0000A36A0000}"/>
    <cellStyle name="Procentowy 3 15 15" xfId="27287" xr:uid="{00000000-0005-0000-0000-0000A46A0000}"/>
    <cellStyle name="Procentowy 3 15 15 2" xfId="27288" xr:uid="{00000000-0005-0000-0000-0000A56A0000}"/>
    <cellStyle name="Procentowy 3 15 16" xfId="27289" xr:uid="{00000000-0005-0000-0000-0000A66A0000}"/>
    <cellStyle name="Procentowy 3 15 16 2" xfId="27290" xr:uid="{00000000-0005-0000-0000-0000A76A0000}"/>
    <cellStyle name="Procentowy 3 15 17" xfId="27291" xr:uid="{00000000-0005-0000-0000-0000A86A0000}"/>
    <cellStyle name="Procentowy 3 15 17 2" xfId="27292" xr:uid="{00000000-0005-0000-0000-0000A96A0000}"/>
    <cellStyle name="Procentowy 3 15 18" xfId="27293" xr:uid="{00000000-0005-0000-0000-0000AA6A0000}"/>
    <cellStyle name="Procentowy 3 15 18 2" xfId="27294" xr:uid="{00000000-0005-0000-0000-0000AB6A0000}"/>
    <cellStyle name="Procentowy 3 15 19" xfId="27295" xr:uid="{00000000-0005-0000-0000-0000AC6A0000}"/>
    <cellStyle name="Procentowy 3 15 19 2" xfId="27296" xr:uid="{00000000-0005-0000-0000-0000AD6A0000}"/>
    <cellStyle name="Procentowy 3 15 2" xfId="27297" xr:uid="{00000000-0005-0000-0000-0000AE6A0000}"/>
    <cellStyle name="Procentowy 3 15 2 2" xfId="27298" xr:uid="{00000000-0005-0000-0000-0000AF6A0000}"/>
    <cellStyle name="Procentowy 3 15 2 3" xfId="27299" xr:uid="{00000000-0005-0000-0000-0000B06A0000}"/>
    <cellStyle name="Procentowy 3 15 2 4" xfId="27300" xr:uid="{00000000-0005-0000-0000-0000B16A0000}"/>
    <cellStyle name="Procentowy 3 15 2 5" xfId="27301" xr:uid="{00000000-0005-0000-0000-0000B26A0000}"/>
    <cellStyle name="Procentowy 3 15 2 6" xfId="27302" xr:uid="{00000000-0005-0000-0000-0000B36A0000}"/>
    <cellStyle name="Procentowy 3 15 2 7" xfId="27303" xr:uid="{00000000-0005-0000-0000-0000B46A0000}"/>
    <cellStyle name="Procentowy 3 15 20" xfId="27304" xr:uid="{00000000-0005-0000-0000-0000B56A0000}"/>
    <cellStyle name="Procentowy 3 15 20 2" xfId="27305" xr:uid="{00000000-0005-0000-0000-0000B66A0000}"/>
    <cellStyle name="Procentowy 3 15 21" xfId="27306" xr:uid="{00000000-0005-0000-0000-0000B76A0000}"/>
    <cellStyle name="Procentowy 3 15 21 2" xfId="27307" xr:uid="{00000000-0005-0000-0000-0000B86A0000}"/>
    <cellStyle name="Procentowy 3 15 22" xfId="27308" xr:uid="{00000000-0005-0000-0000-0000B96A0000}"/>
    <cellStyle name="Procentowy 3 15 22 2" xfId="27309" xr:uid="{00000000-0005-0000-0000-0000BA6A0000}"/>
    <cellStyle name="Procentowy 3 15 23" xfId="27310" xr:uid="{00000000-0005-0000-0000-0000BB6A0000}"/>
    <cellStyle name="Procentowy 3 15 23 2" xfId="27311" xr:uid="{00000000-0005-0000-0000-0000BC6A0000}"/>
    <cellStyle name="Procentowy 3 15 24" xfId="27312" xr:uid="{00000000-0005-0000-0000-0000BD6A0000}"/>
    <cellStyle name="Procentowy 3 15 24 2" xfId="27313" xr:uid="{00000000-0005-0000-0000-0000BE6A0000}"/>
    <cellStyle name="Procentowy 3 15 25" xfId="27314" xr:uid="{00000000-0005-0000-0000-0000BF6A0000}"/>
    <cellStyle name="Procentowy 3 15 25 2" xfId="27315" xr:uid="{00000000-0005-0000-0000-0000C06A0000}"/>
    <cellStyle name="Procentowy 3 15 26" xfId="27316" xr:uid="{00000000-0005-0000-0000-0000C16A0000}"/>
    <cellStyle name="Procentowy 3 15 26 2" xfId="27317" xr:uid="{00000000-0005-0000-0000-0000C26A0000}"/>
    <cellStyle name="Procentowy 3 15 27" xfId="27318" xr:uid="{00000000-0005-0000-0000-0000C36A0000}"/>
    <cellStyle name="Procentowy 3 15 27 2" xfId="27319" xr:uid="{00000000-0005-0000-0000-0000C46A0000}"/>
    <cellStyle name="Procentowy 3 15 28" xfId="27320" xr:uid="{00000000-0005-0000-0000-0000C56A0000}"/>
    <cellStyle name="Procentowy 3 15 28 2" xfId="27321" xr:uid="{00000000-0005-0000-0000-0000C66A0000}"/>
    <cellStyle name="Procentowy 3 15 29" xfId="27322" xr:uid="{00000000-0005-0000-0000-0000C76A0000}"/>
    <cellStyle name="Procentowy 3 15 29 2" xfId="27323" xr:uid="{00000000-0005-0000-0000-0000C86A0000}"/>
    <cellStyle name="Procentowy 3 15 3" xfId="27324" xr:uid="{00000000-0005-0000-0000-0000C96A0000}"/>
    <cellStyle name="Procentowy 3 15 3 2" xfId="27325" xr:uid="{00000000-0005-0000-0000-0000CA6A0000}"/>
    <cellStyle name="Procentowy 3 15 3 3" xfId="27326" xr:uid="{00000000-0005-0000-0000-0000CB6A0000}"/>
    <cellStyle name="Procentowy 3 15 3 4" xfId="27327" xr:uid="{00000000-0005-0000-0000-0000CC6A0000}"/>
    <cellStyle name="Procentowy 3 15 3 5" xfId="27328" xr:uid="{00000000-0005-0000-0000-0000CD6A0000}"/>
    <cellStyle name="Procentowy 3 15 3 6" xfId="27329" xr:uid="{00000000-0005-0000-0000-0000CE6A0000}"/>
    <cellStyle name="Procentowy 3 15 3 7" xfId="27330" xr:uid="{00000000-0005-0000-0000-0000CF6A0000}"/>
    <cellStyle name="Procentowy 3 15 30" xfId="27331" xr:uid="{00000000-0005-0000-0000-0000D06A0000}"/>
    <cellStyle name="Procentowy 3 15 30 2" xfId="27332" xr:uid="{00000000-0005-0000-0000-0000D16A0000}"/>
    <cellStyle name="Procentowy 3 15 31" xfId="27333" xr:uid="{00000000-0005-0000-0000-0000D26A0000}"/>
    <cellStyle name="Procentowy 3 15 31 2" xfId="27334" xr:uid="{00000000-0005-0000-0000-0000D36A0000}"/>
    <cellStyle name="Procentowy 3 15 32" xfId="27335" xr:uid="{00000000-0005-0000-0000-0000D46A0000}"/>
    <cellStyle name="Procentowy 3 15 33" xfId="27336" xr:uid="{00000000-0005-0000-0000-0000D56A0000}"/>
    <cellStyle name="Procentowy 3 15 34" xfId="27337" xr:uid="{00000000-0005-0000-0000-0000D66A0000}"/>
    <cellStyle name="Procentowy 3 15 35" xfId="27338" xr:uid="{00000000-0005-0000-0000-0000D76A0000}"/>
    <cellStyle name="Procentowy 3 15 36" xfId="27339" xr:uid="{00000000-0005-0000-0000-0000D86A0000}"/>
    <cellStyle name="Procentowy 3 15 37" xfId="27340" xr:uid="{00000000-0005-0000-0000-0000D96A0000}"/>
    <cellStyle name="Procentowy 3 15 38" xfId="27341" xr:uid="{00000000-0005-0000-0000-0000DA6A0000}"/>
    <cellStyle name="Procentowy 3 15 39" xfId="27342" xr:uid="{00000000-0005-0000-0000-0000DB6A0000}"/>
    <cellStyle name="Procentowy 3 15 4" xfId="27343" xr:uid="{00000000-0005-0000-0000-0000DC6A0000}"/>
    <cellStyle name="Procentowy 3 15 4 2" xfId="27344" xr:uid="{00000000-0005-0000-0000-0000DD6A0000}"/>
    <cellStyle name="Procentowy 3 15 4 3" xfId="27345" xr:uid="{00000000-0005-0000-0000-0000DE6A0000}"/>
    <cellStyle name="Procentowy 3 15 4 4" xfId="27346" xr:uid="{00000000-0005-0000-0000-0000DF6A0000}"/>
    <cellStyle name="Procentowy 3 15 4 5" xfId="27347" xr:uid="{00000000-0005-0000-0000-0000E06A0000}"/>
    <cellStyle name="Procentowy 3 15 4 6" xfId="27348" xr:uid="{00000000-0005-0000-0000-0000E16A0000}"/>
    <cellStyle name="Procentowy 3 15 4 7" xfId="27349" xr:uid="{00000000-0005-0000-0000-0000E26A0000}"/>
    <cellStyle name="Procentowy 3 15 40" xfId="27350" xr:uid="{00000000-0005-0000-0000-0000E36A0000}"/>
    <cellStyle name="Procentowy 3 15 41" xfId="27351" xr:uid="{00000000-0005-0000-0000-0000E46A0000}"/>
    <cellStyle name="Procentowy 3 15 42" xfId="27352" xr:uid="{00000000-0005-0000-0000-0000E56A0000}"/>
    <cellStyle name="Procentowy 3 15 43" xfId="27353" xr:uid="{00000000-0005-0000-0000-0000E66A0000}"/>
    <cellStyle name="Procentowy 3 15 44" xfId="27354" xr:uid="{00000000-0005-0000-0000-0000E76A0000}"/>
    <cellStyle name="Procentowy 3 15 45" xfId="27355" xr:uid="{00000000-0005-0000-0000-0000E86A0000}"/>
    <cellStyle name="Procentowy 3 15 46" xfId="27356" xr:uid="{00000000-0005-0000-0000-0000E96A0000}"/>
    <cellStyle name="Procentowy 3 15 47" xfId="27357" xr:uid="{00000000-0005-0000-0000-0000EA6A0000}"/>
    <cellStyle name="Procentowy 3 15 48" xfId="27358" xr:uid="{00000000-0005-0000-0000-0000EB6A0000}"/>
    <cellStyle name="Procentowy 3 15 49" xfId="27359" xr:uid="{00000000-0005-0000-0000-0000EC6A0000}"/>
    <cellStyle name="Procentowy 3 15 5" xfId="27360" xr:uid="{00000000-0005-0000-0000-0000ED6A0000}"/>
    <cellStyle name="Procentowy 3 15 5 2" xfId="27361" xr:uid="{00000000-0005-0000-0000-0000EE6A0000}"/>
    <cellStyle name="Procentowy 3 15 5 3" xfId="27362" xr:uid="{00000000-0005-0000-0000-0000EF6A0000}"/>
    <cellStyle name="Procentowy 3 15 5 4" xfId="27363" xr:uid="{00000000-0005-0000-0000-0000F06A0000}"/>
    <cellStyle name="Procentowy 3 15 5 5" xfId="27364" xr:uid="{00000000-0005-0000-0000-0000F16A0000}"/>
    <cellStyle name="Procentowy 3 15 5 6" xfId="27365" xr:uid="{00000000-0005-0000-0000-0000F26A0000}"/>
    <cellStyle name="Procentowy 3 15 5 7" xfId="27366" xr:uid="{00000000-0005-0000-0000-0000F36A0000}"/>
    <cellStyle name="Procentowy 3 15 50" xfId="27367" xr:uid="{00000000-0005-0000-0000-0000F46A0000}"/>
    <cellStyle name="Procentowy 3 15 51" xfId="27368" xr:uid="{00000000-0005-0000-0000-0000F56A0000}"/>
    <cellStyle name="Procentowy 3 15 52" xfId="27369" xr:uid="{00000000-0005-0000-0000-0000F66A0000}"/>
    <cellStyle name="Procentowy 3 15 53" xfId="27370" xr:uid="{00000000-0005-0000-0000-0000F76A0000}"/>
    <cellStyle name="Procentowy 3 15 54" xfId="27371" xr:uid="{00000000-0005-0000-0000-0000F86A0000}"/>
    <cellStyle name="Procentowy 3 15 55" xfId="27372" xr:uid="{00000000-0005-0000-0000-0000F96A0000}"/>
    <cellStyle name="Procentowy 3 15 56" xfId="27373" xr:uid="{00000000-0005-0000-0000-0000FA6A0000}"/>
    <cellStyle name="Procentowy 3 15 57" xfId="27374" xr:uid="{00000000-0005-0000-0000-0000FB6A0000}"/>
    <cellStyle name="Procentowy 3 15 58" xfId="27375" xr:uid="{00000000-0005-0000-0000-0000FC6A0000}"/>
    <cellStyle name="Procentowy 3 15 59" xfId="27376" xr:uid="{00000000-0005-0000-0000-0000FD6A0000}"/>
    <cellStyle name="Procentowy 3 15 6" xfId="27377" xr:uid="{00000000-0005-0000-0000-0000FE6A0000}"/>
    <cellStyle name="Procentowy 3 15 6 2" xfId="27378" xr:uid="{00000000-0005-0000-0000-0000FF6A0000}"/>
    <cellStyle name="Procentowy 3 15 60" xfId="27379" xr:uid="{00000000-0005-0000-0000-0000006B0000}"/>
    <cellStyle name="Procentowy 3 15 61" xfId="27380" xr:uid="{00000000-0005-0000-0000-0000016B0000}"/>
    <cellStyle name="Procentowy 3 15 62" xfId="27381" xr:uid="{00000000-0005-0000-0000-0000026B0000}"/>
    <cellStyle name="Procentowy 3 15 63" xfId="27382" xr:uid="{00000000-0005-0000-0000-0000036B0000}"/>
    <cellStyle name="Procentowy 3 15 64" xfId="27383" xr:uid="{00000000-0005-0000-0000-0000046B0000}"/>
    <cellStyle name="Procentowy 3 15 65" xfId="27384" xr:uid="{00000000-0005-0000-0000-0000056B0000}"/>
    <cellStyle name="Procentowy 3 15 66" xfId="27385" xr:uid="{00000000-0005-0000-0000-0000066B0000}"/>
    <cellStyle name="Procentowy 3 15 67" xfId="27386" xr:uid="{00000000-0005-0000-0000-0000076B0000}"/>
    <cellStyle name="Procentowy 3 15 68" xfId="27387" xr:uid="{00000000-0005-0000-0000-0000086B0000}"/>
    <cellStyle name="Procentowy 3 15 69" xfId="27388" xr:uid="{00000000-0005-0000-0000-0000096B0000}"/>
    <cellStyle name="Procentowy 3 15 7" xfId="27389" xr:uid="{00000000-0005-0000-0000-00000A6B0000}"/>
    <cellStyle name="Procentowy 3 15 7 2" xfId="27390" xr:uid="{00000000-0005-0000-0000-00000B6B0000}"/>
    <cellStyle name="Procentowy 3 15 70" xfId="27391" xr:uid="{00000000-0005-0000-0000-00000C6B0000}"/>
    <cellStyle name="Procentowy 3 15 71" xfId="27392" xr:uid="{00000000-0005-0000-0000-00000D6B0000}"/>
    <cellStyle name="Procentowy 3 15 72" xfId="27393" xr:uid="{00000000-0005-0000-0000-00000E6B0000}"/>
    <cellStyle name="Procentowy 3 15 73" xfId="27394" xr:uid="{00000000-0005-0000-0000-00000F6B0000}"/>
    <cellStyle name="Procentowy 3 15 74" xfId="27395" xr:uid="{00000000-0005-0000-0000-0000106B0000}"/>
    <cellStyle name="Procentowy 3 15 8" xfId="27396" xr:uid="{00000000-0005-0000-0000-0000116B0000}"/>
    <cellStyle name="Procentowy 3 15 8 2" xfId="27397" xr:uid="{00000000-0005-0000-0000-0000126B0000}"/>
    <cellStyle name="Procentowy 3 15 9" xfId="27398" xr:uid="{00000000-0005-0000-0000-0000136B0000}"/>
    <cellStyle name="Procentowy 3 15 9 2" xfId="27399" xr:uid="{00000000-0005-0000-0000-0000146B0000}"/>
    <cellStyle name="Procentowy 3 16" xfId="27400" xr:uid="{00000000-0005-0000-0000-0000156B0000}"/>
    <cellStyle name="Procentowy 3 16 10" xfId="27401" xr:uid="{00000000-0005-0000-0000-0000166B0000}"/>
    <cellStyle name="Procentowy 3 16 10 2" xfId="27402" xr:uid="{00000000-0005-0000-0000-0000176B0000}"/>
    <cellStyle name="Procentowy 3 16 11" xfId="27403" xr:uid="{00000000-0005-0000-0000-0000186B0000}"/>
    <cellStyle name="Procentowy 3 16 11 2" xfId="27404" xr:uid="{00000000-0005-0000-0000-0000196B0000}"/>
    <cellStyle name="Procentowy 3 16 12" xfId="27405" xr:uid="{00000000-0005-0000-0000-00001A6B0000}"/>
    <cellStyle name="Procentowy 3 16 12 2" xfId="27406" xr:uid="{00000000-0005-0000-0000-00001B6B0000}"/>
    <cellStyle name="Procentowy 3 16 13" xfId="27407" xr:uid="{00000000-0005-0000-0000-00001C6B0000}"/>
    <cellStyle name="Procentowy 3 16 13 2" xfId="27408" xr:uid="{00000000-0005-0000-0000-00001D6B0000}"/>
    <cellStyle name="Procentowy 3 16 14" xfId="27409" xr:uid="{00000000-0005-0000-0000-00001E6B0000}"/>
    <cellStyle name="Procentowy 3 16 14 2" xfId="27410" xr:uid="{00000000-0005-0000-0000-00001F6B0000}"/>
    <cellStyle name="Procentowy 3 16 15" xfId="27411" xr:uid="{00000000-0005-0000-0000-0000206B0000}"/>
    <cellStyle name="Procentowy 3 16 15 2" xfId="27412" xr:uid="{00000000-0005-0000-0000-0000216B0000}"/>
    <cellStyle name="Procentowy 3 16 16" xfId="27413" xr:uid="{00000000-0005-0000-0000-0000226B0000}"/>
    <cellStyle name="Procentowy 3 16 16 2" xfId="27414" xr:uid="{00000000-0005-0000-0000-0000236B0000}"/>
    <cellStyle name="Procentowy 3 16 17" xfId="27415" xr:uid="{00000000-0005-0000-0000-0000246B0000}"/>
    <cellStyle name="Procentowy 3 16 17 2" xfId="27416" xr:uid="{00000000-0005-0000-0000-0000256B0000}"/>
    <cellStyle name="Procentowy 3 16 18" xfId="27417" xr:uid="{00000000-0005-0000-0000-0000266B0000}"/>
    <cellStyle name="Procentowy 3 16 18 2" xfId="27418" xr:uid="{00000000-0005-0000-0000-0000276B0000}"/>
    <cellStyle name="Procentowy 3 16 19" xfId="27419" xr:uid="{00000000-0005-0000-0000-0000286B0000}"/>
    <cellStyle name="Procentowy 3 16 19 2" xfId="27420" xr:uid="{00000000-0005-0000-0000-0000296B0000}"/>
    <cellStyle name="Procentowy 3 16 2" xfId="27421" xr:uid="{00000000-0005-0000-0000-00002A6B0000}"/>
    <cellStyle name="Procentowy 3 16 2 2" xfId="27422" xr:uid="{00000000-0005-0000-0000-00002B6B0000}"/>
    <cellStyle name="Procentowy 3 16 2 3" xfId="27423" xr:uid="{00000000-0005-0000-0000-00002C6B0000}"/>
    <cellStyle name="Procentowy 3 16 2 4" xfId="27424" xr:uid="{00000000-0005-0000-0000-00002D6B0000}"/>
    <cellStyle name="Procentowy 3 16 2 5" xfId="27425" xr:uid="{00000000-0005-0000-0000-00002E6B0000}"/>
    <cellStyle name="Procentowy 3 16 2 6" xfId="27426" xr:uid="{00000000-0005-0000-0000-00002F6B0000}"/>
    <cellStyle name="Procentowy 3 16 2 7" xfId="27427" xr:uid="{00000000-0005-0000-0000-0000306B0000}"/>
    <cellStyle name="Procentowy 3 16 20" xfId="27428" xr:uid="{00000000-0005-0000-0000-0000316B0000}"/>
    <cellStyle name="Procentowy 3 16 20 2" xfId="27429" xr:uid="{00000000-0005-0000-0000-0000326B0000}"/>
    <cellStyle name="Procentowy 3 16 21" xfId="27430" xr:uid="{00000000-0005-0000-0000-0000336B0000}"/>
    <cellStyle name="Procentowy 3 16 21 2" xfId="27431" xr:uid="{00000000-0005-0000-0000-0000346B0000}"/>
    <cellStyle name="Procentowy 3 16 22" xfId="27432" xr:uid="{00000000-0005-0000-0000-0000356B0000}"/>
    <cellStyle name="Procentowy 3 16 22 2" xfId="27433" xr:uid="{00000000-0005-0000-0000-0000366B0000}"/>
    <cellStyle name="Procentowy 3 16 23" xfId="27434" xr:uid="{00000000-0005-0000-0000-0000376B0000}"/>
    <cellStyle name="Procentowy 3 16 23 2" xfId="27435" xr:uid="{00000000-0005-0000-0000-0000386B0000}"/>
    <cellStyle name="Procentowy 3 16 24" xfId="27436" xr:uid="{00000000-0005-0000-0000-0000396B0000}"/>
    <cellStyle name="Procentowy 3 16 24 2" xfId="27437" xr:uid="{00000000-0005-0000-0000-00003A6B0000}"/>
    <cellStyle name="Procentowy 3 16 25" xfId="27438" xr:uid="{00000000-0005-0000-0000-00003B6B0000}"/>
    <cellStyle name="Procentowy 3 16 25 2" xfId="27439" xr:uid="{00000000-0005-0000-0000-00003C6B0000}"/>
    <cellStyle name="Procentowy 3 16 26" xfId="27440" xr:uid="{00000000-0005-0000-0000-00003D6B0000}"/>
    <cellStyle name="Procentowy 3 16 26 2" xfId="27441" xr:uid="{00000000-0005-0000-0000-00003E6B0000}"/>
    <cellStyle name="Procentowy 3 16 27" xfId="27442" xr:uid="{00000000-0005-0000-0000-00003F6B0000}"/>
    <cellStyle name="Procentowy 3 16 27 2" xfId="27443" xr:uid="{00000000-0005-0000-0000-0000406B0000}"/>
    <cellStyle name="Procentowy 3 16 28" xfId="27444" xr:uid="{00000000-0005-0000-0000-0000416B0000}"/>
    <cellStyle name="Procentowy 3 16 28 2" xfId="27445" xr:uid="{00000000-0005-0000-0000-0000426B0000}"/>
    <cellStyle name="Procentowy 3 16 29" xfId="27446" xr:uid="{00000000-0005-0000-0000-0000436B0000}"/>
    <cellStyle name="Procentowy 3 16 29 2" xfId="27447" xr:uid="{00000000-0005-0000-0000-0000446B0000}"/>
    <cellStyle name="Procentowy 3 16 3" xfId="27448" xr:uid="{00000000-0005-0000-0000-0000456B0000}"/>
    <cellStyle name="Procentowy 3 16 3 2" xfId="27449" xr:uid="{00000000-0005-0000-0000-0000466B0000}"/>
    <cellStyle name="Procentowy 3 16 3 3" xfId="27450" xr:uid="{00000000-0005-0000-0000-0000476B0000}"/>
    <cellStyle name="Procentowy 3 16 3 4" xfId="27451" xr:uid="{00000000-0005-0000-0000-0000486B0000}"/>
    <cellStyle name="Procentowy 3 16 3 5" xfId="27452" xr:uid="{00000000-0005-0000-0000-0000496B0000}"/>
    <cellStyle name="Procentowy 3 16 3 6" xfId="27453" xr:uid="{00000000-0005-0000-0000-00004A6B0000}"/>
    <cellStyle name="Procentowy 3 16 3 7" xfId="27454" xr:uid="{00000000-0005-0000-0000-00004B6B0000}"/>
    <cellStyle name="Procentowy 3 16 30" xfId="27455" xr:uid="{00000000-0005-0000-0000-00004C6B0000}"/>
    <cellStyle name="Procentowy 3 16 30 2" xfId="27456" xr:uid="{00000000-0005-0000-0000-00004D6B0000}"/>
    <cellStyle name="Procentowy 3 16 31" xfId="27457" xr:uid="{00000000-0005-0000-0000-00004E6B0000}"/>
    <cellStyle name="Procentowy 3 16 31 2" xfId="27458" xr:uid="{00000000-0005-0000-0000-00004F6B0000}"/>
    <cellStyle name="Procentowy 3 16 32" xfId="27459" xr:uid="{00000000-0005-0000-0000-0000506B0000}"/>
    <cellStyle name="Procentowy 3 16 33" xfId="27460" xr:uid="{00000000-0005-0000-0000-0000516B0000}"/>
    <cellStyle name="Procentowy 3 16 34" xfId="27461" xr:uid="{00000000-0005-0000-0000-0000526B0000}"/>
    <cellStyle name="Procentowy 3 16 35" xfId="27462" xr:uid="{00000000-0005-0000-0000-0000536B0000}"/>
    <cellStyle name="Procentowy 3 16 36" xfId="27463" xr:uid="{00000000-0005-0000-0000-0000546B0000}"/>
    <cellStyle name="Procentowy 3 16 37" xfId="27464" xr:uid="{00000000-0005-0000-0000-0000556B0000}"/>
    <cellStyle name="Procentowy 3 16 38" xfId="27465" xr:uid="{00000000-0005-0000-0000-0000566B0000}"/>
    <cellStyle name="Procentowy 3 16 39" xfId="27466" xr:uid="{00000000-0005-0000-0000-0000576B0000}"/>
    <cellStyle name="Procentowy 3 16 4" xfId="27467" xr:uid="{00000000-0005-0000-0000-0000586B0000}"/>
    <cellStyle name="Procentowy 3 16 4 2" xfId="27468" xr:uid="{00000000-0005-0000-0000-0000596B0000}"/>
    <cellStyle name="Procentowy 3 16 4 3" xfId="27469" xr:uid="{00000000-0005-0000-0000-00005A6B0000}"/>
    <cellStyle name="Procentowy 3 16 4 4" xfId="27470" xr:uid="{00000000-0005-0000-0000-00005B6B0000}"/>
    <cellStyle name="Procentowy 3 16 4 5" xfId="27471" xr:uid="{00000000-0005-0000-0000-00005C6B0000}"/>
    <cellStyle name="Procentowy 3 16 4 6" xfId="27472" xr:uid="{00000000-0005-0000-0000-00005D6B0000}"/>
    <cellStyle name="Procentowy 3 16 4 7" xfId="27473" xr:uid="{00000000-0005-0000-0000-00005E6B0000}"/>
    <cellStyle name="Procentowy 3 16 40" xfId="27474" xr:uid="{00000000-0005-0000-0000-00005F6B0000}"/>
    <cellStyle name="Procentowy 3 16 41" xfId="27475" xr:uid="{00000000-0005-0000-0000-0000606B0000}"/>
    <cellStyle name="Procentowy 3 16 42" xfId="27476" xr:uid="{00000000-0005-0000-0000-0000616B0000}"/>
    <cellStyle name="Procentowy 3 16 43" xfId="27477" xr:uid="{00000000-0005-0000-0000-0000626B0000}"/>
    <cellStyle name="Procentowy 3 16 44" xfId="27478" xr:uid="{00000000-0005-0000-0000-0000636B0000}"/>
    <cellStyle name="Procentowy 3 16 45" xfId="27479" xr:uid="{00000000-0005-0000-0000-0000646B0000}"/>
    <cellStyle name="Procentowy 3 16 46" xfId="27480" xr:uid="{00000000-0005-0000-0000-0000656B0000}"/>
    <cellStyle name="Procentowy 3 16 47" xfId="27481" xr:uid="{00000000-0005-0000-0000-0000666B0000}"/>
    <cellStyle name="Procentowy 3 16 48" xfId="27482" xr:uid="{00000000-0005-0000-0000-0000676B0000}"/>
    <cellStyle name="Procentowy 3 16 49" xfId="27483" xr:uid="{00000000-0005-0000-0000-0000686B0000}"/>
    <cellStyle name="Procentowy 3 16 5" xfId="27484" xr:uid="{00000000-0005-0000-0000-0000696B0000}"/>
    <cellStyle name="Procentowy 3 16 5 2" xfId="27485" xr:uid="{00000000-0005-0000-0000-00006A6B0000}"/>
    <cellStyle name="Procentowy 3 16 5 3" xfId="27486" xr:uid="{00000000-0005-0000-0000-00006B6B0000}"/>
    <cellStyle name="Procentowy 3 16 5 4" xfId="27487" xr:uid="{00000000-0005-0000-0000-00006C6B0000}"/>
    <cellStyle name="Procentowy 3 16 5 5" xfId="27488" xr:uid="{00000000-0005-0000-0000-00006D6B0000}"/>
    <cellStyle name="Procentowy 3 16 5 6" xfId="27489" xr:uid="{00000000-0005-0000-0000-00006E6B0000}"/>
    <cellStyle name="Procentowy 3 16 5 7" xfId="27490" xr:uid="{00000000-0005-0000-0000-00006F6B0000}"/>
    <cellStyle name="Procentowy 3 16 50" xfId="27491" xr:uid="{00000000-0005-0000-0000-0000706B0000}"/>
    <cellStyle name="Procentowy 3 16 51" xfId="27492" xr:uid="{00000000-0005-0000-0000-0000716B0000}"/>
    <cellStyle name="Procentowy 3 16 52" xfId="27493" xr:uid="{00000000-0005-0000-0000-0000726B0000}"/>
    <cellStyle name="Procentowy 3 16 53" xfId="27494" xr:uid="{00000000-0005-0000-0000-0000736B0000}"/>
    <cellStyle name="Procentowy 3 16 54" xfId="27495" xr:uid="{00000000-0005-0000-0000-0000746B0000}"/>
    <cellStyle name="Procentowy 3 16 55" xfId="27496" xr:uid="{00000000-0005-0000-0000-0000756B0000}"/>
    <cellStyle name="Procentowy 3 16 56" xfId="27497" xr:uid="{00000000-0005-0000-0000-0000766B0000}"/>
    <cellStyle name="Procentowy 3 16 57" xfId="27498" xr:uid="{00000000-0005-0000-0000-0000776B0000}"/>
    <cellStyle name="Procentowy 3 16 58" xfId="27499" xr:uid="{00000000-0005-0000-0000-0000786B0000}"/>
    <cellStyle name="Procentowy 3 16 59" xfId="27500" xr:uid="{00000000-0005-0000-0000-0000796B0000}"/>
    <cellStyle name="Procentowy 3 16 6" xfId="27501" xr:uid="{00000000-0005-0000-0000-00007A6B0000}"/>
    <cellStyle name="Procentowy 3 16 6 2" xfId="27502" xr:uid="{00000000-0005-0000-0000-00007B6B0000}"/>
    <cellStyle name="Procentowy 3 16 60" xfId="27503" xr:uid="{00000000-0005-0000-0000-00007C6B0000}"/>
    <cellStyle name="Procentowy 3 16 61" xfId="27504" xr:uid="{00000000-0005-0000-0000-00007D6B0000}"/>
    <cellStyle name="Procentowy 3 16 62" xfId="27505" xr:uid="{00000000-0005-0000-0000-00007E6B0000}"/>
    <cellStyle name="Procentowy 3 16 63" xfId="27506" xr:uid="{00000000-0005-0000-0000-00007F6B0000}"/>
    <cellStyle name="Procentowy 3 16 64" xfId="27507" xr:uid="{00000000-0005-0000-0000-0000806B0000}"/>
    <cellStyle name="Procentowy 3 16 65" xfId="27508" xr:uid="{00000000-0005-0000-0000-0000816B0000}"/>
    <cellStyle name="Procentowy 3 16 66" xfId="27509" xr:uid="{00000000-0005-0000-0000-0000826B0000}"/>
    <cellStyle name="Procentowy 3 16 67" xfId="27510" xr:uid="{00000000-0005-0000-0000-0000836B0000}"/>
    <cellStyle name="Procentowy 3 16 68" xfId="27511" xr:uid="{00000000-0005-0000-0000-0000846B0000}"/>
    <cellStyle name="Procentowy 3 16 69" xfId="27512" xr:uid="{00000000-0005-0000-0000-0000856B0000}"/>
    <cellStyle name="Procentowy 3 16 7" xfId="27513" xr:uid="{00000000-0005-0000-0000-0000866B0000}"/>
    <cellStyle name="Procentowy 3 16 7 2" xfId="27514" xr:uid="{00000000-0005-0000-0000-0000876B0000}"/>
    <cellStyle name="Procentowy 3 16 70" xfId="27515" xr:uid="{00000000-0005-0000-0000-0000886B0000}"/>
    <cellStyle name="Procentowy 3 16 71" xfId="27516" xr:uid="{00000000-0005-0000-0000-0000896B0000}"/>
    <cellStyle name="Procentowy 3 16 72" xfId="27517" xr:uid="{00000000-0005-0000-0000-00008A6B0000}"/>
    <cellStyle name="Procentowy 3 16 73" xfId="27518" xr:uid="{00000000-0005-0000-0000-00008B6B0000}"/>
    <cellStyle name="Procentowy 3 16 74" xfId="27519" xr:uid="{00000000-0005-0000-0000-00008C6B0000}"/>
    <cellStyle name="Procentowy 3 16 8" xfId="27520" xr:uid="{00000000-0005-0000-0000-00008D6B0000}"/>
    <cellStyle name="Procentowy 3 16 8 2" xfId="27521" xr:uid="{00000000-0005-0000-0000-00008E6B0000}"/>
    <cellStyle name="Procentowy 3 16 9" xfId="27522" xr:uid="{00000000-0005-0000-0000-00008F6B0000}"/>
    <cellStyle name="Procentowy 3 16 9 2" xfId="27523" xr:uid="{00000000-0005-0000-0000-0000906B0000}"/>
    <cellStyle name="Procentowy 3 17" xfId="27524" xr:uid="{00000000-0005-0000-0000-0000916B0000}"/>
    <cellStyle name="Procentowy 3 17 10" xfId="27525" xr:uid="{00000000-0005-0000-0000-0000926B0000}"/>
    <cellStyle name="Procentowy 3 17 10 2" xfId="27526" xr:uid="{00000000-0005-0000-0000-0000936B0000}"/>
    <cellStyle name="Procentowy 3 17 11" xfId="27527" xr:uid="{00000000-0005-0000-0000-0000946B0000}"/>
    <cellStyle name="Procentowy 3 17 11 2" xfId="27528" xr:uid="{00000000-0005-0000-0000-0000956B0000}"/>
    <cellStyle name="Procentowy 3 17 12" xfId="27529" xr:uid="{00000000-0005-0000-0000-0000966B0000}"/>
    <cellStyle name="Procentowy 3 17 12 2" xfId="27530" xr:uid="{00000000-0005-0000-0000-0000976B0000}"/>
    <cellStyle name="Procentowy 3 17 13" xfId="27531" xr:uid="{00000000-0005-0000-0000-0000986B0000}"/>
    <cellStyle name="Procentowy 3 17 13 2" xfId="27532" xr:uid="{00000000-0005-0000-0000-0000996B0000}"/>
    <cellStyle name="Procentowy 3 17 14" xfId="27533" xr:uid="{00000000-0005-0000-0000-00009A6B0000}"/>
    <cellStyle name="Procentowy 3 17 14 2" xfId="27534" xr:uid="{00000000-0005-0000-0000-00009B6B0000}"/>
    <cellStyle name="Procentowy 3 17 15" xfId="27535" xr:uid="{00000000-0005-0000-0000-00009C6B0000}"/>
    <cellStyle name="Procentowy 3 17 15 2" xfId="27536" xr:uid="{00000000-0005-0000-0000-00009D6B0000}"/>
    <cellStyle name="Procentowy 3 17 16" xfId="27537" xr:uid="{00000000-0005-0000-0000-00009E6B0000}"/>
    <cellStyle name="Procentowy 3 17 16 2" xfId="27538" xr:uid="{00000000-0005-0000-0000-00009F6B0000}"/>
    <cellStyle name="Procentowy 3 17 17" xfId="27539" xr:uid="{00000000-0005-0000-0000-0000A06B0000}"/>
    <cellStyle name="Procentowy 3 17 17 2" xfId="27540" xr:uid="{00000000-0005-0000-0000-0000A16B0000}"/>
    <cellStyle name="Procentowy 3 17 18" xfId="27541" xr:uid="{00000000-0005-0000-0000-0000A26B0000}"/>
    <cellStyle name="Procentowy 3 17 18 2" xfId="27542" xr:uid="{00000000-0005-0000-0000-0000A36B0000}"/>
    <cellStyle name="Procentowy 3 17 19" xfId="27543" xr:uid="{00000000-0005-0000-0000-0000A46B0000}"/>
    <cellStyle name="Procentowy 3 17 19 2" xfId="27544" xr:uid="{00000000-0005-0000-0000-0000A56B0000}"/>
    <cellStyle name="Procentowy 3 17 2" xfId="27545" xr:uid="{00000000-0005-0000-0000-0000A66B0000}"/>
    <cellStyle name="Procentowy 3 17 2 2" xfId="27546" xr:uid="{00000000-0005-0000-0000-0000A76B0000}"/>
    <cellStyle name="Procentowy 3 17 2 3" xfId="27547" xr:uid="{00000000-0005-0000-0000-0000A86B0000}"/>
    <cellStyle name="Procentowy 3 17 2 4" xfId="27548" xr:uid="{00000000-0005-0000-0000-0000A96B0000}"/>
    <cellStyle name="Procentowy 3 17 2 5" xfId="27549" xr:uid="{00000000-0005-0000-0000-0000AA6B0000}"/>
    <cellStyle name="Procentowy 3 17 2 6" xfId="27550" xr:uid="{00000000-0005-0000-0000-0000AB6B0000}"/>
    <cellStyle name="Procentowy 3 17 2 7" xfId="27551" xr:uid="{00000000-0005-0000-0000-0000AC6B0000}"/>
    <cellStyle name="Procentowy 3 17 20" xfId="27552" xr:uid="{00000000-0005-0000-0000-0000AD6B0000}"/>
    <cellStyle name="Procentowy 3 17 20 2" xfId="27553" xr:uid="{00000000-0005-0000-0000-0000AE6B0000}"/>
    <cellStyle name="Procentowy 3 17 21" xfId="27554" xr:uid="{00000000-0005-0000-0000-0000AF6B0000}"/>
    <cellStyle name="Procentowy 3 17 21 2" xfId="27555" xr:uid="{00000000-0005-0000-0000-0000B06B0000}"/>
    <cellStyle name="Procentowy 3 17 22" xfId="27556" xr:uid="{00000000-0005-0000-0000-0000B16B0000}"/>
    <cellStyle name="Procentowy 3 17 22 2" xfId="27557" xr:uid="{00000000-0005-0000-0000-0000B26B0000}"/>
    <cellStyle name="Procentowy 3 17 23" xfId="27558" xr:uid="{00000000-0005-0000-0000-0000B36B0000}"/>
    <cellStyle name="Procentowy 3 17 23 2" xfId="27559" xr:uid="{00000000-0005-0000-0000-0000B46B0000}"/>
    <cellStyle name="Procentowy 3 17 24" xfId="27560" xr:uid="{00000000-0005-0000-0000-0000B56B0000}"/>
    <cellStyle name="Procentowy 3 17 24 2" xfId="27561" xr:uid="{00000000-0005-0000-0000-0000B66B0000}"/>
    <cellStyle name="Procentowy 3 17 25" xfId="27562" xr:uid="{00000000-0005-0000-0000-0000B76B0000}"/>
    <cellStyle name="Procentowy 3 17 25 2" xfId="27563" xr:uid="{00000000-0005-0000-0000-0000B86B0000}"/>
    <cellStyle name="Procentowy 3 17 26" xfId="27564" xr:uid="{00000000-0005-0000-0000-0000B96B0000}"/>
    <cellStyle name="Procentowy 3 17 26 2" xfId="27565" xr:uid="{00000000-0005-0000-0000-0000BA6B0000}"/>
    <cellStyle name="Procentowy 3 17 27" xfId="27566" xr:uid="{00000000-0005-0000-0000-0000BB6B0000}"/>
    <cellStyle name="Procentowy 3 17 27 2" xfId="27567" xr:uid="{00000000-0005-0000-0000-0000BC6B0000}"/>
    <cellStyle name="Procentowy 3 17 28" xfId="27568" xr:uid="{00000000-0005-0000-0000-0000BD6B0000}"/>
    <cellStyle name="Procentowy 3 17 28 2" xfId="27569" xr:uid="{00000000-0005-0000-0000-0000BE6B0000}"/>
    <cellStyle name="Procentowy 3 17 29" xfId="27570" xr:uid="{00000000-0005-0000-0000-0000BF6B0000}"/>
    <cellStyle name="Procentowy 3 17 29 2" xfId="27571" xr:uid="{00000000-0005-0000-0000-0000C06B0000}"/>
    <cellStyle name="Procentowy 3 17 3" xfId="27572" xr:uid="{00000000-0005-0000-0000-0000C16B0000}"/>
    <cellStyle name="Procentowy 3 17 3 2" xfId="27573" xr:uid="{00000000-0005-0000-0000-0000C26B0000}"/>
    <cellStyle name="Procentowy 3 17 3 3" xfId="27574" xr:uid="{00000000-0005-0000-0000-0000C36B0000}"/>
    <cellStyle name="Procentowy 3 17 3 4" xfId="27575" xr:uid="{00000000-0005-0000-0000-0000C46B0000}"/>
    <cellStyle name="Procentowy 3 17 3 5" xfId="27576" xr:uid="{00000000-0005-0000-0000-0000C56B0000}"/>
    <cellStyle name="Procentowy 3 17 3 6" xfId="27577" xr:uid="{00000000-0005-0000-0000-0000C66B0000}"/>
    <cellStyle name="Procentowy 3 17 3 7" xfId="27578" xr:uid="{00000000-0005-0000-0000-0000C76B0000}"/>
    <cellStyle name="Procentowy 3 17 30" xfId="27579" xr:uid="{00000000-0005-0000-0000-0000C86B0000}"/>
    <cellStyle name="Procentowy 3 17 30 2" xfId="27580" xr:uid="{00000000-0005-0000-0000-0000C96B0000}"/>
    <cellStyle name="Procentowy 3 17 31" xfId="27581" xr:uid="{00000000-0005-0000-0000-0000CA6B0000}"/>
    <cellStyle name="Procentowy 3 17 31 2" xfId="27582" xr:uid="{00000000-0005-0000-0000-0000CB6B0000}"/>
    <cellStyle name="Procentowy 3 17 32" xfId="27583" xr:uid="{00000000-0005-0000-0000-0000CC6B0000}"/>
    <cellStyle name="Procentowy 3 17 33" xfId="27584" xr:uid="{00000000-0005-0000-0000-0000CD6B0000}"/>
    <cellStyle name="Procentowy 3 17 34" xfId="27585" xr:uid="{00000000-0005-0000-0000-0000CE6B0000}"/>
    <cellStyle name="Procentowy 3 17 35" xfId="27586" xr:uid="{00000000-0005-0000-0000-0000CF6B0000}"/>
    <cellStyle name="Procentowy 3 17 36" xfId="27587" xr:uid="{00000000-0005-0000-0000-0000D06B0000}"/>
    <cellStyle name="Procentowy 3 17 37" xfId="27588" xr:uid="{00000000-0005-0000-0000-0000D16B0000}"/>
    <cellStyle name="Procentowy 3 17 38" xfId="27589" xr:uid="{00000000-0005-0000-0000-0000D26B0000}"/>
    <cellStyle name="Procentowy 3 17 39" xfId="27590" xr:uid="{00000000-0005-0000-0000-0000D36B0000}"/>
    <cellStyle name="Procentowy 3 17 4" xfId="27591" xr:uid="{00000000-0005-0000-0000-0000D46B0000}"/>
    <cellStyle name="Procentowy 3 17 4 2" xfId="27592" xr:uid="{00000000-0005-0000-0000-0000D56B0000}"/>
    <cellStyle name="Procentowy 3 17 4 3" xfId="27593" xr:uid="{00000000-0005-0000-0000-0000D66B0000}"/>
    <cellStyle name="Procentowy 3 17 4 4" xfId="27594" xr:uid="{00000000-0005-0000-0000-0000D76B0000}"/>
    <cellStyle name="Procentowy 3 17 4 5" xfId="27595" xr:uid="{00000000-0005-0000-0000-0000D86B0000}"/>
    <cellStyle name="Procentowy 3 17 4 6" xfId="27596" xr:uid="{00000000-0005-0000-0000-0000D96B0000}"/>
    <cellStyle name="Procentowy 3 17 4 7" xfId="27597" xr:uid="{00000000-0005-0000-0000-0000DA6B0000}"/>
    <cellStyle name="Procentowy 3 17 40" xfId="27598" xr:uid="{00000000-0005-0000-0000-0000DB6B0000}"/>
    <cellStyle name="Procentowy 3 17 41" xfId="27599" xr:uid="{00000000-0005-0000-0000-0000DC6B0000}"/>
    <cellStyle name="Procentowy 3 17 42" xfId="27600" xr:uid="{00000000-0005-0000-0000-0000DD6B0000}"/>
    <cellStyle name="Procentowy 3 17 43" xfId="27601" xr:uid="{00000000-0005-0000-0000-0000DE6B0000}"/>
    <cellStyle name="Procentowy 3 17 44" xfId="27602" xr:uid="{00000000-0005-0000-0000-0000DF6B0000}"/>
    <cellStyle name="Procentowy 3 17 45" xfId="27603" xr:uid="{00000000-0005-0000-0000-0000E06B0000}"/>
    <cellStyle name="Procentowy 3 17 46" xfId="27604" xr:uid="{00000000-0005-0000-0000-0000E16B0000}"/>
    <cellStyle name="Procentowy 3 17 47" xfId="27605" xr:uid="{00000000-0005-0000-0000-0000E26B0000}"/>
    <cellStyle name="Procentowy 3 17 48" xfId="27606" xr:uid="{00000000-0005-0000-0000-0000E36B0000}"/>
    <cellStyle name="Procentowy 3 17 49" xfId="27607" xr:uid="{00000000-0005-0000-0000-0000E46B0000}"/>
    <cellStyle name="Procentowy 3 17 5" xfId="27608" xr:uid="{00000000-0005-0000-0000-0000E56B0000}"/>
    <cellStyle name="Procentowy 3 17 5 2" xfId="27609" xr:uid="{00000000-0005-0000-0000-0000E66B0000}"/>
    <cellStyle name="Procentowy 3 17 5 3" xfId="27610" xr:uid="{00000000-0005-0000-0000-0000E76B0000}"/>
    <cellStyle name="Procentowy 3 17 5 4" xfId="27611" xr:uid="{00000000-0005-0000-0000-0000E86B0000}"/>
    <cellStyle name="Procentowy 3 17 5 5" xfId="27612" xr:uid="{00000000-0005-0000-0000-0000E96B0000}"/>
    <cellStyle name="Procentowy 3 17 5 6" xfId="27613" xr:uid="{00000000-0005-0000-0000-0000EA6B0000}"/>
    <cellStyle name="Procentowy 3 17 5 7" xfId="27614" xr:uid="{00000000-0005-0000-0000-0000EB6B0000}"/>
    <cellStyle name="Procentowy 3 17 50" xfId="27615" xr:uid="{00000000-0005-0000-0000-0000EC6B0000}"/>
    <cellStyle name="Procentowy 3 17 51" xfId="27616" xr:uid="{00000000-0005-0000-0000-0000ED6B0000}"/>
    <cellStyle name="Procentowy 3 17 52" xfId="27617" xr:uid="{00000000-0005-0000-0000-0000EE6B0000}"/>
    <cellStyle name="Procentowy 3 17 53" xfId="27618" xr:uid="{00000000-0005-0000-0000-0000EF6B0000}"/>
    <cellStyle name="Procentowy 3 17 54" xfId="27619" xr:uid="{00000000-0005-0000-0000-0000F06B0000}"/>
    <cellStyle name="Procentowy 3 17 55" xfId="27620" xr:uid="{00000000-0005-0000-0000-0000F16B0000}"/>
    <cellStyle name="Procentowy 3 17 56" xfId="27621" xr:uid="{00000000-0005-0000-0000-0000F26B0000}"/>
    <cellStyle name="Procentowy 3 17 57" xfId="27622" xr:uid="{00000000-0005-0000-0000-0000F36B0000}"/>
    <cellStyle name="Procentowy 3 17 58" xfId="27623" xr:uid="{00000000-0005-0000-0000-0000F46B0000}"/>
    <cellStyle name="Procentowy 3 17 59" xfId="27624" xr:uid="{00000000-0005-0000-0000-0000F56B0000}"/>
    <cellStyle name="Procentowy 3 17 6" xfId="27625" xr:uid="{00000000-0005-0000-0000-0000F66B0000}"/>
    <cellStyle name="Procentowy 3 17 6 2" xfId="27626" xr:uid="{00000000-0005-0000-0000-0000F76B0000}"/>
    <cellStyle name="Procentowy 3 17 60" xfId="27627" xr:uid="{00000000-0005-0000-0000-0000F86B0000}"/>
    <cellStyle name="Procentowy 3 17 61" xfId="27628" xr:uid="{00000000-0005-0000-0000-0000F96B0000}"/>
    <cellStyle name="Procentowy 3 17 62" xfId="27629" xr:uid="{00000000-0005-0000-0000-0000FA6B0000}"/>
    <cellStyle name="Procentowy 3 17 63" xfId="27630" xr:uid="{00000000-0005-0000-0000-0000FB6B0000}"/>
    <cellStyle name="Procentowy 3 17 64" xfId="27631" xr:uid="{00000000-0005-0000-0000-0000FC6B0000}"/>
    <cellStyle name="Procentowy 3 17 65" xfId="27632" xr:uid="{00000000-0005-0000-0000-0000FD6B0000}"/>
    <cellStyle name="Procentowy 3 17 66" xfId="27633" xr:uid="{00000000-0005-0000-0000-0000FE6B0000}"/>
    <cellStyle name="Procentowy 3 17 67" xfId="27634" xr:uid="{00000000-0005-0000-0000-0000FF6B0000}"/>
    <cellStyle name="Procentowy 3 17 68" xfId="27635" xr:uid="{00000000-0005-0000-0000-0000006C0000}"/>
    <cellStyle name="Procentowy 3 17 69" xfId="27636" xr:uid="{00000000-0005-0000-0000-0000016C0000}"/>
    <cellStyle name="Procentowy 3 17 7" xfId="27637" xr:uid="{00000000-0005-0000-0000-0000026C0000}"/>
    <cellStyle name="Procentowy 3 17 7 2" xfId="27638" xr:uid="{00000000-0005-0000-0000-0000036C0000}"/>
    <cellStyle name="Procentowy 3 17 70" xfId="27639" xr:uid="{00000000-0005-0000-0000-0000046C0000}"/>
    <cellStyle name="Procentowy 3 17 71" xfId="27640" xr:uid="{00000000-0005-0000-0000-0000056C0000}"/>
    <cellStyle name="Procentowy 3 17 72" xfId="27641" xr:uid="{00000000-0005-0000-0000-0000066C0000}"/>
    <cellStyle name="Procentowy 3 17 73" xfId="27642" xr:uid="{00000000-0005-0000-0000-0000076C0000}"/>
    <cellStyle name="Procentowy 3 17 74" xfId="27643" xr:uid="{00000000-0005-0000-0000-0000086C0000}"/>
    <cellStyle name="Procentowy 3 17 8" xfId="27644" xr:uid="{00000000-0005-0000-0000-0000096C0000}"/>
    <cellStyle name="Procentowy 3 17 8 2" xfId="27645" xr:uid="{00000000-0005-0000-0000-00000A6C0000}"/>
    <cellStyle name="Procentowy 3 17 9" xfId="27646" xr:uid="{00000000-0005-0000-0000-00000B6C0000}"/>
    <cellStyle name="Procentowy 3 17 9 2" xfId="27647" xr:uid="{00000000-0005-0000-0000-00000C6C0000}"/>
    <cellStyle name="Procentowy 3 18" xfId="27648" xr:uid="{00000000-0005-0000-0000-00000D6C0000}"/>
    <cellStyle name="Procentowy 3 18 10" xfId="27649" xr:uid="{00000000-0005-0000-0000-00000E6C0000}"/>
    <cellStyle name="Procentowy 3 18 10 2" xfId="27650" xr:uid="{00000000-0005-0000-0000-00000F6C0000}"/>
    <cellStyle name="Procentowy 3 18 11" xfId="27651" xr:uid="{00000000-0005-0000-0000-0000106C0000}"/>
    <cellStyle name="Procentowy 3 18 11 2" xfId="27652" xr:uid="{00000000-0005-0000-0000-0000116C0000}"/>
    <cellStyle name="Procentowy 3 18 12" xfId="27653" xr:uid="{00000000-0005-0000-0000-0000126C0000}"/>
    <cellStyle name="Procentowy 3 18 12 2" xfId="27654" xr:uid="{00000000-0005-0000-0000-0000136C0000}"/>
    <cellStyle name="Procentowy 3 18 13" xfId="27655" xr:uid="{00000000-0005-0000-0000-0000146C0000}"/>
    <cellStyle name="Procentowy 3 18 13 2" xfId="27656" xr:uid="{00000000-0005-0000-0000-0000156C0000}"/>
    <cellStyle name="Procentowy 3 18 14" xfId="27657" xr:uid="{00000000-0005-0000-0000-0000166C0000}"/>
    <cellStyle name="Procentowy 3 18 14 2" xfId="27658" xr:uid="{00000000-0005-0000-0000-0000176C0000}"/>
    <cellStyle name="Procentowy 3 18 15" xfId="27659" xr:uid="{00000000-0005-0000-0000-0000186C0000}"/>
    <cellStyle name="Procentowy 3 18 15 2" xfId="27660" xr:uid="{00000000-0005-0000-0000-0000196C0000}"/>
    <cellStyle name="Procentowy 3 18 16" xfId="27661" xr:uid="{00000000-0005-0000-0000-00001A6C0000}"/>
    <cellStyle name="Procentowy 3 18 16 2" xfId="27662" xr:uid="{00000000-0005-0000-0000-00001B6C0000}"/>
    <cellStyle name="Procentowy 3 18 17" xfId="27663" xr:uid="{00000000-0005-0000-0000-00001C6C0000}"/>
    <cellStyle name="Procentowy 3 18 17 2" xfId="27664" xr:uid="{00000000-0005-0000-0000-00001D6C0000}"/>
    <cellStyle name="Procentowy 3 18 18" xfId="27665" xr:uid="{00000000-0005-0000-0000-00001E6C0000}"/>
    <cellStyle name="Procentowy 3 18 18 2" xfId="27666" xr:uid="{00000000-0005-0000-0000-00001F6C0000}"/>
    <cellStyle name="Procentowy 3 18 19" xfId="27667" xr:uid="{00000000-0005-0000-0000-0000206C0000}"/>
    <cellStyle name="Procentowy 3 18 19 2" xfId="27668" xr:uid="{00000000-0005-0000-0000-0000216C0000}"/>
    <cellStyle name="Procentowy 3 18 2" xfId="27669" xr:uid="{00000000-0005-0000-0000-0000226C0000}"/>
    <cellStyle name="Procentowy 3 18 2 2" xfId="27670" xr:uid="{00000000-0005-0000-0000-0000236C0000}"/>
    <cellStyle name="Procentowy 3 18 2 3" xfId="27671" xr:uid="{00000000-0005-0000-0000-0000246C0000}"/>
    <cellStyle name="Procentowy 3 18 2 4" xfId="27672" xr:uid="{00000000-0005-0000-0000-0000256C0000}"/>
    <cellStyle name="Procentowy 3 18 2 5" xfId="27673" xr:uid="{00000000-0005-0000-0000-0000266C0000}"/>
    <cellStyle name="Procentowy 3 18 2 6" xfId="27674" xr:uid="{00000000-0005-0000-0000-0000276C0000}"/>
    <cellStyle name="Procentowy 3 18 2 7" xfId="27675" xr:uid="{00000000-0005-0000-0000-0000286C0000}"/>
    <cellStyle name="Procentowy 3 18 20" xfId="27676" xr:uid="{00000000-0005-0000-0000-0000296C0000}"/>
    <cellStyle name="Procentowy 3 18 20 2" xfId="27677" xr:uid="{00000000-0005-0000-0000-00002A6C0000}"/>
    <cellStyle name="Procentowy 3 18 21" xfId="27678" xr:uid="{00000000-0005-0000-0000-00002B6C0000}"/>
    <cellStyle name="Procentowy 3 18 21 2" xfId="27679" xr:uid="{00000000-0005-0000-0000-00002C6C0000}"/>
    <cellStyle name="Procentowy 3 18 22" xfId="27680" xr:uid="{00000000-0005-0000-0000-00002D6C0000}"/>
    <cellStyle name="Procentowy 3 18 22 2" xfId="27681" xr:uid="{00000000-0005-0000-0000-00002E6C0000}"/>
    <cellStyle name="Procentowy 3 18 23" xfId="27682" xr:uid="{00000000-0005-0000-0000-00002F6C0000}"/>
    <cellStyle name="Procentowy 3 18 23 2" xfId="27683" xr:uid="{00000000-0005-0000-0000-0000306C0000}"/>
    <cellStyle name="Procentowy 3 18 24" xfId="27684" xr:uid="{00000000-0005-0000-0000-0000316C0000}"/>
    <cellStyle name="Procentowy 3 18 24 2" xfId="27685" xr:uid="{00000000-0005-0000-0000-0000326C0000}"/>
    <cellStyle name="Procentowy 3 18 25" xfId="27686" xr:uid="{00000000-0005-0000-0000-0000336C0000}"/>
    <cellStyle name="Procentowy 3 18 25 2" xfId="27687" xr:uid="{00000000-0005-0000-0000-0000346C0000}"/>
    <cellStyle name="Procentowy 3 18 26" xfId="27688" xr:uid="{00000000-0005-0000-0000-0000356C0000}"/>
    <cellStyle name="Procentowy 3 18 26 2" xfId="27689" xr:uid="{00000000-0005-0000-0000-0000366C0000}"/>
    <cellStyle name="Procentowy 3 18 27" xfId="27690" xr:uid="{00000000-0005-0000-0000-0000376C0000}"/>
    <cellStyle name="Procentowy 3 18 27 2" xfId="27691" xr:uid="{00000000-0005-0000-0000-0000386C0000}"/>
    <cellStyle name="Procentowy 3 18 28" xfId="27692" xr:uid="{00000000-0005-0000-0000-0000396C0000}"/>
    <cellStyle name="Procentowy 3 18 28 2" xfId="27693" xr:uid="{00000000-0005-0000-0000-00003A6C0000}"/>
    <cellStyle name="Procentowy 3 18 29" xfId="27694" xr:uid="{00000000-0005-0000-0000-00003B6C0000}"/>
    <cellStyle name="Procentowy 3 18 29 2" xfId="27695" xr:uid="{00000000-0005-0000-0000-00003C6C0000}"/>
    <cellStyle name="Procentowy 3 18 3" xfId="27696" xr:uid="{00000000-0005-0000-0000-00003D6C0000}"/>
    <cellStyle name="Procentowy 3 18 3 2" xfId="27697" xr:uid="{00000000-0005-0000-0000-00003E6C0000}"/>
    <cellStyle name="Procentowy 3 18 3 3" xfId="27698" xr:uid="{00000000-0005-0000-0000-00003F6C0000}"/>
    <cellStyle name="Procentowy 3 18 3 4" xfId="27699" xr:uid="{00000000-0005-0000-0000-0000406C0000}"/>
    <cellStyle name="Procentowy 3 18 3 5" xfId="27700" xr:uid="{00000000-0005-0000-0000-0000416C0000}"/>
    <cellStyle name="Procentowy 3 18 3 6" xfId="27701" xr:uid="{00000000-0005-0000-0000-0000426C0000}"/>
    <cellStyle name="Procentowy 3 18 3 7" xfId="27702" xr:uid="{00000000-0005-0000-0000-0000436C0000}"/>
    <cellStyle name="Procentowy 3 18 30" xfId="27703" xr:uid="{00000000-0005-0000-0000-0000446C0000}"/>
    <cellStyle name="Procentowy 3 18 30 2" xfId="27704" xr:uid="{00000000-0005-0000-0000-0000456C0000}"/>
    <cellStyle name="Procentowy 3 18 31" xfId="27705" xr:uid="{00000000-0005-0000-0000-0000466C0000}"/>
    <cellStyle name="Procentowy 3 18 31 2" xfId="27706" xr:uid="{00000000-0005-0000-0000-0000476C0000}"/>
    <cellStyle name="Procentowy 3 18 32" xfId="27707" xr:uid="{00000000-0005-0000-0000-0000486C0000}"/>
    <cellStyle name="Procentowy 3 18 33" xfId="27708" xr:uid="{00000000-0005-0000-0000-0000496C0000}"/>
    <cellStyle name="Procentowy 3 18 34" xfId="27709" xr:uid="{00000000-0005-0000-0000-00004A6C0000}"/>
    <cellStyle name="Procentowy 3 18 35" xfId="27710" xr:uid="{00000000-0005-0000-0000-00004B6C0000}"/>
    <cellStyle name="Procentowy 3 18 36" xfId="27711" xr:uid="{00000000-0005-0000-0000-00004C6C0000}"/>
    <cellStyle name="Procentowy 3 18 37" xfId="27712" xr:uid="{00000000-0005-0000-0000-00004D6C0000}"/>
    <cellStyle name="Procentowy 3 18 38" xfId="27713" xr:uid="{00000000-0005-0000-0000-00004E6C0000}"/>
    <cellStyle name="Procentowy 3 18 39" xfId="27714" xr:uid="{00000000-0005-0000-0000-00004F6C0000}"/>
    <cellStyle name="Procentowy 3 18 4" xfId="27715" xr:uid="{00000000-0005-0000-0000-0000506C0000}"/>
    <cellStyle name="Procentowy 3 18 4 2" xfId="27716" xr:uid="{00000000-0005-0000-0000-0000516C0000}"/>
    <cellStyle name="Procentowy 3 18 4 3" xfId="27717" xr:uid="{00000000-0005-0000-0000-0000526C0000}"/>
    <cellStyle name="Procentowy 3 18 4 4" xfId="27718" xr:uid="{00000000-0005-0000-0000-0000536C0000}"/>
    <cellStyle name="Procentowy 3 18 4 5" xfId="27719" xr:uid="{00000000-0005-0000-0000-0000546C0000}"/>
    <cellStyle name="Procentowy 3 18 4 6" xfId="27720" xr:uid="{00000000-0005-0000-0000-0000556C0000}"/>
    <cellStyle name="Procentowy 3 18 4 7" xfId="27721" xr:uid="{00000000-0005-0000-0000-0000566C0000}"/>
    <cellStyle name="Procentowy 3 18 40" xfId="27722" xr:uid="{00000000-0005-0000-0000-0000576C0000}"/>
    <cellStyle name="Procentowy 3 18 41" xfId="27723" xr:uid="{00000000-0005-0000-0000-0000586C0000}"/>
    <cellStyle name="Procentowy 3 18 42" xfId="27724" xr:uid="{00000000-0005-0000-0000-0000596C0000}"/>
    <cellStyle name="Procentowy 3 18 43" xfId="27725" xr:uid="{00000000-0005-0000-0000-00005A6C0000}"/>
    <cellStyle name="Procentowy 3 18 44" xfId="27726" xr:uid="{00000000-0005-0000-0000-00005B6C0000}"/>
    <cellStyle name="Procentowy 3 18 45" xfId="27727" xr:uid="{00000000-0005-0000-0000-00005C6C0000}"/>
    <cellStyle name="Procentowy 3 18 46" xfId="27728" xr:uid="{00000000-0005-0000-0000-00005D6C0000}"/>
    <cellStyle name="Procentowy 3 18 47" xfId="27729" xr:uid="{00000000-0005-0000-0000-00005E6C0000}"/>
    <cellStyle name="Procentowy 3 18 48" xfId="27730" xr:uid="{00000000-0005-0000-0000-00005F6C0000}"/>
    <cellStyle name="Procentowy 3 18 49" xfId="27731" xr:uid="{00000000-0005-0000-0000-0000606C0000}"/>
    <cellStyle name="Procentowy 3 18 5" xfId="27732" xr:uid="{00000000-0005-0000-0000-0000616C0000}"/>
    <cellStyle name="Procentowy 3 18 5 2" xfId="27733" xr:uid="{00000000-0005-0000-0000-0000626C0000}"/>
    <cellStyle name="Procentowy 3 18 5 3" xfId="27734" xr:uid="{00000000-0005-0000-0000-0000636C0000}"/>
    <cellStyle name="Procentowy 3 18 5 4" xfId="27735" xr:uid="{00000000-0005-0000-0000-0000646C0000}"/>
    <cellStyle name="Procentowy 3 18 5 5" xfId="27736" xr:uid="{00000000-0005-0000-0000-0000656C0000}"/>
    <cellStyle name="Procentowy 3 18 5 6" xfId="27737" xr:uid="{00000000-0005-0000-0000-0000666C0000}"/>
    <cellStyle name="Procentowy 3 18 5 7" xfId="27738" xr:uid="{00000000-0005-0000-0000-0000676C0000}"/>
    <cellStyle name="Procentowy 3 18 50" xfId="27739" xr:uid="{00000000-0005-0000-0000-0000686C0000}"/>
    <cellStyle name="Procentowy 3 18 51" xfId="27740" xr:uid="{00000000-0005-0000-0000-0000696C0000}"/>
    <cellStyle name="Procentowy 3 18 52" xfId="27741" xr:uid="{00000000-0005-0000-0000-00006A6C0000}"/>
    <cellStyle name="Procentowy 3 18 53" xfId="27742" xr:uid="{00000000-0005-0000-0000-00006B6C0000}"/>
    <cellStyle name="Procentowy 3 18 54" xfId="27743" xr:uid="{00000000-0005-0000-0000-00006C6C0000}"/>
    <cellStyle name="Procentowy 3 18 55" xfId="27744" xr:uid="{00000000-0005-0000-0000-00006D6C0000}"/>
    <cellStyle name="Procentowy 3 18 56" xfId="27745" xr:uid="{00000000-0005-0000-0000-00006E6C0000}"/>
    <cellStyle name="Procentowy 3 18 57" xfId="27746" xr:uid="{00000000-0005-0000-0000-00006F6C0000}"/>
    <cellStyle name="Procentowy 3 18 58" xfId="27747" xr:uid="{00000000-0005-0000-0000-0000706C0000}"/>
    <cellStyle name="Procentowy 3 18 59" xfId="27748" xr:uid="{00000000-0005-0000-0000-0000716C0000}"/>
    <cellStyle name="Procentowy 3 18 6" xfId="27749" xr:uid="{00000000-0005-0000-0000-0000726C0000}"/>
    <cellStyle name="Procentowy 3 18 6 2" xfId="27750" xr:uid="{00000000-0005-0000-0000-0000736C0000}"/>
    <cellStyle name="Procentowy 3 18 60" xfId="27751" xr:uid="{00000000-0005-0000-0000-0000746C0000}"/>
    <cellStyle name="Procentowy 3 18 61" xfId="27752" xr:uid="{00000000-0005-0000-0000-0000756C0000}"/>
    <cellStyle name="Procentowy 3 18 62" xfId="27753" xr:uid="{00000000-0005-0000-0000-0000766C0000}"/>
    <cellStyle name="Procentowy 3 18 63" xfId="27754" xr:uid="{00000000-0005-0000-0000-0000776C0000}"/>
    <cellStyle name="Procentowy 3 18 64" xfId="27755" xr:uid="{00000000-0005-0000-0000-0000786C0000}"/>
    <cellStyle name="Procentowy 3 18 65" xfId="27756" xr:uid="{00000000-0005-0000-0000-0000796C0000}"/>
    <cellStyle name="Procentowy 3 18 66" xfId="27757" xr:uid="{00000000-0005-0000-0000-00007A6C0000}"/>
    <cellStyle name="Procentowy 3 18 67" xfId="27758" xr:uid="{00000000-0005-0000-0000-00007B6C0000}"/>
    <cellStyle name="Procentowy 3 18 68" xfId="27759" xr:uid="{00000000-0005-0000-0000-00007C6C0000}"/>
    <cellStyle name="Procentowy 3 18 69" xfId="27760" xr:uid="{00000000-0005-0000-0000-00007D6C0000}"/>
    <cellStyle name="Procentowy 3 18 7" xfId="27761" xr:uid="{00000000-0005-0000-0000-00007E6C0000}"/>
    <cellStyle name="Procentowy 3 18 7 2" xfId="27762" xr:uid="{00000000-0005-0000-0000-00007F6C0000}"/>
    <cellStyle name="Procentowy 3 18 70" xfId="27763" xr:uid="{00000000-0005-0000-0000-0000806C0000}"/>
    <cellStyle name="Procentowy 3 18 71" xfId="27764" xr:uid="{00000000-0005-0000-0000-0000816C0000}"/>
    <cellStyle name="Procentowy 3 18 72" xfId="27765" xr:uid="{00000000-0005-0000-0000-0000826C0000}"/>
    <cellStyle name="Procentowy 3 18 73" xfId="27766" xr:uid="{00000000-0005-0000-0000-0000836C0000}"/>
    <cellStyle name="Procentowy 3 18 74" xfId="27767" xr:uid="{00000000-0005-0000-0000-0000846C0000}"/>
    <cellStyle name="Procentowy 3 18 8" xfId="27768" xr:uid="{00000000-0005-0000-0000-0000856C0000}"/>
    <cellStyle name="Procentowy 3 18 8 2" xfId="27769" xr:uid="{00000000-0005-0000-0000-0000866C0000}"/>
    <cellStyle name="Procentowy 3 18 9" xfId="27770" xr:uid="{00000000-0005-0000-0000-0000876C0000}"/>
    <cellStyle name="Procentowy 3 18 9 2" xfId="27771" xr:uid="{00000000-0005-0000-0000-0000886C0000}"/>
    <cellStyle name="Procentowy 3 19" xfId="27772" xr:uid="{00000000-0005-0000-0000-0000896C0000}"/>
    <cellStyle name="Procentowy 3 19 10" xfId="27773" xr:uid="{00000000-0005-0000-0000-00008A6C0000}"/>
    <cellStyle name="Procentowy 3 19 10 2" xfId="27774" xr:uid="{00000000-0005-0000-0000-00008B6C0000}"/>
    <cellStyle name="Procentowy 3 19 11" xfId="27775" xr:uid="{00000000-0005-0000-0000-00008C6C0000}"/>
    <cellStyle name="Procentowy 3 19 11 2" xfId="27776" xr:uid="{00000000-0005-0000-0000-00008D6C0000}"/>
    <cellStyle name="Procentowy 3 19 12" xfId="27777" xr:uid="{00000000-0005-0000-0000-00008E6C0000}"/>
    <cellStyle name="Procentowy 3 19 12 2" xfId="27778" xr:uid="{00000000-0005-0000-0000-00008F6C0000}"/>
    <cellStyle name="Procentowy 3 19 13" xfId="27779" xr:uid="{00000000-0005-0000-0000-0000906C0000}"/>
    <cellStyle name="Procentowy 3 19 13 2" xfId="27780" xr:uid="{00000000-0005-0000-0000-0000916C0000}"/>
    <cellStyle name="Procentowy 3 19 14" xfId="27781" xr:uid="{00000000-0005-0000-0000-0000926C0000}"/>
    <cellStyle name="Procentowy 3 19 14 2" xfId="27782" xr:uid="{00000000-0005-0000-0000-0000936C0000}"/>
    <cellStyle name="Procentowy 3 19 15" xfId="27783" xr:uid="{00000000-0005-0000-0000-0000946C0000}"/>
    <cellStyle name="Procentowy 3 19 15 2" xfId="27784" xr:uid="{00000000-0005-0000-0000-0000956C0000}"/>
    <cellStyle name="Procentowy 3 19 16" xfId="27785" xr:uid="{00000000-0005-0000-0000-0000966C0000}"/>
    <cellStyle name="Procentowy 3 19 16 2" xfId="27786" xr:uid="{00000000-0005-0000-0000-0000976C0000}"/>
    <cellStyle name="Procentowy 3 19 17" xfId="27787" xr:uid="{00000000-0005-0000-0000-0000986C0000}"/>
    <cellStyle name="Procentowy 3 19 17 2" xfId="27788" xr:uid="{00000000-0005-0000-0000-0000996C0000}"/>
    <cellStyle name="Procentowy 3 19 18" xfId="27789" xr:uid="{00000000-0005-0000-0000-00009A6C0000}"/>
    <cellStyle name="Procentowy 3 19 18 2" xfId="27790" xr:uid="{00000000-0005-0000-0000-00009B6C0000}"/>
    <cellStyle name="Procentowy 3 19 19" xfId="27791" xr:uid="{00000000-0005-0000-0000-00009C6C0000}"/>
    <cellStyle name="Procentowy 3 19 19 2" xfId="27792" xr:uid="{00000000-0005-0000-0000-00009D6C0000}"/>
    <cellStyle name="Procentowy 3 19 2" xfId="27793" xr:uid="{00000000-0005-0000-0000-00009E6C0000}"/>
    <cellStyle name="Procentowy 3 19 2 2" xfId="27794" xr:uid="{00000000-0005-0000-0000-00009F6C0000}"/>
    <cellStyle name="Procentowy 3 19 2 3" xfId="27795" xr:uid="{00000000-0005-0000-0000-0000A06C0000}"/>
    <cellStyle name="Procentowy 3 19 2 4" xfId="27796" xr:uid="{00000000-0005-0000-0000-0000A16C0000}"/>
    <cellStyle name="Procentowy 3 19 2 5" xfId="27797" xr:uid="{00000000-0005-0000-0000-0000A26C0000}"/>
    <cellStyle name="Procentowy 3 19 2 6" xfId="27798" xr:uid="{00000000-0005-0000-0000-0000A36C0000}"/>
    <cellStyle name="Procentowy 3 19 2 7" xfId="27799" xr:uid="{00000000-0005-0000-0000-0000A46C0000}"/>
    <cellStyle name="Procentowy 3 19 20" xfId="27800" xr:uid="{00000000-0005-0000-0000-0000A56C0000}"/>
    <cellStyle name="Procentowy 3 19 20 2" xfId="27801" xr:uid="{00000000-0005-0000-0000-0000A66C0000}"/>
    <cellStyle name="Procentowy 3 19 21" xfId="27802" xr:uid="{00000000-0005-0000-0000-0000A76C0000}"/>
    <cellStyle name="Procentowy 3 19 21 2" xfId="27803" xr:uid="{00000000-0005-0000-0000-0000A86C0000}"/>
    <cellStyle name="Procentowy 3 19 22" xfId="27804" xr:uid="{00000000-0005-0000-0000-0000A96C0000}"/>
    <cellStyle name="Procentowy 3 19 22 2" xfId="27805" xr:uid="{00000000-0005-0000-0000-0000AA6C0000}"/>
    <cellStyle name="Procentowy 3 19 23" xfId="27806" xr:uid="{00000000-0005-0000-0000-0000AB6C0000}"/>
    <cellStyle name="Procentowy 3 19 23 2" xfId="27807" xr:uid="{00000000-0005-0000-0000-0000AC6C0000}"/>
    <cellStyle name="Procentowy 3 19 24" xfId="27808" xr:uid="{00000000-0005-0000-0000-0000AD6C0000}"/>
    <cellStyle name="Procentowy 3 19 24 2" xfId="27809" xr:uid="{00000000-0005-0000-0000-0000AE6C0000}"/>
    <cellStyle name="Procentowy 3 19 25" xfId="27810" xr:uid="{00000000-0005-0000-0000-0000AF6C0000}"/>
    <cellStyle name="Procentowy 3 19 25 2" xfId="27811" xr:uid="{00000000-0005-0000-0000-0000B06C0000}"/>
    <cellStyle name="Procentowy 3 19 26" xfId="27812" xr:uid="{00000000-0005-0000-0000-0000B16C0000}"/>
    <cellStyle name="Procentowy 3 19 26 2" xfId="27813" xr:uid="{00000000-0005-0000-0000-0000B26C0000}"/>
    <cellStyle name="Procentowy 3 19 27" xfId="27814" xr:uid="{00000000-0005-0000-0000-0000B36C0000}"/>
    <cellStyle name="Procentowy 3 19 27 2" xfId="27815" xr:uid="{00000000-0005-0000-0000-0000B46C0000}"/>
    <cellStyle name="Procentowy 3 19 28" xfId="27816" xr:uid="{00000000-0005-0000-0000-0000B56C0000}"/>
    <cellStyle name="Procentowy 3 19 28 2" xfId="27817" xr:uid="{00000000-0005-0000-0000-0000B66C0000}"/>
    <cellStyle name="Procentowy 3 19 29" xfId="27818" xr:uid="{00000000-0005-0000-0000-0000B76C0000}"/>
    <cellStyle name="Procentowy 3 19 29 2" xfId="27819" xr:uid="{00000000-0005-0000-0000-0000B86C0000}"/>
    <cellStyle name="Procentowy 3 19 3" xfId="27820" xr:uid="{00000000-0005-0000-0000-0000B96C0000}"/>
    <cellStyle name="Procentowy 3 19 3 2" xfId="27821" xr:uid="{00000000-0005-0000-0000-0000BA6C0000}"/>
    <cellStyle name="Procentowy 3 19 3 3" xfId="27822" xr:uid="{00000000-0005-0000-0000-0000BB6C0000}"/>
    <cellStyle name="Procentowy 3 19 3 4" xfId="27823" xr:uid="{00000000-0005-0000-0000-0000BC6C0000}"/>
    <cellStyle name="Procentowy 3 19 3 5" xfId="27824" xr:uid="{00000000-0005-0000-0000-0000BD6C0000}"/>
    <cellStyle name="Procentowy 3 19 3 6" xfId="27825" xr:uid="{00000000-0005-0000-0000-0000BE6C0000}"/>
    <cellStyle name="Procentowy 3 19 3 7" xfId="27826" xr:uid="{00000000-0005-0000-0000-0000BF6C0000}"/>
    <cellStyle name="Procentowy 3 19 30" xfId="27827" xr:uid="{00000000-0005-0000-0000-0000C06C0000}"/>
    <cellStyle name="Procentowy 3 19 30 2" xfId="27828" xr:uid="{00000000-0005-0000-0000-0000C16C0000}"/>
    <cellStyle name="Procentowy 3 19 31" xfId="27829" xr:uid="{00000000-0005-0000-0000-0000C26C0000}"/>
    <cellStyle name="Procentowy 3 19 31 2" xfId="27830" xr:uid="{00000000-0005-0000-0000-0000C36C0000}"/>
    <cellStyle name="Procentowy 3 19 32" xfId="27831" xr:uid="{00000000-0005-0000-0000-0000C46C0000}"/>
    <cellStyle name="Procentowy 3 19 33" xfId="27832" xr:uid="{00000000-0005-0000-0000-0000C56C0000}"/>
    <cellStyle name="Procentowy 3 19 34" xfId="27833" xr:uid="{00000000-0005-0000-0000-0000C66C0000}"/>
    <cellStyle name="Procentowy 3 19 35" xfId="27834" xr:uid="{00000000-0005-0000-0000-0000C76C0000}"/>
    <cellStyle name="Procentowy 3 19 36" xfId="27835" xr:uid="{00000000-0005-0000-0000-0000C86C0000}"/>
    <cellStyle name="Procentowy 3 19 37" xfId="27836" xr:uid="{00000000-0005-0000-0000-0000C96C0000}"/>
    <cellStyle name="Procentowy 3 19 38" xfId="27837" xr:uid="{00000000-0005-0000-0000-0000CA6C0000}"/>
    <cellStyle name="Procentowy 3 19 39" xfId="27838" xr:uid="{00000000-0005-0000-0000-0000CB6C0000}"/>
    <cellStyle name="Procentowy 3 19 4" xfId="27839" xr:uid="{00000000-0005-0000-0000-0000CC6C0000}"/>
    <cellStyle name="Procentowy 3 19 4 2" xfId="27840" xr:uid="{00000000-0005-0000-0000-0000CD6C0000}"/>
    <cellStyle name="Procentowy 3 19 4 3" xfId="27841" xr:uid="{00000000-0005-0000-0000-0000CE6C0000}"/>
    <cellStyle name="Procentowy 3 19 4 4" xfId="27842" xr:uid="{00000000-0005-0000-0000-0000CF6C0000}"/>
    <cellStyle name="Procentowy 3 19 4 5" xfId="27843" xr:uid="{00000000-0005-0000-0000-0000D06C0000}"/>
    <cellStyle name="Procentowy 3 19 4 6" xfId="27844" xr:uid="{00000000-0005-0000-0000-0000D16C0000}"/>
    <cellStyle name="Procentowy 3 19 4 7" xfId="27845" xr:uid="{00000000-0005-0000-0000-0000D26C0000}"/>
    <cellStyle name="Procentowy 3 19 40" xfId="27846" xr:uid="{00000000-0005-0000-0000-0000D36C0000}"/>
    <cellStyle name="Procentowy 3 19 41" xfId="27847" xr:uid="{00000000-0005-0000-0000-0000D46C0000}"/>
    <cellStyle name="Procentowy 3 19 42" xfId="27848" xr:uid="{00000000-0005-0000-0000-0000D56C0000}"/>
    <cellStyle name="Procentowy 3 19 43" xfId="27849" xr:uid="{00000000-0005-0000-0000-0000D66C0000}"/>
    <cellStyle name="Procentowy 3 19 44" xfId="27850" xr:uid="{00000000-0005-0000-0000-0000D76C0000}"/>
    <cellStyle name="Procentowy 3 19 45" xfId="27851" xr:uid="{00000000-0005-0000-0000-0000D86C0000}"/>
    <cellStyle name="Procentowy 3 19 46" xfId="27852" xr:uid="{00000000-0005-0000-0000-0000D96C0000}"/>
    <cellStyle name="Procentowy 3 19 47" xfId="27853" xr:uid="{00000000-0005-0000-0000-0000DA6C0000}"/>
    <cellStyle name="Procentowy 3 19 48" xfId="27854" xr:uid="{00000000-0005-0000-0000-0000DB6C0000}"/>
    <cellStyle name="Procentowy 3 19 49" xfId="27855" xr:uid="{00000000-0005-0000-0000-0000DC6C0000}"/>
    <cellStyle name="Procentowy 3 19 5" xfId="27856" xr:uid="{00000000-0005-0000-0000-0000DD6C0000}"/>
    <cellStyle name="Procentowy 3 19 5 2" xfId="27857" xr:uid="{00000000-0005-0000-0000-0000DE6C0000}"/>
    <cellStyle name="Procentowy 3 19 5 3" xfId="27858" xr:uid="{00000000-0005-0000-0000-0000DF6C0000}"/>
    <cellStyle name="Procentowy 3 19 5 4" xfId="27859" xr:uid="{00000000-0005-0000-0000-0000E06C0000}"/>
    <cellStyle name="Procentowy 3 19 5 5" xfId="27860" xr:uid="{00000000-0005-0000-0000-0000E16C0000}"/>
    <cellStyle name="Procentowy 3 19 5 6" xfId="27861" xr:uid="{00000000-0005-0000-0000-0000E26C0000}"/>
    <cellStyle name="Procentowy 3 19 5 7" xfId="27862" xr:uid="{00000000-0005-0000-0000-0000E36C0000}"/>
    <cellStyle name="Procentowy 3 19 50" xfId="27863" xr:uid="{00000000-0005-0000-0000-0000E46C0000}"/>
    <cellStyle name="Procentowy 3 19 51" xfId="27864" xr:uid="{00000000-0005-0000-0000-0000E56C0000}"/>
    <cellStyle name="Procentowy 3 19 52" xfId="27865" xr:uid="{00000000-0005-0000-0000-0000E66C0000}"/>
    <cellStyle name="Procentowy 3 19 53" xfId="27866" xr:uid="{00000000-0005-0000-0000-0000E76C0000}"/>
    <cellStyle name="Procentowy 3 19 54" xfId="27867" xr:uid="{00000000-0005-0000-0000-0000E86C0000}"/>
    <cellStyle name="Procentowy 3 19 55" xfId="27868" xr:uid="{00000000-0005-0000-0000-0000E96C0000}"/>
    <cellStyle name="Procentowy 3 19 56" xfId="27869" xr:uid="{00000000-0005-0000-0000-0000EA6C0000}"/>
    <cellStyle name="Procentowy 3 19 57" xfId="27870" xr:uid="{00000000-0005-0000-0000-0000EB6C0000}"/>
    <cellStyle name="Procentowy 3 19 58" xfId="27871" xr:uid="{00000000-0005-0000-0000-0000EC6C0000}"/>
    <cellStyle name="Procentowy 3 19 59" xfId="27872" xr:uid="{00000000-0005-0000-0000-0000ED6C0000}"/>
    <cellStyle name="Procentowy 3 19 6" xfId="27873" xr:uid="{00000000-0005-0000-0000-0000EE6C0000}"/>
    <cellStyle name="Procentowy 3 19 6 2" xfId="27874" xr:uid="{00000000-0005-0000-0000-0000EF6C0000}"/>
    <cellStyle name="Procentowy 3 19 60" xfId="27875" xr:uid="{00000000-0005-0000-0000-0000F06C0000}"/>
    <cellStyle name="Procentowy 3 19 61" xfId="27876" xr:uid="{00000000-0005-0000-0000-0000F16C0000}"/>
    <cellStyle name="Procentowy 3 19 62" xfId="27877" xr:uid="{00000000-0005-0000-0000-0000F26C0000}"/>
    <cellStyle name="Procentowy 3 19 63" xfId="27878" xr:uid="{00000000-0005-0000-0000-0000F36C0000}"/>
    <cellStyle name="Procentowy 3 19 64" xfId="27879" xr:uid="{00000000-0005-0000-0000-0000F46C0000}"/>
    <cellStyle name="Procentowy 3 19 65" xfId="27880" xr:uid="{00000000-0005-0000-0000-0000F56C0000}"/>
    <cellStyle name="Procentowy 3 19 66" xfId="27881" xr:uid="{00000000-0005-0000-0000-0000F66C0000}"/>
    <cellStyle name="Procentowy 3 19 67" xfId="27882" xr:uid="{00000000-0005-0000-0000-0000F76C0000}"/>
    <cellStyle name="Procentowy 3 19 68" xfId="27883" xr:uid="{00000000-0005-0000-0000-0000F86C0000}"/>
    <cellStyle name="Procentowy 3 19 69" xfId="27884" xr:uid="{00000000-0005-0000-0000-0000F96C0000}"/>
    <cellStyle name="Procentowy 3 19 7" xfId="27885" xr:uid="{00000000-0005-0000-0000-0000FA6C0000}"/>
    <cellStyle name="Procentowy 3 19 7 2" xfId="27886" xr:uid="{00000000-0005-0000-0000-0000FB6C0000}"/>
    <cellStyle name="Procentowy 3 19 70" xfId="27887" xr:uid="{00000000-0005-0000-0000-0000FC6C0000}"/>
    <cellStyle name="Procentowy 3 19 71" xfId="27888" xr:uid="{00000000-0005-0000-0000-0000FD6C0000}"/>
    <cellStyle name="Procentowy 3 19 72" xfId="27889" xr:uid="{00000000-0005-0000-0000-0000FE6C0000}"/>
    <cellStyle name="Procentowy 3 19 73" xfId="27890" xr:uid="{00000000-0005-0000-0000-0000FF6C0000}"/>
    <cellStyle name="Procentowy 3 19 74" xfId="27891" xr:uid="{00000000-0005-0000-0000-0000006D0000}"/>
    <cellStyle name="Procentowy 3 19 8" xfId="27892" xr:uid="{00000000-0005-0000-0000-0000016D0000}"/>
    <cellStyle name="Procentowy 3 19 8 2" xfId="27893" xr:uid="{00000000-0005-0000-0000-0000026D0000}"/>
    <cellStyle name="Procentowy 3 19 9" xfId="27894" xr:uid="{00000000-0005-0000-0000-0000036D0000}"/>
    <cellStyle name="Procentowy 3 19 9 2" xfId="27895" xr:uid="{00000000-0005-0000-0000-0000046D0000}"/>
    <cellStyle name="Procentowy 3 2" xfId="27896" xr:uid="{00000000-0005-0000-0000-0000056D0000}"/>
    <cellStyle name="Procentowy 3 2 10" xfId="27897" xr:uid="{00000000-0005-0000-0000-0000066D0000}"/>
    <cellStyle name="Procentowy 3 2 10 2" xfId="27898" xr:uid="{00000000-0005-0000-0000-0000076D0000}"/>
    <cellStyle name="Procentowy 3 2 11" xfId="27899" xr:uid="{00000000-0005-0000-0000-0000086D0000}"/>
    <cellStyle name="Procentowy 3 2 11 2" xfId="27900" xr:uid="{00000000-0005-0000-0000-0000096D0000}"/>
    <cellStyle name="Procentowy 3 2 12" xfId="27901" xr:uid="{00000000-0005-0000-0000-00000A6D0000}"/>
    <cellStyle name="Procentowy 3 2 12 2" xfId="27902" xr:uid="{00000000-0005-0000-0000-00000B6D0000}"/>
    <cellStyle name="Procentowy 3 2 13" xfId="27903" xr:uid="{00000000-0005-0000-0000-00000C6D0000}"/>
    <cellStyle name="Procentowy 3 2 13 2" xfId="27904" xr:uid="{00000000-0005-0000-0000-00000D6D0000}"/>
    <cellStyle name="Procentowy 3 2 14" xfId="27905" xr:uid="{00000000-0005-0000-0000-00000E6D0000}"/>
    <cellStyle name="Procentowy 3 2 14 2" xfId="27906" xr:uid="{00000000-0005-0000-0000-00000F6D0000}"/>
    <cellStyle name="Procentowy 3 2 15" xfId="27907" xr:uid="{00000000-0005-0000-0000-0000106D0000}"/>
    <cellStyle name="Procentowy 3 2 15 2" xfId="27908" xr:uid="{00000000-0005-0000-0000-0000116D0000}"/>
    <cellStyle name="Procentowy 3 2 16" xfId="27909" xr:uid="{00000000-0005-0000-0000-0000126D0000}"/>
    <cellStyle name="Procentowy 3 2 16 2" xfId="27910" xr:uid="{00000000-0005-0000-0000-0000136D0000}"/>
    <cellStyle name="Procentowy 3 2 17" xfId="27911" xr:uid="{00000000-0005-0000-0000-0000146D0000}"/>
    <cellStyle name="Procentowy 3 2 17 2" xfId="27912" xr:uid="{00000000-0005-0000-0000-0000156D0000}"/>
    <cellStyle name="Procentowy 3 2 18" xfId="27913" xr:uid="{00000000-0005-0000-0000-0000166D0000}"/>
    <cellStyle name="Procentowy 3 2 18 2" xfId="27914" xr:uid="{00000000-0005-0000-0000-0000176D0000}"/>
    <cellStyle name="Procentowy 3 2 19" xfId="27915" xr:uid="{00000000-0005-0000-0000-0000186D0000}"/>
    <cellStyle name="Procentowy 3 2 19 2" xfId="27916" xr:uid="{00000000-0005-0000-0000-0000196D0000}"/>
    <cellStyle name="Procentowy 3 2 2" xfId="27917" xr:uid="{00000000-0005-0000-0000-00001A6D0000}"/>
    <cellStyle name="Procentowy 3 2 2 2" xfId="27918" xr:uid="{00000000-0005-0000-0000-00001B6D0000}"/>
    <cellStyle name="Procentowy 3 2 2 2 2" xfId="27919" xr:uid="{00000000-0005-0000-0000-00001C6D0000}"/>
    <cellStyle name="Procentowy 3 2 2 3" xfId="27920" xr:uid="{00000000-0005-0000-0000-00001D6D0000}"/>
    <cellStyle name="Procentowy 3 2 2 4" xfId="27921" xr:uid="{00000000-0005-0000-0000-00001E6D0000}"/>
    <cellStyle name="Procentowy 3 2 2 5" xfId="27922" xr:uid="{00000000-0005-0000-0000-00001F6D0000}"/>
    <cellStyle name="Procentowy 3 2 2 6" xfId="27923" xr:uid="{00000000-0005-0000-0000-0000206D0000}"/>
    <cellStyle name="Procentowy 3 2 2 7" xfId="27924" xr:uid="{00000000-0005-0000-0000-0000216D0000}"/>
    <cellStyle name="Procentowy 3 2 2 8" xfId="27925" xr:uid="{00000000-0005-0000-0000-0000226D0000}"/>
    <cellStyle name="Procentowy 3 2 20" xfId="27926" xr:uid="{00000000-0005-0000-0000-0000236D0000}"/>
    <cellStyle name="Procentowy 3 2 20 2" xfId="27927" xr:uid="{00000000-0005-0000-0000-0000246D0000}"/>
    <cellStyle name="Procentowy 3 2 21" xfId="27928" xr:uid="{00000000-0005-0000-0000-0000256D0000}"/>
    <cellStyle name="Procentowy 3 2 21 2" xfId="27929" xr:uid="{00000000-0005-0000-0000-0000266D0000}"/>
    <cellStyle name="Procentowy 3 2 22" xfId="27930" xr:uid="{00000000-0005-0000-0000-0000276D0000}"/>
    <cellStyle name="Procentowy 3 2 22 2" xfId="27931" xr:uid="{00000000-0005-0000-0000-0000286D0000}"/>
    <cellStyle name="Procentowy 3 2 23" xfId="27932" xr:uid="{00000000-0005-0000-0000-0000296D0000}"/>
    <cellStyle name="Procentowy 3 2 23 2" xfId="27933" xr:uid="{00000000-0005-0000-0000-00002A6D0000}"/>
    <cellStyle name="Procentowy 3 2 24" xfId="27934" xr:uid="{00000000-0005-0000-0000-00002B6D0000}"/>
    <cellStyle name="Procentowy 3 2 24 2" xfId="27935" xr:uid="{00000000-0005-0000-0000-00002C6D0000}"/>
    <cellStyle name="Procentowy 3 2 25" xfId="27936" xr:uid="{00000000-0005-0000-0000-00002D6D0000}"/>
    <cellStyle name="Procentowy 3 2 25 2" xfId="27937" xr:uid="{00000000-0005-0000-0000-00002E6D0000}"/>
    <cellStyle name="Procentowy 3 2 26" xfId="27938" xr:uid="{00000000-0005-0000-0000-00002F6D0000}"/>
    <cellStyle name="Procentowy 3 2 26 2" xfId="27939" xr:uid="{00000000-0005-0000-0000-0000306D0000}"/>
    <cellStyle name="Procentowy 3 2 27" xfId="27940" xr:uid="{00000000-0005-0000-0000-0000316D0000}"/>
    <cellStyle name="Procentowy 3 2 27 2" xfId="27941" xr:uid="{00000000-0005-0000-0000-0000326D0000}"/>
    <cellStyle name="Procentowy 3 2 28" xfId="27942" xr:uid="{00000000-0005-0000-0000-0000336D0000}"/>
    <cellStyle name="Procentowy 3 2 28 2" xfId="27943" xr:uid="{00000000-0005-0000-0000-0000346D0000}"/>
    <cellStyle name="Procentowy 3 2 29" xfId="27944" xr:uid="{00000000-0005-0000-0000-0000356D0000}"/>
    <cellStyle name="Procentowy 3 2 29 2" xfId="27945" xr:uid="{00000000-0005-0000-0000-0000366D0000}"/>
    <cellStyle name="Procentowy 3 2 3" xfId="27946" xr:uid="{00000000-0005-0000-0000-0000376D0000}"/>
    <cellStyle name="Procentowy 3 2 3 2" xfId="27947" xr:uid="{00000000-0005-0000-0000-0000386D0000}"/>
    <cellStyle name="Procentowy 3 2 3 2 2" xfId="27948" xr:uid="{00000000-0005-0000-0000-0000396D0000}"/>
    <cellStyle name="Procentowy 3 2 3 3" xfId="27949" xr:uid="{00000000-0005-0000-0000-00003A6D0000}"/>
    <cellStyle name="Procentowy 3 2 3 4" xfId="27950" xr:uid="{00000000-0005-0000-0000-00003B6D0000}"/>
    <cellStyle name="Procentowy 3 2 3 5" xfId="27951" xr:uid="{00000000-0005-0000-0000-00003C6D0000}"/>
    <cellStyle name="Procentowy 3 2 3 6" xfId="27952" xr:uid="{00000000-0005-0000-0000-00003D6D0000}"/>
    <cellStyle name="Procentowy 3 2 3 7" xfId="27953" xr:uid="{00000000-0005-0000-0000-00003E6D0000}"/>
    <cellStyle name="Procentowy 3 2 3 8" xfId="27954" xr:uid="{00000000-0005-0000-0000-00003F6D0000}"/>
    <cellStyle name="Procentowy 3 2 30" xfId="27955" xr:uid="{00000000-0005-0000-0000-0000406D0000}"/>
    <cellStyle name="Procentowy 3 2 30 2" xfId="27956" xr:uid="{00000000-0005-0000-0000-0000416D0000}"/>
    <cellStyle name="Procentowy 3 2 31" xfId="27957" xr:uid="{00000000-0005-0000-0000-0000426D0000}"/>
    <cellStyle name="Procentowy 3 2 31 2" xfId="27958" xr:uid="{00000000-0005-0000-0000-0000436D0000}"/>
    <cellStyle name="Procentowy 3 2 32" xfId="27959" xr:uid="{00000000-0005-0000-0000-0000446D0000}"/>
    <cellStyle name="Procentowy 3 2 33" xfId="27960" xr:uid="{00000000-0005-0000-0000-0000456D0000}"/>
    <cellStyle name="Procentowy 3 2 34" xfId="27961" xr:uid="{00000000-0005-0000-0000-0000466D0000}"/>
    <cellStyle name="Procentowy 3 2 35" xfId="27962" xr:uid="{00000000-0005-0000-0000-0000476D0000}"/>
    <cellStyle name="Procentowy 3 2 36" xfId="27963" xr:uid="{00000000-0005-0000-0000-0000486D0000}"/>
    <cellStyle name="Procentowy 3 2 37" xfId="27964" xr:uid="{00000000-0005-0000-0000-0000496D0000}"/>
    <cellStyle name="Procentowy 3 2 38" xfId="27965" xr:uid="{00000000-0005-0000-0000-00004A6D0000}"/>
    <cellStyle name="Procentowy 3 2 39" xfId="27966" xr:uid="{00000000-0005-0000-0000-00004B6D0000}"/>
    <cellStyle name="Procentowy 3 2 4" xfId="27967" xr:uid="{00000000-0005-0000-0000-00004C6D0000}"/>
    <cellStyle name="Procentowy 3 2 4 2" xfId="27968" xr:uid="{00000000-0005-0000-0000-00004D6D0000}"/>
    <cellStyle name="Procentowy 3 2 4 2 2" xfId="27969" xr:uid="{00000000-0005-0000-0000-00004E6D0000}"/>
    <cellStyle name="Procentowy 3 2 4 3" xfId="27970" xr:uid="{00000000-0005-0000-0000-00004F6D0000}"/>
    <cellStyle name="Procentowy 3 2 4 4" xfId="27971" xr:uid="{00000000-0005-0000-0000-0000506D0000}"/>
    <cellStyle name="Procentowy 3 2 4 5" xfId="27972" xr:uid="{00000000-0005-0000-0000-0000516D0000}"/>
    <cellStyle name="Procentowy 3 2 4 6" xfId="27973" xr:uid="{00000000-0005-0000-0000-0000526D0000}"/>
    <cellStyle name="Procentowy 3 2 4 7" xfId="27974" xr:uid="{00000000-0005-0000-0000-0000536D0000}"/>
    <cellStyle name="Procentowy 3 2 4 8" xfId="27975" xr:uid="{00000000-0005-0000-0000-0000546D0000}"/>
    <cellStyle name="Procentowy 3 2 40" xfId="27976" xr:uid="{00000000-0005-0000-0000-0000556D0000}"/>
    <cellStyle name="Procentowy 3 2 41" xfId="27977" xr:uid="{00000000-0005-0000-0000-0000566D0000}"/>
    <cellStyle name="Procentowy 3 2 42" xfId="27978" xr:uid="{00000000-0005-0000-0000-0000576D0000}"/>
    <cellStyle name="Procentowy 3 2 43" xfId="27979" xr:uid="{00000000-0005-0000-0000-0000586D0000}"/>
    <cellStyle name="Procentowy 3 2 44" xfId="27980" xr:uid="{00000000-0005-0000-0000-0000596D0000}"/>
    <cellStyle name="Procentowy 3 2 45" xfId="27981" xr:uid="{00000000-0005-0000-0000-00005A6D0000}"/>
    <cellStyle name="Procentowy 3 2 46" xfId="27982" xr:uid="{00000000-0005-0000-0000-00005B6D0000}"/>
    <cellStyle name="Procentowy 3 2 47" xfId="27983" xr:uid="{00000000-0005-0000-0000-00005C6D0000}"/>
    <cellStyle name="Procentowy 3 2 48" xfId="27984" xr:uid="{00000000-0005-0000-0000-00005D6D0000}"/>
    <cellStyle name="Procentowy 3 2 49" xfId="27985" xr:uid="{00000000-0005-0000-0000-00005E6D0000}"/>
    <cellStyle name="Procentowy 3 2 5" xfId="27986" xr:uid="{00000000-0005-0000-0000-00005F6D0000}"/>
    <cellStyle name="Procentowy 3 2 5 2" xfId="27987" xr:uid="{00000000-0005-0000-0000-0000606D0000}"/>
    <cellStyle name="Procentowy 3 2 5 2 2" xfId="27988" xr:uid="{00000000-0005-0000-0000-0000616D0000}"/>
    <cellStyle name="Procentowy 3 2 5 3" xfId="27989" xr:uid="{00000000-0005-0000-0000-0000626D0000}"/>
    <cellStyle name="Procentowy 3 2 5 4" xfId="27990" xr:uid="{00000000-0005-0000-0000-0000636D0000}"/>
    <cellStyle name="Procentowy 3 2 5 5" xfId="27991" xr:uid="{00000000-0005-0000-0000-0000646D0000}"/>
    <cellStyle name="Procentowy 3 2 5 6" xfId="27992" xr:uid="{00000000-0005-0000-0000-0000656D0000}"/>
    <cellStyle name="Procentowy 3 2 5 7" xfId="27993" xr:uid="{00000000-0005-0000-0000-0000666D0000}"/>
    <cellStyle name="Procentowy 3 2 5 8" xfId="27994" xr:uid="{00000000-0005-0000-0000-0000676D0000}"/>
    <cellStyle name="Procentowy 3 2 50" xfId="27995" xr:uid="{00000000-0005-0000-0000-0000686D0000}"/>
    <cellStyle name="Procentowy 3 2 51" xfId="27996" xr:uid="{00000000-0005-0000-0000-0000696D0000}"/>
    <cellStyle name="Procentowy 3 2 52" xfId="27997" xr:uid="{00000000-0005-0000-0000-00006A6D0000}"/>
    <cellStyle name="Procentowy 3 2 53" xfId="27998" xr:uid="{00000000-0005-0000-0000-00006B6D0000}"/>
    <cellStyle name="Procentowy 3 2 54" xfId="27999" xr:uid="{00000000-0005-0000-0000-00006C6D0000}"/>
    <cellStyle name="Procentowy 3 2 55" xfId="28000" xr:uid="{00000000-0005-0000-0000-00006D6D0000}"/>
    <cellStyle name="Procentowy 3 2 56" xfId="28001" xr:uid="{00000000-0005-0000-0000-00006E6D0000}"/>
    <cellStyle name="Procentowy 3 2 57" xfId="28002" xr:uid="{00000000-0005-0000-0000-00006F6D0000}"/>
    <cellStyle name="Procentowy 3 2 58" xfId="28003" xr:uid="{00000000-0005-0000-0000-0000706D0000}"/>
    <cellStyle name="Procentowy 3 2 59" xfId="28004" xr:uid="{00000000-0005-0000-0000-0000716D0000}"/>
    <cellStyle name="Procentowy 3 2 6" xfId="28005" xr:uid="{00000000-0005-0000-0000-0000726D0000}"/>
    <cellStyle name="Procentowy 3 2 6 2" xfId="28006" xr:uid="{00000000-0005-0000-0000-0000736D0000}"/>
    <cellStyle name="Procentowy 3 2 6 3" xfId="28007" xr:uid="{00000000-0005-0000-0000-0000746D0000}"/>
    <cellStyle name="Procentowy 3 2 60" xfId="28008" xr:uid="{00000000-0005-0000-0000-0000756D0000}"/>
    <cellStyle name="Procentowy 3 2 61" xfId="28009" xr:uid="{00000000-0005-0000-0000-0000766D0000}"/>
    <cellStyle name="Procentowy 3 2 62" xfId="28010" xr:uid="{00000000-0005-0000-0000-0000776D0000}"/>
    <cellStyle name="Procentowy 3 2 63" xfId="28011" xr:uid="{00000000-0005-0000-0000-0000786D0000}"/>
    <cellStyle name="Procentowy 3 2 64" xfId="28012" xr:uid="{00000000-0005-0000-0000-0000796D0000}"/>
    <cellStyle name="Procentowy 3 2 65" xfId="28013" xr:uid="{00000000-0005-0000-0000-00007A6D0000}"/>
    <cellStyle name="Procentowy 3 2 66" xfId="28014" xr:uid="{00000000-0005-0000-0000-00007B6D0000}"/>
    <cellStyle name="Procentowy 3 2 67" xfId="28015" xr:uid="{00000000-0005-0000-0000-00007C6D0000}"/>
    <cellStyle name="Procentowy 3 2 68" xfId="28016" xr:uid="{00000000-0005-0000-0000-00007D6D0000}"/>
    <cellStyle name="Procentowy 3 2 69" xfId="28017" xr:uid="{00000000-0005-0000-0000-00007E6D0000}"/>
    <cellStyle name="Procentowy 3 2 7" xfId="28018" xr:uid="{00000000-0005-0000-0000-00007F6D0000}"/>
    <cellStyle name="Procentowy 3 2 7 2" xfId="28019" xr:uid="{00000000-0005-0000-0000-0000806D0000}"/>
    <cellStyle name="Procentowy 3 2 70" xfId="28020" xr:uid="{00000000-0005-0000-0000-0000816D0000}"/>
    <cellStyle name="Procentowy 3 2 71" xfId="28021" xr:uid="{00000000-0005-0000-0000-0000826D0000}"/>
    <cellStyle name="Procentowy 3 2 72" xfId="28022" xr:uid="{00000000-0005-0000-0000-0000836D0000}"/>
    <cellStyle name="Procentowy 3 2 73" xfId="28023" xr:uid="{00000000-0005-0000-0000-0000846D0000}"/>
    <cellStyle name="Procentowy 3 2 74" xfId="28024" xr:uid="{00000000-0005-0000-0000-0000856D0000}"/>
    <cellStyle name="Procentowy 3 2 75" xfId="28025" xr:uid="{00000000-0005-0000-0000-0000866D0000}"/>
    <cellStyle name="Procentowy 3 2 8" xfId="28026" xr:uid="{00000000-0005-0000-0000-0000876D0000}"/>
    <cellStyle name="Procentowy 3 2 8 2" xfId="28027" xr:uid="{00000000-0005-0000-0000-0000886D0000}"/>
    <cellStyle name="Procentowy 3 2 9" xfId="28028" xr:uid="{00000000-0005-0000-0000-0000896D0000}"/>
    <cellStyle name="Procentowy 3 2 9 2" xfId="28029" xr:uid="{00000000-0005-0000-0000-00008A6D0000}"/>
    <cellStyle name="Procentowy 3 20" xfId="28030" xr:uid="{00000000-0005-0000-0000-00008B6D0000}"/>
    <cellStyle name="Procentowy 3 20 10" xfId="28031" xr:uid="{00000000-0005-0000-0000-00008C6D0000}"/>
    <cellStyle name="Procentowy 3 20 10 2" xfId="28032" xr:uid="{00000000-0005-0000-0000-00008D6D0000}"/>
    <cellStyle name="Procentowy 3 20 11" xfId="28033" xr:uid="{00000000-0005-0000-0000-00008E6D0000}"/>
    <cellStyle name="Procentowy 3 20 11 2" xfId="28034" xr:uid="{00000000-0005-0000-0000-00008F6D0000}"/>
    <cellStyle name="Procentowy 3 20 12" xfId="28035" xr:uid="{00000000-0005-0000-0000-0000906D0000}"/>
    <cellStyle name="Procentowy 3 20 12 2" xfId="28036" xr:uid="{00000000-0005-0000-0000-0000916D0000}"/>
    <cellStyle name="Procentowy 3 20 13" xfId="28037" xr:uid="{00000000-0005-0000-0000-0000926D0000}"/>
    <cellStyle name="Procentowy 3 20 13 2" xfId="28038" xr:uid="{00000000-0005-0000-0000-0000936D0000}"/>
    <cellStyle name="Procentowy 3 20 14" xfId="28039" xr:uid="{00000000-0005-0000-0000-0000946D0000}"/>
    <cellStyle name="Procentowy 3 20 14 2" xfId="28040" xr:uid="{00000000-0005-0000-0000-0000956D0000}"/>
    <cellStyle name="Procentowy 3 20 15" xfId="28041" xr:uid="{00000000-0005-0000-0000-0000966D0000}"/>
    <cellStyle name="Procentowy 3 20 15 2" xfId="28042" xr:uid="{00000000-0005-0000-0000-0000976D0000}"/>
    <cellStyle name="Procentowy 3 20 16" xfId="28043" xr:uid="{00000000-0005-0000-0000-0000986D0000}"/>
    <cellStyle name="Procentowy 3 20 16 2" xfId="28044" xr:uid="{00000000-0005-0000-0000-0000996D0000}"/>
    <cellStyle name="Procentowy 3 20 17" xfId="28045" xr:uid="{00000000-0005-0000-0000-00009A6D0000}"/>
    <cellStyle name="Procentowy 3 20 17 2" xfId="28046" xr:uid="{00000000-0005-0000-0000-00009B6D0000}"/>
    <cellStyle name="Procentowy 3 20 18" xfId="28047" xr:uid="{00000000-0005-0000-0000-00009C6D0000}"/>
    <cellStyle name="Procentowy 3 20 18 2" xfId="28048" xr:uid="{00000000-0005-0000-0000-00009D6D0000}"/>
    <cellStyle name="Procentowy 3 20 19" xfId="28049" xr:uid="{00000000-0005-0000-0000-00009E6D0000}"/>
    <cellStyle name="Procentowy 3 20 19 2" xfId="28050" xr:uid="{00000000-0005-0000-0000-00009F6D0000}"/>
    <cellStyle name="Procentowy 3 20 2" xfId="28051" xr:uid="{00000000-0005-0000-0000-0000A06D0000}"/>
    <cellStyle name="Procentowy 3 20 2 2" xfId="28052" xr:uid="{00000000-0005-0000-0000-0000A16D0000}"/>
    <cellStyle name="Procentowy 3 20 2 3" xfId="28053" xr:uid="{00000000-0005-0000-0000-0000A26D0000}"/>
    <cellStyle name="Procentowy 3 20 2 4" xfId="28054" xr:uid="{00000000-0005-0000-0000-0000A36D0000}"/>
    <cellStyle name="Procentowy 3 20 2 5" xfId="28055" xr:uid="{00000000-0005-0000-0000-0000A46D0000}"/>
    <cellStyle name="Procentowy 3 20 2 6" xfId="28056" xr:uid="{00000000-0005-0000-0000-0000A56D0000}"/>
    <cellStyle name="Procentowy 3 20 2 7" xfId="28057" xr:uid="{00000000-0005-0000-0000-0000A66D0000}"/>
    <cellStyle name="Procentowy 3 20 20" xfId="28058" xr:uid="{00000000-0005-0000-0000-0000A76D0000}"/>
    <cellStyle name="Procentowy 3 20 20 2" xfId="28059" xr:uid="{00000000-0005-0000-0000-0000A86D0000}"/>
    <cellStyle name="Procentowy 3 20 21" xfId="28060" xr:uid="{00000000-0005-0000-0000-0000A96D0000}"/>
    <cellStyle name="Procentowy 3 20 21 2" xfId="28061" xr:uid="{00000000-0005-0000-0000-0000AA6D0000}"/>
    <cellStyle name="Procentowy 3 20 22" xfId="28062" xr:uid="{00000000-0005-0000-0000-0000AB6D0000}"/>
    <cellStyle name="Procentowy 3 20 22 2" xfId="28063" xr:uid="{00000000-0005-0000-0000-0000AC6D0000}"/>
    <cellStyle name="Procentowy 3 20 23" xfId="28064" xr:uid="{00000000-0005-0000-0000-0000AD6D0000}"/>
    <cellStyle name="Procentowy 3 20 23 2" xfId="28065" xr:uid="{00000000-0005-0000-0000-0000AE6D0000}"/>
    <cellStyle name="Procentowy 3 20 24" xfId="28066" xr:uid="{00000000-0005-0000-0000-0000AF6D0000}"/>
    <cellStyle name="Procentowy 3 20 24 2" xfId="28067" xr:uid="{00000000-0005-0000-0000-0000B06D0000}"/>
    <cellStyle name="Procentowy 3 20 25" xfId="28068" xr:uid="{00000000-0005-0000-0000-0000B16D0000}"/>
    <cellStyle name="Procentowy 3 20 25 2" xfId="28069" xr:uid="{00000000-0005-0000-0000-0000B26D0000}"/>
    <cellStyle name="Procentowy 3 20 26" xfId="28070" xr:uid="{00000000-0005-0000-0000-0000B36D0000}"/>
    <cellStyle name="Procentowy 3 20 26 2" xfId="28071" xr:uid="{00000000-0005-0000-0000-0000B46D0000}"/>
    <cellStyle name="Procentowy 3 20 27" xfId="28072" xr:uid="{00000000-0005-0000-0000-0000B56D0000}"/>
    <cellStyle name="Procentowy 3 20 27 2" xfId="28073" xr:uid="{00000000-0005-0000-0000-0000B66D0000}"/>
    <cellStyle name="Procentowy 3 20 28" xfId="28074" xr:uid="{00000000-0005-0000-0000-0000B76D0000}"/>
    <cellStyle name="Procentowy 3 20 28 2" xfId="28075" xr:uid="{00000000-0005-0000-0000-0000B86D0000}"/>
    <cellStyle name="Procentowy 3 20 29" xfId="28076" xr:uid="{00000000-0005-0000-0000-0000B96D0000}"/>
    <cellStyle name="Procentowy 3 20 29 2" xfId="28077" xr:uid="{00000000-0005-0000-0000-0000BA6D0000}"/>
    <cellStyle name="Procentowy 3 20 3" xfId="28078" xr:uid="{00000000-0005-0000-0000-0000BB6D0000}"/>
    <cellStyle name="Procentowy 3 20 3 2" xfId="28079" xr:uid="{00000000-0005-0000-0000-0000BC6D0000}"/>
    <cellStyle name="Procentowy 3 20 3 3" xfId="28080" xr:uid="{00000000-0005-0000-0000-0000BD6D0000}"/>
    <cellStyle name="Procentowy 3 20 3 4" xfId="28081" xr:uid="{00000000-0005-0000-0000-0000BE6D0000}"/>
    <cellStyle name="Procentowy 3 20 3 5" xfId="28082" xr:uid="{00000000-0005-0000-0000-0000BF6D0000}"/>
    <cellStyle name="Procentowy 3 20 3 6" xfId="28083" xr:uid="{00000000-0005-0000-0000-0000C06D0000}"/>
    <cellStyle name="Procentowy 3 20 3 7" xfId="28084" xr:uid="{00000000-0005-0000-0000-0000C16D0000}"/>
    <cellStyle name="Procentowy 3 20 30" xfId="28085" xr:uid="{00000000-0005-0000-0000-0000C26D0000}"/>
    <cellStyle name="Procentowy 3 20 30 2" xfId="28086" xr:uid="{00000000-0005-0000-0000-0000C36D0000}"/>
    <cellStyle name="Procentowy 3 20 31" xfId="28087" xr:uid="{00000000-0005-0000-0000-0000C46D0000}"/>
    <cellStyle name="Procentowy 3 20 31 2" xfId="28088" xr:uid="{00000000-0005-0000-0000-0000C56D0000}"/>
    <cellStyle name="Procentowy 3 20 32" xfId="28089" xr:uid="{00000000-0005-0000-0000-0000C66D0000}"/>
    <cellStyle name="Procentowy 3 20 33" xfId="28090" xr:uid="{00000000-0005-0000-0000-0000C76D0000}"/>
    <cellStyle name="Procentowy 3 20 34" xfId="28091" xr:uid="{00000000-0005-0000-0000-0000C86D0000}"/>
    <cellStyle name="Procentowy 3 20 35" xfId="28092" xr:uid="{00000000-0005-0000-0000-0000C96D0000}"/>
    <cellStyle name="Procentowy 3 20 36" xfId="28093" xr:uid="{00000000-0005-0000-0000-0000CA6D0000}"/>
    <cellStyle name="Procentowy 3 20 37" xfId="28094" xr:uid="{00000000-0005-0000-0000-0000CB6D0000}"/>
    <cellStyle name="Procentowy 3 20 38" xfId="28095" xr:uid="{00000000-0005-0000-0000-0000CC6D0000}"/>
    <cellStyle name="Procentowy 3 20 39" xfId="28096" xr:uid="{00000000-0005-0000-0000-0000CD6D0000}"/>
    <cellStyle name="Procentowy 3 20 4" xfId="28097" xr:uid="{00000000-0005-0000-0000-0000CE6D0000}"/>
    <cellStyle name="Procentowy 3 20 4 2" xfId="28098" xr:uid="{00000000-0005-0000-0000-0000CF6D0000}"/>
    <cellStyle name="Procentowy 3 20 4 3" xfId="28099" xr:uid="{00000000-0005-0000-0000-0000D06D0000}"/>
    <cellStyle name="Procentowy 3 20 4 4" xfId="28100" xr:uid="{00000000-0005-0000-0000-0000D16D0000}"/>
    <cellStyle name="Procentowy 3 20 4 5" xfId="28101" xr:uid="{00000000-0005-0000-0000-0000D26D0000}"/>
    <cellStyle name="Procentowy 3 20 4 6" xfId="28102" xr:uid="{00000000-0005-0000-0000-0000D36D0000}"/>
    <cellStyle name="Procentowy 3 20 4 7" xfId="28103" xr:uid="{00000000-0005-0000-0000-0000D46D0000}"/>
    <cellStyle name="Procentowy 3 20 40" xfId="28104" xr:uid="{00000000-0005-0000-0000-0000D56D0000}"/>
    <cellStyle name="Procentowy 3 20 41" xfId="28105" xr:uid="{00000000-0005-0000-0000-0000D66D0000}"/>
    <cellStyle name="Procentowy 3 20 42" xfId="28106" xr:uid="{00000000-0005-0000-0000-0000D76D0000}"/>
    <cellStyle name="Procentowy 3 20 43" xfId="28107" xr:uid="{00000000-0005-0000-0000-0000D86D0000}"/>
    <cellStyle name="Procentowy 3 20 44" xfId="28108" xr:uid="{00000000-0005-0000-0000-0000D96D0000}"/>
    <cellStyle name="Procentowy 3 20 45" xfId="28109" xr:uid="{00000000-0005-0000-0000-0000DA6D0000}"/>
    <cellStyle name="Procentowy 3 20 46" xfId="28110" xr:uid="{00000000-0005-0000-0000-0000DB6D0000}"/>
    <cellStyle name="Procentowy 3 20 47" xfId="28111" xr:uid="{00000000-0005-0000-0000-0000DC6D0000}"/>
    <cellStyle name="Procentowy 3 20 48" xfId="28112" xr:uid="{00000000-0005-0000-0000-0000DD6D0000}"/>
    <cellStyle name="Procentowy 3 20 49" xfId="28113" xr:uid="{00000000-0005-0000-0000-0000DE6D0000}"/>
    <cellStyle name="Procentowy 3 20 5" xfId="28114" xr:uid="{00000000-0005-0000-0000-0000DF6D0000}"/>
    <cellStyle name="Procentowy 3 20 5 2" xfId="28115" xr:uid="{00000000-0005-0000-0000-0000E06D0000}"/>
    <cellStyle name="Procentowy 3 20 5 3" xfId="28116" xr:uid="{00000000-0005-0000-0000-0000E16D0000}"/>
    <cellStyle name="Procentowy 3 20 5 4" xfId="28117" xr:uid="{00000000-0005-0000-0000-0000E26D0000}"/>
    <cellStyle name="Procentowy 3 20 5 5" xfId="28118" xr:uid="{00000000-0005-0000-0000-0000E36D0000}"/>
    <cellStyle name="Procentowy 3 20 5 6" xfId="28119" xr:uid="{00000000-0005-0000-0000-0000E46D0000}"/>
    <cellStyle name="Procentowy 3 20 5 7" xfId="28120" xr:uid="{00000000-0005-0000-0000-0000E56D0000}"/>
    <cellStyle name="Procentowy 3 20 50" xfId="28121" xr:uid="{00000000-0005-0000-0000-0000E66D0000}"/>
    <cellStyle name="Procentowy 3 20 51" xfId="28122" xr:uid="{00000000-0005-0000-0000-0000E76D0000}"/>
    <cellStyle name="Procentowy 3 20 52" xfId="28123" xr:uid="{00000000-0005-0000-0000-0000E86D0000}"/>
    <cellStyle name="Procentowy 3 20 53" xfId="28124" xr:uid="{00000000-0005-0000-0000-0000E96D0000}"/>
    <cellStyle name="Procentowy 3 20 54" xfId="28125" xr:uid="{00000000-0005-0000-0000-0000EA6D0000}"/>
    <cellStyle name="Procentowy 3 20 55" xfId="28126" xr:uid="{00000000-0005-0000-0000-0000EB6D0000}"/>
    <cellStyle name="Procentowy 3 20 56" xfId="28127" xr:uid="{00000000-0005-0000-0000-0000EC6D0000}"/>
    <cellStyle name="Procentowy 3 20 57" xfId="28128" xr:uid="{00000000-0005-0000-0000-0000ED6D0000}"/>
    <cellStyle name="Procentowy 3 20 58" xfId="28129" xr:uid="{00000000-0005-0000-0000-0000EE6D0000}"/>
    <cellStyle name="Procentowy 3 20 59" xfId="28130" xr:uid="{00000000-0005-0000-0000-0000EF6D0000}"/>
    <cellStyle name="Procentowy 3 20 6" xfId="28131" xr:uid="{00000000-0005-0000-0000-0000F06D0000}"/>
    <cellStyle name="Procentowy 3 20 6 2" xfId="28132" xr:uid="{00000000-0005-0000-0000-0000F16D0000}"/>
    <cellStyle name="Procentowy 3 20 60" xfId="28133" xr:uid="{00000000-0005-0000-0000-0000F26D0000}"/>
    <cellStyle name="Procentowy 3 20 61" xfId="28134" xr:uid="{00000000-0005-0000-0000-0000F36D0000}"/>
    <cellStyle name="Procentowy 3 20 62" xfId="28135" xr:uid="{00000000-0005-0000-0000-0000F46D0000}"/>
    <cellStyle name="Procentowy 3 20 63" xfId="28136" xr:uid="{00000000-0005-0000-0000-0000F56D0000}"/>
    <cellStyle name="Procentowy 3 20 64" xfId="28137" xr:uid="{00000000-0005-0000-0000-0000F66D0000}"/>
    <cellStyle name="Procentowy 3 20 65" xfId="28138" xr:uid="{00000000-0005-0000-0000-0000F76D0000}"/>
    <cellStyle name="Procentowy 3 20 66" xfId="28139" xr:uid="{00000000-0005-0000-0000-0000F86D0000}"/>
    <cellStyle name="Procentowy 3 20 67" xfId="28140" xr:uid="{00000000-0005-0000-0000-0000F96D0000}"/>
    <cellStyle name="Procentowy 3 20 68" xfId="28141" xr:uid="{00000000-0005-0000-0000-0000FA6D0000}"/>
    <cellStyle name="Procentowy 3 20 69" xfId="28142" xr:uid="{00000000-0005-0000-0000-0000FB6D0000}"/>
    <cellStyle name="Procentowy 3 20 7" xfId="28143" xr:uid="{00000000-0005-0000-0000-0000FC6D0000}"/>
    <cellStyle name="Procentowy 3 20 7 2" xfId="28144" xr:uid="{00000000-0005-0000-0000-0000FD6D0000}"/>
    <cellStyle name="Procentowy 3 20 70" xfId="28145" xr:uid="{00000000-0005-0000-0000-0000FE6D0000}"/>
    <cellStyle name="Procentowy 3 20 71" xfId="28146" xr:uid="{00000000-0005-0000-0000-0000FF6D0000}"/>
    <cellStyle name="Procentowy 3 20 72" xfId="28147" xr:uid="{00000000-0005-0000-0000-0000006E0000}"/>
    <cellStyle name="Procentowy 3 20 73" xfId="28148" xr:uid="{00000000-0005-0000-0000-0000016E0000}"/>
    <cellStyle name="Procentowy 3 20 74" xfId="28149" xr:uid="{00000000-0005-0000-0000-0000026E0000}"/>
    <cellStyle name="Procentowy 3 20 8" xfId="28150" xr:uid="{00000000-0005-0000-0000-0000036E0000}"/>
    <cellStyle name="Procentowy 3 20 8 2" xfId="28151" xr:uid="{00000000-0005-0000-0000-0000046E0000}"/>
    <cellStyle name="Procentowy 3 20 9" xfId="28152" xr:uid="{00000000-0005-0000-0000-0000056E0000}"/>
    <cellStyle name="Procentowy 3 20 9 2" xfId="28153" xr:uid="{00000000-0005-0000-0000-0000066E0000}"/>
    <cellStyle name="Procentowy 3 21" xfId="28154" xr:uid="{00000000-0005-0000-0000-0000076E0000}"/>
    <cellStyle name="Procentowy 3 21 10" xfId="28155" xr:uid="{00000000-0005-0000-0000-0000086E0000}"/>
    <cellStyle name="Procentowy 3 21 10 2" xfId="28156" xr:uid="{00000000-0005-0000-0000-0000096E0000}"/>
    <cellStyle name="Procentowy 3 21 11" xfId="28157" xr:uid="{00000000-0005-0000-0000-00000A6E0000}"/>
    <cellStyle name="Procentowy 3 21 11 2" xfId="28158" xr:uid="{00000000-0005-0000-0000-00000B6E0000}"/>
    <cellStyle name="Procentowy 3 21 12" xfId="28159" xr:uid="{00000000-0005-0000-0000-00000C6E0000}"/>
    <cellStyle name="Procentowy 3 21 12 2" xfId="28160" xr:uid="{00000000-0005-0000-0000-00000D6E0000}"/>
    <cellStyle name="Procentowy 3 21 13" xfId="28161" xr:uid="{00000000-0005-0000-0000-00000E6E0000}"/>
    <cellStyle name="Procentowy 3 21 13 2" xfId="28162" xr:uid="{00000000-0005-0000-0000-00000F6E0000}"/>
    <cellStyle name="Procentowy 3 21 14" xfId="28163" xr:uid="{00000000-0005-0000-0000-0000106E0000}"/>
    <cellStyle name="Procentowy 3 21 14 2" xfId="28164" xr:uid="{00000000-0005-0000-0000-0000116E0000}"/>
    <cellStyle name="Procentowy 3 21 15" xfId="28165" xr:uid="{00000000-0005-0000-0000-0000126E0000}"/>
    <cellStyle name="Procentowy 3 21 15 2" xfId="28166" xr:uid="{00000000-0005-0000-0000-0000136E0000}"/>
    <cellStyle name="Procentowy 3 21 16" xfId="28167" xr:uid="{00000000-0005-0000-0000-0000146E0000}"/>
    <cellStyle name="Procentowy 3 21 16 2" xfId="28168" xr:uid="{00000000-0005-0000-0000-0000156E0000}"/>
    <cellStyle name="Procentowy 3 21 17" xfId="28169" xr:uid="{00000000-0005-0000-0000-0000166E0000}"/>
    <cellStyle name="Procentowy 3 21 17 2" xfId="28170" xr:uid="{00000000-0005-0000-0000-0000176E0000}"/>
    <cellStyle name="Procentowy 3 21 18" xfId="28171" xr:uid="{00000000-0005-0000-0000-0000186E0000}"/>
    <cellStyle name="Procentowy 3 21 18 2" xfId="28172" xr:uid="{00000000-0005-0000-0000-0000196E0000}"/>
    <cellStyle name="Procentowy 3 21 19" xfId="28173" xr:uid="{00000000-0005-0000-0000-00001A6E0000}"/>
    <cellStyle name="Procentowy 3 21 19 2" xfId="28174" xr:uid="{00000000-0005-0000-0000-00001B6E0000}"/>
    <cellStyle name="Procentowy 3 21 2" xfId="28175" xr:uid="{00000000-0005-0000-0000-00001C6E0000}"/>
    <cellStyle name="Procentowy 3 21 2 2" xfId="28176" xr:uid="{00000000-0005-0000-0000-00001D6E0000}"/>
    <cellStyle name="Procentowy 3 21 2 3" xfId="28177" xr:uid="{00000000-0005-0000-0000-00001E6E0000}"/>
    <cellStyle name="Procentowy 3 21 2 4" xfId="28178" xr:uid="{00000000-0005-0000-0000-00001F6E0000}"/>
    <cellStyle name="Procentowy 3 21 2 5" xfId="28179" xr:uid="{00000000-0005-0000-0000-0000206E0000}"/>
    <cellStyle name="Procentowy 3 21 2 6" xfId="28180" xr:uid="{00000000-0005-0000-0000-0000216E0000}"/>
    <cellStyle name="Procentowy 3 21 2 7" xfId="28181" xr:uid="{00000000-0005-0000-0000-0000226E0000}"/>
    <cellStyle name="Procentowy 3 21 20" xfId="28182" xr:uid="{00000000-0005-0000-0000-0000236E0000}"/>
    <cellStyle name="Procentowy 3 21 20 2" xfId="28183" xr:uid="{00000000-0005-0000-0000-0000246E0000}"/>
    <cellStyle name="Procentowy 3 21 21" xfId="28184" xr:uid="{00000000-0005-0000-0000-0000256E0000}"/>
    <cellStyle name="Procentowy 3 21 21 2" xfId="28185" xr:uid="{00000000-0005-0000-0000-0000266E0000}"/>
    <cellStyle name="Procentowy 3 21 22" xfId="28186" xr:uid="{00000000-0005-0000-0000-0000276E0000}"/>
    <cellStyle name="Procentowy 3 21 22 2" xfId="28187" xr:uid="{00000000-0005-0000-0000-0000286E0000}"/>
    <cellStyle name="Procentowy 3 21 23" xfId="28188" xr:uid="{00000000-0005-0000-0000-0000296E0000}"/>
    <cellStyle name="Procentowy 3 21 23 2" xfId="28189" xr:uid="{00000000-0005-0000-0000-00002A6E0000}"/>
    <cellStyle name="Procentowy 3 21 24" xfId="28190" xr:uid="{00000000-0005-0000-0000-00002B6E0000}"/>
    <cellStyle name="Procentowy 3 21 24 2" xfId="28191" xr:uid="{00000000-0005-0000-0000-00002C6E0000}"/>
    <cellStyle name="Procentowy 3 21 25" xfId="28192" xr:uid="{00000000-0005-0000-0000-00002D6E0000}"/>
    <cellStyle name="Procentowy 3 21 25 2" xfId="28193" xr:uid="{00000000-0005-0000-0000-00002E6E0000}"/>
    <cellStyle name="Procentowy 3 21 26" xfId="28194" xr:uid="{00000000-0005-0000-0000-00002F6E0000}"/>
    <cellStyle name="Procentowy 3 21 26 2" xfId="28195" xr:uid="{00000000-0005-0000-0000-0000306E0000}"/>
    <cellStyle name="Procentowy 3 21 27" xfId="28196" xr:uid="{00000000-0005-0000-0000-0000316E0000}"/>
    <cellStyle name="Procentowy 3 21 27 2" xfId="28197" xr:uid="{00000000-0005-0000-0000-0000326E0000}"/>
    <cellStyle name="Procentowy 3 21 28" xfId="28198" xr:uid="{00000000-0005-0000-0000-0000336E0000}"/>
    <cellStyle name="Procentowy 3 21 28 2" xfId="28199" xr:uid="{00000000-0005-0000-0000-0000346E0000}"/>
    <cellStyle name="Procentowy 3 21 29" xfId="28200" xr:uid="{00000000-0005-0000-0000-0000356E0000}"/>
    <cellStyle name="Procentowy 3 21 29 2" xfId="28201" xr:uid="{00000000-0005-0000-0000-0000366E0000}"/>
    <cellStyle name="Procentowy 3 21 3" xfId="28202" xr:uid="{00000000-0005-0000-0000-0000376E0000}"/>
    <cellStyle name="Procentowy 3 21 3 2" xfId="28203" xr:uid="{00000000-0005-0000-0000-0000386E0000}"/>
    <cellStyle name="Procentowy 3 21 3 3" xfId="28204" xr:uid="{00000000-0005-0000-0000-0000396E0000}"/>
    <cellStyle name="Procentowy 3 21 3 4" xfId="28205" xr:uid="{00000000-0005-0000-0000-00003A6E0000}"/>
    <cellStyle name="Procentowy 3 21 3 5" xfId="28206" xr:uid="{00000000-0005-0000-0000-00003B6E0000}"/>
    <cellStyle name="Procentowy 3 21 3 6" xfId="28207" xr:uid="{00000000-0005-0000-0000-00003C6E0000}"/>
    <cellStyle name="Procentowy 3 21 3 7" xfId="28208" xr:uid="{00000000-0005-0000-0000-00003D6E0000}"/>
    <cellStyle name="Procentowy 3 21 30" xfId="28209" xr:uid="{00000000-0005-0000-0000-00003E6E0000}"/>
    <cellStyle name="Procentowy 3 21 30 2" xfId="28210" xr:uid="{00000000-0005-0000-0000-00003F6E0000}"/>
    <cellStyle name="Procentowy 3 21 31" xfId="28211" xr:uid="{00000000-0005-0000-0000-0000406E0000}"/>
    <cellStyle name="Procentowy 3 21 31 2" xfId="28212" xr:uid="{00000000-0005-0000-0000-0000416E0000}"/>
    <cellStyle name="Procentowy 3 21 32" xfId="28213" xr:uid="{00000000-0005-0000-0000-0000426E0000}"/>
    <cellStyle name="Procentowy 3 21 33" xfId="28214" xr:uid="{00000000-0005-0000-0000-0000436E0000}"/>
    <cellStyle name="Procentowy 3 21 34" xfId="28215" xr:uid="{00000000-0005-0000-0000-0000446E0000}"/>
    <cellStyle name="Procentowy 3 21 35" xfId="28216" xr:uid="{00000000-0005-0000-0000-0000456E0000}"/>
    <cellStyle name="Procentowy 3 21 36" xfId="28217" xr:uid="{00000000-0005-0000-0000-0000466E0000}"/>
    <cellStyle name="Procentowy 3 21 37" xfId="28218" xr:uid="{00000000-0005-0000-0000-0000476E0000}"/>
    <cellStyle name="Procentowy 3 21 38" xfId="28219" xr:uid="{00000000-0005-0000-0000-0000486E0000}"/>
    <cellStyle name="Procentowy 3 21 39" xfId="28220" xr:uid="{00000000-0005-0000-0000-0000496E0000}"/>
    <cellStyle name="Procentowy 3 21 4" xfId="28221" xr:uid="{00000000-0005-0000-0000-00004A6E0000}"/>
    <cellStyle name="Procentowy 3 21 4 2" xfId="28222" xr:uid="{00000000-0005-0000-0000-00004B6E0000}"/>
    <cellStyle name="Procentowy 3 21 4 3" xfId="28223" xr:uid="{00000000-0005-0000-0000-00004C6E0000}"/>
    <cellStyle name="Procentowy 3 21 4 4" xfId="28224" xr:uid="{00000000-0005-0000-0000-00004D6E0000}"/>
    <cellStyle name="Procentowy 3 21 4 5" xfId="28225" xr:uid="{00000000-0005-0000-0000-00004E6E0000}"/>
    <cellStyle name="Procentowy 3 21 4 6" xfId="28226" xr:uid="{00000000-0005-0000-0000-00004F6E0000}"/>
    <cellStyle name="Procentowy 3 21 4 7" xfId="28227" xr:uid="{00000000-0005-0000-0000-0000506E0000}"/>
    <cellStyle name="Procentowy 3 21 40" xfId="28228" xr:uid="{00000000-0005-0000-0000-0000516E0000}"/>
    <cellStyle name="Procentowy 3 21 41" xfId="28229" xr:uid="{00000000-0005-0000-0000-0000526E0000}"/>
    <cellStyle name="Procentowy 3 21 42" xfId="28230" xr:uid="{00000000-0005-0000-0000-0000536E0000}"/>
    <cellStyle name="Procentowy 3 21 43" xfId="28231" xr:uid="{00000000-0005-0000-0000-0000546E0000}"/>
    <cellStyle name="Procentowy 3 21 44" xfId="28232" xr:uid="{00000000-0005-0000-0000-0000556E0000}"/>
    <cellStyle name="Procentowy 3 21 45" xfId="28233" xr:uid="{00000000-0005-0000-0000-0000566E0000}"/>
    <cellStyle name="Procentowy 3 21 46" xfId="28234" xr:uid="{00000000-0005-0000-0000-0000576E0000}"/>
    <cellStyle name="Procentowy 3 21 47" xfId="28235" xr:uid="{00000000-0005-0000-0000-0000586E0000}"/>
    <cellStyle name="Procentowy 3 21 48" xfId="28236" xr:uid="{00000000-0005-0000-0000-0000596E0000}"/>
    <cellStyle name="Procentowy 3 21 49" xfId="28237" xr:uid="{00000000-0005-0000-0000-00005A6E0000}"/>
    <cellStyle name="Procentowy 3 21 5" xfId="28238" xr:uid="{00000000-0005-0000-0000-00005B6E0000}"/>
    <cellStyle name="Procentowy 3 21 5 2" xfId="28239" xr:uid="{00000000-0005-0000-0000-00005C6E0000}"/>
    <cellStyle name="Procentowy 3 21 5 3" xfId="28240" xr:uid="{00000000-0005-0000-0000-00005D6E0000}"/>
    <cellStyle name="Procentowy 3 21 5 4" xfId="28241" xr:uid="{00000000-0005-0000-0000-00005E6E0000}"/>
    <cellStyle name="Procentowy 3 21 5 5" xfId="28242" xr:uid="{00000000-0005-0000-0000-00005F6E0000}"/>
    <cellStyle name="Procentowy 3 21 5 6" xfId="28243" xr:uid="{00000000-0005-0000-0000-0000606E0000}"/>
    <cellStyle name="Procentowy 3 21 5 7" xfId="28244" xr:uid="{00000000-0005-0000-0000-0000616E0000}"/>
    <cellStyle name="Procentowy 3 21 50" xfId="28245" xr:uid="{00000000-0005-0000-0000-0000626E0000}"/>
    <cellStyle name="Procentowy 3 21 51" xfId="28246" xr:uid="{00000000-0005-0000-0000-0000636E0000}"/>
    <cellStyle name="Procentowy 3 21 52" xfId="28247" xr:uid="{00000000-0005-0000-0000-0000646E0000}"/>
    <cellStyle name="Procentowy 3 21 53" xfId="28248" xr:uid="{00000000-0005-0000-0000-0000656E0000}"/>
    <cellStyle name="Procentowy 3 21 54" xfId="28249" xr:uid="{00000000-0005-0000-0000-0000666E0000}"/>
    <cellStyle name="Procentowy 3 21 55" xfId="28250" xr:uid="{00000000-0005-0000-0000-0000676E0000}"/>
    <cellStyle name="Procentowy 3 21 56" xfId="28251" xr:uid="{00000000-0005-0000-0000-0000686E0000}"/>
    <cellStyle name="Procentowy 3 21 57" xfId="28252" xr:uid="{00000000-0005-0000-0000-0000696E0000}"/>
    <cellStyle name="Procentowy 3 21 58" xfId="28253" xr:uid="{00000000-0005-0000-0000-00006A6E0000}"/>
    <cellStyle name="Procentowy 3 21 59" xfId="28254" xr:uid="{00000000-0005-0000-0000-00006B6E0000}"/>
    <cellStyle name="Procentowy 3 21 6" xfId="28255" xr:uid="{00000000-0005-0000-0000-00006C6E0000}"/>
    <cellStyle name="Procentowy 3 21 6 2" xfId="28256" xr:uid="{00000000-0005-0000-0000-00006D6E0000}"/>
    <cellStyle name="Procentowy 3 21 60" xfId="28257" xr:uid="{00000000-0005-0000-0000-00006E6E0000}"/>
    <cellStyle name="Procentowy 3 21 61" xfId="28258" xr:uid="{00000000-0005-0000-0000-00006F6E0000}"/>
    <cellStyle name="Procentowy 3 21 62" xfId="28259" xr:uid="{00000000-0005-0000-0000-0000706E0000}"/>
    <cellStyle name="Procentowy 3 21 63" xfId="28260" xr:uid="{00000000-0005-0000-0000-0000716E0000}"/>
    <cellStyle name="Procentowy 3 21 64" xfId="28261" xr:uid="{00000000-0005-0000-0000-0000726E0000}"/>
    <cellStyle name="Procentowy 3 21 65" xfId="28262" xr:uid="{00000000-0005-0000-0000-0000736E0000}"/>
    <cellStyle name="Procentowy 3 21 66" xfId="28263" xr:uid="{00000000-0005-0000-0000-0000746E0000}"/>
    <cellStyle name="Procentowy 3 21 67" xfId="28264" xr:uid="{00000000-0005-0000-0000-0000756E0000}"/>
    <cellStyle name="Procentowy 3 21 68" xfId="28265" xr:uid="{00000000-0005-0000-0000-0000766E0000}"/>
    <cellStyle name="Procentowy 3 21 69" xfId="28266" xr:uid="{00000000-0005-0000-0000-0000776E0000}"/>
    <cellStyle name="Procentowy 3 21 7" xfId="28267" xr:uid="{00000000-0005-0000-0000-0000786E0000}"/>
    <cellStyle name="Procentowy 3 21 7 2" xfId="28268" xr:uid="{00000000-0005-0000-0000-0000796E0000}"/>
    <cellStyle name="Procentowy 3 21 70" xfId="28269" xr:uid="{00000000-0005-0000-0000-00007A6E0000}"/>
    <cellStyle name="Procentowy 3 21 71" xfId="28270" xr:uid="{00000000-0005-0000-0000-00007B6E0000}"/>
    <cellStyle name="Procentowy 3 21 72" xfId="28271" xr:uid="{00000000-0005-0000-0000-00007C6E0000}"/>
    <cellStyle name="Procentowy 3 21 73" xfId="28272" xr:uid="{00000000-0005-0000-0000-00007D6E0000}"/>
    <cellStyle name="Procentowy 3 21 74" xfId="28273" xr:uid="{00000000-0005-0000-0000-00007E6E0000}"/>
    <cellStyle name="Procentowy 3 21 8" xfId="28274" xr:uid="{00000000-0005-0000-0000-00007F6E0000}"/>
    <cellStyle name="Procentowy 3 21 8 2" xfId="28275" xr:uid="{00000000-0005-0000-0000-0000806E0000}"/>
    <cellStyle name="Procentowy 3 21 9" xfId="28276" xr:uid="{00000000-0005-0000-0000-0000816E0000}"/>
    <cellStyle name="Procentowy 3 21 9 2" xfId="28277" xr:uid="{00000000-0005-0000-0000-0000826E0000}"/>
    <cellStyle name="Procentowy 3 22" xfId="28278" xr:uid="{00000000-0005-0000-0000-0000836E0000}"/>
    <cellStyle name="Procentowy 3 22 10" xfId="28279" xr:uid="{00000000-0005-0000-0000-0000846E0000}"/>
    <cellStyle name="Procentowy 3 22 10 2" xfId="28280" xr:uid="{00000000-0005-0000-0000-0000856E0000}"/>
    <cellStyle name="Procentowy 3 22 11" xfId="28281" xr:uid="{00000000-0005-0000-0000-0000866E0000}"/>
    <cellStyle name="Procentowy 3 22 11 2" xfId="28282" xr:uid="{00000000-0005-0000-0000-0000876E0000}"/>
    <cellStyle name="Procentowy 3 22 12" xfId="28283" xr:uid="{00000000-0005-0000-0000-0000886E0000}"/>
    <cellStyle name="Procentowy 3 22 12 2" xfId="28284" xr:uid="{00000000-0005-0000-0000-0000896E0000}"/>
    <cellStyle name="Procentowy 3 22 13" xfId="28285" xr:uid="{00000000-0005-0000-0000-00008A6E0000}"/>
    <cellStyle name="Procentowy 3 22 13 2" xfId="28286" xr:uid="{00000000-0005-0000-0000-00008B6E0000}"/>
    <cellStyle name="Procentowy 3 22 14" xfId="28287" xr:uid="{00000000-0005-0000-0000-00008C6E0000}"/>
    <cellStyle name="Procentowy 3 22 14 2" xfId="28288" xr:uid="{00000000-0005-0000-0000-00008D6E0000}"/>
    <cellStyle name="Procentowy 3 22 15" xfId="28289" xr:uid="{00000000-0005-0000-0000-00008E6E0000}"/>
    <cellStyle name="Procentowy 3 22 15 2" xfId="28290" xr:uid="{00000000-0005-0000-0000-00008F6E0000}"/>
    <cellStyle name="Procentowy 3 22 16" xfId="28291" xr:uid="{00000000-0005-0000-0000-0000906E0000}"/>
    <cellStyle name="Procentowy 3 22 16 2" xfId="28292" xr:uid="{00000000-0005-0000-0000-0000916E0000}"/>
    <cellStyle name="Procentowy 3 22 17" xfId="28293" xr:uid="{00000000-0005-0000-0000-0000926E0000}"/>
    <cellStyle name="Procentowy 3 22 17 2" xfId="28294" xr:uid="{00000000-0005-0000-0000-0000936E0000}"/>
    <cellStyle name="Procentowy 3 22 18" xfId="28295" xr:uid="{00000000-0005-0000-0000-0000946E0000}"/>
    <cellStyle name="Procentowy 3 22 18 2" xfId="28296" xr:uid="{00000000-0005-0000-0000-0000956E0000}"/>
    <cellStyle name="Procentowy 3 22 19" xfId="28297" xr:uid="{00000000-0005-0000-0000-0000966E0000}"/>
    <cellStyle name="Procentowy 3 22 19 2" xfId="28298" xr:uid="{00000000-0005-0000-0000-0000976E0000}"/>
    <cellStyle name="Procentowy 3 22 2" xfId="28299" xr:uid="{00000000-0005-0000-0000-0000986E0000}"/>
    <cellStyle name="Procentowy 3 22 2 2" xfId="28300" xr:uid="{00000000-0005-0000-0000-0000996E0000}"/>
    <cellStyle name="Procentowy 3 22 2 3" xfId="28301" xr:uid="{00000000-0005-0000-0000-00009A6E0000}"/>
    <cellStyle name="Procentowy 3 22 2 4" xfId="28302" xr:uid="{00000000-0005-0000-0000-00009B6E0000}"/>
    <cellStyle name="Procentowy 3 22 2 5" xfId="28303" xr:uid="{00000000-0005-0000-0000-00009C6E0000}"/>
    <cellStyle name="Procentowy 3 22 2 6" xfId="28304" xr:uid="{00000000-0005-0000-0000-00009D6E0000}"/>
    <cellStyle name="Procentowy 3 22 2 7" xfId="28305" xr:uid="{00000000-0005-0000-0000-00009E6E0000}"/>
    <cellStyle name="Procentowy 3 22 20" xfId="28306" xr:uid="{00000000-0005-0000-0000-00009F6E0000}"/>
    <cellStyle name="Procentowy 3 22 20 2" xfId="28307" xr:uid="{00000000-0005-0000-0000-0000A06E0000}"/>
    <cellStyle name="Procentowy 3 22 21" xfId="28308" xr:uid="{00000000-0005-0000-0000-0000A16E0000}"/>
    <cellStyle name="Procentowy 3 22 21 2" xfId="28309" xr:uid="{00000000-0005-0000-0000-0000A26E0000}"/>
    <cellStyle name="Procentowy 3 22 22" xfId="28310" xr:uid="{00000000-0005-0000-0000-0000A36E0000}"/>
    <cellStyle name="Procentowy 3 22 22 2" xfId="28311" xr:uid="{00000000-0005-0000-0000-0000A46E0000}"/>
    <cellStyle name="Procentowy 3 22 23" xfId="28312" xr:uid="{00000000-0005-0000-0000-0000A56E0000}"/>
    <cellStyle name="Procentowy 3 22 23 2" xfId="28313" xr:uid="{00000000-0005-0000-0000-0000A66E0000}"/>
    <cellStyle name="Procentowy 3 22 24" xfId="28314" xr:uid="{00000000-0005-0000-0000-0000A76E0000}"/>
    <cellStyle name="Procentowy 3 22 24 2" xfId="28315" xr:uid="{00000000-0005-0000-0000-0000A86E0000}"/>
    <cellStyle name="Procentowy 3 22 25" xfId="28316" xr:uid="{00000000-0005-0000-0000-0000A96E0000}"/>
    <cellStyle name="Procentowy 3 22 25 2" xfId="28317" xr:uid="{00000000-0005-0000-0000-0000AA6E0000}"/>
    <cellStyle name="Procentowy 3 22 26" xfId="28318" xr:uid="{00000000-0005-0000-0000-0000AB6E0000}"/>
    <cellStyle name="Procentowy 3 22 26 2" xfId="28319" xr:uid="{00000000-0005-0000-0000-0000AC6E0000}"/>
    <cellStyle name="Procentowy 3 22 27" xfId="28320" xr:uid="{00000000-0005-0000-0000-0000AD6E0000}"/>
    <cellStyle name="Procentowy 3 22 27 2" xfId="28321" xr:uid="{00000000-0005-0000-0000-0000AE6E0000}"/>
    <cellStyle name="Procentowy 3 22 28" xfId="28322" xr:uid="{00000000-0005-0000-0000-0000AF6E0000}"/>
    <cellStyle name="Procentowy 3 22 28 2" xfId="28323" xr:uid="{00000000-0005-0000-0000-0000B06E0000}"/>
    <cellStyle name="Procentowy 3 22 29" xfId="28324" xr:uid="{00000000-0005-0000-0000-0000B16E0000}"/>
    <cellStyle name="Procentowy 3 22 29 2" xfId="28325" xr:uid="{00000000-0005-0000-0000-0000B26E0000}"/>
    <cellStyle name="Procentowy 3 22 3" xfId="28326" xr:uid="{00000000-0005-0000-0000-0000B36E0000}"/>
    <cellStyle name="Procentowy 3 22 3 2" xfId="28327" xr:uid="{00000000-0005-0000-0000-0000B46E0000}"/>
    <cellStyle name="Procentowy 3 22 3 3" xfId="28328" xr:uid="{00000000-0005-0000-0000-0000B56E0000}"/>
    <cellStyle name="Procentowy 3 22 3 4" xfId="28329" xr:uid="{00000000-0005-0000-0000-0000B66E0000}"/>
    <cellStyle name="Procentowy 3 22 3 5" xfId="28330" xr:uid="{00000000-0005-0000-0000-0000B76E0000}"/>
    <cellStyle name="Procentowy 3 22 3 6" xfId="28331" xr:uid="{00000000-0005-0000-0000-0000B86E0000}"/>
    <cellStyle name="Procentowy 3 22 3 7" xfId="28332" xr:uid="{00000000-0005-0000-0000-0000B96E0000}"/>
    <cellStyle name="Procentowy 3 22 30" xfId="28333" xr:uid="{00000000-0005-0000-0000-0000BA6E0000}"/>
    <cellStyle name="Procentowy 3 22 30 2" xfId="28334" xr:uid="{00000000-0005-0000-0000-0000BB6E0000}"/>
    <cellStyle name="Procentowy 3 22 31" xfId="28335" xr:uid="{00000000-0005-0000-0000-0000BC6E0000}"/>
    <cellStyle name="Procentowy 3 22 31 2" xfId="28336" xr:uid="{00000000-0005-0000-0000-0000BD6E0000}"/>
    <cellStyle name="Procentowy 3 22 32" xfId="28337" xr:uid="{00000000-0005-0000-0000-0000BE6E0000}"/>
    <cellStyle name="Procentowy 3 22 33" xfId="28338" xr:uid="{00000000-0005-0000-0000-0000BF6E0000}"/>
    <cellStyle name="Procentowy 3 22 34" xfId="28339" xr:uid="{00000000-0005-0000-0000-0000C06E0000}"/>
    <cellStyle name="Procentowy 3 22 35" xfId="28340" xr:uid="{00000000-0005-0000-0000-0000C16E0000}"/>
    <cellStyle name="Procentowy 3 22 36" xfId="28341" xr:uid="{00000000-0005-0000-0000-0000C26E0000}"/>
    <cellStyle name="Procentowy 3 22 37" xfId="28342" xr:uid="{00000000-0005-0000-0000-0000C36E0000}"/>
    <cellStyle name="Procentowy 3 22 38" xfId="28343" xr:uid="{00000000-0005-0000-0000-0000C46E0000}"/>
    <cellStyle name="Procentowy 3 22 39" xfId="28344" xr:uid="{00000000-0005-0000-0000-0000C56E0000}"/>
    <cellStyle name="Procentowy 3 22 4" xfId="28345" xr:uid="{00000000-0005-0000-0000-0000C66E0000}"/>
    <cellStyle name="Procentowy 3 22 4 2" xfId="28346" xr:uid="{00000000-0005-0000-0000-0000C76E0000}"/>
    <cellStyle name="Procentowy 3 22 4 3" xfId="28347" xr:uid="{00000000-0005-0000-0000-0000C86E0000}"/>
    <cellStyle name="Procentowy 3 22 4 4" xfId="28348" xr:uid="{00000000-0005-0000-0000-0000C96E0000}"/>
    <cellStyle name="Procentowy 3 22 4 5" xfId="28349" xr:uid="{00000000-0005-0000-0000-0000CA6E0000}"/>
    <cellStyle name="Procentowy 3 22 4 6" xfId="28350" xr:uid="{00000000-0005-0000-0000-0000CB6E0000}"/>
    <cellStyle name="Procentowy 3 22 4 7" xfId="28351" xr:uid="{00000000-0005-0000-0000-0000CC6E0000}"/>
    <cellStyle name="Procentowy 3 22 40" xfId="28352" xr:uid="{00000000-0005-0000-0000-0000CD6E0000}"/>
    <cellStyle name="Procentowy 3 22 41" xfId="28353" xr:uid="{00000000-0005-0000-0000-0000CE6E0000}"/>
    <cellStyle name="Procentowy 3 22 42" xfId="28354" xr:uid="{00000000-0005-0000-0000-0000CF6E0000}"/>
    <cellStyle name="Procentowy 3 22 43" xfId="28355" xr:uid="{00000000-0005-0000-0000-0000D06E0000}"/>
    <cellStyle name="Procentowy 3 22 44" xfId="28356" xr:uid="{00000000-0005-0000-0000-0000D16E0000}"/>
    <cellStyle name="Procentowy 3 22 45" xfId="28357" xr:uid="{00000000-0005-0000-0000-0000D26E0000}"/>
    <cellStyle name="Procentowy 3 22 46" xfId="28358" xr:uid="{00000000-0005-0000-0000-0000D36E0000}"/>
    <cellStyle name="Procentowy 3 22 47" xfId="28359" xr:uid="{00000000-0005-0000-0000-0000D46E0000}"/>
    <cellStyle name="Procentowy 3 22 48" xfId="28360" xr:uid="{00000000-0005-0000-0000-0000D56E0000}"/>
    <cellStyle name="Procentowy 3 22 49" xfId="28361" xr:uid="{00000000-0005-0000-0000-0000D66E0000}"/>
    <cellStyle name="Procentowy 3 22 5" xfId="28362" xr:uid="{00000000-0005-0000-0000-0000D76E0000}"/>
    <cellStyle name="Procentowy 3 22 5 2" xfId="28363" xr:uid="{00000000-0005-0000-0000-0000D86E0000}"/>
    <cellStyle name="Procentowy 3 22 5 3" xfId="28364" xr:uid="{00000000-0005-0000-0000-0000D96E0000}"/>
    <cellStyle name="Procentowy 3 22 5 4" xfId="28365" xr:uid="{00000000-0005-0000-0000-0000DA6E0000}"/>
    <cellStyle name="Procentowy 3 22 5 5" xfId="28366" xr:uid="{00000000-0005-0000-0000-0000DB6E0000}"/>
    <cellStyle name="Procentowy 3 22 5 6" xfId="28367" xr:uid="{00000000-0005-0000-0000-0000DC6E0000}"/>
    <cellStyle name="Procentowy 3 22 5 7" xfId="28368" xr:uid="{00000000-0005-0000-0000-0000DD6E0000}"/>
    <cellStyle name="Procentowy 3 22 50" xfId="28369" xr:uid="{00000000-0005-0000-0000-0000DE6E0000}"/>
    <cellStyle name="Procentowy 3 22 51" xfId="28370" xr:uid="{00000000-0005-0000-0000-0000DF6E0000}"/>
    <cellStyle name="Procentowy 3 22 52" xfId="28371" xr:uid="{00000000-0005-0000-0000-0000E06E0000}"/>
    <cellStyle name="Procentowy 3 22 53" xfId="28372" xr:uid="{00000000-0005-0000-0000-0000E16E0000}"/>
    <cellStyle name="Procentowy 3 22 54" xfId="28373" xr:uid="{00000000-0005-0000-0000-0000E26E0000}"/>
    <cellStyle name="Procentowy 3 22 55" xfId="28374" xr:uid="{00000000-0005-0000-0000-0000E36E0000}"/>
    <cellStyle name="Procentowy 3 22 56" xfId="28375" xr:uid="{00000000-0005-0000-0000-0000E46E0000}"/>
    <cellStyle name="Procentowy 3 22 57" xfId="28376" xr:uid="{00000000-0005-0000-0000-0000E56E0000}"/>
    <cellStyle name="Procentowy 3 22 58" xfId="28377" xr:uid="{00000000-0005-0000-0000-0000E66E0000}"/>
    <cellStyle name="Procentowy 3 22 59" xfId="28378" xr:uid="{00000000-0005-0000-0000-0000E76E0000}"/>
    <cellStyle name="Procentowy 3 22 6" xfId="28379" xr:uid="{00000000-0005-0000-0000-0000E86E0000}"/>
    <cellStyle name="Procentowy 3 22 6 2" xfId="28380" xr:uid="{00000000-0005-0000-0000-0000E96E0000}"/>
    <cellStyle name="Procentowy 3 22 60" xfId="28381" xr:uid="{00000000-0005-0000-0000-0000EA6E0000}"/>
    <cellStyle name="Procentowy 3 22 61" xfId="28382" xr:uid="{00000000-0005-0000-0000-0000EB6E0000}"/>
    <cellStyle name="Procentowy 3 22 62" xfId="28383" xr:uid="{00000000-0005-0000-0000-0000EC6E0000}"/>
    <cellStyle name="Procentowy 3 22 63" xfId="28384" xr:uid="{00000000-0005-0000-0000-0000ED6E0000}"/>
    <cellStyle name="Procentowy 3 22 64" xfId="28385" xr:uid="{00000000-0005-0000-0000-0000EE6E0000}"/>
    <cellStyle name="Procentowy 3 22 65" xfId="28386" xr:uid="{00000000-0005-0000-0000-0000EF6E0000}"/>
    <cellStyle name="Procentowy 3 22 66" xfId="28387" xr:uid="{00000000-0005-0000-0000-0000F06E0000}"/>
    <cellStyle name="Procentowy 3 22 67" xfId="28388" xr:uid="{00000000-0005-0000-0000-0000F16E0000}"/>
    <cellStyle name="Procentowy 3 22 68" xfId="28389" xr:uid="{00000000-0005-0000-0000-0000F26E0000}"/>
    <cellStyle name="Procentowy 3 22 69" xfId="28390" xr:uid="{00000000-0005-0000-0000-0000F36E0000}"/>
    <cellStyle name="Procentowy 3 22 7" xfId="28391" xr:uid="{00000000-0005-0000-0000-0000F46E0000}"/>
    <cellStyle name="Procentowy 3 22 7 2" xfId="28392" xr:uid="{00000000-0005-0000-0000-0000F56E0000}"/>
    <cellStyle name="Procentowy 3 22 70" xfId="28393" xr:uid="{00000000-0005-0000-0000-0000F66E0000}"/>
    <cellStyle name="Procentowy 3 22 71" xfId="28394" xr:uid="{00000000-0005-0000-0000-0000F76E0000}"/>
    <cellStyle name="Procentowy 3 22 72" xfId="28395" xr:uid="{00000000-0005-0000-0000-0000F86E0000}"/>
    <cellStyle name="Procentowy 3 22 73" xfId="28396" xr:uid="{00000000-0005-0000-0000-0000F96E0000}"/>
    <cellStyle name="Procentowy 3 22 74" xfId="28397" xr:uid="{00000000-0005-0000-0000-0000FA6E0000}"/>
    <cellStyle name="Procentowy 3 22 8" xfId="28398" xr:uid="{00000000-0005-0000-0000-0000FB6E0000}"/>
    <cellStyle name="Procentowy 3 22 8 2" xfId="28399" xr:uid="{00000000-0005-0000-0000-0000FC6E0000}"/>
    <cellStyle name="Procentowy 3 22 9" xfId="28400" xr:uid="{00000000-0005-0000-0000-0000FD6E0000}"/>
    <cellStyle name="Procentowy 3 22 9 2" xfId="28401" xr:uid="{00000000-0005-0000-0000-0000FE6E0000}"/>
    <cellStyle name="Procentowy 3 23" xfId="28402" xr:uid="{00000000-0005-0000-0000-0000FF6E0000}"/>
    <cellStyle name="Procentowy 3 23 10" xfId="28403" xr:uid="{00000000-0005-0000-0000-0000006F0000}"/>
    <cellStyle name="Procentowy 3 23 10 2" xfId="28404" xr:uid="{00000000-0005-0000-0000-0000016F0000}"/>
    <cellStyle name="Procentowy 3 23 11" xfId="28405" xr:uid="{00000000-0005-0000-0000-0000026F0000}"/>
    <cellStyle name="Procentowy 3 23 11 2" xfId="28406" xr:uid="{00000000-0005-0000-0000-0000036F0000}"/>
    <cellStyle name="Procentowy 3 23 12" xfId="28407" xr:uid="{00000000-0005-0000-0000-0000046F0000}"/>
    <cellStyle name="Procentowy 3 23 12 2" xfId="28408" xr:uid="{00000000-0005-0000-0000-0000056F0000}"/>
    <cellStyle name="Procentowy 3 23 13" xfId="28409" xr:uid="{00000000-0005-0000-0000-0000066F0000}"/>
    <cellStyle name="Procentowy 3 23 13 2" xfId="28410" xr:uid="{00000000-0005-0000-0000-0000076F0000}"/>
    <cellStyle name="Procentowy 3 23 14" xfId="28411" xr:uid="{00000000-0005-0000-0000-0000086F0000}"/>
    <cellStyle name="Procentowy 3 23 14 2" xfId="28412" xr:uid="{00000000-0005-0000-0000-0000096F0000}"/>
    <cellStyle name="Procentowy 3 23 15" xfId="28413" xr:uid="{00000000-0005-0000-0000-00000A6F0000}"/>
    <cellStyle name="Procentowy 3 23 15 2" xfId="28414" xr:uid="{00000000-0005-0000-0000-00000B6F0000}"/>
    <cellStyle name="Procentowy 3 23 16" xfId="28415" xr:uid="{00000000-0005-0000-0000-00000C6F0000}"/>
    <cellStyle name="Procentowy 3 23 16 2" xfId="28416" xr:uid="{00000000-0005-0000-0000-00000D6F0000}"/>
    <cellStyle name="Procentowy 3 23 17" xfId="28417" xr:uid="{00000000-0005-0000-0000-00000E6F0000}"/>
    <cellStyle name="Procentowy 3 23 17 2" xfId="28418" xr:uid="{00000000-0005-0000-0000-00000F6F0000}"/>
    <cellStyle name="Procentowy 3 23 18" xfId="28419" xr:uid="{00000000-0005-0000-0000-0000106F0000}"/>
    <cellStyle name="Procentowy 3 23 18 2" xfId="28420" xr:uid="{00000000-0005-0000-0000-0000116F0000}"/>
    <cellStyle name="Procentowy 3 23 19" xfId="28421" xr:uid="{00000000-0005-0000-0000-0000126F0000}"/>
    <cellStyle name="Procentowy 3 23 19 2" xfId="28422" xr:uid="{00000000-0005-0000-0000-0000136F0000}"/>
    <cellStyle name="Procentowy 3 23 2" xfId="28423" xr:uid="{00000000-0005-0000-0000-0000146F0000}"/>
    <cellStyle name="Procentowy 3 23 2 2" xfId="28424" xr:uid="{00000000-0005-0000-0000-0000156F0000}"/>
    <cellStyle name="Procentowy 3 23 2 3" xfId="28425" xr:uid="{00000000-0005-0000-0000-0000166F0000}"/>
    <cellStyle name="Procentowy 3 23 2 4" xfId="28426" xr:uid="{00000000-0005-0000-0000-0000176F0000}"/>
    <cellStyle name="Procentowy 3 23 2 5" xfId="28427" xr:uid="{00000000-0005-0000-0000-0000186F0000}"/>
    <cellStyle name="Procentowy 3 23 2 6" xfId="28428" xr:uid="{00000000-0005-0000-0000-0000196F0000}"/>
    <cellStyle name="Procentowy 3 23 2 7" xfId="28429" xr:uid="{00000000-0005-0000-0000-00001A6F0000}"/>
    <cellStyle name="Procentowy 3 23 20" xfId="28430" xr:uid="{00000000-0005-0000-0000-00001B6F0000}"/>
    <cellStyle name="Procentowy 3 23 20 2" xfId="28431" xr:uid="{00000000-0005-0000-0000-00001C6F0000}"/>
    <cellStyle name="Procentowy 3 23 21" xfId="28432" xr:uid="{00000000-0005-0000-0000-00001D6F0000}"/>
    <cellStyle name="Procentowy 3 23 21 2" xfId="28433" xr:uid="{00000000-0005-0000-0000-00001E6F0000}"/>
    <cellStyle name="Procentowy 3 23 22" xfId="28434" xr:uid="{00000000-0005-0000-0000-00001F6F0000}"/>
    <cellStyle name="Procentowy 3 23 22 2" xfId="28435" xr:uid="{00000000-0005-0000-0000-0000206F0000}"/>
    <cellStyle name="Procentowy 3 23 23" xfId="28436" xr:uid="{00000000-0005-0000-0000-0000216F0000}"/>
    <cellStyle name="Procentowy 3 23 23 2" xfId="28437" xr:uid="{00000000-0005-0000-0000-0000226F0000}"/>
    <cellStyle name="Procentowy 3 23 24" xfId="28438" xr:uid="{00000000-0005-0000-0000-0000236F0000}"/>
    <cellStyle name="Procentowy 3 23 24 2" xfId="28439" xr:uid="{00000000-0005-0000-0000-0000246F0000}"/>
    <cellStyle name="Procentowy 3 23 25" xfId="28440" xr:uid="{00000000-0005-0000-0000-0000256F0000}"/>
    <cellStyle name="Procentowy 3 23 25 2" xfId="28441" xr:uid="{00000000-0005-0000-0000-0000266F0000}"/>
    <cellStyle name="Procentowy 3 23 26" xfId="28442" xr:uid="{00000000-0005-0000-0000-0000276F0000}"/>
    <cellStyle name="Procentowy 3 23 26 2" xfId="28443" xr:uid="{00000000-0005-0000-0000-0000286F0000}"/>
    <cellStyle name="Procentowy 3 23 27" xfId="28444" xr:uid="{00000000-0005-0000-0000-0000296F0000}"/>
    <cellStyle name="Procentowy 3 23 27 2" xfId="28445" xr:uid="{00000000-0005-0000-0000-00002A6F0000}"/>
    <cellStyle name="Procentowy 3 23 28" xfId="28446" xr:uid="{00000000-0005-0000-0000-00002B6F0000}"/>
    <cellStyle name="Procentowy 3 23 28 2" xfId="28447" xr:uid="{00000000-0005-0000-0000-00002C6F0000}"/>
    <cellStyle name="Procentowy 3 23 29" xfId="28448" xr:uid="{00000000-0005-0000-0000-00002D6F0000}"/>
    <cellStyle name="Procentowy 3 23 29 2" xfId="28449" xr:uid="{00000000-0005-0000-0000-00002E6F0000}"/>
    <cellStyle name="Procentowy 3 23 3" xfId="28450" xr:uid="{00000000-0005-0000-0000-00002F6F0000}"/>
    <cellStyle name="Procentowy 3 23 3 2" xfId="28451" xr:uid="{00000000-0005-0000-0000-0000306F0000}"/>
    <cellStyle name="Procentowy 3 23 3 3" xfId="28452" xr:uid="{00000000-0005-0000-0000-0000316F0000}"/>
    <cellStyle name="Procentowy 3 23 3 4" xfId="28453" xr:uid="{00000000-0005-0000-0000-0000326F0000}"/>
    <cellStyle name="Procentowy 3 23 3 5" xfId="28454" xr:uid="{00000000-0005-0000-0000-0000336F0000}"/>
    <cellStyle name="Procentowy 3 23 3 6" xfId="28455" xr:uid="{00000000-0005-0000-0000-0000346F0000}"/>
    <cellStyle name="Procentowy 3 23 3 7" xfId="28456" xr:uid="{00000000-0005-0000-0000-0000356F0000}"/>
    <cellStyle name="Procentowy 3 23 30" xfId="28457" xr:uid="{00000000-0005-0000-0000-0000366F0000}"/>
    <cellStyle name="Procentowy 3 23 30 2" xfId="28458" xr:uid="{00000000-0005-0000-0000-0000376F0000}"/>
    <cellStyle name="Procentowy 3 23 31" xfId="28459" xr:uid="{00000000-0005-0000-0000-0000386F0000}"/>
    <cellStyle name="Procentowy 3 23 31 2" xfId="28460" xr:uid="{00000000-0005-0000-0000-0000396F0000}"/>
    <cellStyle name="Procentowy 3 23 32" xfId="28461" xr:uid="{00000000-0005-0000-0000-00003A6F0000}"/>
    <cellStyle name="Procentowy 3 23 33" xfId="28462" xr:uid="{00000000-0005-0000-0000-00003B6F0000}"/>
    <cellStyle name="Procentowy 3 23 34" xfId="28463" xr:uid="{00000000-0005-0000-0000-00003C6F0000}"/>
    <cellStyle name="Procentowy 3 23 35" xfId="28464" xr:uid="{00000000-0005-0000-0000-00003D6F0000}"/>
    <cellStyle name="Procentowy 3 23 36" xfId="28465" xr:uid="{00000000-0005-0000-0000-00003E6F0000}"/>
    <cellStyle name="Procentowy 3 23 37" xfId="28466" xr:uid="{00000000-0005-0000-0000-00003F6F0000}"/>
    <cellStyle name="Procentowy 3 23 38" xfId="28467" xr:uid="{00000000-0005-0000-0000-0000406F0000}"/>
    <cellStyle name="Procentowy 3 23 39" xfId="28468" xr:uid="{00000000-0005-0000-0000-0000416F0000}"/>
    <cellStyle name="Procentowy 3 23 4" xfId="28469" xr:uid="{00000000-0005-0000-0000-0000426F0000}"/>
    <cellStyle name="Procentowy 3 23 4 2" xfId="28470" xr:uid="{00000000-0005-0000-0000-0000436F0000}"/>
    <cellStyle name="Procentowy 3 23 4 3" xfId="28471" xr:uid="{00000000-0005-0000-0000-0000446F0000}"/>
    <cellStyle name="Procentowy 3 23 4 4" xfId="28472" xr:uid="{00000000-0005-0000-0000-0000456F0000}"/>
    <cellStyle name="Procentowy 3 23 4 5" xfId="28473" xr:uid="{00000000-0005-0000-0000-0000466F0000}"/>
    <cellStyle name="Procentowy 3 23 4 6" xfId="28474" xr:uid="{00000000-0005-0000-0000-0000476F0000}"/>
    <cellStyle name="Procentowy 3 23 4 7" xfId="28475" xr:uid="{00000000-0005-0000-0000-0000486F0000}"/>
    <cellStyle name="Procentowy 3 23 40" xfId="28476" xr:uid="{00000000-0005-0000-0000-0000496F0000}"/>
    <cellStyle name="Procentowy 3 23 41" xfId="28477" xr:uid="{00000000-0005-0000-0000-00004A6F0000}"/>
    <cellStyle name="Procentowy 3 23 42" xfId="28478" xr:uid="{00000000-0005-0000-0000-00004B6F0000}"/>
    <cellStyle name="Procentowy 3 23 43" xfId="28479" xr:uid="{00000000-0005-0000-0000-00004C6F0000}"/>
    <cellStyle name="Procentowy 3 23 44" xfId="28480" xr:uid="{00000000-0005-0000-0000-00004D6F0000}"/>
    <cellStyle name="Procentowy 3 23 45" xfId="28481" xr:uid="{00000000-0005-0000-0000-00004E6F0000}"/>
    <cellStyle name="Procentowy 3 23 46" xfId="28482" xr:uid="{00000000-0005-0000-0000-00004F6F0000}"/>
    <cellStyle name="Procentowy 3 23 47" xfId="28483" xr:uid="{00000000-0005-0000-0000-0000506F0000}"/>
    <cellStyle name="Procentowy 3 23 48" xfId="28484" xr:uid="{00000000-0005-0000-0000-0000516F0000}"/>
    <cellStyle name="Procentowy 3 23 49" xfId="28485" xr:uid="{00000000-0005-0000-0000-0000526F0000}"/>
    <cellStyle name="Procentowy 3 23 5" xfId="28486" xr:uid="{00000000-0005-0000-0000-0000536F0000}"/>
    <cellStyle name="Procentowy 3 23 5 2" xfId="28487" xr:uid="{00000000-0005-0000-0000-0000546F0000}"/>
    <cellStyle name="Procentowy 3 23 5 3" xfId="28488" xr:uid="{00000000-0005-0000-0000-0000556F0000}"/>
    <cellStyle name="Procentowy 3 23 5 4" xfId="28489" xr:uid="{00000000-0005-0000-0000-0000566F0000}"/>
    <cellStyle name="Procentowy 3 23 5 5" xfId="28490" xr:uid="{00000000-0005-0000-0000-0000576F0000}"/>
    <cellStyle name="Procentowy 3 23 5 6" xfId="28491" xr:uid="{00000000-0005-0000-0000-0000586F0000}"/>
    <cellStyle name="Procentowy 3 23 5 7" xfId="28492" xr:uid="{00000000-0005-0000-0000-0000596F0000}"/>
    <cellStyle name="Procentowy 3 23 50" xfId="28493" xr:uid="{00000000-0005-0000-0000-00005A6F0000}"/>
    <cellStyle name="Procentowy 3 23 51" xfId="28494" xr:uid="{00000000-0005-0000-0000-00005B6F0000}"/>
    <cellStyle name="Procentowy 3 23 52" xfId="28495" xr:uid="{00000000-0005-0000-0000-00005C6F0000}"/>
    <cellStyle name="Procentowy 3 23 53" xfId="28496" xr:uid="{00000000-0005-0000-0000-00005D6F0000}"/>
    <cellStyle name="Procentowy 3 23 54" xfId="28497" xr:uid="{00000000-0005-0000-0000-00005E6F0000}"/>
    <cellStyle name="Procentowy 3 23 55" xfId="28498" xr:uid="{00000000-0005-0000-0000-00005F6F0000}"/>
    <cellStyle name="Procentowy 3 23 56" xfId="28499" xr:uid="{00000000-0005-0000-0000-0000606F0000}"/>
    <cellStyle name="Procentowy 3 23 57" xfId="28500" xr:uid="{00000000-0005-0000-0000-0000616F0000}"/>
    <cellStyle name="Procentowy 3 23 58" xfId="28501" xr:uid="{00000000-0005-0000-0000-0000626F0000}"/>
    <cellStyle name="Procentowy 3 23 59" xfId="28502" xr:uid="{00000000-0005-0000-0000-0000636F0000}"/>
    <cellStyle name="Procentowy 3 23 6" xfId="28503" xr:uid="{00000000-0005-0000-0000-0000646F0000}"/>
    <cellStyle name="Procentowy 3 23 6 2" xfId="28504" xr:uid="{00000000-0005-0000-0000-0000656F0000}"/>
    <cellStyle name="Procentowy 3 23 60" xfId="28505" xr:uid="{00000000-0005-0000-0000-0000666F0000}"/>
    <cellStyle name="Procentowy 3 23 61" xfId="28506" xr:uid="{00000000-0005-0000-0000-0000676F0000}"/>
    <cellStyle name="Procentowy 3 23 62" xfId="28507" xr:uid="{00000000-0005-0000-0000-0000686F0000}"/>
    <cellStyle name="Procentowy 3 23 63" xfId="28508" xr:uid="{00000000-0005-0000-0000-0000696F0000}"/>
    <cellStyle name="Procentowy 3 23 64" xfId="28509" xr:uid="{00000000-0005-0000-0000-00006A6F0000}"/>
    <cellStyle name="Procentowy 3 23 65" xfId="28510" xr:uid="{00000000-0005-0000-0000-00006B6F0000}"/>
    <cellStyle name="Procentowy 3 23 66" xfId="28511" xr:uid="{00000000-0005-0000-0000-00006C6F0000}"/>
    <cellStyle name="Procentowy 3 23 67" xfId="28512" xr:uid="{00000000-0005-0000-0000-00006D6F0000}"/>
    <cellStyle name="Procentowy 3 23 68" xfId="28513" xr:uid="{00000000-0005-0000-0000-00006E6F0000}"/>
    <cellStyle name="Procentowy 3 23 69" xfId="28514" xr:uid="{00000000-0005-0000-0000-00006F6F0000}"/>
    <cellStyle name="Procentowy 3 23 7" xfId="28515" xr:uid="{00000000-0005-0000-0000-0000706F0000}"/>
    <cellStyle name="Procentowy 3 23 7 2" xfId="28516" xr:uid="{00000000-0005-0000-0000-0000716F0000}"/>
    <cellStyle name="Procentowy 3 23 70" xfId="28517" xr:uid="{00000000-0005-0000-0000-0000726F0000}"/>
    <cellStyle name="Procentowy 3 23 71" xfId="28518" xr:uid="{00000000-0005-0000-0000-0000736F0000}"/>
    <cellStyle name="Procentowy 3 23 72" xfId="28519" xr:uid="{00000000-0005-0000-0000-0000746F0000}"/>
    <cellStyle name="Procentowy 3 23 73" xfId="28520" xr:uid="{00000000-0005-0000-0000-0000756F0000}"/>
    <cellStyle name="Procentowy 3 23 74" xfId="28521" xr:uid="{00000000-0005-0000-0000-0000766F0000}"/>
    <cellStyle name="Procentowy 3 23 8" xfId="28522" xr:uid="{00000000-0005-0000-0000-0000776F0000}"/>
    <cellStyle name="Procentowy 3 23 8 2" xfId="28523" xr:uid="{00000000-0005-0000-0000-0000786F0000}"/>
    <cellStyle name="Procentowy 3 23 9" xfId="28524" xr:uid="{00000000-0005-0000-0000-0000796F0000}"/>
    <cellStyle name="Procentowy 3 23 9 2" xfId="28525" xr:uid="{00000000-0005-0000-0000-00007A6F0000}"/>
    <cellStyle name="Procentowy 3 24" xfId="28526" xr:uid="{00000000-0005-0000-0000-00007B6F0000}"/>
    <cellStyle name="Procentowy 3 24 10" xfId="28527" xr:uid="{00000000-0005-0000-0000-00007C6F0000}"/>
    <cellStyle name="Procentowy 3 24 10 2" xfId="28528" xr:uid="{00000000-0005-0000-0000-00007D6F0000}"/>
    <cellStyle name="Procentowy 3 24 11" xfId="28529" xr:uid="{00000000-0005-0000-0000-00007E6F0000}"/>
    <cellStyle name="Procentowy 3 24 11 2" xfId="28530" xr:uid="{00000000-0005-0000-0000-00007F6F0000}"/>
    <cellStyle name="Procentowy 3 24 12" xfId="28531" xr:uid="{00000000-0005-0000-0000-0000806F0000}"/>
    <cellStyle name="Procentowy 3 24 12 2" xfId="28532" xr:uid="{00000000-0005-0000-0000-0000816F0000}"/>
    <cellStyle name="Procentowy 3 24 13" xfId="28533" xr:uid="{00000000-0005-0000-0000-0000826F0000}"/>
    <cellStyle name="Procentowy 3 24 13 2" xfId="28534" xr:uid="{00000000-0005-0000-0000-0000836F0000}"/>
    <cellStyle name="Procentowy 3 24 14" xfId="28535" xr:uid="{00000000-0005-0000-0000-0000846F0000}"/>
    <cellStyle name="Procentowy 3 24 14 2" xfId="28536" xr:uid="{00000000-0005-0000-0000-0000856F0000}"/>
    <cellStyle name="Procentowy 3 24 15" xfId="28537" xr:uid="{00000000-0005-0000-0000-0000866F0000}"/>
    <cellStyle name="Procentowy 3 24 15 2" xfId="28538" xr:uid="{00000000-0005-0000-0000-0000876F0000}"/>
    <cellStyle name="Procentowy 3 24 16" xfId="28539" xr:uid="{00000000-0005-0000-0000-0000886F0000}"/>
    <cellStyle name="Procentowy 3 24 16 2" xfId="28540" xr:uid="{00000000-0005-0000-0000-0000896F0000}"/>
    <cellStyle name="Procentowy 3 24 17" xfId="28541" xr:uid="{00000000-0005-0000-0000-00008A6F0000}"/>
    <cellStyle name="Procentowy 3 24 17 2" xfId="28542" xr:uid="{00000000-0005-0000-0000-00008B6F0000}"/>
    <cellStyle name="Procentowy 3 24 18" xfId="28543" xr:uid="{00000000-0005-0000-0000-00008C6F0000}"/>
    <cellStyle name="Procentowy 3 24 18 2" xfId="28544" xr:uid="{00000000-0005-0000-0000-00008D6F0000}"/>
    <cellStyle name="Procentowy 3 24 19" xfId="28545" xr:uid="{00000000-0005-0000-0000-00008E6F0000}"/>
    <cellStyle name="Procentowy 3 24 19 2" xfId="28546" xr:uid="{00000000-0005-0000-0000-00008F6F0000}"/>
    <cellStyle name="Procentowy 3 24 2" xfId="28547" xr:uid="{00000000-0005-0000-0000-0000906F0000}"/>
    <cellStyle name="Procentowy 3 24 2 2" xfId="28548" xr:uid="{00000000-0005-0000-0000-0000916F0000}"/>
    <cellStyle name="Procentowy 3 24 2 3" xfId="28549" xr:uid="{00000000-0005-0000-0000-0000926F0000}"/>
    <cellStyle name="Procentowy 3 24 2 4" xfId="28550" xr:uid="{00000000-0005-0000-0000-0000936F0000}"/>
    <cellStyle name="Procentowy 3 24 2 5" xfId="28551" xr:uid="{00000000-0005-0000-0000-0000946F0000}"/>
    <cellStyle name="Procentowy 3 24 2 6" xfId="28552" xr:uid="{00000000-0005-0000-0000-0000956F0000}"/>
    <cellStyle name="Procentowy 3 24 2 7" xfId="28553" xr:uid="{00000000-0005-0000-0000-0000966F0000}"/>
    <cellStyle name="Procentowy 3 24 20" xfId="28554" xr:uid="{00000000-0005-0000-0000-0000976F0000}"/>
    <cellStyle name="Procentowy 3 24 20 2" xfId="28555" xr:uid="{00000000-0005-0000-0000-0000986F0000}"/>
    <cellStyle name="Procentowy 3 24 21" xfId="28556" xr:uid="{00000000-0005-0000-0000-0000996F0000}"/>
    <cellStyle name="Procentowy 3 24 21 2" xfId="28557" xr:uid="{00000000-0005-0000-0000-00009A6F0000}"/>
    <cellStyle name="Procentowy 3 24 22" xfId="28558" xr:uid="{00000000-0005-0000-0000-00009B6F0000}"/>
    <cellStyle name="Procentowy 3 24 22 2" xfId="28559" xr:uid="{00000000-0005-0000-0000-00009C6F0000}"/>
    <cellStyle name="Procentowy 3 24 23" xfId="28560" xr:uid="{00000000-0005-0000-0000-00009D6F0000}"/>
    <cellStyle name="Procentowy 3 24 23 2" xfId="28561" xr:uid="{00000000-0005-0000-0000-00009E6F0000}"/>
    <cellStyle name="Procentowy 3 24 24" xfId="28562" xr:uid="{00000000-0005-0000-0000-00009F6F0000}"/>
    <cellStyle name="Procentowy 3 24 24 2" xfId="28563" xr:uid="{00000000-0005-0000-0000-0000A06F0000}"/>
    <cellStyle name="Procentowy 3 24 25" xfId="28564" xr:uid="{00000000-0005-0000-0000-0000A16F0000}"/>
    <cellStyle name="Procentowy 3 24 25 2" xfId="28565" xr:uid="{00000000-0005-0000-0000-0000A26F0000}"/>
    <cellStyle name="Procentowy 3 24 26" xfId="28566" xr:uid="{00000000-0005-0000-0000-0000A36F0000}"/>
    <cellStyle name="Procentowy 3 24 26 2" xfId="28567" xr:uid="{00000000-0005-0000-0000-0000A46F0000}"/>
    <cellStyle name="Procentowy 3 24 27" xfId="28568" xr:uid="{00000000-0005-0000-0000-0000A56F0000}"/>
    <cellStyle name="Procentowy 3 24 27 2" xfId="28569" xr:uid="{00000000-0005-0000-0000-0000A66F0000}"/>
    <cellStyle name="Procentowy 3 24 28" xfId="28570" xr:uid="{00000000-0005-0000-0000-0000A76F0000}"/>
    <cellStyle name="Procentowy 3 24 28 2" xfId="28571" xr:uid="{00000000-0005-0000-0000-0000A86F0000}"/>
    <cellStyle name="Procentowy 3 24 29" xfId="28572" xr:uid="{00000000-0005-0000-0000-0000A96F0000}"/>
    <cellStyle name="Procentowy 3 24 29 2" xfId="28573" xr:uid="{00000000-0005-0000-0000-0000AA6F0000}"/>
    <cellStyle name="Procentowy 3 24 3" xfId="28574" xr:uid="{00000000-0005-0000-0000-0000AB6F0000}"/>
    <cellStyle name="Procentowy 3 24 3 2" xfId="28575" xr:uid="{00000000-0005-0000-0000-0000AC6F0000}"/>
    <cellStyle name="Procentowy 3 24 3 3" xfId="28576" xr:uid="{00000000-0005-0000-0000-0000AD6F0000}"/>
    <cellStyle name="Procentowy 3 24 3 4" xfId="28577" xr:uid="{00000000-0005-0000-0000-0000AE6F0000}"/>
    <cellStyle name="Procentowy 3 24 3 5" xfId="28578" xr:uid="{00000000-0005-0000-0000-0000AF6F0000}"/>
    <cellStyle name="Procentowy 3 24 3 6" xfId="28579" xr:uid="{00000000-0005-0000-0000-0000B06F0000}"/>
    <cellStyle name="Procentowy 3 24 3 7" xfId="28580" xr:uid="{00000000-0005-0000-0000-0000B16F0000}"/>
    <cellStyle name="Procentowy 3 24 30" xfId="28581" xr:uid="{00000000-0005-0000-0000-0000B26F0000}"/>
    <cellStyle name="Procentowy 3 24 30 2" xfId="28582" xr:uid="{00000000-0005-0000-0000-0000B36F0000}"/>
    <cellStyle name="Procentowy 3 24 31" xfId="28583" xr:uid="{00000000-0005-0000-0000-0000B46F0000}"/>
    <cellStyle name="Procentowy 3 24 31 2" xfId="28584" xr:uid="{00000000-0005-0000-0000-0000B56F0000}"/>
    <cellStyle name="Procentowy 3 24 32" xfId="28585" xr:uid="{00000000-0005-0000-0000-0000B66F0000}"/>
    <cellStyle name="Procentowy 3 24 33" xfId="28586" xr:uid="{00000000-0005-0000-0000-0000B76F0000}"/>
    <cellStyle name="Procentowy 3 24 34" xfId="28587" xr:uid="{00000000-0005-0000-0000-0000B86F0000}"/>
    <cellStyle name="Procentowy 3 24 35" xfId="28588" xr:uid="{00000000-0005-0000-0000-0000B96F0000}"/>
    <cellStyle name="Procentowy 3 24 36" xfId="28589" xr:uid="{00000000-0005-0000-0000-0000BA6F0000}"/>
    <cellStyle name="Procentowy 3 24 37" xfId="28590" xr:uid="{00000000-0005-0000-0000-0000BB6F0000}"/>
    <cellStyle name="Procentowy 3 24 38" xfId="28591" xr:uid="{00000000-0005-0000-0000-0000BC6F0000}"/>
    <cellStyle name="Procentowy 3 24 39" xfId="28592" xr:uid="{00000000-0005-0000-0000-0000BD6F0000}"/>
    <cellStyle name="Procentowy 3 24 4" xfId="28593" xr:uid="{00000000-0005-0000-0000-0000BE6F0000}"/>
    <cellStyle name="Procentowy 3 24 4 2" xfId="28594" xr:uid="{00000000-0005-0000-0000-0000BF6F0000}"/>
    <cellStyle name="Procentowy 3 24 4 3" xfId="28595" xr:uid="{00000000-0005-0000-0000-0000C06F0000}"/>
    <cellStyle name="Procentowy 3 24 4 4" xfId="28596" xr:uid="{00000000-0005-0000-0000-0000C16F0000}"/>
    <cellStyle name="Procentowy 3 24 4 5" xfId="28597" xr:uid="{00000000-0005-0000-0000-0000C26F0000}"/>
    <cellStyle name="Procentowy 3 24 4 6" xfId="28598" xr:uid="{00000000-0005-0000-0000-0000C36F0000}"/>
    <cellStyle name="Procentowy 3 24 4 7" xfId="28599" xr:uid="{00000000-0005-0000-0000-0000C46F0000}"/>
    <cellStyle name="Procentowy 3 24 40" xfId="28600" xr:uid="{00000000-0005-0000-0000-0000C56F0000}"/>
    <cellStyle name="Procentowy 3 24 41" xfId="28601" xr:uid="{00000000-0005-0000-0000-0000C66F0000}"/>
    <cellStyle name="Procentowy 3 24 42" xfId="28602" xr:uid="{00000000-0005-0000-0000-0000C76F0000}"/>
    <cellStyle name="Procentowy 3 24 43" xfId="28603" xr:uid="{00000000-0005-0000-0000-0000C86F0000}"/>
    <cellStyle name="Procentowy 3 24 44" xfId="28604" xr:uid="{00000000-0005-0000-0000-0000C96F0000}"/>
    <cellStyle name="Procentowy 3 24 45" xfId="28605" xr:uid="{00000000-0005-0000-0000-0000CA6F0000}"/>
    <cellStyle name="Procentowy 3 24 46" xfId="28606" xr:uid="{00000000-0005-0000-0000-0000CB6F0000}"/>
    <cellStyle name="Procentowy 3 24 47" xfId="28607" xr:uid="{00000000-0005-0000-0000-0000CC6F0000}"/>
    <cellStyle name="Procentowy 3 24 48" xfId="28608" xr:uid="{00000000-0005-0000-0000-0000CD6F0000}"/>
    <cellStyle name="Procentowy 3 24 49" xfId="28609" xr:uid="{00000000-0005-0000-0000-0000CE6F0000}"/>
    <cellStyle name="Procentowy 3 24 5" xfId="28610" xr:uid="{00000000-0005-0000-0000-0000CF6F0000}"/>
    <cellStyle name="Procentowy 3 24 5 2" xfId="28611" xr:uid="{00000000-0005-0000-0000-0000D06F0000}"/>
    <cellStyle name="Procentowy 3 24 5 3" xfId="28612" xr:uid="{00000000-0005-0000-0000-0000D16F0000}"/>
    <cellStyle name="Procentowy 3 24 5 4" xfId="28613" xr:uid="{00000000-0005-0000-0000-0000D26F0000}"/>
    <cellStyle name="Procentowy 3 24 5 5" xfId="28614" xr:uid="{00000000-0005-0000-0000-0000D36F0000}"/>
    <cellStyle name="Procentowy 3 24 5 6" xfId="28615" xr:uid="{00000000-0005-0000-0000-0000D46F0000}"/>
    <cellStyle name="Procentowy 3 24 5 7" xfId="28616" xr:uid="{00000000-0005-0000-0000-0000D56F0000}"/>
    <cellStyle name="Procentowy 3 24 50" xfId="28617" xr:uid="{00000000-0005-0000-0000-0000D66F0000}"/>
    <cellStyle name="Procentowy 3 24 51" xfId="28618" xr:uid="{00000000-0005-0000-0000-0000D76F0000}"/>
    <cellStyle name="Procentowy 3 24 52" xfId="28619" xr:uid="{00000000-0005-0000-0000-0000D86F0000}"/>
    <cellStyle name="Procentowy 3 24 53" xfId="28620" xr:uid="{00000000-0005-0000-0000-0000D96F0000}"/>
    <cellStyle name="Procentowy 3 24 54" xfId="28621" xr:uid="{00000000-0005-0000-0000-0000DA6F0000}"/>
    <cellStyle name="Procentowy 3 24 55" xfId="28622" xr:uid="{00000000-0005-0000-0000-0000DB6F0000}"/>
    <cellStyle name="Procentowy 3 24 56" xfId="28623" xr:uid="{00000000-0005-0000-0000-0000DC6F0000}"/>
    <cellStyle name="Procentowy 3 24 57" xfId="28624" xr:uid="{00000000-0005-0000-0000-0000DD6F0000}"/>
    <cellStyle name="Procentowy 3 24 58" xfId="28625" xr:uid="{00000000-0005-0000-0000-0000DE6F0000}"/>
    <cellStyle name="Procentowy 3 24 59" xfId="28626" xr:uid="{00000000-0005-0000-0000-0000DF6F0000}"/>
    <cellStyle name="Procentowy 3 24 6" xfId="28627" xr:uid="{00000000-0005-0000-0000-0000E06F0000}"/>
    <cellStyle name="Procentowy 3 24 6 2" xfId="28628" xr:uid="{00000000-0005-0000-0000-0000E16F0000}"/>
    <cellStyle name="Procentowy 3 24 60" xfId="28629" xr:uid="{00000000-0005-0000-0000-0000E26F0000}"/>
    <cellStyle name="Procentowy 3 24 61" xfId="28630" xr:uid="{00000000-0005-0000-0000-0000E36F0000}"/>
    <cellStyle name="Procentowy 3 24 62" xfId="28631" xr:uid="{00000000-0005-0000-0000-0000E46F0000}"/>
    <cellStyle name="Procentowy 3 24 63" xfId="28632" xr:uid="{00000000-0005-0000-0000-0000E56F0000}"/>
    <cellStyle name="Procentowy 3 24 64" xfId="28633" xr:uid="{00000000-0005-0000-0000-0000E66F0000}"/>
    <cellStyle name="Procentowy 3 24 65" xfId="28634" xr:uid="{00000000-0005-0000-0000-0000E76F0000}"/>
    <cellStyle name="Procentowy 3 24 66" xfId="28635" xr:uid="{00000000-0005-0000-0000-0000E86F0000}"/>
    <cellStyle name="Procentowy 3 24 67" xfId="28636" xr:uid="{00000000-0005-0000-0000-0000E96F0000}"/>
    <cellStyle name="Procentowy 3 24 68" xfId="28637" xr:uid="{00000000-0005-0000-0000-0000EA6F0000}"/>
    <cellStyle name="Procentowy 3 24 69" xfId="28638" xr:uid="{00000000-0005-0000-0000-0000EB6F0000}"/>
    <cellStyle name="Procentowy 3 24 7" xfId="28639" xr:uid="{00000000-0005-0000-0000-0000EC6F0000}"/>
    <cellStyle name="Procentowy 3 24 7 2" xfId="28640" xr:uid="{00000000-0005-0000-0000-0000ED6F0000}"/>
    <cellStyle name="Procentowy 3 24 70" xfId="28641" xr:uid="{00000000-0005-0000-0000-0000EE6F0000}"/>
    <cellStyle name="Procentowy 3 24 71" xfId="28642" xr:uid="{00000000-0005-0000-0000-0000EF6F0000}"/>
    <cellStyle name="Procentowy 3 24 72" xfId="28643" xr:uid="{00000000-0005-0000-0000-0000F06F0000}"/>
    <cellStyle name="Procentowy 3 24 73" xfId="28644" xr:uid="{00000000-0005-0000-0000-0000F16F0000}"/>
    <cellStyle name="Procentowy 3 24 74" xfId="28645" xr:uid="{00000000-0005-0000-0000-0000F26F0000}"/>
    <cellStyle name="Procentowy 3 24 8" xfId="28646" xr:uid="{00000000-0005-0000-0000-0000F36F0000}"/>
    <cellStyle name="Procentowy 3 24 8 2" xfId="28647" xr:uid="{00000000-0005-0000-0000-0000F46F0000}"/>
    <cellStyle name="Procentowy 3 24 9" xfId="28648" xr:uid="{00000000-0005-0000-0000-0000F56F0000}"/>
    <cellStyle name="Procentowy 3 24 9 2" xfId="28649" xr:uid="{00000000-0005-0000-0000-0000F66F0000}"/>
    <cellStyle name="Procentowy 3 25" xfId="28650" xr:uid="{00000000-0005-0000-0000-0000F76F0000}"/>
    <cellStyle name="Procentowy 3 25 2" xfId="28651" xr:uid="{00000000-0005-0000-0000-0000F86F0000}"/>
    <cellStyle name="Procentowy 3 25 3" xfId="28652" xr:uid="{00000000-0005-0000-0000-0000F96F0000}"/>
    <cellStyle name="Procentowy 3 25 4" xfId="28653" xr:uid="{00000000-0005-0000-0000-0000FA6F0000}"/>
    <cellStyle name="Procentowy 3 25 5" xfId="28654" xr:uid="{00000000-0005-0000-0000-0000FB6F0000}"/>
    <cellStyle name="Procentowy 3 25 6" xfId="28655" xr:uid="{00000000-0005-0000-0000-0000FC6F0000}"/>
    <cellStyle name="Procentowy 3 25 7" xfId="28656" xr:uid="{00000000-0005-0000-0000-0000FD6F0000}"/>
    <cellStyle name="Procentowy 3 26" xfId="28657" xr:uid="{00000000-0005-0000-0000-0000FE6F0000}"/>
    <cellStyle name="Procentowy 3 26 2" xfId="28658" xr:uid="{00000000-0005-0000-0000-0000FF6F0000}"/>
    <cellStyle name="Procentowy 3 26 3" xfId="28659" xr:uid="{00000000-0005-0000-0000-000000700000}"/>
    <cellStyle name="Procentowy 3 26 4" xfId="28660" xr:uid="{00000000-0005-0000-0000-000001700000}"/>
    <cellStyle name="Procentowy 3 26 5" xfId="28661" xr:uid="{00000000-0005-0000-0000-000002700000}"/>
    <cellStyle name="Procentowy 3 26 6" xfId="28662" xr:uid="{00000000-0005-0000-0000-000003700000}"/>
    <cellStyle name="Procentowy 3 26 7" xfId="28663" xr:uid="{00000000-0005-0000-0000-000004700000}"/>
    <cellStyle name="Procentowy 3 27" xfId="28664" xr:uid="{00000000-0005-0000-0000-000005700000}"/>
    <cellStyle name="Procentowy 3 27 2" xfId="28665" xr:uid="{00000000-0005-0000-0000-000006700000}"/>
    <cellStyle name="Procentowy 3 27 3" xfId="28666" xr:uid="{00000000-0005-0000-0000-000007700000}"/>
    <cellStyle name="Procentowy 3 27 4" xfId="28667" xr:uid="{00000000-0005-0000-0000-000008700000}"/>
    <cellStyle name="Procentowy 3 27 5" xfId="28668" xr:uid="{00000000-0005-0000-0000-000009700000}"/>
    <cellStyle name="Procentowy 3 27 6" xfId="28669" xr:uid="{00000000-0005-0000-0000-00000A700000}"/>
    <cellStyle name="Procentowy 3 27 7" xfId="28670" xr:uid="{00000000-0005-0000-0000-00000B700000}"/>
    <cellStyle name="Procentowy 3 28" xfId="28671" xr:uid="{00000000-0005-0000-0000-00000C700000}"/>
    <cellStyle name="Procentowy 3 28 2" xfId="28672" xr:uid="{00000000-0005-0000-0000-00000D700000}"/>
    <cellStyle name="Procentowy 3 28 3" xfId="28673" xr:uid="{00000000-0005-0000-0000-00000E700000}"/>
    <cellStyle name="Procentowy 3 28 4" xfId="28674" xr:uid="{00000000-0005-0000-0000-00000F700000}"/>
    <cellStyle name="Procentowy 3 28 5" xfId="28675" xr:uid="{00000000-0005-0000-0000-000010700000}"/>
    <cellStyle name="Procentowy 3 28 6" xfId="28676" xr:uid="{00000000-0005-0000-0000-000011700000}"/>
    <cellStyle name="Procentowy 3 28 7" xfId="28677" xr:uid="{00000000-0005-0000-0000-000012700000}"/>
    <cellStyle name="Procentowy 3 29" xfId="28678" xr:uid="{00000000-0005-0000-0000-000013700000}"/>
    <cellStyle name="Procentowy 3 29 2" xfId="28679" xr:uid="{00000000-0005-0000-0000-000014700000}"/>
    <cellStyle name="Procentowy 3 3" xfId="28680" xr:uid="{00000000-0005-0000-0000-000015700000}"/>
    <cellStyle name="Procentowy 3 3 10" xfId="28681" xr:uid="{00000000-0005-0000-0000-000016700000}"/>
    <cellStyle name="Procentowy 3 3 10 2" xfId="28682" xr:uid="{00000000-0005-0000-0000-000017700000}"/>
    <cellStyle name="Procentowy 3 3 11" xfId="28683" xr:uid="{00000000-0005-0000-0000-000018700000}"/>
    <cellStyle name="Procentowy 3 3 11 2" xfId="28684" xr:uid="{00000000-0005-0000-0000-000019700000}"/>
    <cellStyle name="Procentowy 3 3 12" xfId="28685" xr:uid="{00000000-0005-0000-0000-00001A700000}"/>
    <cellStyle name="Procentowy 3 3 12 2" xfId="28686" xr:uid="{00000000-0005-0000-0000-00001B700000}"/>
    <cellStyle name="Procentowy 3 3 13" xfId="28687" xr:uid="{00000000-0005-0000-0000-00001C700000}"/>
    <cellStyle name="Procentowy 3 3 13 2" xfId="28688" xr:uid="{00000000-0005-0000-0000-00001D700000}"/>
    <cellStyle name="Procentowy 3 3 14" xfId="28689" xr:uid="{00000000-0005-0000-0000-00001E700000}"/>
    <cellStyle name="Procentowy 3 3 14 2" xfId="28690" xr:uid="{00000000-0005-0000-0000-00001F700000}"/>
    <cellStyle name="Procentowy 3 3 15" xfId="28691" xr:uid="{00000000-0005-0000-0000-000020700000}"/>
    <cellStyle name="Procentowy 3 3 15 2" xfId="28692" xr:uid="{00000000-0005-0000-0000-000021700000}"/>
    <cellStyle name="Procentowy 3 3 16" xfId="28693" xr:uid="{00000000-0005-0000-0000-000022700000}"/>
    <cellStyle name="Procentowy 3 3 16 2" xfId="28694" xr:uid="{00000000-0005-0000-0000-000023700000}"/>
    <cellStyle name="Procentowy 3 3 17" xfId="28695" xr:uid="{00000000-0005-0000-0000-000024700000}"/>
    <cellStyle name="Procentowy 3 3 17 2" xfId="28696" xr:uid="{00000000-0005-0000-0000-000025700000}"/>
    <cellStyle name="Procentowy 3 3 18" xfId="28697" xr:uid="{00000000-0005-0000-0000-000026700000}"/>
    <cellStyle name="Procentowy 3 3 18 2" xfId="28698" xr:uid="{00000000-0005-0000-0000-000027700000}"/>
    <cellStyle name="Procentowy 3 3 19" xfId="28699" xr:uid="{00000000-0005-0000-0000-000028700000}"/>
    <cellStyle name="Procentowy 3 3 19 2" xfId="28700" xr:uid="{00000000-0005-0000-0000-000029700000}"/>
    <cellStyle name="Procentowy 3 3 2" xfId="28701" xr:uid="{00000000-0005-0000-0000-00002A700000}"/>
    <cellStyle name="Procentowy 3 3 2 2" xfId="28702" xr:uid="{00000000-0005-0000-0000-00002B700000}"/>
    <cellStyle name="Procentowy 3 3 2 3" xfId="28703" xr:uid="{00000000-0005-0000-0000-00002C700000}"/>
    <cellStyle name="Procentowy 3 3 2 4" xfId="28704" xr:uid="{00000000-0005-0000-0000-00002D700000}"/>
    <cellStyle name="Procentowy 3 3 2 5" xfId="28705" xr:uid="{00000000-0005-0000-0000-00002E700000}"/>
    <cellStyle name="Procentowy 3 3 2 6" xfId="28706" xr:uid="{00000000-0005-0000-0000-00002F700000}"/>
    <cellStyle name="Procentowy 3 3 2 7" xfId="28707" xr:uid="{00000000-0005-0000-0000-000030700000}"/>
    <cellStyle name="Procentowy 3 3 20" xfId="28708" xr:uid="{00000000-0005-0000-0000-000031700000}"/>
    <cellStyle name="Procentowy 3 3 20 2" xfId="28709" xr:uid="{00000000-0005-0000-0000-000032700000}"/>
    <cellStyle name="Procentowy 3 3 21" xfId="28710" xr:uid="{00000000-0005-0000-0000-000033700000}"/>
    <cellStyle name="Procentowy 3 3 21 2" xfId="28711" xr:uid="{00000000-0005-0000-0000-000034700000}"/>
    <cellStyle name="Procentowy 3 3 22" xfId="28712" xr:uid="{00000000-0005-0000-0000-000035700000}"/>
    <cellStyle name="Procentowy 3 3 22 2" xfId="28713" xr:uid="{00000000-0005-0000-0000-000036700000}"/>
    <cellStyle name="Procentowy 3 3 23" xfId="28714" xr:uid="{00000000-0005-0000-0000-000037700000}"/>
    <cellStyle name="Procentowy 3 3 23 2" xfId="28715" xr:uid="{00000000-0005-0000-0000-000038700000}"/>
    <cellStyle name="Procentowy 3 3 24" xfId="28716" xr:uid="{00000000-0005-0000-0000-000039700000}"/>
    <cellStyle name="Procentowy 3 3 24 2" xfId="28717" xr:uid="{00000000-0005-0000-0000-00003A700000}"/>
    <cellStyle name="Procentowy 3 3 25" xfId="28718" xr:uid="{00000000-0005-0000-0000-00003B700000}"/>
    <cellStyle name="Procentowy 3 3 25 2" xfId="28719" xr:uid="{00000000-0005-0000-0000-00003C700000}"/>
    <cellStyle name="Procentowy 3 3 26" xfId="28720" xr:uid="{00000000-0005-0000-0000-00003D700000}"/>
    <cellStyle name="Procentowy 3 3 26 2" xfId="28721" xr:uid="{00000000-0005-0000-0000-00003E700000}"/>
    <cellStyle name="Procentowy 3 3 27" xfId="28722" xr:uid="{00000000-0005-0000-0000-00003F700000}"/>
    <cellStyle name="Procentowy 3 3 27 2" xfId="28723" xr:uid="{00000000-0005-0000-0000-000040700000}"/>
    <cellStyle name="Procentowy 3 3 28" xfId="28724" xr:uid="{00000000-0005-0000-0000-000041700000}"/>
    <cellStyle name="Procentowy 3 3 28 2" xfId="28725" xr:uid="{00000000-0005-0000-0000-000042700000}"/>
    <cellStyle name="Procentowy 3 3 29" xfId="28726" xr:uid="{00000000-0005-0000-0000-000043700000}"/>
    <cellStyle name="Procentowy 3 3 29 2" xfId="28727" xr:uid="{00000000-0005-0000-0000-000044700000}"/>
    <cellStyle name="Procentowy 3 3 3" xfId="28728" xr:uid="{00000000-0005-0000-0000-000045700000}"/>
    <cellStyle name="Procentowy 3 3 3 2" xfId="28729" xr:uid="{00000000-0005-0000-0000-000046700000}"/>
    <cellStyle name="Procentowy 3 3 3 3" xfId="28730" xr:uid="{00000000-0005-0000-0000-000047700000}"/>
    <cellStyle name="Procentowy 3 3 3 4" xfId="28731" xr:uid="{00000000-0005-0000-0000-000048700000}"/>
    <cellStyle name="Procentowy 3 3 3 5" xfId="28732" xr:uid="{00000000-0005-0000-0000-000049700000}"/>
    <cellStyle name="Procentowy 3 3 3 6" xfId="28733" xr:uid="{00000000-0005-0000-0000-00004A700000}"/>
    <cellStyle name="Procentowy 3 3 3 7" xfId="28734" xr:uid="{00000000-0005-0000-0000-00004B700000}"/>
    <cellStyle name="Procentowy 3 3 30" xfId="28735" xr:uid="{00000000-0005-0000-0000-00004C700000}"/>
    <cellStyle name="Procentowy 3 3 30 2" xfId="28736" xr:uid="{00000000-0005-0000-0000-00004D700000}"/>
    <cellStyle name="Procentowy 3 3 31" xfId="28737" xr:uid="{00000000-0005-0000-0000-00004E700000}"/>
    <cellStyle name="Procentowy 3 3 31 2" xfId="28738" xr:uid="{00000000-0005-0000-0000-00004F700000}"/>
    <cellStyle name="Procentowy 3 3 32" xfId="28739" xr:uid="{00000000-0005-0000-0000-000050700000}"/>
    <cellStyle name="Procentowy 3 3 33" xfId="28740" xr:uid="{00000000-0005-0000-0000-000051700000}"/>
    <cellStyle name="Procentowy 3 3 34" xfId="28741" xr:uid="{00000000-0005-0000-0000-000052700000}"/>
    <cellStyle name="Procentowy 3 3 35" xfId="28742" xr:uid="{00000000-0005-0000-0000-000053700000}"/>
    <cellStyle name="Procentowy 3 3 36" xfId="28743" xr:uid="{00000000-0005-0000-0000-000054700000}"/>
    <cellStyle name="Procentowy 3 3 37" xfId="28744" xr:uid="{00000000-0005-0000-0000-000055700000}"/>
    <cellStyle name="Procentowy 3 3 38" xfId="28745" xr:uid="{00000000-0005-0000-0000-000056700000}"/>
    <cellStyle name="Procentowy 3 3 39" xfId="28746" xr:uid="{00000000-0005-0000-0000-000057700000}"/>
    <cellStyle name="Procentowy 3 3 4" xfId="28747" xr:uid="{00000000-0005-0000-0000-000058700000}"/>
    <cellStyle name="Procentowy 3 3 4 2" xfId="28748" xr:uid="{00000000-0005-0000-0000-000059700000}"/>
    <cellStyle name="Procentowy 3 3 4 3" xfId="28749" xr:uid="{00000000-0005-0000-0000-00005A700000}"/>
    <cellStyle name="Procentowy 3 3 4 4" xfId="28750" xr:uid="{00000000-0005-0000-0000-00005B700000}"/>
    <cellStyle name="Procentowy 3 3 4 5" xfId="28751" xr:uid="{00000000-0005-0000-0000-00005C700000}"/>
    <cellStyle name="Procentowy 3 3 4 6" xfId="28752" xr:uid="{00000000-0005-0000-0000-00005D700000}"/>
    <cellStyle name="Procentowy 3 3 4 7" xfId="28753" xr:uid="{00000000-0005-0000-0000-00005E700000}"/>
    <cellStyle name="Procentowy 3 3 40" xfId="28754" xr:uid="{00000000-0005-0000-0000-00005F700000}"/>
    <cellStyle name="Procentowy 3 3 41" xfId="28755" xr:uid="{00000000-0005-0000-0000-000060700000}"/>
    <cellStyle name="Procentowy 3 3 42" xfId="28756" xr:uid="{00000000-0005-0000-0000-000061700000}"/>
    <cellStyle name="Procentowy 3 3 43" xfId="28757" xr:uid="{00000000-0005-0000-0000-000062700000}"/>
    <cellStyle name="Procentowy 3 3 44" xfId="28758" xr:uid="{00000000-0005-0000-0000-000063700000}"/>
    <cellStyle name="Procentowy 3 3 45" xfId="28759" xr:uid="{00000000-0005-0000-0000-000064700000}"/>
    <cellStyle name="Procentowy 3 3 46" xfId="28760" xr:uid="{00000000-0005-0000-0000-000065700000}"/>
    <cellStyle name="Procentowy 3 3 47" xfId="28761" xr:uid="{00000000-0005-0000-0000-000066700000}"/>
    <cellStyle name="Procentowy 3 3 48" xfId="28762" xr:uid="{00000000-0005-0000-0000-000067700000}"/>
    <cellStyle name="Procentowy 3 3 49" xfId="28763" xr:uid="{00000000-0005-0000-0000-000068700000}"/>
    <cellStyle name="Procentowy 3 3 5" xfId="28764" xr:uid="{00000000-0005-0000-0000-000069700000}"/>
    <cellStyle name="Procentowy 3 3 5 2" xfId="28765" xr:uid="{00000000-0005-0000-0000-00006A700000}"/>
    <cellStyle name="Procentowy 3 3 5 3" xfId="28766" xr:uid="{00000000-0005-0000-0000-00006B700000}"/>
    <cellStyle name="Procentowy 3 3 5 4" xfId="28767" xr:uid="{00000000-0005-0000-0000-00006C700000}"/>
    <cellStyle name="Procentowy 3 3 5 5" xfId="28768" xr:uid="{00000000-0005-0000-0000-00006D700000}"/>
    <cellStyle name="Procentowy 3 3 5 6" xfId="28769" xr:uid="{00000000-0005-0000-0000-00006E700000}"/>
    <cellStyle name="Procentowy 3 3 5 7" xfId="28770" xr:uid="{00000000-0005-0000-0000-00006F700000}"/>
    <cellStyle name="Procentowy 3 3 50" xfId="28771" xr:uid="{00000000-0005-0000-0000-000070700000}"/>
    <cellStyle name="Procentowy 3 3 51" xfId="28772" xr:uid="{00000000-0005-0000-0000-000071700000}"/>
    <cellStyle name="Procentowy 3 3 52" xfId="28773" xr:uid="{00000000-0005-0000-0000-000072700000}"/>
    <cellStyle name="Procentowy 3 3 53" xfId="28774" xr:uid="{00000000-0005-0000-0000-000073700000}"/>
    <cellStyle name="Procentowy 3 3 54" xfId="28775" xr:uid="{00000000-0005-0000-0000-000074700000}"/>
    <cellStyle name="Procentowy 3 3 55" xfId="28776" xr:uid="{00000000-0005-0000-0000-000075700000}"/>
    <cellStyle name="Procentowy 3 3 56" xfId="28777" xr:uid="{00000000-0005-0000-0000-000076700000}"/>
    <cellStyle name="Procentowy 3 3 57" xfId="28778" xr:uid="{00000000-0005-0000-0000-000077700000}"/>
    <cellStyle name="Procentowy 3 3 58" xfId="28779" xr:uid="{00000000-0005-0000-0000-000078700000}"/>
    <cellStyle name="Procentowy 3 3 59" xfId="28780" xr:uid="{00000000-0005-0000-0000-000079700000}"/>
    <cellStyle name="Procentowy 3 3 6" xfId="28781" xr:uid="{00000000-0005-0000-0000-00007A700000}"/>
    <cellStyle name="Procentowy 3 3 6 2" xfId="28782" xr:uid="{00000000-0005-0000-0000-00007B700000}"/>
    <cellStyle name="Procentowy 3 3 60" xfId="28783" xr:uid="{00000000-0005-0000-0000-00007C700000}"/>
    <cellStyle name="Procentowy 3 3 61" xfId="28784" xr:uid="{00000000-0005-0000-0000-00007D700000}"/>
    <cellStyle name="Procentowy 3 3 62" xfId="28785" xr:uid="{00000000-0005-0000-0000-00007E700000}"/>
    <cellStyle name="Procentowy 3 3 63" xfId="28786" xr:uid="{00000000-0005-0000-0000-00007F700000}"/>
    <cellStyle name="Procentowy 3 3 64" xfId="28787" xr:uid="{00000000-0005-0000-0000-000080700000}"/>
    <cellStyle name="Procentowy 3 3 65" xfId="28788" xr:uid="{00000000-0005-0000-0000-000081700000}"/>
    <cellStyle name="Procentowy 3 3 66" xfId="28789" xr:uid="{00000000-0005-0000-0000-000082700000}"/>
    <cellStyle name="Procentowy 3 3 67" xfId="28790" xr:uid="{00000000-0005-0000-0000-000083700000}"/>
    <cellStyle name="Procentowy 3 3 68" xfId="28791" xr:uid="{00000000-0005-0000-0000-000084700000}"/>
    <cellStyle name="Procentowy 3 3 69" xfId="28792" xr:uid="{00000000-0005-0000-0000-000085700000}"/>
    <cellStyle name="Procentowy 3 3 7" xfId="28793" xr:uid="{00000000-0005-0000-0000-000086700000}"/>
    <cellStyle name="Procentowy 3 3 7 2" xfId="28794" xr:uid="{00000000-0005-0000-0000-000087700000}"/>
    <cellStyle name="Procentowy 3 3 70" xfId="28795" xr:uid="{00000000-0005-0000-0000-000088700000}"/>
    <cellStyle name="Procentowy 3 3 71" xfId="28796" xr:uid="{00000000-0005-0000-0000-000089700000}"/>
    <cellStyle name="Procentowy 3 3 72" xfId="28797" xr:uid="{00000000-0005-0000-0000-00008A700000}"/>
    <cellStyle name="Procentowy 3 3 73" xfId="28798" xr:uid="{00000000-0005-0000-0000-00008B700000}"/>
    <cellStyle name="Procentowy 3 3 74" xfId="28799" xr:uid="{00000000-0005-0000-0000-00008C700000}"/>
    <cellStyle name="Procentowy 3 3 75" xfId="28800" xr:uid="{00000000-0005-0000-0000-00008D700000}"/>
    <cellStyle name="Procentowy 3 3 8" xfId="28801" xr:uid="{00000000-0005-0000-0000-00008E700000}"/>
    <cellStyle name="Procentowy 3 3 8 2" xfId="28802" xr:uid="{00000000-0005-0000-0000-00008F700000}"/>
    <cellStyle name="Procentowy 3 3 9" xfId="28803" xr:uid="{00000000-0005-0000-0000-000090700000}"/>
    <cellStyle name="Procentowy 3 3 9 2" xfId="28804" xr:uid="{00000000-0005-0000-0000-000091700000}"/>
    <cellStyle name="Procentowy 3 30" xfId="28805" xr:uid="{00000000-0005-0000-0000-000092700000}"/>
    <cellStyle name="Procentowy 3 30 2" xfId="28806" xr:uid="{00000000-0005-0000-0000-000093700000}"/>
    <cellStyle name="Procentowy 3 31" xfId="28807" xr:uid="{00000000-0005-0000-0000-000094700000}"/>
    <cellStyle name="Procentowy 3 31 2" xfId="28808" xr:uid="{00000000-0005-0000-0000-000095700000}"/>
    <cellStyle name="Procentowy 3 32" xfId="28809" xr:uid="{00000000-0005-0000-0000-000096700000}"/>
    <cellStyle name="Procentowy 3 32 2" xfId="28810" xr:uid="{00000000-0005-0000-0000-000097700000}"/>
    <cellStyle name="Procentowy 3 33" xfId="28811" xr:uid="{00000000-0005-0000-0000-000098700000}"/>
    <cellStyle name="Procentowy 3 33 2" xfId="28812" xr:uid="{00000000-0005-0000-0000-000099700000}"/>
    <cellStyle name="Procentowy 3 34" xfId="28813" xr:uid="{00000000-0005-0000-0000-00009A700000}"/>
    <cellStyle name="Procentowy 3 34 2" xfId="28814" xr:uid="{00000000-0005-0000-0000-00009B700000}"/>
    <cellStyle name="Procentowy 3 35" xfId="28815" xr:uid="{00000000-0005-0000-0000-00009C700000}"/>
    <cellStyle name="Procentowy 3 35 2" xfId="28816" xr:uid="{00000000-0005-0000-0000-00009D700000}"/>
    <cellStyle name="Procentowy 3 36" xfId="28817" xr:uid="{00000000-0005-0000-0000-00009E700000}"/>
    <cellStyle name="Procentowy 3 36 2" xfId="28818" xr:uid="{00000000-0005-0000-0000-00009F700000}"/>
    <cellStyle name="Procentowy 3 37" xfId="28819" xr:uid="{00000000-0005-0000-0000-0000A0700000}"/>
    <cellStyle name="Procentowy 3 37 2" xfId="28820" xr:uid="{00000000-0005-0000-0000-0000A1700000}"/>
    <cellStyle name="Procentowy 3 38" xfId="28821" xr:uid="{00000000-0005-0000-0000-0000A2700000}"/>
    <cellStyle name="Procentowy 3 38 2" xfId="28822" xr:uid="{00000000-0005-0000-0000-0000A3700000}"/>
    <cellStyle name="Procentowy 3 39" xfId="28823" xr:uid="{00000000-0005-0000-0000-0000A4700000}"/>
    <cellStyle name="Procentowy 3 39 2" xfId="28824" xr:uid="{00000000-0005-0000-0000-0000A5700000}"/>
    <cellStyle name="Procentowy 3 4" xfId="28825" xr:uid="{00000000-0005-0000-0000-0000A6700000}"/>
    <cellStyle name="Procentowy 3 4 10" xfId="28826" xr:uid="{00000000-0005-0000-0000-0000A7700000}"/>
    <cellStyle name="Procentowy 3 4 10 2" xfId="28827" xr:uid="{00000000-0005-0000-0000-0000A8700000}"/>
    <cellStyle name="Procentowy 3 4 11" xfId="28828" xr:uid="{00000000-0005-0000-0000-0000A9700000}"/>
    <cellStyle name="Procentowy 3 4 11 2" xfId="28829" xr:uid="{00000000-0005-0000-0000-0000AA700000}"/>
    <cellStyle name="Procentowy 3 4 12" xfId="28830" xr:uid="{00000000-0005-0000-0000-0000AB700000}"/>
    <cellStyle name="Procentowy 3 4 12 2" xfId="28831" xr:uid="{00000000-0005-0000-0000-0000AC700000}"/>
    <cellStyle name="Procentowy 3 4 13" xfId="28832" xr:uid="{00000000-0005-0000-0000-0000AD700000}"/>
    <cellStyle name="Procentowy 3 4 13 2" xfId="28833" xr:uid="{00000000-0005-0000-0000-0000AE700000}"/>
    <cellStyle name="Procentowy 3 4 14" xfId="28834" xr:uid="{00000000-0005-0000-0000-0000AF700000}"/>
    <cellStyle name="Procentowy 3 4 14 2" xfId="28835" xr:uid="{00000000-0005-0000-0000-0000B0700000}"/>
    <cellStyle name="Procentowy 3 4 15" xfId="28836" xr:uid="{00000000-0005-0000-0000-0000B1700000}"/>
    <cellStyle name="Procentowy 3 4 15 2" xfId="28837" xr:uid="{00000000-0005-0000-0000-0000B2700000}"/>
    <cellStyle name="Procentowy 3 4 16" xfId="28838" xr:uid="{00000000-0005-0000-0000-0000B3700000}"/>
    <cellStyle name="Procentowy 3 4 16 2" xfId="28839" xr:uid="{00000000-0005-0000-0000-0000B4700000}"/>
    <cellStyle name="Procentowy 3 4 17" xfId="28840" xr:uid="{00000000-0005-0000-0000-0000B5700000}"/>
    <cellStyle name="Procentowy 3 4 17 2" xfId="28841" xr:uid="{00000000-0005-0000-0000-0000B6700000}"/>
    <cellStyle name="Procentowy 3 4 18" xfId="28842" xr:uid="{00000000-0005-0000-0000-0000B7700000}"/>
    <cellStyle name="Procentowy 3 4 18 2" xfId="28843" xr:uid="{00000000-0005-0000-0000-0000B8700000}"/>
    <cellStyle name="Procentowy 3 4 19" xfId="28844" xr:uid="{00000000-0005-0000-0000-0000B9700000}"/>
    <cellStyle name="Procentowy 3 4 19 2" xfId="28845" xr:uid="{00000000-0005-0000-0000-0000BA700000}"/>
    <cellStyle name="Procentowy 3 4 2" xfId="28846" xr:uid="{00000000-0005-0000-0000-0000BB700000}"/>
    <cellStyle name="Procentowy 3 4 2 2" xfId="28847" xr:uid="{00000000-0005-0000-0000-0000BC700000}"/>
    <cellStyle name="Procentowy 3 4 2 3" xfId="28848" xr:uid="{00000000-0005-0000-0000-0000BD700000}"/>
    <cellStyle name="Procentowy 3 4 2 4" xfId="28849" xr:uid="{00000000-0005-0000-0000-0000BE700000}"/>
    <cellStyle name="Procentowy 3 4 2 5" xfId="28850" xr:uid="{00000000-0005-0000-0000-0000BF700000}"/>
    <cellStyle name="Procentowy 3 4 2 6" xfId="28851" xr:uid="{00000000-0005-0000-0000-0000C0700000}"/>
    <cellStyle name="Procentowy 3 4 2 7" xfId="28852" xr:uid="{00000000-0005-0000-0000-0000C1700000}"/>
    <cellStyle name="Procentowy 3 4 20" xfId="28853" xr:uid="{00000000-0005-0000-0000-0000C2700000}"/>
    <cellStyle name="Procentowy 3 4 20 2" xfId="28854" xr:uid="{00000000-0005-0000-0000-0000C3700000}"/>
    <cellStyle name="Procentowy 3 4 21" xfId="28855" xr:uid="{00000000-0005-0000-0000-0000C4700000}"/>
    <cellStyle name="Procentowy 3 4 21 2" xfId="28856" xr:uid="{00000000-0005-0000-0000-0000C5700000}"/>
    <cellStyle name="Procentowy 3 4 22" xfId="28857" xr:uid="{00000000-0005-0000-0000-0000C6700000}"/>
    <cellStyle name="Procentowy 3 4 22 2" xfId="28858" xr:uid="{00000000-0005-0000-0000-0000C7700000}"/>
    <cellStyle name="Procentowy 3 4 23" xfId="28859" xr:uid="{00000000-0005-0000-0000-0000C8700000}"/>
    <cellStyle name="Procentowy 3 4 23 2" xfId="28860" xr:uid="{00000000-0005-0000-0000-0000C9700000}"/>
    <cellStyle name="Procentowy 3 4 24" xfId="28861" xr:uid="{00000000-0005-0000-0000-0000CA700000}"/>
    <cellStyle name="Procentowy 3 4 24 2" xfId="28862" xr:uid="{00000000-0005-0000-0000-0000CB700000}"/>
    <cellStyle name="Procentowy 3 4 25" xfId="28863" xr:uid="{00000000-0005-0000-0000-0000CC700000}"/>
    <cellStyle name="Procentowy 3 4 25 2" xfId="28864" xr:uid="{00000000-0005-0000-0000-0000CD700000}"/>
    <cellStyle name="Procentowy 3 4 26" xfId="28865" xr:uid="{00000000-0005-0000-0000-0000CE700000}"/>
    <cellStyle name="Procentowy 3 4 26 2" xfId="28866" xr:uid="{00000000-0005-0000-0000-0000CF700000}"/>
    <cellStyle name="Procentowy 3 4 27" xfId="28867" xr:uid="{00000000-0005-0000-0000-0000D0700000}"/>
    <cellStyle name="Procentowy 3 4 27 2" xfId="28868" xr:uid="{00000000-0005-0000-0000-0000D1700000}"/>
    <cellStyle name="Procentowy 3 4 28" xfId="28869" xr:uid="{00000000-0005-0000-0000-0000D2700000}"/>
    <cellStyle name="Procentowy 3 4 28 2" xfId="28870" xr:uid="{00000000-0005-0000-0000-0000D3700000}"/>
    <cellStyle name="Procentowy 3 4 29" xfId="28871" xr:uid="{00000000-0005-0000-0000-0000D4700000}"/>
    <cellStyle name="Procentowy 3 4 29 2" xfId="28872" xr:uid="{00000000-0005-0000-0000-0000D5700000}"/>
    <cellStyle name="Procentowy 3 4 3" xfId="28873" xr:uid="{00000000-0005-0000-0000-0000D6700000}"/>
    <cellStyle name="Procentowy 3 4 3 2" xfId="28874" xr:uid="{00000000-0005-0000-0000-0000D7700000}"/>
    <cellStyle name="Procentowy 3 4 3 3" xfId="28875" xr:uid="{00000000-0005-0000-0000-0000D8700000}"/>
    <cellStyle name="Procentowy 3 4 3 4" xfId="28876" xr:uid="{00000000-0005-0000-0000-0000D9700000}"/>
    <cellStyle name="Procentowy 3 4 3 5" xfId="28877" xr:uid="{00000000-0005-0000-0000-0000DA700000}"/>
    <cellStyle name="Procentowy 3 4 3 6" xfId="28878" xr:uid="{00000000-0005-0000-0000-0000DB700000}"/>
    <cellStyle name="Procentowy 3 4 3 7" xfId="28879" xr:uid="{00000000-0005-0000-0000-0000DC700000}"/>
    <cellStyle name="Procentowy 3 4 30" xfId="28880" xr:uid="{00000000-0005-0000-0000-0000DD700000}"/>
    <cellStyle name="Procentowy 3 4 30 2" xfId="28881" xr:uid="{00000000-0005-0000-0000-0000DE700000}"/>
    <cellStyle name="Procentowy 3 4 31" xfId="28882" xr:uid="{00000000-0005-0000-0000-0000DF700000}"/>
    <cellStyle name="Procentowy 3 4 31 2" xfId="28883" xr:uid="{00000000-0005-0000-0000-0000E0700000}"/>
    <cellStyle name="Procentowy 3 4 32" xfId="28884" xr:uid="{00000000-0005-0000-0000-0000E1700000}"/>
    <cellStyle name="Procentowy 3 4 33" xfId="28885" xr:uid="{00000000-0005-0000-0000-0000E2700000}"/>
    <cellStyle name="Procentowy 3 4 34" xfId="28886" xr:uid="{00000000-0005-0000-0000-0000E3700000}"/>
    <cellStyle name="Procentowy 3 4 35" xfId="28887" xr:uid="{00000000-0005-0000-0000-0000E4700000}"/>
    <cellStyle name="Procentowy 3 4 36" xfId="28888" xr:uid="{00000000-0005-0000-0000-0000E5700000}"/>
    <cellStyle name="Procentowy 3 4 37" xfId="28889" xr:uid="{00000000-0005-0000-0000-0000E6700000}"/>
    <cellStyle name="Procentowy 3 4 38" xfId="28890" xr:uid="{00000000-0005-0000-0000-0000E7700000}"/>
    <cellStyle name="Procentowy 3 4 39" xfId="28891" xr:uid="{00000000-0005-0000-0000-0000E8700000}"/>
    <cellStyle name="Procentowy 3 4 4" xfId="28892" xr:uid="{00000000-0005-0000-0000-0000E9700000}"/>
    <cellStyle name="Procentowy 3 4 4 2" xfId="28893" xr:uid="{00000000-0005-0000-0000-0000EA700000}"/>
    <cellStyle name="Procentowy 3 4 4 3" xfId="28894" xr:uid="{00000000-0005-0000-0000-0000EB700000}"/>
    <cellStyle name="Procentowy 3 4 4 4" xfId="28895" xr:uid="{00000000-0005-0000-0000-0000EC700000}"/>
    <cellStyle name="Procentowy 3 4 4 5" xfId="28896" xr:uid="{00000000-0005-0000-0000-0000ED700000}"/>
    <cellStyle name="Procentowy 3 4 4 6" xfId="28897" xr:uid="{00000000-0005-0000-0000-0000EE700000}"/>
    <cellStyle name="Procentowy 3 4 4 7" xfId="28898" xr:uid="{00000000-0005-0000-0000-0000EF700000}"/>
    <cellStyle name="Procentowy 3 4 40" xfId="28899" xr:uid="{00000000-0005-0000-0000-0000F0700000}"/>
    <cellStyle name="Procentowy 3 4 41" xfId="28900" xr:uid="{00000000-0005-0000-0000-0000F1700000}"/>
    <cellStyle name="Procentowy 3 4 42" xfId="28901" xr:uid="{00000000-0005-0000-0000-0000F2700000}"/>
    <cellStyle name="Procentowy 3 4 43" xfId="28902" xr:uid="{00000000-0005-0000-0000-0000F3700000}"/>
    <cellStyle name="Procentowy 3 4 44" xfId="28903" xr:uid="{00000000-0005-0000-0000-0000F4700000}"/>
    <cellStyle name="Procentowy 3 4 45" xfId="28904" xr:uid="{00000000-0005-0000-0000-0000F5700000}"/>
    <cellStyle name="Procentowy 3 4 46" xfId="28905" xr:uid="{00000000-0005-0000-0000-0000F6700000}"/>
    <cellStyle name="Procentowy 3 4 47" xfId="28906" xr:uid="{00000000-0005-0000-0000-0000F7700000}"/>
    <cellStyle name="Procentowy 3 4 48" xfId="28907" xr:uid="{00000000-0005-0000-0000-0000F8700000}"/>
    <cellStyle name="Procentowy 3 4 49" xfId="28908" xr:uid="{00000000-0005-0000-0000-0000F9700000}"/>
    <cellStyle name="Procentowy 3 4 5" xfId="28909" xr:uid="{00000000-0005-0000-0000-0000FA700000}"/>
    <cellStyle name="Procentowy 3 4 5 2" xfId="28910" xr:uid="{00000000-0005-0000-0000-0000FB700000}"/>
    <cellStyle name="Procentowy 3 4 5 3" xfId="28911" xr:uid="{00000000-0005-0000-0000-0000FC700000}"/>
    <cellStyle name="Procentowy 3 4 5 4" xfId="28912" xr:uid="{00000000-0005-0000-0000-0000FD700000}"/>
    <cellStyle name="Procentowy 3 4 5 5" xfId="28913" xr:uid="{00000000-0005-0000-0000-0000FE700000}"/>
    <cellStyle name="Procentowy 3 4 5 6" xfId="28914" xr:uid="{00000000-0005-0000-0000-0000FF700000}"/>
    <cellStyle name="Procentowy 3 4 5 7" xfId="28915" xr:uid="{00000000-0005-0000-0000-000000710000}"/>
    <cellStyle name="Procentowy 3 4 50" xfId="28916" xr:uid="{00000000-0005-0000-0000-000001710000}"/>
    <cellStyle name="Procentowy 3 4 51" xfId="28917" xr:uid="{00000000-0005-0000-0000-000002710000}"/>
    <cellStyle name="Procentowy 3 4 52" xfId="28918" xr:uid="{00000000-0005-0000-0000-000003710000}"/>
    <cellStyle name="Procentowy 3 4 53" xfId="28919" xr:uid="{00000000-0005-0000-0000-000004710000}"/>
    <cellStyle name="Procentowy 3 4 54" xfId="28920" xr:uid="{00000000-0005-0000-0000-000005710000}"/>
    <cellStyle name="Procentowy 3 4 55" xfId="28921" xr:uid="{00000000-0005-0000-0000-000006710000}"/>
    <cellStyle name="Procentowy 3 4 56" xfId="28922" xr:uid="{00000000-0005-0000-0000-000007710000}"/>
    <cellStyle name="Procentowy 3 4 57" xfId="28923" xr:uid="{00000000-0005-0000-0000-000008710000}"/>
    <cellStyle name="Procentowy 3 4 58" xfId="28924" xr:uid="{00000000-0005-0000-0000-000009710000}"/>
    <cellStyle name="Procentowy 3 4 59" xfId="28925" xr:uid="{00000000-0005-0000-0000-00000A710000}"/>
    <cellStyle name="Procentowy 3 4 6" xfId="28926" xr:uid="{00000000-0005-0000-0000-00000B710000}"/>
    <cellStyle name="Procentowy 3 4 6 2" xfId="28927" xr:uid="{00000000-0005-0000-0000-00000C710000}"/>
    <cellStyle name="Procentowy 3 4 60" xfId="28928" xr:uid="{00000000-0005-0000-0000-00000D710000}"/>
    <cellStyle name="Procentowy 3 4 61" xfId="28929" xr:uid="{00000000-0005-0000-0000-00000E710000}"/>
    <cellStyle name="Procentowy 3 4 62" xfId="28930" xr:uid="{00000000-0005-0000-0000-00000F710000}"/>
    <cellStyle name="Procentowy 3 4 63" xfId="28931" xr:uid="{00000000-0005-0000-0000-000010710000}"/>
    <cellStyle name="Procentowy 3 4 64" xfId="28932" xr:uid="{00000000-0005-0000-0000-000011710000}"/>
    <cellStyle name="Procentowy 3 4 65" xfId="28933" xr:uid="{00000000-0005-0000-0000-000012710000}"/>
    <cellStyle name="Procentowy 3 4 66" xfId="28934" xr:uid="{00000000-0005-0000-0000-000013710000}"/>
    <cellStyle name="Procentowy 3 4 67" xfId="28935" xr:uid="{00000000-0005-0000-0000-000014710000}"/>
    <cellStyle name="Procentowy 3 4 68" xfId="28936" xr:uid="{00000000-0005-0000-0000-000015710000}"/>
    <cellStyle name="Procentowy 3 4 69" xfId="28937" xr:uid="{00000000-0005-0000-0000-000016710000}"/>
    <cellStyle name="Procentowy 3 4 7" xfId="28938" xr:uid="{00000000-0005-0000-0000-000017710000}"/>
    <cellStyle name="Procentowy 3 4 7 2" xfId="28939" xr:uid="{00000000-0005-0000-0000-000018710000}"/>
    <cellStyle name="Procentowy 3 4 70" xfId="28940" xr:uid="{00000000-0005-0000-0000-000019710000}"/>
    <cellStyle name="Procentowy 3 4 71" xfId="28941" xr:uid="{00000000-0005-0000-0000-00001A710000}"/>
    <cellStyle name="Procentowy 3 4 72" xfId="28942" xr:uid="{00000000-0005-0000-0000-00001B710000}"/>
    <cellStyle name="Procentowy 3 4 73" xfId="28943" xr:uid="{00000000-0005-0000-0000-00001C710000}"/>
    <cellStyle name="Procentowy 3 4 74" xfId="28944" xr:uid="{00000000-0005-0000-0000-00001D710000}"/>
    <cellStyle name="Procentowy 3 4 75" xfId="28945" xr:uid="{00000000-0005-0000-0000-00001E710000}"/>
    <cellStyle name="Procentowy 3 4 76" xfId="28946" xr:uid="{00000000-0005-0000-0000-00001F710000}"/>
    <cellStyle name="Procentowy 3 4 8" xfId="28947" xr:uid="{00000000-0005-0000-0000-000020710000}"/>
    <cellStyle name="Procentowy 3 4 8 2" xfId="28948" xr:uid="{00000000-0005-0000-0000-000021710000}"/>
    <cellStyle name="Procentowy 3 4 9" xfId="28949" xr:uid="{00000000-0005-0000-0000-000022710000}"/>
    <cellStyle name="Procentowy 3 4 9 2" xfId="28950" xr:uid="{00000000-0005-0000-0000-000023710000}"/>
    <cellStyle name="Procentowy 3 40" xfId="28951" xr:uid="{00000000-0005-0000-0000-000024710000}"/>
    <cellStyle name="Procentowy 3 40 2" xfId="28952" xr:uid="{00000000-0005-0000-0000-000025710000}"/>
    <cellStyle name="Procentowy 3 41" xfId="28953" xr:uid="{00000000-0005-0000-0000-000026710000}"/>
    <cellStyle name="Procentowy 3 41 2" xfId="28954" xr:uid="{00000000-0005-0000-0000-000027710000}"/>
    <cellStyle name="Procentowy 3 42" xfId="28955" xr:uid="{00000000-0005-0000-0000-000028710000}"/>
    <cellStyle name="Procentowy 3 42 2" xfId="28956" xr:uid="{00000000-0005-0000-0000-000029710000}"/>
    <cellStyle name="Procentowy 3 43" xfId="28957" xr:uid="{00000000-0005-0000-0000-00002A710000}"/>
    <cellStyle name="Procentowy 3 43 2" xfId="28958" xr:uid="{00000000-0005-0000-0000-00002B710000}"/>
    <cellStyle name="Procentowy 3 44" xfId="28959" xr:uid="{00000000-0005-0000-0000-00002C710000}"/>
    <cellStyle name="Procentowy 3 44 2" xfId="28960" xr:uid="{00000000-0005-0000-0000-00002D710000}"/>
    <cellStyle name="Procentowy 3 45" xfId="28961" xr:uid="{00000000-0005-0000-0000-00002E710000}"/>
    <cellStyle name="Procentowy 3 45 2" xfId="28962" xr:uid="{00000000-0005-0000-0000-00002F710000}"/>
    <cellStyle name="Procentowy 3 46" xfId="28963" xr:uid="{00000000-0005-0000-0000-000030710000}"/>
    <cellStyle name="Procentowy 3 46 2" xfId="28964" xr:uid="{00000000-0005-0000-0000-000031710000}"/>
    <cellStyle name="Procentowy 3 47" xfId="28965" xr:uid="{00000000-0005-0000-0000-000032710000}"/>
    <cellStyle name="Procentowy 3 47 2" xfId="28966" xr:uid="{00000000-0005-0000-0000-000033710000}"/>
    <cellStyle name="Procentowy 3 48" xfId="28967" xr:uid="{00000000-0005-0000-0000-000034710000}"/>
    <cellStyle name="Procentowy 3 48 2" xfId="28968" xr:uid="{00000000-0005-0000-0000-000035710000}"/>
    <cellStyle name="Procentowy 3 49" xfId="28969" xr:uid="{00000000-0005-0000-0000-000036710000}"/>
    <cellStyle name="Procentowy 3 49 2" xfId="28970" xr:uid="{00000000-0005-0000-0000-000037710000}"/>
    <cellStyle name="Procentowy 3 5" xfId="28971" xr:uid="{00000000-0005-0000-0000-000038710000}"/>
    <cellStyle name="Procentowy 3 5 10" xfId="28972" xr:uid="{00000000-0005-0000-0000-000039710000}"/>
    <cellStyle name="Procentowy 3 5 10 2" xfId="28973" xr:uid="{00000000-0005-0000-0000-00003A710000}"/>
    <cellStyle name="Procentowy 3 5 11" xfId="28974" xr:uid="{00000000-0005-0000-0000-00003B710000}"/>
    <cellStyle name="Procentowy 3 5 11 2" xfId="28975" xr:uid="{00000000-0005-0000-0000-00003C710000}"/>
    <cellStyle name="Procentowy 3 5 12" xfId="28976" xr:uid="{00000000-0005-0000-0000-00003D710000}"/>
    <cellStyle name="Procentowy 3 5 12 2" xfId="28977" xr:uid="{00000000-0005-0000-0000-00003E710000}"/>
    <cellStyle name="Procentowy 3 5 13" xfId="28978" xr:uid="{00000000-0005-0000-0000-00003F710000}"/>
    <cellStyle name="Procentowy 3 5 13 2" xfId="28979" xr:uid="{00000000-0005-0000-0000-000040710000}"/>
    <cellStyle name="Procentowy 3 5 14" xfId="28980" xr:uid="{00000000-0005-0000-0000-000041710000}"/>
    <cellStyle name="Procentowy 3 5 14 2" xfId="28981" xr:uid="{00000000-0005-0000-0000-000042710000}"/>
    <cellStyle name="Procentowy 3 5 15" xfId="28982" xr:uid="{00000000-0005-0000-0000-000043710000}"/>
    <cellStyle name="Procentowy 3 5 15 2" xfId="28983" xr:uid="{00000000-0005-0000-0000-000044710000}"/>
    <cellStyle name="Procentowy 3 5 16" xfId="28984" xr:uid="{00000000-0005-0000-0000-000045710000}"/>
    <cellStyle name="Procentowy 3 5 16 2" xfId="28985" xr:uid="{00000000-0005-0000-0000-000046710000}"/>
    <cellStyle name="Procentowy 3 5 17" xfId="28986" xr:uid="{00000000-0005-0000-0000-000047710000}"/>
    <cellStyle name="Procentowy 3 5 17 2" xfId="28987" xr:uid="{00000000-0005-0000-0000-000048710000}"/>
    <cellStyle name="Procentowy 3 5 18" xfId="28988" xr:uid="{00000000-0005-0000-0000-000049710000}"/>
    <cellStyle name="Procentowy 3 5 18 2" xfId="28989" xr:uid="{00000000-0005-0000-0000-00004A710000}"/>
    <cellStyle name="Procentowy 3 5 19" xfId="28990" xr:uid="{00000000-0005-0000-0000-00004B710000}"/>
    <cellStyle name="Procentowy 3 5 19 2" xfId="28991" xr:uid="{00000000-0005-0000-0000-00004C710000}"/>
    <cellStyle name="Procentowy 3 5 2" xfId="28992" xr:uid="{00000000-0005-0000-0000-00004D710000}"/>
    <cellStyle name="Procentowy 3 5 2 2" xfId="28993" xr:uid="{00000000-0005-0000-0000-00004E710000}"/>
    <cellStyle name="Procentowy 3 5 2 3" xfId="28994" xr:uid="{00000000-0005-0000-0000-00004F710000}"/>
    <cellStyle name="Procentowy 3 5 2 4" xfId="28995" xr:uid="{00000000-0005-0000-0000-000050710000}"/>
    <cellStyle name="Procentowy 3 5 2 5" xfId="28996" xr:uid="{00000000-0005-0000-0000-000051710000}"/>
    <cellStyle name="Procentowy 3 5 2 6" xfId="28997" xr:uid="{00000000-0005-0000-0000-000052710000}"/>
    <cellStyle name="Procentowy 3 5 2 7" xfId="28998" xr:uid="{00000000-0005-0000-0000-000053710000}"/>
    <cellStyle name="Procentowy 3 5 20" xfId="28999" xr:uid="{00000000-0005-0000-0000-000054710000}"/>
    <cellStyle name="Procentowy 3 5 20 2" xfId="29000" xr:uid="{00000000-0005-0000-0000-000055710000}"/>
    <cellStyle name="Procentowy 3 5 21" xfId="29001" xr:uid="{00000000-0005-0000-0000-000056710000}"/>
    <cellStyle name="Procentowy 3 5 21 2" xfId="29002" xr:uid="{00000000-0005-0000-0000-000057710000}"/>
    <cellStyle name="Procentowy 3 5 22" xfId="29003" xr:uid="{00000000-0005-0000-0000-000058710000}"/>
    <cellStyle name="Procentowy 3 5 22 2" xfId="29004" xr:uid="{00000000-0005-0000-0000-000059710000}"/>
    <cellStyle name="Procentowy 3 5 23" xfId="29005" xr:uid="{00000000-0005-0000-0000-00005A710000}"/>
    <cellStyle name="Procentowy 3 5 23 2" xfId="29006" xr:uid="{00000000-0005-0000-0000-00005B710000}"/>
    <cellStyle name="Procentowy 3 5 24" xfId="29007" xr:uid="{00000000-0005-0000-0000-00005C710000}"/>
    <cellStyle name="Procentowy 3 5 24 2" xfId="29008" xr:uid="{00000000-0005-0000-0000-00005D710000}"/>
    <cellStyle name="Procentowy 3 5 25" xfId="29009" xr:uid="{00000000-0005-0000-0000-00005E710000}"/>
    <cellStyle name="Procentowy 3 5 25 2" xfId="29010" xr:uid="{00000000-0005-0000-0000-00005F710000}"/>
    <cellStyle name="Procentowy 3 5 26" xfId="29011" xr:uid="{00000000-0005-0000-0000-000060710000}"/>
    <cellStyle name="Procentowy 3 5 26 2" xfId="29012" xr:uid="{00000000-0005-0000-0000-000061710000}"/>
    <cellStyle name="Procentowy 3 5 27" xfId="29013" xr:uid="{00000000-0005-0000-0000-000062710000}"/>
    <cellStyle name="Procentowy 3 5 27 2" xfId="29014" xr:uid="{00000000-0005-0000-0000-000063710000}"/>
    <cellStyle name="Procentowy 3 5 28" xfId="29015" xr:uid="{00000000-0005-0000-0000-000064710000}"/>
    <cellStyle name="Procentowy 3 5 28 2" xfId="29016" xr:uid="{00000000-0005-0000-0000-000065710000}"/>
    <cellStyle name="Procentowy 3 5 29" xfId="29017" xr:uid="{00000000-0005-0000-0000-000066710000}"/>
    <cellStyle name="Procentowy 3 5 29 2" xfId="29018" xr:uid="{00000000-0005-0000-0000-000067710000}"/>
    <cellStyle name="Procentowy 3 5 3" xfId="29019" xr:uid="{00000000-0005-0000-0000-000068710000}"/>
    <cellStyle name="Procentowy 3 5 3 2" xfId="29020" xr:uid="{00000000-0005-0000-0000-000069710000}"/>
    <cellStyle name="Procentowy 3 5 3 3" xfId="29021" xr:uid="{00000000-0005-0000-0000-00006A710000}"/>
    <cellStyle name="Procentowy 3 5 3 4" xfId="29022" xr:uid="{00000000-0005-0000-0000-00006B710000}"/>
    <cellStyle name="Procentowy 3 5 3 5" xfId="29023" xr:uid="{00000000-0005-0000-0000-00006C710000}"/>
    <cellStyle name="Procentowy 3 5 3 6" xfId="29024" xr:uid="{00000000-0005-0000-0000-00006D710000}"/>
    <cellStyle name="Procentowy 3 5 3 7" xfId="29025" xr:uid="{00000000-0005-0000-0000-00006E710000}"/>
    <cellStyle name="Procentowy 3 5 30" xfId="29026" xr:uid="{00000000-0005-0000-0000-00006F710000}"/>
    <cellStyle name="Procentowy 3 5 30 2" xfId="29027" xr:uid="{00000000-0005-0000-0000-000070710000}"/>
    <cellStyle name="Procentowy 3 5 31" xfId="29028" xr:uid="{00000000-0005-0000-0000-000071710000}"/>
    <cellStyle name="Procentowy 3 5 31 2" xfId="29029" xr:uid="{00000000-0005-0000-0000-000072710000}"/>
    <cellStyle name="Procentowy 3 5 32" xfId="29030" xr:uid="{00000000-0005-0000-0000-000073710000}"/>
    <cellStyle name="Procentowy 3 5 33" xfId="29031" xr:uid="{00000000-0005-0000-0000-000074710000}"/>
    <cellStyle name="Procentowy 3 5 34" xfId="29032" xr:uid="{00000000-0005-0000-0000-000075710000}"/>
    <cellStyle name="Procentowy 3 5 35" xfId="29033" xr:uid="{00000000-0005-0000-0000-000076710000}"/>
    <cellStyle name="Procentowy 3 5 36" xfId="29034" xr:uid="{00000000-0005-0000-0000-000077710000}"/>
    <cellStyle name="Procentowy 3 5 37" xfId="29035" xr:uid="{00000000-0005-0000-0000-000078710000}"/>
    <cellStyle name="Procentowy 3 5 38" xfId="29036" xr:uid="{00000000-0005-0000-0000-000079710000}"/>
    <cellStyle name="Procentowy 3 5 39" xfId="29037" xr:uid="{00000000-0005-0000-0000-00007A710000}"/>
    <cellStyle name="Procentowy 3 5 4" xfId="29038" xr:uid="{00000000-0005-0000-0000-00007B710000}"/>
    <cellStyle name="Procentowy 3 5 4 2" xfId="29039" xr:uid="{00000000-0005-0000-0000-00007C710000}"/>
    <cellStyle name="Procentowy 3 5 4 3" xfId="29040" xr:uid="{00000000-0005-0000-0000-00007D710000}"/>
    <cellStyle name="Procentowy 3 5 4 4" xfId="29041" xr:uid="{00000000-0005-0000-0000-00007E710000}"/>
    <cellStyle name="Procentowy 3 5 4 5" xfId="29042" xr:uid="{00000000-0005-0000-0000-00007F710000}"/>
    <cellStyle name="Procentowy 3 5 4 6" xfId="29043" xr:uid="{00000000-0005-0000-0000-000080710000}"/>
    <cellStyle name="Procentowy 3 5 4 7" xfId="29044" xr:uid="{00000000-0005-0000-0000-000081710000}"/>
    <cellStyle name="Procentowy 3 5 40" xfId="29045" xr:uid="{00000000-0005-0000-0000-000082710000}"/>
    <cellStyle name="Procentowy 3 5 41" xfId="29046" xr:uid="{00000000-0005-0000-0000-000083710000}"/>
    <cellStyle name="Procentowy 3 5 42" xfId="29047" xr:uid="{00000000-0005-0000-0000-000084710000}"/>
    <cellStyle name="Procentowy 3 5 43" xfId="29048" xr:uid="{00000000-0005-0000-0000-000085710000}"/>
    <cellStyle name="Procentowy 3 5 44" xfId="29049" xr:uid="{00000000-0005-0000-0000-000086710000}"/>
    <cellStyle name="Procentowy 3 5 45" xfId="29050" xr:uid="{00000000-0005-0000-0000-000087710000}"/>
    <cellStyle name="Procentowy 3 5 46" xfId="29051" xr:uid="{00000000-0005-0000-0000-000088710000}"/>
    <cellStyle name="Procentowy 3 5 47" xfId="29052" xr:uid="{00000000-0005-0000-0000-000089710000}"/>
    <cellStyle name="Procentowy 3 5 48" xfId="29053" xr:uid="{00000000-0005-0000-0000-00008A710000}"/>
    <cellStyle name="Procentowy 3 5 49" xfId="29054" xr:uid="{00000000-0005-0000-0000-00008B710000}"/>
    <cellStyle name="Procentowy 3 5 5" xfId="29055" xr:uid="{00000000-0005-0000-0000-00008C710000}"/>
    <cellStyle name="Procentowy 3 5 5 2" xfId="29056" xr:uid="{00000000-0005-0000-0000-00008D710000}"/>
    <cellStyle name="Procentowy 3 5 5 3" xfId="29057" xr:uid="{00000000-0005-0000-0000-00008E710000}"/>
    <cellStyle name="Procentowy 3 5 5 4" xfId="29058" xr:uid="{00000000-0005-0000-0000-00008F710000}"/>
    <cellStyle name="Procentowy 3 5 5 5" xfId="29059" xr:uid="{00000000-0005-0000-0000-000090710000}"/>
    <cellStyle name="Procentowy 3 5 5 6" xfId="29060" xr:uid="{00000000-0005-0000-0000-000091710000}"/>
    <cellStyle name="Procentowy 3 5 5 7" xfId="29061" xr:uid="{00000000-0005-0000-0000-000092710000}"/>
    <cellStyle name="Procentowy 3 5 50" xfId="29062" xr:uid="{00000000-0005-0000-0000-000093710000}"/>
    <cellStyle name="Procentowy 3 5 51" xfId="29063" xr:uid="{00000000-0005-0000-0000-000094710000}"/>
    <cellStyle name="Procentowy 3 5 52" xfId="29064" xr:uid="{00000000-0005-0000-0000-000095710000}"/>
    <cellStyle name="Procentowy 3 5 53" xfId="29065" xr:uid="{00000000-0005-0000-0000-000096710000}"/>
    <cellStyle name="Procentowy 3 5 54" xfId="29066" xr:uid="{00000000-0005-0000-0000-000097710000}"/>
    <cellStyle name="Procentowy 3 5 55" xfId="29067" xr:uid="{00000000-0005-0000-0000-000098710000}"/>
    <cellStyle name="Procentowy 3 5 56" xfId="29068" xr:uid="{00000000-0005-0000-0000-000099710000}"/>
    <cellStyle name="Procentowy 3 5 57" xfId="29069" xr:uid="{00000000-0005-0000-0000-00009A710000}"/>
    <cellStyle name="Procentowy 3 5 58" xfId="29070" xr:uid="{00000000-0005-0000-0000-00009B710000}"/>
    <cellStyle name="Procentowy 3 5 59" xfId="29071" xr:uid="{00000000-0005-0000-0000-00009C710000}"/>
    <cellStyle name="Procentowy 3 5 6" xfId="29072" xr:uid="{00000000-0005-0000-0000-00009D710000}"/>
    <cellStyle name="Procentowy 3 5 6 2" xfId="29073" xr:uid="{00000000-0005-0000-0000-00009E710000}"/>
    <cellStyle name="Procentowy 3 5 60" xfId="29074" xr:uid="{00000000-0005-0000-0000-00009F710000}"/>
    <cellStyle name="Procentowy 3 5 61" xfId="29075" xr:uid="{00000000-0005-0000-0000-0000A0710000}"/>
    <cellStyle name="Procentowy 3 5 62" xfId="29076" xr:uid="{00000000-0005-0000-0000-0000A1710000}"/>
    <cellStyle name="Procentowy 3 5 63" xfId="29077" xr:uid="{00000000-0005-0000-0000-0000A2710000}"/>
    <cellStyle name="Procentowy 3 5 64" xfId="29078" xr:uid="{00000000-0005-0000-0000-0000A3710000}"/>
    <cellStyle name="Procentowy 3 5 65" xfId="29079" xr:uid="{00000000-0005-0000-0000-0000A4710000}"/>
    <cellStyle name="Procentowy 3 5 66" xfId="29080" xr:uid="{00000000-0005-0000-0000-0000A5710000}"/>
    <cellStyle name="Procentowy 3 5 67" xfId="29081" xr:uid="{00000000-0005-0000-0000-0000A6710000}"/>
    <cellStyle name="Procentowy 3 5 68" xfId="29082" xr:uid="{00000000-0005-0000-0000-0000A7710000}"/>
    <cellStyle name="Procentowy 3 5 69" xfId="29083" xr:uid="{00000000-0005-0000-0000-0000A8710000}"/>
    <cellStyle name="Procentowy 3 5 7" xfId="29084" xr:uid="{00000000-0005-0000-0000-0000A9710000}"/>
    <cellStyle name="Procentowy 3 5 7 2" xfId="29085" xr:uid="{00000000-0005-0000-0000-0000AA710000}"/>
    <cellStyle name="Procentowy 3 5 70" xfId="29086" xr:uid="{00000000-0005-0000-0000-0000AB710000}"/>
    <cellStyle name="Procentowy 3 5 71" xfId="29087" xr:uid="{00000000-0005-0000-0000-0000AC710000}"/>
    <cellStyle name="Procentowy 3 5 72" xfId="29088" xr:uid="{00000000-0005-0000-0000-0000AD710000}"/>
    <cellStyle name="Procentowy 3 5 73" xfId="29089" xr:uid="{00000000-0005-0000-0000-0000AE710000}"/>
    <cellStyle name="Procentowy 3 5 74" xfId="29090" xr:uid="{00000000-0005-0000-0000-0000AF710000}"/>
    <cellStyle name="Procentowy 3 5 8" xfId="29091" xr:uid="{00000000-0005-0000-0000-0000B0710000}"/>
    <cellStyle name="Procentowy 3 5 8 2" xfId="29092" xr:uid="{00000000-0005-0000-0000-0000B1710000}"/>
    <cellStyle name="Procentowy 3 5 9" xfId="29093" xr:uid="{00000000-0005-0000-0000-0000B2710000}"/>
    <cellStyle name="Procentowy 3 5 9 2" xfId="29094" xr:uid="{00000000-0005-0000-0000-0000B3710000}"/>
    <cellStyle name="Procentowy 3 50" xfId="29095" xr:uid="{00000000-0005-0000-0000-0000B4710000}"/>
    <cellStyle name="Procentowy 3 50 2" xfId="29096" xr:uid="{00000000-0005-0000-0000-0000B5710000}"/>
    <cellStyle name="Procentowy 3 51" xfId="29097" xr:uid="{00000000-0005-0000-0000-0000B6710000}"/>
    <cellStyle name="Procentowy 3 51 2" xfId="29098" xr:uid="{00000000-0005-0000-0000-0000B7710000}"/>
    <cellStyle name="Procentowy 3 52" xfId="29099" xr:uid="{00000000-0005-0000-0000-0000B8710000}"/>
    <cellStyle name="Procentowy 3 52 2" xfId="29100" xr:uid="{00000000-0005-0000-0000-0000B9710000}"/>
    <cellStyle name="Procentowy 3 53" xfId="29101" xr:uid="{00000000-0005-0000-0000-0000BA710000}"/>
    <cellStyle name="Procentowy 3 53 2" xfId="29102" xr:uid="{00000000-0005-0000-0000-0000BB710000}"/>
    <cellStyle name="Procentowy 3 54" xfId="29103" xr:uid="{00000000-0005-0000-0000-0000BC710000}"/>
    <cellStyle name="Procentowy 3 54 2" xfId="29104" xr:uid="{00000000-0005-0000-0000-0000BD710000}"/>
    <cellStyle name="Procentowy 3 55" xfId="29105" xr:uid="{00000000-0005-0000-0000-0000BE710000}"/>
    <cellStyle name="Procentowy 3 55 2" xfId="29106" xr:uid="{00000000-0005-0000-0000-0000BF710000}"/>
    <cellStyle name="Procentowy 3 56" xfId="29107" xr:uid="{00000000-0005-0000-0000-0000C0710000}"/>
    <cellStyle name="Procentowy 3 56 2" xfId="29108" xr:uid="{00000000-0005-0000-0000-0000C1710000}"/>
    <cellStyle name="Procentowy 3 57" xfId="29109" xr:uid="{00000000-0005-0000-0000-0000C2710000}"/>
    <cellStyle name="Procentowy 3 57 2" xfId="29110" xr:uid="{00000000-0005-0000-0000-0000C3710000}"/>
    <cellStyle name="Procentowy 3 58" xfId="29111" xr:uid="{00000000-0005-0000-0000-0000C4710000}"/>
    <cellStyle name="Procentowy 3 58 2" xfId="29112" xr:uid="{00000000-0005-0000-0000-0000C5710000}"/>
    <cellStyle name="Procentowy 3 59" xfId="29113" xr:uid="{00000000-0005-0000-0000-0000C6710000}"/>
    <cellStyle name="Procentowy 3 59 2" xfId="29114" xr:uid="{00000000-0005-0000-0000-0000C7710000}"/>
    <cellStyle name="Procentowy 3 6" xfId="29115" xr:uid="{00000000-0005-0000-0000-0000C8710000}"/>
    <cellStyle name="Procentowy 3 6 10" xfId="29116" xr:uid="{00000000-0005-0000-0000-0000C9710000}"/>
    <cellStyle name="Procentowy 3 6 10 2" xfId="29117" xr:uid="{00000000-0005-0000-0000-0000CA710000}"/>
    <cellStyle name="Procentowy 3 6 11" xfId="29118" xr:uid="{00000000-0005-0000-0000-0000CB710000}"/>
    <cellStyle name="Procentowy 3 6 11 2" xfId="29119" xr:uid="{00000000-0005-0000-0000-0000CC710000}"/>
    <cellStyle name="Procentowy 3 6 12" xfId="29120" xr:uid="{00000000-0005-0000-0000-0000CD710000}"/>
    <cellStyle name="Procentowy 3 6 12 2" xfId="29121" xr:uid="{00000000-0005-0000-0000-0000CE710000}"/>
    <cellStyle name="Procentowy 3 6 13" xfId="29122" xr:uid="{00000000-0005-0000-0000-0000CF710000}"/>
    <cellStyle name="Procentowy 3 6 13 2" xfId="29123" xr:uid="{00000000-0005-0000-0000-0000D0710000}"/>
    <cellStyle name="Procentowy 3 6 14" xfId="29124" xr:uid="{00000000-0005-0000-0000-0000D1710000}"/>
    <cellStyle name="Procentowy 3 6 14 2" xfId="29125" xr:uid="{00000000-0005-0000-0000-0000D2710000}"/>
    <cellStyle name="Procentowy 3 6 15" xfId="29126" xr:uid="{00000000-0005-0000-0000-0000D3710000}"/>
    <cellStyle name="Procentowy 3 6 15 2" xfId="29127" xr:uid="{00000000-0005-0000-0000-0000D4710000}"/>
    <cellStyle name="Procentowy 3 6 16" xfId="29128" xr:uid="{00000000-0005-0000-0000-0000D5710000}"/>
    <cellStyle name="Procentowy 3 6 16 2" xfId="29129" xr:uid="{00000000-0005-0000-0000-0000D6710000}"/>
    <cellStyle name="Procentowy 3 6 17" xfId="29130" xr:uid="{00000000-0005-0000-0000-0000D7710000}"/>
    <cellStyle name="Procentowy 3 6 17 2" xfId="29131" xr:uid="{00000000-0005-0000-0000-0000D8710000}"/>
    <cellStyle name="Procentowy 3 6 18" xfId="29132" xr:uid="{00000000-0005-0000-0000-0000D9710000}"/>
    <cellStyle name="Procentowy 3 6 18 2" xfId="29133" xr:uid="{00000000-0005-0000-0000-0000DA710000}"/>
    <cellStyle name="Procentowy 3 6 19" xfId="29134" xr:uid="{00000000-0005-0000-0000-0000DB710000}"/>
    <cellStyle name="Procentowy 3 6 19 2" xfId="29135" xr:uid="{00000000-0005-0000-0000-0000DC710000}"/>
    <cellStyle name="Procentowy 3 6 2" xfId="29136" xr:uid="{00000000-0005-0000-0000-0000DD710000}"/>
    <cellStyle name="Procentowy 3 6 2 2" xfId="29137" xr:uid="{00000000-0005-0000-0000-0000DE710000}"/>
    <cellStyle name="Procentowy 3 6 2 3" xfId="29138" xr:uid="{00000000-0005-0000-0000-0000DF710000}"/>
    <cellStyle name="Procentowy 3 6 2 4" xfId="29139" xr:uid="{00000000-0005-0000-0000-0000E0710000}"/>
    <cellStyle name="Procentowy 3 6 2 5" xfId="29140" xr:uid="{00000000-0005-0000-0000-0000E1710000}"/>
    <cellStyle name="Procentowy 3 6 2 6" xfId="29141" xr:uid="{00000000-0005-0000-0000-0000E2710000}"/>
    <cellStyle name="Procentowy 3 6 2 7" xfId="29142" xr:uid="{00000000-0005-0000-0000-0000E3710000}"/>
    <cellStyle name="Procentowy 3 6 20" xfId="29143" xr:uid="{00000000-0005-0000-0000-0000E4710000}"/>
    <cellStyle name="Procentowy 3 6 20 2" xfId="29144" xr:uid="{00000000-0005-0000-0000-0000E5710000}"/>
    <cellStyle name="Procentowy 3 6 21" xfId="29145" xr:uid="{00000000-0005-0000-0000-0000E6710000}"/>
    <cellStyle name="Procentowy 3 6 21 2" xfId="29146" xr:uid="{00000000-0005-0000-0000-0000E7710000}"/>
    <cellStyle name="Procentowy 3 6 22" xfId="29147" xr:uid="{00000000-0005-0000-0000-0000E8710000}"/>
    <cellStyle name="Procentowy 3 6 22 2" xfId="29148" xr:uid="{00000000-0005-0000-0000-0000E9710000}"/>
    <cellStyle name="Procentowy 3 6 23" xfId="29149" xr:uid="{00000000-0005-0000-0000-0000EA710000}"/>
    <cellStyle name="Procentowy 3 6 23 2" xfId="29150" xr:uid="{00000000-0005-0000-0000-0000EB710000}"/>
    <cellStyle name="Procentowy 3 6 24" xfId="29151" xr:uid="{00000000-0005-0000-0000-0000EC710000}"/>
    <cellStyle name="Procentowy 3 6 24 2" xfId="29152" xr:uid="{00000000-0005-0000-0000-0000ED710000}"/>
    <cellStyle name="Procentowy 3 6 25" xfId="29153" xr:uid="{00000000-0005-0000-0000-0000EE710000}"/>
    <cellStyle name="Procentowy 3 6 25 2" xfId="29154" xr:uid="{00000000-0005-0000-0000-0000EF710000}"/>
    <cellStyle name="Procentowy 3 6 26" xfId="29155" xr:uid="{00000000-0005-0000-0000-0000F0710000}"/>
    <cellStyle name="Procentowy 3 6 26 2" xfId="29156" xr:uid="{00000000-0005-0000-0000-0000F1710000}"/>
    <cellStyle name="Procentowy 3 6 27" xfId="29157" xr:uid="{00000000-0005-0000-0000-0000F2710000}"/>
    <cellStyle name="Procentowy 3 6 27 2" xfId="29158" xr:uid="{00000000-0005-0000-0000-0000F3710000}"/>
    <cellStyle name="Procentowy 3 6 28" xfId="29159" xr:uid="{00000000-0005-0000-0000-0000F4710000}"/>
    <cellStyle name="Procentowy 3 6 28 2" xfId="29160" xr:uid="{00000000-0005-0000-0000-0000F5710000}"/>
    <cellStyle name="Procentowy 3 6 29" xfId="29161" xr:uid="{00000000-0005-0000-0000-0000F6710000}"/>
    <cellStyle name="Procentowy 3 6 29 2" xfId="29162" xr:uid="{00000000-0005-0000-0000-0000F7710000}"/>
    <cellStyle name="Procentowy 3 6 3" xfId="29163" xr:uid="{00000000-0005-0000-0000-0000F8710000}"/>
    <cellStyle name="Procentowy 3 6 3 2" xfId="29164" xr:uid="{00000000-0005-0000-0000-0000F9710000}"/>
    <cellStyle name="Procentowy 3 6 3 3" xfId="29165" xr:uid="{00000000-0005-0000-0000-0000FA710000}"/>
    <cellStyle name="Procentowy 3 6 3 4" xfId="29166" xr:uid="{00000000-0005-0000-0000-0000FB710000}"/>
    <cellStyle name="Procentowy 3 6 3 5" xfId="29167" xr:uid="{00000000-0005-0000-0000-0000FC710000}"/>
    <cellStyle name="Procentowy 3 6 3 6" xfId="29168" xr:uid="{00000000-0005-0000-0000-0000FD710000}"/>
    <cellStyle name="Procentowy 3 6 3 7" xfId="29169" xr:uid="{00000000-0005-0000-0000-0000FE710000}"/>
    <cellStyle name="Procentowy 3 6 30" xfId="29170" xr:uid="{00000000-0005-0000-0000-0000FF710000}"/>
    <cellStyle name="Procentowy 3 6 30 2" xfId="29171" xr:uid="{00000000-0005-0000-0000-000000720000}"/>
    <cellStyle name="Procentowy 3 6 31" xfId="29172" xr:uid="{00000000-0005-0000-0000-000001720000}"/>
    <cellStyle name="Procentowy 3 6 31 2" xfId="29173" xr:uid="{00000000-0005-0000-0000-000002720000}"/>
    <cellStyle name="Procentowy 3 6 32" xfId="29174" xr:uid="{00000000-0005-0000-0000-000003720000}"/>
    <cellStyle name="Procentowy 3 6 33" xfId="29175" xr:uid="{00000000-0005-0000-0000-000004720000}"/>
    <cellStyle name="Procentowy 3 6 34" xfId="29176" xr:uid="{00000000-0005-0000-0000-000005720000}"/>
    <cellStyle name="Procentowy 3 6 35" xfId="29177" xr:uid="{00000000-0005-0000-0000-000006720000}"/>
    <cellStyle name="Procentowy 3 6 36" xfId="29178" xr:uid="{00000000-0005-0000-0000-000007720000}"/>
    <cellStyle name="Procentowy 3 6 37" xfId="29179" xr:uid="{00000000-0005-0000-0000-000008720000}"/>
    <cellStyle name="Procentowy 3 6 38" xfId="29180" xr:uid="{00000000-0005-0000-0000-000009720000}"/>
    <cellStyle name="Procentowy 3 6 39" xfId="29181" xr:uid="{00000000-0005-0000-0000-00000A720000}"/>
    <cellStyle name="Procentowy 3 6 4" xfId="29182" xr:uid="{00000000-0005-0000-0000-00000B720000}"/>
    <cellStyle name="Procentowy 3 6 4 2" xfId="29183" xr:uid="{00000000-0005-0000-0000-00000C720000}"/>
    <cellStyle name="Procentowy 3 6 4 3" xfId="29184" xr:uid="{00000000-0005-0000-0000-00000D720000}"/>
    <cellStyle name="Procentowy 3 6 4 4" xfId="29185" xr:uid="{00000000-0005-0000-0000-00000E720000}"/>
    <cellStyle name="Procentowy 3 6 4 5" xfId="29186" xr:uid="{00000000-0005-0000-0000-00000F720000}"/>
    <cellStyle name="Procentowy 3 6 4 6" xfId="29187" xr:uid="{00000000-0005-0000-0000-000010720000}"/>
    <cellStyle name="Procentowy 3 6 4 7" xfId="29188" xr:uid="{00000000-0005-0000-0000-000011720000}"/>
    <cellStyle name="Procentowy 3 6 40" xfId="29189" xr:uid="{00000000-0005-0000-0000-000012720000}"/>
    <cellStyle name="Procentowy 3 6 41" xfId="29190" xr:uid="{00000000-0005-0000-0000-000013720000}"/>
    <cellStyle name="Procentowy 3 6 42" xfId="29191" xr:uid="{00000000-0005-0000-0000-000014720000}"/>
    <cellStyle name="Procentowy 3 6 43" xfId="29192" xr:uid="{00000000-0005-0000-0000-000015720000}"/>
    <cellStyle name="Procentowy 3 6 44" xfId="29193" xr:uid="{00000000-0005-0000-0000-000016720000}"/>
    <cellStyle name="Procentowy 3 6 45" xfId="29194" xr:uid="{00000000-0005-0000-0000-000017720000}"/>
    <cellStyle name="Procentowy 3 6 46" xfId="29195" xr:uid="{00000000-0005-0000-0000-000018720000}"/>
    <cellStyle name="Procentowy 3 6 47" xfId="29196" xr:uid="{00000000-0005-0000-0000-000019720000}"/>
    <cellStyle name="Procentowy 3 6 48" xfId="29197" xr:uid="{00000000-0005-0000-0000-00001A720000}"/>
    <cellStyle name="Procentowy 3 6 49" xfId="29198" xr:uid="{00000000-0005-0000-0000-00001B720000}"/>
    <cellStyle name="Procentowy 3 6 5" xfId="29199" xr:uid="{00000000-0005-0000-0000-00001C720000}"/>
    <cellStyle name="Procentowy 3 6 5 2" xfId="29200" xr:uid="{00000000-0005-0000-0000-00001D720000}"/>
    <cellStyle name="Procentowy 3 6 5 3" xfId="29201" xr:uid="{00000000-0005-0000-0000-00001E720000}"/>
    <cellStyle name="Procentowy 3 6 5 4" xfId="29202" xr:uid="{00000000-0005-0000-0000-00001F720000}"/>
    <cellStyle name="Procentowy 3 6 5 5" xfId="29203" xr:uid="{00000000-0005-0000-0000-000020720000}"/>
    <cellStyle name="Procentowy 3 6 5 6" xfId="29204" xr:uid="{00000000-0005-0000-0000-000021720000}"/>
    <cellStyle name="Procentowy 3 6 5 7" xfId="29205" xr:uid="{00000000-0005-0000-0000-000022720000}"/>
    <cellStyle name="Procentowy 3 6 50" xfId="29206" xr:uid="{00000000-0005-0000-0000-000023720000}"/>
    <cellStyle name="Procentowy 3 6 51" xfId="29207" xr:uid="{00000000-0005-0000-0000-000024720000}"/>
    <cellStyle name="Procentowy 3 6 52" xfId="29208" xr:uid="{00000000-0005-0000-0000-000025720000}"/>
    <cellStyle name="Procentowy 3 6 53" xfId="29209" xr:uid="{00000000-0005-0000-0000-000026720000}"/>
    <cellStyle name="Procentowy 3 6 54" xfId="29210" xr:uid="{00000000-0005-0000-0000-000027720000}"/>
    <cellStyle name="Procentowy 3 6 55" xfId="29211" xr:uid="{00000000-0005-0000-0000-000028720000}"/>
    <cellStyle name="Procentowy 3 6 56" xfId="29212" xr:uid="{00000000-0005-0000-0000-000029720000}"/>
    <cellStyle name="Procentowy 3 6 57" xfId="29213" xr:uid="{00000000-0005-0000-0000-00002A720000}"/>
    <cellStyle name="Procentowy 3 6 58" xfId="29214" xr:uid="{00000000-0005-0000-0000-00002B720000}"/>
    <cellStyle name="Procentowy 3 6 59" xfId="29215" xr:uid="{00000000-0005-0000-0000-00002C720000}"/>
    <cellStyle name="Procentowy 3 6 6" xfId="29216" xr:uid="{00000000-0005-0000-0000-00002D720000}"/>
    <cellStyle name="Procentowy 3 6 6 2" xfId="29217" xr:uid="{00000000-0005-0000-0000-00002E720000}"/>
    <cellStyle name="Procentowy 3 6 60" xfId="29218" xr:uid="{00000000-0005-0000-0000-00002F720000}"/>
    <cellStyle name="Procentowy 3 6 61" xfId="29219" xr:uid="{00000000-0005-0000-0000-000030720000}"/>
    <cellStyle name="Procentowy 3 6 62" xfId="29220" xr:uid="{00000000-0005-0000-0000-000031720000}"/>
    <cellStyle name="Procentowy 3 6 63" xfId="29221" xr:uid="{00000000-0005-0000-0000-000032720000}"/>
    <cellStyle name="Procentowy 3 6 64" xfId="29222" xr:uid="{00000000-0005-0000-0000-000033720000}"/>
    <cellStyle name="Procentowy 3 6 65" xfId="29223" xr:uid="{00000000-0005-0000-0000-000034720000}"/>
    <cellStyle name="Procentowy 3 6 66" xfId="29224" xr:uid="{00000000-0005-0000-0000-000035720000}"/>
    <cellStyle name="Procentowy 3 6 67" xfId="29225" xr:uid="{00000000-0005-0000-0000-000036720000}"/>
    <cellStyle name="Procentowy 3 6 68" xfId="29226" xr:uid="{00000000-0005-0000-0000-000037720000}"/>
    <cellStyle name="Procentowy 3 6 69" xfId="29227" xr:uid="{00000000-0005-0000-0000-000038720000}"/>
    <cellStyle name="Procentowy 3 6 7" xfId="29228" xr:uid="{00000000-0005-0000-0000-000039720000}"/>
    <cellStyle name="Procentowy 3 6 7 2" xfId="29229" xr:uid="{00000000-0005-0000-0000-00003A720000}"/>
    <cellStyle name="Procentowy 3 6 70" xfId="29230" xr:uid="{00000000-0005-0000-0000-00003B720000}"/>
    <cellStyle name="Procentowy 3 6 71" xfId="29231" xr:uid="{00000000-0005-0000-0000-00003C720000}"/>
    <cellStyle name="Procentowy 3 6 72" xfId="29232" xr:uid="{00000000-0005-0000-0000-00003D720000}"/>
    <cellStyle name="Procentowy 3 6 73" xfId="29233" xr:uid="{00000000-0005-0000-0000-00003E720000}"/>
    <cellStyle name="Procentowy 3 6 74" xfId="29234" xr:uid="{00000000-0005-0000-0000-00003F720000}"/>
    <cellStyle name="Procentowy 3 6 8" xfId="29235" xr:uid="{00000000-0005-0000-0000-000040720000}"/>
    <cellStyle name="Procentowy 3 6 8 2" xfId="29236" xr:uid="{00000000-0005-0000-0000-000041720000}"/>
    <cellStyle name="Procentowy 3 6 9" xfId="29237" xr:uid="{00000000-0005-0000-0000-000042720000}"/>
    <cellStyle name="Procentowy 3 6 9 2" xfId="29238" xr:uid="{00000000-0005-0000-0000-000043720000}"/>
    <cellStyle name="Procentowy 3 60" xfId="29239" xr:uid="{00000000-0005-0000-0000-000044720000}"/>
    <cellStyle name="Procentowy 3 60 2" xfId="29240" xr:uid="{00000000-0005-0000-0000-000045720000}"/>
    <cellStyle name="Procentowy 3 61" xfId="29241" xr:uid="{00000000-0005-0000-0000-000046720000}"/>
    <cellStyle name="Procentowy 3 61 2" xfId="29242" xr:uid="{00000000-0005-0000-0000-000047720000}"/>
    <cellStyle name="Procentowy 3 62" xfId="29243" xr:uid="{00000000-0005-0000-0000-000048720000}"/>
    <cellStyle name="Procentowy 3 62 2" xfId="29244" xr:uid="{00000000-0005-0000-0000-000049720000}"/>
    <cellStyle name="Procentowy 3 63" xfId="29245" xr:uid="{00000000-0005-0000-0000-00004A720000}"/>
    <cellStyle name="Procentowy 3 63 2" xfId="29246" xr:uid="{00000000-0005-0000-0000-00004B720000}"/>
    <cellStyle name="Procentowy 3 64" xfId="29247" xr:uid="{00000000-0005-0000-0000-00004C720000}"/>
    <cellStyle name="Procentowy 3 64 2" xfId="29248" xr:uid="{00000000-0005-0000-0000-00004D720000}"/>
    <cellStyle name="Procentowy 3 65" xfId="29249" xr:uid="{00000000-0005-0000-0000-00004E720000}"/>
    <cellStyle name="Procentowy 3 65 2" xfId="29250" xr:uid="{00000000-0005-0000-0000-00004F720000}"/>
    <cellStyle name="Procentowy 3 66" xfId="29251" xr:uid="{00000000-0005-0000-0000-000050720000}"/>
    <cellStyle name="Procentowy 3 66 2" xfId="29252" xr:uid="{00000000-0005-0000-0000-000051720000}"/>
    <cellStyle name="Procentowy 3 67" xfId="29253" xr:uid="{00000000-0005-0000-0000-000052720000}"/>
    <cellStyle name="Procentowy 3 67 2" xfId="29254" xr:uid="{00000000-0005-0000-0000-000053720000}"/>
    <cellStyle name="Procentowy 3 68" xfId="29255" xr:uid="{00000000-0005-0000-0000-000054720000}"/>
    <cellStyle name="Procentowy 3 68 2" xfId="29256" xr:uid="{00000000-0005-0000-0000-000055720000}"/>
    <cellStyle name="Procentowy 3 69" xfId="29257" xr:uid="{00000000-0005-0000-0000-000056720000}"/>
    <cellStyle name="Procentowy 3 69 2" xfId="29258" xr:uid="{00000000-0005-0000-0000-000057720000}"/>
    <cellStyle name="Procentowy 3 7" xfId="29259" xr:uid="{00000000-0005-0000-0000-000058720000}"/>
    <cellStyle name="Procentowy 3 7 10" xfId="29260" xr:uid="{00000000-0005-0000-0000-000059720000}"/>
    <cellStyle name="Procentowy 3 7 10 2" xfId="29261" xr:uid="{00000000-0005-0000-0000-00005A720000}"/>
    <cellStyle name="Procentowy 3 7 11" xfId="29262" xr:uid="{00000000-0005-0000-0000-00005B720000}"/>
    <cellStyle name="Procentowy 3 7 11 2" xfId="29263" xr:uid="{00000000-0005-0000-0000-00005C720000}"/>
    <cellStyle name="Procentowy 3 7 12" xfId="29264" xr:uid="{00000000-0005-0000-0000-00005D720000}"/>
    <cellStyle name="Procentowy 3 7 12 2" xfId="29265" xr:uid="{00000000-0005-0000-0000-00005E720000}"/>
    <cellStyle name="Procentowy 3 7 13" xfId="29266" xr:uid="{00000000-0005-0000-0000-00005F720000}"/>
    <cellStyle name="Procentowy 3 7 13 2" xfId="29267" xr:uid="{00000000-0005-0000-0000-000060720000}"/>
    <cellStyle name="Procentowy 3 7 14" xfId="29268" xr:uid="{00000000-0005-0000-0000-000061720000}"/>
    <cellStyle name="Procentowy 3 7 14 2" xfId="29269" xr:uid="{00000000-0005-0000-0000-000062720000}"/>
    <cellStyle name="Procentowy 3 7 15" xfId="29270" xr:uid="{00000000-0005-0000-0000-000063720000}"/>
    <cellStyle name="Procentowy 3 7 15 2" xfId="29271" xr:uid="{00000000-0005-0000-0000-000064720000}"/>
    <cellStyle name="Procentowy 3 7 16" xfId="29272" xr:uid="{00000000-0005-0000-0000-000065720000}"/>
    <cellStyle name="Procentowy 3 7 16 2" xfId="29273" xr:uid="{00000000-0005-0000-0000-000066720000}"/>
    <cellStyle name="Procentowy 3 7 17" xfId="29274" xr:uid="{00000000-0005-0000-0000-000067720000}"/>
    <cellStyle name="Procentowy 3 7 17 2" xfId="29275" xr:uid="{00000000-0005-0000-0000-000068720000}"/>
    <cellStyle name="Procentowy 3 7 18" xfId="29276" xr:uid="{00000000-0005-0000-0000-000069720000}"/>
    <cellStyle name="Procentowy 3 7 18 2" xfId="29277" xr:uid="{00000000-0005-0000-0000-00006A720000}"/>
    <cellStyle name="Procentowy 3 7 19" xfId="29278" xr:uid="{00000000-0005-0000-0000-00006B720000}"/>
    <cellStyle name="Procentowy 3 7 19 2" xfId="29279" xr:uid="{00000000-0005-0000-0000-00006C720000}"/>
    <cellStyle name="Procentowy 3 7 2" xfId="29280" xr:uid="{00000000-0005-0000-0000-00006D720000}"/>
    <cellStyle name="Procentowy 3 7 2 2" xfId="29281" xr:uid="{00000000-0005-0000-0000-00006E720000}"/>
    <cellStyle name="Procentowy 3 7 2 3" xfId="29282" xr:uid="{00000000-0005-0000-0000-00006F720000}"/>
    <cellStyle name="Procentowy 3 7 2 4" xfId="29283" xr:uid="{00000000-0005-0000-0000-000070720000}"/>
    <cellStyle name="Procentowy 3 7 2 5" xfId="29284" xr:uid="{00000000-0005-0000-0000-000071720000}"/>
    <cellStyle name="Procentowy 3 7 2 6" xfId="29285" xr:uid="{00000000-0005-0000-0000-000072720000}"/>
    <cellStyle name="Procentowy 3 7 2 7" xfId="29286" xr:uid="{00000000-0005-0000-0000-000073720000}"/>
    <cellStyle name="Procentowy 3 7 20" xfId="29287" xr:uid="{00000000-0005-0000-0000-000074720000}"/>
    <cellStyle name="Procentowy 3 7 20 2" xfId="29288" xr:uid="{00000000-0005-0000-0000-000075720000}"/>
    <cellStyle name="Procentowy 3 7 21" xfId="29289" xr:uid="{00000000-0005-0000-0000-000076720000}"/>
    <cellStyle name="Procentowy 3 7 21 2" xfId="29290" xr:uid="{00000000-0005-0000-0000-000077720000}"/>
    <cellStyle name="Procentowy 3 7 22" xfId="29291" xr:uid="{00000000-0005-0000-0000-000078720000}"/>
    <cellStyle name="Procentowy 3 7 22 2" xfId="29292" xr:uid="{00000000-0005-0000-0000-000079720000}"/>
    <cellStyle name="Procentowy 3 7 23" xfId="29293" xr:uid="{00000000-0005-0000-0000-00007A720000}"/>
    <cellStyle name="Procentowy 3 7 23 2" xfId="29294" xr:uid="{00000000-0005-0000-0000-00007B720000}"/>
    <cellStyle name="Procentowy 3 7 24" xfId="29295" xr:uid="{00000000-0005-0000-0000-00007C720000}"/>
    <cellStyle name="Procentowy 3 7 24 2" xfId="29296" xr:uid="{00000000-0005-0000-0000-00007D720000}"/>
    <cellStyle name="Procentowy 3 7 25" xfId="29297" xr:uid="{00000000-0005-0000-0000-00007E720000}"/>
    <cellStyle name="Procentowy 3 7 25 2" xfId="29298" xr:uid="{00000000-0005-0000-0000-00007F720000}"/>
    <cellStyle name="Procentowy 3 7 26" xfId="29299" xr:uid="{00000000-0005-0000-0000-000080720000}"/>
    <cellStyle name="Procentowy 3 7 26 2" xfId="29300" xr:uid="{00000000-0005-0000-0000-000081720000}"/>
    <cellStyle name="Procentowy 3 7 27" xfId="29301" xr:uid="{00000000-0005-0000-0000-000082720000}"/>
    <cellStyle name="Procentowy 3 7 27 2" xfId="29302" xr:uid="{00000000-0005-0000-0000-000083720000}"/>
    <cellStyle name="Procentowy 3 7 28" xfId="29303" xr:uid="{00000000-0005-0000-0000-000084720000}"/>
    <cellStyle name="Procentowy 3 7 28 2" xfId="29304" xr:uid="{00000000-0005-0000-0000-000085720000}"/>
    <cellStyle name="Procentowy 3 7 29" xfId="29305" xr:uid="{00000000-0005-0000-0000-000086720000}"/>
    <cellStyle name="Procentowy 3 7 29 2" xfId="29306" xr:uid="{00000000-0005-0000-0000-000087720000}"/>
    <cellStyle name="Procentowy 3 7 3" xfId="29307" xr:uid="{00000000-0005-0000-0000-000088720000}"/>
    <cellStyle name="Procentowy 3 7 3 2" xfId="29308" xr:uid="{00000000-0005-0000-0000-000089720000}"/>
    <cellStyle name="Procentowy 3 7 3 3" xfId="29309" xr:uid="{00000000-0005-0000-0000-00008A720000}"/>
    <cellStyle name="Procentowy 3 7 3 4" xfId="29310" xr:uid="{00000000-0005-0000-0000-00008B720000}"/>
    <cellStyle name="Procentowy 3 7 3 5" xfId="29311" xr:uid="{00000000-0005-0000-0000-00008C720000}"/>
    <cellStyle name="Procentowy 3 7 3 6" xfId="29312" xr:uid="{00000000-0005-0000-0000-00008D720000}"/>
    <cellStyle name="Procentowy 3 7 3 7" xfId="29313" xr:uid="{00000000-0005-0000-0000-00008E720000}"/>
    <cellStyle name="Procentowy 3 7 30" xfId="29314" xr:uid="{00000000-0005-0000-0000-00008F720000}"/>
    <cellStyle name="Procentowy 3 7 30 2" xfId="29315" xr:uid="{00000000-0005-0000-0000-000090720000}"/>
    <cellStyle name="Procentowy 3 7 31" xfId="29316" xr:uid="{00000000-0005-0000-0000-000091720000}"/>
    <cellStyle name="Procentowy 3 7 31 2" xfId="29317" xr:uid="{00000000-0005-0000-0000-000092720000}"/>
    <cellStyle name="Procentowy 3 7 32" xfId="29318" xr:uid="{00000000-0005-0000-0000-000093720000}"/>
    <cellStyle name="Procentowy 3 7 33" xfId="29319" xr:uid="{00000000-0005-0000-0000-000094720000}"/>
    <cellStyle name="Procentowy 3 7 34" xfId="29320" xr:uid="{00000000-0005-0000-0000-000095720000}"/>
    <cellStyle name="Procentowy 3 7 35" xfId="29321" xr:uid="{00000000-0005-0000-0000-000096720000}"/>
    <cellStyle name="Procentowy 3 7 36" xfId="29322" xr:uid="{00000000-0005-0000-0000-000097720000}"/>
    <cellStyle name="Procentowy 3 7 37" xfId="29323" xr:uid="{00000000-0005-0000-0000-000098720000}"/>
    <cellStyle name="Procentowy 3 7 38" xfId="29324" xr:uid="{00000000-0005-0000-0000-000099720000}"/>
    <cellStyle name="Procentowy 3 7 39" xfId="29325" xr:uid="{00000000-0005-0000-0000-00009A720000}"/>
    <cellStyle name="Procentowy 3 7 4" xfId="29326" xr:uid="{00000000-0005-0000-0000-00009B720000}"/>
    <cellStyle name="Procentowy 3 7 4 2" xfId="29327" xr:uid="{00000000-0005-0000-0000-00009C720000}"/>
    <cellStyle name="Procentowy 3 7 4 3" xfId="29328" xr:uid="{00000000-0005-0000-0000-00009D720000}"/>
    <cellStyle name="Procentowy 3 7 4 4" xfId="29329" xr:uid="{00000000-0005-0000-0000-00009E720000}"/>
    <cellStyle name="Procentowy 3 7 4 5" xfId="29330" xr:uid="{00000000-0005-0000-0000-00009F720000}"/>
    <cellStyle name="Procentowy 3 7 4 6" xfId="29331" xr:uid="{00000000-0005-0000-0000-0000A0720000}"/>
    <cellStyle name="Procentowy 3 7 4 7" xfId="29332" xr:uid="{00000000-0005-0000-0000-0000A1720000}"/>
    <cellStyle name="Procentowy 3 7 40" xfId="29333" xr:uid="{00000000-0005-0000-0000-0000A2720000}"/>
    <cellStyle name="Procentowy 3 7 41" xfId="29334" xr:uid="{00000000-0005-0000-0000-0000A3720000}"/>
    <cellStyle name="Procentowy 3 7 42" xfId="29335" xr:uid="{00000000-0005-0000-0000-0000A4720000}"/>
    <cellStyle name="Procentowy 3 7 43" xfId="29336" xr:uid="{00000000-0005-0000-0000-0000A5720000}"/>
    <cellStyle name="Procentowy 3 7 44" xfId="29337" xr:uid="{00000000-0005-0000-0000-0000A6720000}"/>
    <cellStyle name="Procentowy 3 7 45" xfId="29338" xr:uid="{00000000-0005-0000-0000-0000A7720000}"/>
    <cellStyle name="Procentowy 3 7 46" xfId="29339" xr:uid="{00000000-0005-0000-0000-0000A8720000}"/>
    <cellStyle name="Procentowy 3 7 47" xfId="29340" xr:uid="{00000000-0005-0000-0000-0000A9720000}"/>
    <cellStyle name="Procentowy 3 7 48" xfId="29341" xr:uid="{00000000-0005-0000-0000-0000AA720000}"/>
    <cellStyle name="Procentowy 3 7 49" xfId="29342" xr:uid="{00000000-0005-0000-0000-0000AB720000}"/>
    <cellStyle name="Procentowy 3 7 5" xfId="29343" xr:uid="{00000000-0005-0000-0000-0000AC720000}"/>
    <cellStyle name="Procentowy 3 7 5 2" xfId="29344" xr:uid="{00000000-0005-0000-0000-0000AD720000}"/>
    <cellStyle name="Procentowy 3 7 5 3" xfId="29345" xr:uid="{00000000-0005-0000-0000-0000AE720000}"/>
    <cellStyle name="Procentowy 3 7 5 4" xfId="29346" xr:uid="{00000000-0005-0000-0000-0000AF720000}"/>
    <cellStyle name="Procentowy 3 7 5 5" xfId="29347" xr:uid="{00000000-0005-0000-0000-0000B0720000}"/>
    <cellStyle name="Procentowy 3 7 5 6" xfId="29348" xr:uid="{00000000-0005-0000-0000-0000B1720000}"/>
    <cellStyle name="Procentowy 3 7 5 7" xfId="29349" xr:uid="{00000000-0005-0000-0000-0000B2720000}"/>
    <cellStyle name="Procentowy 3 7 50" xfId="29350" xr:uid="{00000000-0005-0000-0000-0000B3720000}"/>
    <cellStyle name="Procentowy 3 7 51" xfId="29351" xr:uid="{00000000-0005-0000-0000-0000B4720000}"/>
    <cellStyle name="Procentowy 3 7 52" xfId="29352" xr:uid="{00000000-0005-0000-0000-0000B5720000}"/>
    <cellStyle name="Procentowy 3 7 53" xfId="29353" xr:uid="{00000000-0005-0000-0000-0000B6720000}"/>
    <cellStyle name="Procentowy 3 7 54" xfId="29354" xr:uid="{00000000-0005-0000-0000-0000B7720000}"/>
    <cellStyle name="Procentowy 3 7 55" xfId="29355" xr:uid="{00000000-0005-0000-0000-0000B8720000}"/>
    <cellStyle name="Procentowy 3 7 56" xfId="29356" xr:uid="{00000000-0005-0000-0000-0000B9720000}"/>
    <cellStyle name="Procentowy 3 7 57" xfId="29357" xr:uid="{00000000-0005-0000-0000-0000BA720000}"/>
    <cellStyle name="Procentowy 3 7 58" xfId="29358" xr:uid="{00000000-0005-0000-0000-0000BB720000}"/>
    <cellStyle name="Procentowy 3 7 59" xfId="29359" xr:uid="{00000000-0005-0000-0000-0000BC720000}"/>
    <cellStyle name="Procentowy 3 7 6" xfId="29360" xr:uid="{00000000-0005-0000-0000-0000BD720000}"/>
    <cellStyle name="Procentowy 3 7 6 2" xfId="29361" xr:uid="{00000000-0005-0000-0000-0000BE720000}"/>
    <cellStyle name="Procentowy 3 7 60" xfId="29362" xr:uid="{00000000-0005-0000-0000-0000BF720000}"/>
    <cellStyle name="Procentowy 3 7 61" xfId="29363" xr:uid="{00000000-0005-0000-0000-0000C0720000}"/>
    <cellStyle name="Procentowy 3 7 62" xfId="29364" xr:uid="{00000000-0005-0000-0000-0000C1720000}"/>
    <cellStyle name="Procentowy 3 7 63" xfId="29365" xr:uid="{00000000-0005-0000-0000-0000C2720000}"/>
    <cellStyle name="Procentowy 3 7 64" xfId="29366" xr:uid="{00000000-0005-0000-0000-0000C3720000}"/>
    <cellStyle name="Procentowy 3 7 65" xfId="29367" xr:uid="{00000000-0005-0000-0000-0000C4720000}"/>
    <cellStyle name="Procentowy 3 7 66" xfId="29368" xr:uid="{00000000-0005-0000-0000-0000C5720000}"/>
    <cellStyle name="Procentowy 3 7 67" xfId="29369" xr:uid="{00000000-0005-0000-0000-0000C6720000}"/>
    <cellStyle name="Procentowy 3 7 68" xfId="29370" xr:uid="{00000000-0005-0000-0000-0000C7720000}"/>
    <cellStyle name="Procentowy 3 7 69" xfId="29371" xr:uid="{00000000-0005-0000-0000-0000C8720000}"/>
    <cellStyle name="Procentowy 3 7 7" xfId="29372" xr:uid="{00000000-0005-0000-0000-0000C9720000}"/>
    <cellStyle name="Procentowy 3 7 7 2" xfId="29373" xr:uid="{00000000-0005-0000-0000-0000CA720000}"/>
    <cellStyle name="Procentowy 3 7 70" xfId="29374" xr:uid="{00000000-0005-0000-0000-0000CB720000}"/>
    <cellStyle name="Procentowy 3 7 71" xfId="29375" xr:uid="{00000000-0005-0000-0000-0000CC720000}"/>
    <cellStyle name="Procentowy 3 7 72" xfId="29376" xr:uid="{00000000-0005-0000-0000-0000CD720000}"/>
    <cellStyle name="Procentowy 3 7 73" xfId="29377" xr:uid="{00000000-0005-0000-0000-0000CE720000}"/>
    <cellStyle name="Procentowy 3 7 74" xfId="29378" xr:uid="{00000000-0005-0000-0000-0000CF720000}"/>
    <cellStyle name="Procentowy 3 7 8" xfId="29379" xr:uid="{00000000-0005-0000-0000-0000D0720000}"/>
    <cellStyle name="Procentowy 3 7 8 2" xfId="29380" xr:uid="{00000000-0005-0000-0000-0000D1720000}"/>
    <cellStyle name="Procentowy 3 7 9" xfId="29381" xr:uid="{00000000-0005-0000-0000-0000D2720000}"/>
    <cellStyle name="Procentowy 3 7 9 2" xfId="29382" xr:uid="{00000000-0005-0000-0000-0000D3720000}"/>
    <cellStyle name="Procentowy 3 70" xfId="29383" xr:uid="{00000000-0005-0000-0000-0000D4720000}"/>
    <cellStyle name="Procentowy 3 71" xfId="29384" xr:uid="{00000000-0005-0000-0000-0000D5720000}"/>
    <cellStyle name="Procentowy 3 72" xfId="29385" xr:uid="{00000000-0005-0000-0000-0000D6720000}"/>
    <cellStyle name="Procentowy 3 73" xfId="29386" xr:uid="{00000000-0005-0000-0000-0000D7720000}"/>
    <cellStyle name="Procentowy 3 74" xfId="29387" xr:uid="{00000000-0005-0000-0000-0000D8720000}"/>
    <cellStyle name="Procentowy 3 75" xfId="29388" xr:uid="{00000000-0005-0000-0000-0000D9720000}"/>
    <cellStyle name="Procentowy 3 76" xfId="29389" xr:uid="{00000000-0005-0000-0000-0000DA720000}"/>
    <cellStyle name="Procentowy 3 77" xfId="29390" xr:uid="{00000000-0005-0000-0000-0000DB720000}"/>
    <cellStyle name="Procentowy 3 78" xfId="29391" xr:uid="{00000000-0005-0000-0000-0000DC720000}"/>
    <cellStyle name="Procentowy 3 79" xfId="29392" xr:uid="{00000000-0005-0000-0000-0000DD720000}"/>
    <cellStyle name="Procentowy 3 8" xfId="29393" xr:uid="{00000000-0005-0000-0000-0000DE720000}"/>
    <cellStyle name="Procentowy 3 8 10" xfId="29394" xr:uid="{00000000-0005-0000-0000-0000DF720000}"/>
    <cellStyle name="Procentowy 3 8 10 2" xfId="29395" xr:uid="{00000000-0005-0000-0000-0000E0720000}"/>
    <cellStyle name="Procentowy 3 8 11" xfId="29396" xr:uid="{00000000-0005-0000-0000-0000E1720000}"/>
    <cellStyle name="Procentowy 3 8 11 2" xfId="29397" xr:uid="{00000000-0005-0000-0000-0000E2720000}"/>
    <cellStyle name="Procentowy 3 8 12" xfId="29398" xr:uid="{00000000-0005-0000-0000-0000E3720000}"/>
    <cellStyle name="Procentowy 3 8 12 2" xfId="29399" xr:uid="{00000000-0005-0000-0000-0000E4720000}"/>
    <cellStyle name="Procentowy 3 8 13" xfId="29400" xr:uid="{00000000-0005-0000-0000-0000E5720000}"/>
    <cellStyle name="Procentowy 3 8 13 2" xfId="29401" xr:uid="{00000000-0005-0000-0000-0000E6720000}"/>
    <cellStyle name="Procentowy 3 8 14" xfId="29402" xr:uid="{00000000-0005-0000-0000-0000E7720000}"/>
    <cellStyle name="Procentowy 3 8 14 2" xfId="29403" xr:uid="{00000000-0005-0000-0000-0000E8720000}"/>
    <cellStyle name="Procentowy 3 8 15" xfId="29404" xr:uid="{00000000-0005-0000-0000-0000E9720000}"/>
    <cellStyle name="Procentowy 3 8 15 2" xfId="29405" xr:uid="{00000000-0005-0000-0000-0000EA720000}"/>
    <cellStyle name="Procentowy 3 8 16" xfId="29406" xr:uid="{00000000-0005-0000-0000-0000EB720000}"/>
    <cellStyle name="Procentowy 3 8 16 2" xfId="29407" xr:uid="{00000000-0005-0000-0000-0000EC720000}"/>
    <cellStyle name="Procentowy 3 8 17" xfId="29408" xr:uid="{00000000-0005-0000-0000-0000ED720000}"/>
    <cellStyle name="Procentowy 3 8 17 2" xfId="29409" xr:uid="{00000000-0005-0000-0000-0000EE720000}"/>
    <cellStyle name="Procentowy 3 8 18" xfId="29410" xr:uid="{00000000-0005-0000-0000-0000EF720000}"/>
    <cellStyle name="Procentowy 3 8 18 2" xfId="29411" xr:uid="{00000000-0005-0000-0000-0000F0720000}"/>
    <cellStyle name="Procentowy 3 8 19" xfId="29412" xr:uid="{00000000-0005-0000-0000-0000F1720000}"/>
    <cellStyle name="Procentowy 3 8 19 2" xfId="29413" xr:uid="{00000000-0005-0000-0000-0000F2720000}"/>
    <cellStyle name="Procentowy 3 8 2" xfId="29414" xr:uid="{00000000-0005-0000-0000-0000F3720000}"/>
    <cellStyle name="Procentowy 3 8 2 2" xfId="29415" xr:uid="{00000000-0005-0000-0000-0000F4720000}"/>
    <cellStyle name="Procentowy 3 8 2 3" xfId="29416" xr:uid="{00000000-0005-0000-0000-0000F5720000}"/>
    <cellStyle name="Procentowy 3 8 2 4" xfId="29417" xr:uid="{00000000-0005-0000-0000-0000F6720000}"/>
    <cellStyle name="Procentowy 3 8 2 5" xfId="29418" xr:uid="{00000000-0005-0000-0000-0000F7720000}"/>
    <cellStyle name="Procentowy 3 8 2 6" xfId="29419" xr:uid="{00000000-0005-0000-0000-0000F8720000}"/>
    <cellStyle name="Procentowy 3 8 2 7" xfId="29420" xr:uid="{00000000-0005-0000-0000-0000F9720000}"/>
    <cellStyle name="Procentowy 3 8 20" xfId="29421" xr:uid="{00000000-0005-0000-0000-0000FA720000}"/>
    <cellStyle name="Procentowy 3 8 20 2" xfId="29422" xr:uid="{00000000-0005-0000-0000-0000FB720000}"/>
    <cellStyle name="Procentowy 3 8 21" xfId="29423" xr:uid="{00000000-0005-0000-0000-0000FC720000}"/>
    <cellStyle name="Procentowy 3 8 21 2" xfId="29424" xr:uid="{00000000-0005-0000-0000-0000FD720000}"/>
    <cellStyle name="Procentowy 3 8 22" xfId="29425" xr:uid="{00000000-0005-0000-0000-0000FE720000}"/>
    <cellStyle name="Procentowy 3 8 22 2" xfId="29426" xr:uid="{00000000-0005-0000-0000-0000FF720000}"/>
    <cellStyle name="Procentowy 3 8 23" xfId="29427" xr:uid="{00000000-0005-0000-0000-000000730000}"/>
    <cellStyle name="Procentowy 3 8 23 2" xfId="29428" xr:uid="{00000000-0005-0000-0000-000001730000}"/>
    <cellStyle name="Procentowy 3 8 24" xfId="29429" xr:uid="{00000000-0005-0000-0000-000002730000}"/>
    <cellStyle name="Procentowy 3 8 24 2" xfId="29430" xr:uid="{00000000-0005-0000-0000-000003730000}"/>
    <cellStyle name="Procentowy 3 8 25" xfId="29431" xr:uid="{00000000-0005-0000-0000-000004730000}"/>
    <cellStyle name="Procentowy 3 8 25 2" xfId="29432" xr:uid="{00000000-0005-0000-0000-000005730000}"/>
    <cellStyle name="Procentowy 3 8 26" xfId="29433" xr:uid="{00000000-0005-0000-0000-000006730000}"/>
    <cellStyle name="Procentowy 3 8 26 2" xfId="29434" xr:uid="{00000000-0005-0000-0000-000007730000}"/>
    <cellStyle name="Procentowy 3 8 27" xfId="29435" xr:uid="{00000000-0005-0000-0000-000008730000}"/>
    <cellStyle name="Procentowy 3 8 27 2" xfId="29436" xr:uid="{00000000-0005-0000-0000-000009730000}"/>
    <cellStyle name="Procentowy 3 8 28" xfId="29437" xr:uid="{00000000-0005-0000-0000-00000A730000}"/>
    <cellStyle name="Procentowy 3 8 28 2" xfId="29438" xr:uid="{00000000-0005-0000-0000-00000B730000}"/>
    <cellStyle name="Procentowy 3 8 29" xfId="29439" xr:uid="{00000000-0005-0000-0000-00000C730000}"/>
    <cellStyle name="Procentowy 3 8 29 2" xfId="29440" xr:uid="{00000000-0005-0000-0000-00000D730000}"/>
    <cellStyle name="Procentowy 3 8 3" xfId="29441" xr:uid="{00000000-0005-0000-0000-00000E730000}"/>
    <cellStyle name="Procentowy 3 8 3 2" xfId="29442" xr:uid="{00000000-0005-0000-0000-00000F730000}"/>
    <cellStyle name="Procentowy 3 8 3 3" xfId="29443" xr:uid="{00000000-0005-0000-0000-000010730000}"/>
    <cellStyle name="Procentowy 3 8 3 4" xfId="29444" xr:uid="{00000000-0005-0000-0000-000011730000}"/>
    <cellStyle name="Procentowy 3 8 3 5" xfId="29445" xr:uid="{00000000-0005-0000-0000-000012730000}"/>
    <cellStyle name="Procentowy 3 8 3 6" xfId="29446" xr:uid="{00000000-0005-0000-0000-000013730000}"/>
    <cellStyle name="Procentowy 3 8 3 7" xfId="29447" xr:uid="{00000000-0005-0000-0000-000014730000}"/>
    <cellStyle name="Procentowy 3 8 30" xfId="29448" xr:uid="{00000000-0005-0000-0000-000015730000}"/>
    <cellStyle name="Procentowy 3 8 30 2" xfId="29449" xr:uid="{00000000-0005-0000-0000-000016730000}"/>
    <cellStyle name="Procentowy 3 8 31" xfId="29450" xr:uid="{00000000-0005-0000-0000-000017730000}"/>
    <cellStyle name="Procentowy 3 8 31 2" xfId="29451" xr:uid="{00000000-0005-0000-0000-000018730000}"/>
    <cellStyle name="Procentowy 3 8 32" xfId="29452" xr:uid="{00000000-0005-0000-0000-000019730000}"/>
    <cellStyle name="Procentowy 3 8 33" xfId="29453" xr:uid="{00000000-0005-0000-0000-00001A730000}"/>
    <cellStyle name="Procentowy 3 8 34" xfId="29454" xr:uid="{00000000-0005-0000-0000-00001B730000}"/>
    <cellStyle name="Procentowy 3 8 35" xfId="29455" xr:uid="{00000000-0005-0000-0000-00001C730000}"/>
    <cellStyle name="Procentowy 3 8 36" xfId="29456" xr:uid="{00000000-0005-0000-0000-00001D730000}"/>
    <cellStyle name="Procentowy 3 8 37" xfId="29457" xr:uid="{00000000-0005-0000-0000-00001E730000}"/>
    <cellStyle name="Procentowy 3 8 38" xfId="29458" xr:uid="{00000000-0005-0000-0000-00001F730000}"/>
    <cellStyle name="Procentowy 3 8 39" xfId="29459" xr:uid="{00000000-0005-0000-0000-000020730000}"/>
    <cellStyle name="Procentowy 3 8 4" xfId="29460" xr:uid="{00000000-0005-0000-0000-000021730000}"/>
    <cellStyle name="Procentowy 3 8 4 2" xfId="29461" xr:uid="{00000000-0005-0000-0000-000022730000}"/>
    <cellStyle name="Procentowy 3 8 4 3" xfId="29462" xr:uid="{00000000-0005-0000-0000-000023730000}"/>
    <cellStyle name="Procentowy 3 8 4 4" xfId="29463" xr:uid="{00000000-0005-0000-0000-000024730000}"/>
    <cellStyle name="Procentowy 3 8 4 5" xfId="29464" xr:uid="{00000000-0005-0000-0000-000025730000}"/>
    <cellStyle name="Procentowy 3 8 4 6" xfId="29465" xr:uid="{00000000-0005-0000-0000-000026730000}"/>
    <cellStyle name="Procentowy 3 8 4 7" xfId="29466" xr:uid="{00000000-0005-0000-0000-000027730000}"/>
    <cellStyle name="Procentowy 3 8 40" xfId="29467" xr:uid="{00000000-0005-0000-0000-000028730000}"/>
    <cellStyle name="Procentowy 3 8 41" xfId="29468" xr:uid="{00000000-0005-0000-0000-000029730000}"/>
    <cellStyle name="Procentowy 3 8 42" xfId="29469" xr:uid="{00000000-0005-0000-0000-00002A730000}"/>
    <cellStyle name="Procentowy 3 8 43" xfId="29470" xr:uid="{00000000-0005-0000-0000-00002B730000}"/>
    <cellStyle name="Procentowy 3 8 44" xfId="29471" xr:uid="{00000000-0005-0000-0000-00002C730000}"/>
    <cellStyle name="Procentowy 3 8 45" xfId="29472" xr:uid="{00000000-0005-0000-0000-00002D730000}"/>
    <cellStyle name="Procentowy 3 8 46" xfId="29473" xr:uid="{00000000-0005-0000-0000-00002E730000}"/>
    <cellStyle name="Procentowy 3 8 47" xfId="29474" xr:uid="{00000000-0005-0000-0000-00002F730000}"/>
    <cellStyle name="Procentowy 3 8 48" xfId="29475" xr:uid="{00000000-0005-0000-0000-000030730000}"/>
    <cellStyle name="Procentowy 3 8 49" xfId="29476" xr:uid="{00000000-0005-0000-0000-000031730000}"/>
    <cellStyle name="Procentowy 3 8 5" xfId="29477" xr:uid="{00000000-0005-0000-0000-000032730000}"/>
    <cellStyle name="Procentowy 3 8 5 2" xfId="29478" xr:uid="{00000000-0005-0000-0000-000033730000}"/>
    <cellStyle name="Procentowy 3 8 5 3" xfId="29479" xr:uid="{00000000-0005-0000-0000-000034730000}"/>
    <cellStyle name="Procentowy 3 8 5 4" xfId="29480" xr:uid="{00000000-0005-0000-0000-000035730000}"/>
    <cellStyle name="Procentowy 3 8 5 5" xfId="29481" xr:uid="{00000000-0005-0000-0000-000036730000}"/>
    <cellStyle name="Procentowy 3 8 5 6" xfId="29482" xr:uid="{00000000-0005-0000-0000-000037730000}"/>
    <cellStyle name="Procentowy 3 8 5 7" xfId="29483" xr:uid="{00000000-0005-0000-0000-000038730000}"/>
    <cellStyle name="Procentowy 3 8 50" xfId="29484" xr:uid="{00000000-0005-0000-0000-000039730000}"/>
    <cellStyle name="Procentowy 3 8 51" xfId="29485" xr:uid="{00000000-0005-0000-0000-00003A730000}"/>
    <cellStyle name="Procentowy 3 8 52" xfId="29486" xr:uid="{00000000-0005-0000-0000-00003B730000}"/>
    <cellStyle name="Procentowy 3 8 53" xfId="29487" xr:uid="{00000000-0005-0000-0000-00003C730000}"/>
    <cellStyle name="Procentowy 3 8 54" xfId="29488" xr:uid="{00000000-0005-0000-0000-00003D730000}"/>
    <cellStyle name="Procentowy 3 8 55" xfId="29489" xr:uid="{00000000-0005-0000-0000-00003E730000}"/>
    <cellStyle name="Procentowy 3 8 56" xfId="29490" xr:uid="{00000000-0005-0000-0000-00003F730000}"/>
    <cellStyle name="Procentowy 3 8 57" xfId="29491" xr:uid="{00000000-0005-0000-0000-000040730000}"/>
    <cellStyle name="Procentowy 3 8 58" xfId="29492" xr:uid="{00000000-0005-0000-0000-000041730000}"/>
    <cellStyle name="Procentowy 3 8 59" xfId="29493" xr:uid="{00000000-0005-0000-0000-000042730000}"/>
    <cellStyle name="Procentowy 3 8 6" xfId="29494" xr:uid="{00000000-0005-0000-0000-000043730000}"/>
    <cellStyle name="Procentowy 3 8 6 2" xfId="29495" xr:uid="{00000000-0005-0000-0000-000044730000}"/>
    <cellStyle name="Procentowy 3 8 60" xfId="29496" xr:uid="{00000000-0005-0000-0000-000045730000}"/>
    <cellStyle name="Procentowy 3 8 61" xfId="29497" xr:uid="{00000000-0005-0000-0000-000046730000}"/>
    <cellStyle name="Procentowy 3 8 62" xfId="29498" xr:uid="{00000000-0005-0000-0000-000047730000}"/>
    <cellStyle name="Procentowy 3 8 63" xfId="29499" xr:uid="{00000000-0005-0000-0000-000048730000}"/>
    <cellStyle name="Procentowy 3 8 64" xfId="29500" xr:uid="{00000000-0005-0000-0000-000049730000}"/>
    <cellStyle name="Procentowy 3 8 65" xfId="29501" xr:uid="{00000000-0005-0000-0000-00004A730000}"/>
    <cellStyle name="Procentowy 3 8 66" xfId="29502" xr:uid="{00000000-0005-0000-0000-00004B730000}"/>
    <cellStyle name="Procentowy 3 8 67" xfId="29503" xr:uid="{00000000-0005-0000-0000-00004C730000}"/>
    <cellStyle name="Procentowy 3 8 68" xfId="29504" xr:uid="{00000000-0005-0000-0000-00004D730000}"/>
    <cellStyle name="Procentowy 3 8 69" xfId="29505" xr:uid="{00000000-0005-0000-0000-00004E730000}"/>
    <cellStyle name="Procentowy 3 8 7" xfId="29506" xr:uid="{00000000-0005-0000-0000-00004F730000}"/>
    <cellStyle name="Procentowy 3 8 7 2" xfId="29507" xr:uid="{00000000-0005-0000-0000-000050730000}"/>
    <cellStyle name="Procentowy 3 8 70" xfId="29508" xr:uid="{00000000-0005-0000-0000-000051730000}"/>
    <cellStyle name="Procentowy 3 8 71" xfId="29509" xr:uid="{00000000-0005-0000-0000-000052730000}"/>
    <cellStyle name="Procentowy 3 8 72" xfId="29510" xr:uid="{00000000-0005-0000-0000-000053730000}"/>
    <cellStyle name="Procentowy 3 8 73" xfId="29511" xr:uid="{00000000-0005-0000-0000-000054730000}"/>
    <cellStyle name="Procentowy 3 8 74" xfId="29512" xr:uid="{00000000-0005-0000-0000-000055730000}"/>
    <cellStyle name="Procentowy 3 8 8" xfId="29513" xr:uid="{00000000-0005-0000-0000-000056730000}"/>
    <cellStyle name="Procentowy 3 8 8 2" xfId="29514" xr:uid="{00000000-0005-0000-0000-000057730000}"/>
    <cellStyle name="Procentowy 3 8 9" xfId="29515" xr:uid="{00000000-0005-0000-0000-000058730000}"/>
    <cellStyle name="Procentowy 3 8 9 2" xfId="29516" xr:uid="{00000000-0005-0000-0000-000059730000}"/>
    <cellStyle name="Procentowy 3 80" xfId="29517" xr:uid="{00000000-0005-0000-0000-00005A730000}"/>
    <cellStyle name="Procentowy 3 81" xfId="29518" xr:uid="{00000000-0005-0000-0000-00005B730000}"/>
    <cellStyle name="Procentowy 3 82" xfId="29519" xr:uid="{00000000-0005-0000-0000-00005C730000}"/>
    <cellStyle name="Procentowy 3 83" xfId="29520" xr:uid="{00000000-0005-0000-0000-00005D730000}"/>
    <cellStyle name="Procentowy 3 84" xfId="29521" xr:uid="{00000000-0005-0000-0000-00005E730000}"/>
    <cellStyle name="Procentowy 3 85" xfId="29522" xr:uid="{00000000-0005-0000-0000-00005F730000}"/>
    <cellStyle name="Procentowy 3 86" xfId="29523" xr:uid="{00000000-0005-0000-0000-000060730000}"/>
    <cellStyle name="Procentowy 3 87" xfId="29524" xr:uid="{00000000-0005-0000-0000-000061730000}"/>
    <cellStyle name="Procentowy 3 88" xfId="29525" xr:uid="{00000000-0005-0000-0000-000062730000}"/>
    <cellStyle name="Procentowy 3 89" xfId="29526" xr:uid="{00000000-0005-0000-0000-000063730000}"/>
    <cellStyle name="Procentowy 3 9" xfId="29527" xr:uid="{00000000-0005-0000-0000-000064730000}"/>
    <cellStyle name="Procentowy 3 9 10" xfId="29528" xr:uid="{00000000-0005-0000-0000-000065730000}"/>
    <cellStyle name="Procentowy 3 9 10 2" xfId="29529" xr:uid="{00000000-0005-0000-0000-000066730000}"/>
    <cellStyle name="Procentowy 3 9 11" xfId="29530" xr:uid="{00000000-0005-0000-0000-000067730000}"/>
    <cellStyle name="Procentowy 3 9 11 2" xfId="29531" xr:uid="{00000000-0005-0000-0000-000068730000}"/>
    <cellStyle name="Procentowy 3 9 12" xfId="29532" xr:uid="{00000000-0005-0000-0000-000069730000}"/>
    <cellStyle name="Procentowy 3 9 12 2" xfId="29533" xr:uid="{00000000-0005-0000-0000-00006A730000}"/>
    <cellStyle name="Procentowy 3 9 13" xfId="29534" xr:uid="{00000000-0005-0000-0000-00006B730000}"/>
    <cellStyle name="Procentowy 3 9 13 2" xfId="29535" xr:uid="{00000000-0005-0000-0000-00006C730000}"/>
    <cellStyle name="Procentowy 3 9 14" xfId="29536" xr:uid="{00000000-0005-0000-0000-00006D730000}"/>
    <cellStyle name="Procentowy 3 9 14 2" xfId="29537" xr:uid="{00000000-0005-0000-0000-00006E730000}"/>
    <cellStyle name="Procentowy 3 9 15" xfId="29538" xr:uid="{00000000-0005-0000-0000-00006F730000}"/>
    <cellStyle name="Procentowy 3 9 15 2" xfId="29539" xr:uid="{00000000-0005-0000-0000-000070730000}"/>
    <cellStyle name="Procentowy 3 9 16" xfId="29540" xr:uid="{00000000-0005-0000-0000-000071730000}"/>
    <cellStyle name="Procentowy 3 9 16 2" xfId="29541" xr:uid="{00000000-0005-0000-0000-000072730000}"/>
    <cellStyle name="Procentowy 3 9 17" xfId="29542" xr:uid="{00000000-0005-0000-0000-000073730000}"/>
    <cellStyle name="Procentowy 3 9 17 2" xfId="29543" xr:uid="{00000000-0005-0000-0000-000074730000}"/>
    <cellStyle name="Procentowy 3 9 18" xfId="29544" xr:uid="{00000000-0005-0000-0000-000075730000}"/>
    <cellStyle name="Procentowy 3 9 18 2" xfId="29545" xr:uid="{00000000-0005-0000-0000-000076730000}"/>
    <cellStyle name="Procentowy 3 9 19" xfId="29546" xr:uid="{00000000-0005-0000-0000-000077730000}"/>
    <cellStyle name="Procentowy 3 9 19 2" xfId="29547" xr:uid="{00000000-0005-0000-0000-000078730000}"/>
    <cellStyle name="Procentowy 3 9 2" xfId="29548" xr:uid="{00000000-0005-0000-0000-000079730000}"/>
    <cellStyle name="Procentowy 3 9 2 2" xfId="29549" xr:uid="{00000000-0005-0000-0000-00007A730000}"/>
    <cellStyle name="Procentowy 3 9 2 3" xfId="29550" xr:uid="{00000000-0005-0000-0000-00007B730000}"/>
    <cellStyle name="Procentowy 3 9 2 4" xfId="29551" xr:uid="{00000000-0005-0000-0000-00007C730000}"/>
    <cellStyle name="Procentowy 3 9 2 5" xfId="29552" xr:uid="{00000000-0005-0000-0000-00007D730000}"/>
    <cellStyle name="Procentowy 3 9 2 6" xfId="29553" xr:uid="{00000000-0005-0000-0000-00007E730000}"/>
    <cellStyle name="Procentowy 3 9 2 7" xfId="29554" xr:uid="{00000000-0005-0000-0000-00007F730000}"/>
    <cellStyle name="Procentowy 3 9 20" xfId="29555" xr:uid="{00000000-0005-0000-0000-000080730000}"/>
    <cellStyle name="Procentowy 3 9 20 2" xfId="29556" xr:uid="{00000000-0005-0000-0000-000081730000}"/>
    <cellStyle name="Procentowy 3 9 21" xfId="29557" xr:uid="{00000000-0005-0000-0000-000082730000}"/>
    <cellStyle name="Procentowy 3 9 21 2" xfId="29558" xr:uid="{00000000-0005-0000-0000-000083730000}"/>
    <cellStyle name="Procentowy 3 9 22" xfId="29559" xr:uid="{00000000-0005-0000-0000-000084730000}"/>
    <cellStyle name="Procentowy 3 9 22 2" xfId="29560" xr:uid="{00000000-0005-0000-0000-000085730000}"/>
    <cellStyle name="Procentowy 3 9 23" xfId="29561" xr:uid="{00000000-0005-0000-0000-000086730000}"/>
    <cellStyle name="Procentowy 3 9 23 2" xfId="29562" xr:uid="{00000000-0005-0000-0000-000087730000}"/>
    <cellStyle name="Procentowy 3 9 24" xfId="29563" xr:uid="{00000000-0005-0000-0000-000088730000}"/>
    <cellStyle name="Procentowy 3 9 24 2" xfId="29564" xr:uid="{00000000-0005-0000-0000-000089730000}"/>
    <cellStyle name="Procentowy 3 9 25" xfId="29565" xr:uid="{00000000-0005-0000-0000-00008A730000}"/>
    <cellStyle name="Procentowy 3 9 25 2" xfId="29566" xr:uid="{00000000-0005-0000-0000-00008B730000}"/>
    <cellStyle name="Procentowy 3 9 26" xfId="29567" xr:uid="{00000000-0005-0000-0000-00008C730000}"/>
    <cellStyle name="Procentowy 3 9 26 2" xfId="29568" xr:uid="{00000000-0005-0000-0000-00008D730000}"/>
    <cellStyle name="Procentowy 3 9 27" xfId="29569" xr:uid="{00000000-0005-0000-0000-00008E730000}"/>
    <cellStyle name="Procentowy 3 9 27 2" xfId="29570" xr:uid="{00000000-0005-0000-0000-00008F730000}"/>
    <cellStyle name="Procentowy 3 9 28" xfId="29571" xr:uid="{00000000-0005-0000-0000-000090730000}"/>
    <cellStyle name="Procentowy 3 9 28 2" xfId="29572" xr:uid="{00000000-0005-0000-0000-000091730000}"/>
    <cellStyle name="Procentowy 3 9 29" xfId="29573" xr:uid="{00000000-0005-0000-0000-000092730000}"/>
    <cellStyle name="Procentowy 3 9 29 2" xfId="29574" xr:uid="{00000000-0005-0000-0000-000093730000}"/>
    <cellStyle name="Procentowy 3 9 3" xfId="29575" xr:uid="{00000000-0005-0000-0000-000094730000}"/>
    <cellStyle name="Procentowy 3 9 3 2" xfId="29576" xr:uid="{00000000-0005-0000-0000-000095730000}"/>
    <cellStyle name="Procentowy 3 9 3 3" xfId="29577" xr:uid="{00000000-0005-0000-0000-000096730000}"/>
    <cellStyle name="Procentowy 3 9 3 4" xfId="29578" xr:uid="{00000000-0005-0000-0000-000097730000}"/>
    <cellStyle name="Procentowy 3 9 3 5" xfId="29579" xr:uid="{00000000-0005-0000-0000-000098730000}"/>
    <cellStyle name="Procentowy 3 9 3 6" xfId="29580" xr:uid="{00000000-0005-0000-0000-000099730000}"/>
    <cellStyle name="Procentowy 3 9 3 7" xfId="29581" xr:uid="{00000000-0005-0000-0000-00009A730000}"/>
    <cellStyle name="Procentowy 3 9 30" xfId="29582" xr:uid="{00000000-0005-0000-0000-00009B730000}"/>
    <cellStyle name="Procentowy 3 9 30 2" xfId="29583" xr:uid="{00000000-0005-0000-0000-00009C730000}"/>
    <cellStyle name="Procentowy 3 9 31" xfId="29584" xr:uid="{00000000-0005-0000-0000-00009D730000}"/>
    <cellStyle name="Procentowy 3 9 31 2" xfId="29585" xr:uid="{00000000-0005-0000-0000-00009E730000}"/>
    <cellStyle name="Procentowy 3 9 32" xfId="29586" xr:uid="{00000000-0005-0000-0000-00009F730000}"/>
    <cellStyle name="Procentowy 3 9 33" xfId="29587" xr:uid="{00000000-0005-0000-0000-0000A0730000}"/>
    <cellStyle name="Procentowy 3 9 34" xfId="29588" xr:uid="{00000000-0005-0000-0000-0000A1730000}"/>
    <cellStyle name="Procentowy 3 9 35" xfId="29589" xr:uid="{00000000-0005-0000-0000-0000A2730000}"/>
    <cellStyle name="Procentowy 3 9 36" xfId="29590" xr:uid="{00000000-0005-0000-0000-0000A3730000}"/>
    <cellStyle name="Procentowy 3 9 37" xfId="29591" xr:uid="{00000000-0005-0000-0000-0000A4730000}"/>
    <cellStyle name="Procentowy 3 9 38" xfId="29592" xr:uid="{00000000-0005-0000-0000-0000A5730000}"/>
    <cellStyle name="Procentowy 3 9 39" xfId="29593" xr:uid="{00000000-0005-0000-0000-0000A6730000}"/>
    <cellStyle name="Procentowy 3 9 4" xfId="29594" xr:uid="{00000000-0005-0000-0000-0000A7730000}"/>
    <cellStyle name="Procentowy 3 9 4 2" xfId="29595" xr:uid="{00000000-0005-0000-0000-0000A8730000}"/>
    <cellStyle name="Procentowy 3 9 4 3" xfId="29596" xr:uid="{00000000-0005-0000-0000-0000A9730000}"/>
    <cellStyle name="Procentowy 3 9 4 4" xfId="29597" xr:uid="{00000000-0005-0000-0000-0000AA730000}"/>
    <cellStyle name="Procentowy 3 9 4 5" xfId="29598" xr:uid="{00000000-0005-0000-0000-0000AB730000}"/>
    <cellStyle name="Procentowy 3 9 4 6" xfId="29599" xr:uid="{00000000-0005-0000-0000-0000AC730000}"/>
    <cellStyle name="Procentowy 3 9 4 7" xfId="29600" xr:uid="{00000000-0005-0000-0000-0000AD730000}"/>
    <cellStyle name="Procentowy 3 9 40" xfId="29601" xr:uid="{00000000-0005-0000-0000-0000AE730000}"/>
    <cellStyle name="Procentowy 3 9 41" xfId="29602" xr:uid="{00000000-0005-0000-0000-0000AF730000}"/>
    <cellStyle name="Procentowy 3 9 42" xfId="29603" xr:uid="{00000000-0005-0000-0000-0000B0730000}"/>
    <cellStyle name="Procentowy 3 9 43" xfId="29604" xr:uid="{00000000-0005-0000-0000-0000B1730000}"/>
    <cellStyle name="Procentowy 3 9 44" xfId="29605" xr:uid="{00000000-0005-0000-0000-0000B2730000}"/>
    <cellStyle name="Procentowy 3 9 45" xfId="29606" xr:uid="{00000000-0005-0000-0000-0000B3730000}"/>
    <cellStyle name="Procentowy 3 9 46" xfId="29607" xr:uid="{00000000-0005-0000-0000-0000B4730000}"/>
    <cellStyle name="Procentowy 3 9 47" xfId="29608" xr:uid="{00000000-0005-0000-0000-0000B5730000}"/>
    <cellStyle name="Procentowy 3 9 48" xfId="29609" xr:uid="{00000000-0005-0000-0000-0000B6730000}"/>
    <cellStyle name="Procentowy 3 9 49" xfId="29610" xr:uid="{00000000-0005-0000-0000-0000B7730000}"/>
    <cellStyle name="Procentowy 3 9 5" xfId="29611" xr:uid="{00000000-0005-0000-0000-0000B8730000}"/>
    <cellStyle name="Procentowy 3 9 5 2" xfId="29612" xr:uid="{00000000-0005-0000-0000-0000B9730000}"/>
    <cellStyle name="Procentowy 3 9 5 3" xfId="29613" xr:uid="{00000000-0005-0000-0000-0000BA730000}"/>
    <cellStyle name="Procentowy 3 9 5 4" xfId="29614" xr:uid="{00000000-0005-0000-0000-0000BB730000}"/>
    <cellStyle name="Procentowy 3 9 5 5" xfId="29615" xr:uid="{00000000-0005-0000-0000-0000BC730000}"/>
    <cellStyle name="Procentowy 3 9 5 6" xfId="29616" xr:uid="{00000000-0005-0000-0000-0000BD730000}"/>
    <cellStyle name="Procentowy 3 9 5 7" xfId="29617" xr:uid="{00000000-0005-0000-0000-0000BE730000}"/>
    <cellStyle name="Procentowy 3 9 50" xfId="29618" xr:uid="{00000000-0005-0000-0000-0000BF730000}"/>
    <cellStyle name="Procentowy 3 9 51" xfId="29619" xr:uid="{00000000-0005-0000-0000-0000C0730000}"/>
    <cellStyle name="Procentowy 3 9 52" xfId="29620" xr:uid="{00000000-0005-0000-0000-0000C1730000}"/>
    <cellStyle name="Procentowy 3 9 53" xfId="29621" xr:uid="{00000000-0005-0000-0000-0000C2730000}"/>
    <cellStyle name="Procentowy 3 9 54" xfId="29622" xr:uid="{00000000-0005-0000-0000-0000C3730000}"/>
    <cellStyle name="Procentowy 3 9 55" xfId="29623" xr:uid="{00000000-0005-0000-0000-0000C4730000}"/>
    <cellStyle name="Procentowy 3 9 56" xfId="29624" xr:uid="{00000000-0005-0000-0000-0000C5730000}"/>
    <cellStyle name="Procentowy 3 9 57" xfId="29625" xr:uid="{00000000-0005-0000-0000-0000C6730000}"/>
    <cellStyle name="Procentowy 3 9 58" xfId="29626" xr:uid="{00000000-0005-0000-0000-0000C7730000}"/>
    <cellStyle name="Procentowy 3 9 59" xfId="29627" xr:uid="{00000000-0005-0000-0000-0000C8730000}"/>
    <cellStyle name="Procentowy 3 9 6" xfId="29628" xr:uid="{00000000-0005-0000-0000-0000C9730000}"/>
    <cellStyle name="Procentowy 3 9 6 2" xfId="29629" xr:uid="{00000000-0005-0000-0000-0000CA730000}"/>
    <cellStyle name="Procentowy 3 9 60" xfId="29630" xr:uid="{00000000-0005-0000-0000-0000CB730000}"/>
    <cellStyle name="Procentowy 3 9 61" xfId="29631" xr:uid="{00000000-0005-0000-0000-0000CC730000}"/>
    <cellStyle name="Procentowy 3 9 62" xfId="29632" xr:uid="{00000000-0005-0000-0000-0000CD730000}"/>
    <cellStyle name="Procentowy 3 9 63" xfId="29633" xr:uid="{00000000-0005-0000-0000-0000CE730000}"/>
    <cellStyle name="Procentowy 3 9 64" xfId="29634" xr:uid="{00000000-0005-0000-0000-0000CF730000}"/>
    <cellStyle name="Procentowy 3 9 65" xfId="29635" xr:uid="{00000000-0005-0000-0000-0000D0730000}"/>
    <cellStyle name="Procentowy 3 9 66" xfId="29636" xr:uid="{00000000-0005-0000-0000-0000D1730000}"/>
    <cellStyle name="Procentowy 3 9 67" xfId="29637" xr:uid="{00000000-0005-0000-0000-0000D2730000}"/>
    <cellStyle name="Procentowy 3 9 68" xfId="29638" xr:uid="{00000000-0005-0000-0000-0000D3730000}"/>
    <cellStyle name="Procentowy 3 9 69" xfId="29639" xr:uid="{00000000-0005-0000-0000-0000D4730000}"/>
    <cellStyle name="Procentowy 3 9 7" xfId="29640" xr:uid="{00000000-0005-0000-0000-0000D5730000}"/>
    <cellStyle name="Procentowy 3 9 7 2" xfId="29641" xr:uid="{00000000-0005-0000-0000-0000D6730000}"/>
    <cellStyle name="Procentowy 3 9 70" xfId="29642" xr:uid="{00000000-0005-0000-0000-0000D7730000}"/>
    <cellStyle name="Procentowy 3 9 71" xfId="29643" xr:uid="{00000000-0005-0000-0000-0000D8730000}"/>
    <cellStyle name="Procentowy 3 9 72" xfId="29644" xr:uid="{00000000-0005-0000-0000-0000D9730000}"/>
    <cellStyle name="Procentowy 3 9 73" xfId="29645" xr:uid="{00000000-0005-0000-0000-0000DA730000}"/>
    <cellStyle name="Procentowy 3 9 74" xfId="29646" xr:uid="{00000000-0005-0000-0000-0000DB730000}"/>
    <cellStyle name="Procentowy 3 9 8" xfId="29647" xr:uid="{00000000-0005-0000-0000-0000DC730000}"/>
    <cellStyle name="Procentowy 3 9 8 2" xfId="29648" xr:uid="{00000000-0005-0000-0000-0000DD730000}"/>
    <cellStyle name="Procentowy 3 9 9" xfId="29649" xr:uid="{00000000-0005-0000-0000-0000DE730000}"/>
    <cellStyle name="Procentowy 3 9 9 2" xfId="29650" xr:uid="{00000000-0005-0000-0000-0000DF730000}"/>
    <cellStyle name="Procentowy 3 90" xfId="29651" xr:uid="{00000000-0005-0000-0000-0000E0730000}"/>
    <cellStyle name="Procentowy 3 91" xfId="29652" xr:uid="{00000000-0005-0000-0000-0000E1730000}"/>
    <cellStyle name="Procentowy 3 92" xfId="29653" xr:uid="{00000000-0005-0000-0000-0000E2730000}"/>
    <cellStyle name="Procentowy 3 93" xfId="29654" xr:uid="{00000000-0005-0000-0000-0000E3730000}"/>
    <cellStyle name="Procentowy 3 94" xfId="29655" xr:uid="{00000000-0005-0000-0000-0000E4730000}"/>
    <cellStyle name="Procentowy 3 95" xfId="29656" xr:uid="{00000000-0005-0000-0000-0000E5730000}"/>
    <cellStyle name="Procentowy 3 96" xfId="29657" xr:uid="{00000000-0005-0000-0000-0000E6730000}"/>
    <cellStyle name="Procentowy 3 97" xfId="29658" xr:uid="{00000000-0005-0000-0000-0000E7730000}"/>
    <cellStyle name="Procentowy 3 98" xfId="29659" xr:uid="{00000000-0005-0000-0000-0000E8730000}"/>
    <cellStyle name="Procentowy 3 99" xfId="26655" xr:uid="{00000000-0005-0000-0000-0000E9730000}"/>
    <cellStyle name="Procentowy 4" xfId="29660" xr:uid="{00000000-0005-0000-0000-0000EA730000}"/>
    <cellStyle name="Procentowy 4 10" xfId="29661" xr:uid="{00000000-0005-0000-0000-0000EB730000}"/>
    <cellStyle name="Procentowy 4 11" xfId="29662" xr:uid="{00000000-0005-0000-0000-0000EC730000}"/>
    <cellStyle name="Procentowy 4 12" xfId="29663" xr:uid="{00000000-0005-0000-0000-0000ED730000}"/>
    <cellStyle name="Procentowy 4 13" xfId="29664" xr:uid="{00000000-0005-0000-0000-0000EE730000}"/>
    <cellStyle name="Procentowy 4 14" xfId="29665" xr:uid="{00000000-0005-0000-0000-0000EF730000}"/>
    <cellStyle name="Procentowy 4 15" xfId="29666" xr:uid="{00000000-0005-0000-0000-0000F0730000}"/>
    <cellStyle name="Procentowy 4 16" xfId="29667" xr:uid="{00000000-0005-0000-0000-0000F1730000}"/>
    <cellStyle name="Procentowy 4 17" xfId="29668" xr:uid="{00000000-0005-0000-0000-0000F2730000}"/>
    <cellStyle name="Procentowy 4 18" xfId="29669" xr:uid="{00000000-0005-0000-0000-0000F3730000}"/>
    <cellStyle name="Procentowy 4 2" xfId="29670" xr:uid="{00000000-0005-0000-0000-0000F4730000}"/>
    <cellStyle name="Procentowy 4 2 2" xfId="29671" xr:uid="{00000000-0005-0000-0000-0000F5730000}"/>
    <cellStyle name="Procentowy 4 3" xfId="29672" xr:uid="{00000000-0005-0000-0000-0000F6730000}"/>
    <cellStyle name="Procentowy 4 3 2" xfId="29673" xr:uid="{00000000-0005-0000-0000-0000F7730000}"/>
    <cellStyle name="Procentowy 4 4" xfId="29674" xr:uid="{00000000-0005-0000-0000-0000F8730000}"/>
    <cellStyle name="Procentowy 4 4 2" xfId="29675" xr:uid="{00000000-0005-0000-0000-0000F9730000}"/>
    <cellStyle name="Procentowy 4 4 3" xfId="29676" xr:uid="{00000000-0005-0000-0000-0000FA730000}"/>
    <cellStyle name="Procentowy 4 5" xfId="29677" xr:uid="{00000000-0005-0000-0000-0000FB730000}"/>
    <cellStyle name="Procentowy 4 6" xfId="29678" xr:uid="{00000000-0005-0000-0000-0000FC730000}"/>
    <cellStyle name="Procentowy 4 7" xfId="29679" xr:uid="{00000000-0005-0000-0000-0000FD730000}"/>
    <cellStyle name="Procentowy 4 8" xfId="29680" xr:uid="{00000000-0005-0000-0000-0000FE730000}"/>
    <cellStyle name="Procentowy 4 9" xfId="29681" xr:uid="{00000000-0005-0000-0000-0000FF730000}"/>
    <cellStyle name="Procentowy 5" xfId="29682" xr:uid="{00000000-0005-0000-0000-000000740000}"/>
    <cellStyle name="Procentowy 5 2" xfId="29683" xr:uid="{00000000-0005-0000-0000-000001740000}"/>
    <cellStyle name="Procentowy 5 2 2" xfId="29684" xr:uid="{00000000-0005-0000-0000-000002740000}"/>
    <cellStyle name="Procentowy 5 2 3" xfId="29685" xr:uid="{00000000-0005-0000-0000-000003740000}"/>
    <cellStyle name="Procentowy 5 3" xfId="29686" xr:uid="{00000000-0005-0000-0000-000004740000}"/>
    <cellStyle name="Procentowy 5 4" xfId="29687" xr:uid="{00000000-0005-0000-0000-000005740000}"/>
    <cellStyle name="Procentowy 5 5" xfId="29688" xr:uid="{00000000-0005-0000-0000-000006740000}"/>
    <cellStyle name="Procentowy 5 6" xfId="29689" xr:uid="{00000000-0005-0000-0000-000007740000}"/>
    <cellStyle name="Procentowy 5 7" xfId="29690" xr:uid="{00000000-0005-0000-0000-000008740000}"/>
    <cellStyle name="Procentowy 5 8" xfId="29691" xr:uid="{00000000-0005-0000-0000-000009740000}"/>
    <cellStyle name="Procentowy 6" xfId="29692" xr:uid="{00000000-0005-0000-0000-00000A740000}"/>
    <cellStyle name="Procentowy 6 2" xfId="29693" xr:uid="{00000000-0005-0000-0000-00000B740000}"/>
    <cellStyle name="Procentowy 6 3" xfId="29694" xr:uid="{00000000-0005-0000-0000-00000C740000}"/>
    <cellStyle name="Procentowy 7" xfId="29695" xr:uid="{00000000-0005-0000-0000-00000D740000}"/>
    <cellStyle name="Procentowy 7 2" xfId="29696" xr:uid="{00000000-0005-0000-0000-00000E740000}"/>
    <cellStyle name="Procentowy 7 2 2" xfId="29697" xr:uid="{00000000-0005-0000-0000-00000F740000}"/>
    <cellStyle name="Procentowy 7 3" xfId="29698" xr:uid="{00000000-0005-0000-0000-000010740000}"/>
    <cellStyle name="Procentowy 8" xfId="29699" xr:uid="{00000000-0005-0000-0000-000011740000}"/>
    <cellStyle name="Procentowy 8 2" xfId="29700" xr:uid="{00000000-0005-0000-0000-000012740000}"/>
    <cellStyle name="Procentowy 9" xfId="29701" xr:uid="{00000000-0005-0000-0000-000013740000}"/>
    <cellStyle name="Procentowy 9 2" xfId="29702" xr:uid="{00000000-0005-0000-0000-000014740000}"/>
    <cellStyle name="SAPBEXaggData" xfId="29703" xr:uid="{00000000-0005-0000-0000-000015740000}"/>
    <cellStyle name="SAPBEXaggDataEmph" xfId="29704" xr:uid="{00000000-0005-0000-0000-000016740000}"/>
    <cellStyle name="SAPBEXaggItem" xfId="29705" xr:uid="{00000000-0005-0000-0000-000017740000}"/>
    <cellStyle name="SAPBEXaggItemX" xfId="29706" xr:uid="{00000000-0005-0000-0000-000018740000}"/>
    <cellStyle name="SAPBEXchaText" xfId="29707" xr:uid="{00000000-0005-0000-0000-000019740000}"/>
    <cellStyle name="SAPBEXexcBad7" xfId="29708" xr:uid="{00000000-0005-0000-0000-00001A740000}"/>
    <cellStyle name="SAPBEXexcBad8" xfId="29709" xr:uid="{00000000-0005-0000-0000-00001B740000}"/>
    <cellStyle name="SAPBEXexcBad9" xfId="29710" xr:uid="{00000000-0005-0000-0000-00001C740000}"/>
    <cellStyle name="SAPBEXexcCritical4" xfId="29711" xr:uid="{00000000-0005-0000-0000-00001D740000}"/>
    <cellStyle name="SAPBEXexcCritical5" xfId="29712" xr:uid="{00000000-0005-0000-0000-00001E740000}"/>
    <cellStyle name="SAPBEXexcCritical6" xfId="29713" xr:uid="{00000000-0005-0000-0000-00001F740000}"/>
    <cellStyle name="SAPBEXexcGood1" xfId="29714" xr:uid="{00000000-0005-0000-0000-000020740000}"/>
    <cellStyle name="SAPBEXexcGood2" xfId="29715" xr:uid="{00000000-0005-0000-0000-000021740000}"/>
    <cellStyle name="SAPBEXexcGood3" xfId="29716" xr:uid="{00000000-0005-0000-0000-000022740000}"/>
    <cellStyle name="SAPBEXfilterDrill" xfId="29717" xr:uid="{00000000-0005-0000-0000-000023740000}"/>
    <cellStyle name="SAPBEXfilterItem" xfId="29718" xr:uid="{00000000-0005-0000-0000-000024740000}"/>
    <cellStyle name="SAPBEXfilterText" xfId="29719" xr:uid="{00000000-0005-0000-0000-000025740000}"/>
    <cellStyle name="SAPBEXformats" xfId="29720" xr:uid="{00000000-0005-0000-0000-000026740000}"/>
    <cellStyle name="SAPBEXheaderItem" xfId="29721" xr:uid="{00000000-0005-0000-0000-000027740000}"/>
    <cellStyle name="SAPBEXheaderText" xfId="29722" xr:uid="{00000000-0005-0000-0000-000028740000}"/>
    <cellStyle name="SAPBEXHLevel0" xfId="29723" xr:uid="{00000000-0005-0000-0000-000029740000}"/>
    <cellStyle name="SAPBEXHLevel0 2" xfId="29724" xr:uid="{00000000-0005-0000-0000-00002A740000}"/>
    <cellStyle name="SAPBEXHLevel0 3" xfId="29725" xr:uid="{00000000-0005-0000-0000-00002B740000}"/>
    <cellStyle name="SAPBEXHLevel0X" xfId="29726" xr:uid="{00000000-0005-0000-0000-00002C740000}"/>
    <cellStyle name="SAPBEXHLevel0X 2" xfId="29727" xr:uid="{00000000-0005-0000-0000-00002D740000}"/>
    <cellStyle name="SAPBEXHLevel0X 3" xfId="29728" xr:uid="{00000000-0005-0000-0000-00002E740000}"/>
    <cellStyle name="SAPBEXHLevel1" xfId="29729" xr:uid="{00000000-0005-0000-0000-00002F740000}"/>
    <cellStyle name="SAPBEXHLevel1 2" xfId="29730" xr:uid="{00000000-0005-0000-0000-000030740000}"/>
    <cellStyle name="SAPBEXHLevel1 3" xfId="29731" xr:uid="{00000000-0005-0000-0000-000031740000}"/>
    <cellStyle name="SAPBEXHLevel1X" xfId="29732" xr:uid="{00000000-0005-0000-0000-000032740000}"/>
    <cellStyle name="SAPBEXHLevel1X 2" xfId="29733" xr:uid="{00000000-0005-0000-0000-000033740000}"/>
    <cellStyle name="SAPBEXHLevel1X 3" xfId="29734" xr:uid="{00000000-0005-0000-0000-000034740000}"/>
    <cellStyle name="SAPBEXHLevel2" xfId="29735" xr:uid="{00000000-0005-0000-0000-000035740000}"/>
    <cellStyle name="SAPBEXHLevel2 2" xfId="29736" xr:uid="{00000000-0005-0000-0000-000036740000}"/>
    <cellStyle name="SAPBEXHLevel2 3" xfId="29737" xr:uid="{00000000-0005-0000-0000-000037740000}"/>
    <cellStyle name="SAPBEXHLevel2X" xfId="29738" xr:uid="{00000000-0005-0000-0000-000038740000}"/>
    <cellStyle name="SAPBEXHLevel2X 2" xfId="29739" xr:uid="{00000000-0005-0000-0000-000039740000}"/>
    <cellStyle name="SAPBEXHLevel2X 3" xfId="29740" xr:uid="{00000000-0005-0000-0000-00003A740000}"/>
    <cellStyle name="SAPBEXHLevel3" xfId="29741" xr:uid="{00000000-0005-0000-0000-00003B740000}"/>
    <cellStyle name="SAPBEXHLevel3 2" xfId="29742" xr:uid="{00000000-0005-0000-0000-00003C740000}"/>
    <cellStyle name="SAPBEXHLevel3 3" xfId="29743" xr:uid="{00000000-0005-0000-0000-00003D740000}"/>
    <cellStyle name="SAPBEXHLevel3X" xfId="29744" xr:uid="{00000000-0005-0000-0000-00003E740000}"/>
    <cellStyle name="SAPBEXHLevel3X 2" xfId="29745" xr:uid="{00000000-0005-0000-0000-00003F740000}"/>
    <cellStyle name="SAPBEXHLevel3X 3" xfId="29746" xr:uid="{00000000-0005-0000-0000-000040740000}"/>
    <cellStyle name="SAPBEXresData" xfId="29747" xr:uid="{00000000-0005-0000-0000-000041740000}"/>
    <cellStyle name="SAPBEXresDataEmph" xfId="29748" xr:uid="{00000000-0005-0000-0000-000042740000}"/>
    <cellStyle name="SAPBEXresItem" xfId="29749" xr:uid="{00000000-0005-0000-0000-000043740000}"/>
    <cellStyle name="SAPBEXresItemX" xfId="29750" xr:uid="{00000000-0005-0000-0000-000044740000}"/>
    <cellStyle name="SAPBEXstdData" xfId="29751" xr:uid="{00000000-0005-0000-0000-000045740000}"/>
    <cellStyle name="SAPBEXstdData 2" xfId="29752" xr:uid="{00000000-0005-0000-0000-000046740000}"/>
    <cellStyle name="SAPBEXstdDataEmph" xfId="29753" xr:uid="{00000000-0005-0000-0000-000047740000}"/>
    <cellStyle name="SAPBEXstdItem" xfId="29754" xr:uid="{00000000-0005-0000-0000-000048740000}"/>
    <cellStyle name="SAPBEXstdItemX" xfId="29755" xr:uid="{00000000-0005-0000-0000-000049740000}"/>
    <cellStyle name="SAPBEXtitle" xfId="29756" xr:uid="{00000000-0005-0000-0000-00004A740000}"/>
    <cellStyle name="SAPBEXundefined" xfId="29757" xr:uid="{00000000-0005-0000-0000-00004B740000}"/>
    <cellStyle name="Standard_internet1997" xfId="29758" xr:uid="{00000000-0005-0000-0000-00004C740000}"/>
    <cellStyle name="Styl 1" xfId="29759" xr:uid="{00000000-0005-0000-0000-00004D740000}"/>
    <cellStyle name="Style 1" xfId="29760" xr:uid="{00000000-0005-0000-0000-00004E740000}"/>
    <cellStyle name="Sum" xfId="29761" xr:uid="{00000000-0005-0000-0000-00004F740000}"/>
    <cellStyle name="Suma 2" xfId="29762" xr:uid="{00000000-0005-0000-0000-000050740000}"/>
    <cellStyle name="Suma 2 10" xfId="29763" xr:uid="{00000000-0005-0000-0000-000051740000}"/>
    <cellStyle name="Suma 2 10 10" xfId="29764" xr:uid="{00000000-0005-0000-0000-000052740000}"/>
    <cellStyle name="Suma 2 10 10 2" xfId="29765" xr:uid="{00000000-0005-0000-0000-000053740000}"/>
    <cellStyle name="Suma 2 10 10 3" xfId="29766" xr:uid="{00000000-0005-0000-0000-000054740000}"/>
    <cellStyle name="Suma 2 10 10 4" xfId="29767" xr:uid="{00000000-0005-0000-0000-000055740000}"/>
    <cellStyle name="Suma 2 10 11" xfId="29768" xr:uid="{00000000-0005-0000-0000-000056740000}"/>
    <cellStyle name="Suma 2 10 11 2" xfId="29769" xr:uid="{00000000-0005-0000-0000-000057740000}"/>
    <cellStyle name="Suma 2 10 11 3" xfId="29770" xr:uid="{00000000-0005-0000-0000-000058740000}"/>
    <cellStyle name="Suma 2 10 11 4" xfId="29771" xr:uid="{00000000-0005-0000-0000-000059740000}"/>
    <cellStyle name="Suma 2 10 12" xfId="29772" xr:uid="{00000000-0005-0000-0000-00005A740000}"/>
    <cellStyle name="Suma 2 10 12 2" xfId="29773" xr:uid="{00000000-0005-0000-0000-00005B740000}"/>
    <cellStyle name="Suma 2 10 12 3" xfId="29774" xr:uid="{00000000-0005-0000-0000-00005C740000}"/>
    <cellStyle name="Suma 2 10 12 4" xfId="29775" xr:uid="{00000000-0005-0000-0000-00005D740000}"/>
    <cellStyle name="Suma 2 10 13" xfId="29776" xr:uid="{00000000-0005-0000-0000-00005E740000}"/>
    <cellStyle name="Suma 2 10 13 2" xfId="29777" xr:uid="{00000000-0005-0000-0000-00005F740000}"/>
    <cellStyle name="Suma 2 10 13 3" xfId="29778" xr:uid="{00000000-0005-0000-0000-000060740000}"/>
    <cellStyle name="Suma 2 10 13 4" xfId="29779" xr:uid="{00000000-0005-0000-0000-000061740000}"/>
    <cellStyle name="Suma 2 10 14" xfId="29780" xr:uid="{00000000-0005-0000-0000-000062740000}"/>
    <cellStyle name="Suma 2 10 14 2" xfId="29781" xr:uid="{00000000-0005-0000-0000-000063740000}"/>
    <cellStyle name="Suma 2 10 14 3" xfId="29782" xr:uid="{00000000-0005-0000-0000-000064740000}"/>
    <cellStyle name="Suma 2 10 14 4" xfId="29783" xr:uid="{00000000-0005-0000-0000-000065740000}"/>
    <cellStyle name="Suma 2 10 15" xfId="29784" xr:uid="{00000000-0005-0000-0000-000066740000}"/>
    <cellStyle name="Suma 2 10 15 2" xfId="29785" xr:uid="{00000000-0005-0000-0000-000067740000}"/>
    <cellStyle name="Suma 2 10 15 3" xfId="29786" xr:uid="{00000000-0005-0000-0000-000068740000}"/>
    <cellStyle name="Suma 2 10 15 4" xfId="29787" xr:uid="{00000000-0005-0000-0000-000069740000}"/>
    <cellStyle name="Suma 2 10 16" xfId="29788" xr:uid="{00000000-0005-0000-0000-00006A740000}"/>
    <cellStyle name="Suma 2 10 16 2" xfId="29789" xr:uid="{00000000-0005-0000-0000-00006B740000}"/>
    <cellStyle name="Suma 2 10 16 3" xfId="29790" xr:uid="{00000000-0005-0000-0000-00006C740000}"/>
    <cellStyle name="Suma 2 10 16 4" xfId="29791" xr:uid="{00000000-0005-0000-0000-00006D740000}"/>
    <cellStyle name="Suma 2 10 17" xfId="29792" xr:uid="{00000000-0005-0000-0000-00006E740000}"/>
    <cellStyle name="Suma 2 10 17 2" xfId="29793" xr:uid="{00000000-0005-0000-0000-00006F740000}"/>
    <cellStyle name="Suma 2 10 17 3" xfId="29794" xr:uid="{00000000-0005-0000-0000-000070740000}"/>
    <cellStyle name="Suma 2 10 17 4" xfId="29795" xr:uid="{00000000-0005-0000-0000-000071740000}"/>
    <cellStyle name="Suma 2 10 18" xfId="29796" xr:uid="{00000000-0005-0000-0000-000072740000}"/>
    <cellStyle name="Suma 2 10 18 2" xfId="29797" xr:uid="{00000000-0005-0000-0000-000073740000}"/>
    <cellStyle name="Suma 2 10 18 3" xfId="29798" xr:uid="{00000000-0005-0000-0000-000074740000}"/>
    <cellStyle name="Suma 2 10 18 4" xfId="29799" xr:uid="{00000000-0005-0000-0000-000075740000}"/>
    <cellStyle name="Suma 2 10 19" xfId="29800" xr:uid="{00000000-0005-0000-0000-000076740000}"/>
    <cellStyle name="Suma 2 10 19 2" xfId="29801" xr:uid="{00000000-0005-0000-0000-000077740000}"/>
    <cellStyle name="Suma 2 10 19 3" xfId="29802" xr:uid="{00000000-0005-0000-0000-000078740000}"/>
    <cellStyle name="Suma 2 10 19 4" xfId="29803" xr:uid="{00000000-0005-0000-0000-000079740000}"/>
    <cellStyle name="Suma 2 10 2" xfId="29804" xr:uid="{00000000-0005-0000-0000-00007A740000}"/>
    <cellStyle name="Suma 2 10 2 2" xfId="29805" xr:uid="{00000000-0005-0000-0000-00007B740000}"/>
    <cellStyle name="Suma 2 10 2 3" xfId="29806" xr:uid="{00000000-0005-0000-0000-00007C740000}"/>
    <cellStyle name="Suma 2 10 2 4" xfId="29807" xr:uid="{00000000-0005-0000-0000-00007D740000}"/>
    <cellStyle name="Suma 2 10 20" xfId="29808" xr:uid="{00000000-0005-0000-0000-00007E740000}"/>
    <cellStyle name="Suma 2 10 20 2" xfId="29809" xr:uid="{00000000-0005-0000-0000-00007F740000}"/>
    <cellStyle name="Suma 2 10 20 3" xfId="29810" xr:uid="{00000000-0005-0000-0000-000080740000}"/>
    <cellStyle name="Suma 2 10 20 4" xfId="29811" xr:uid="{00000000-0005-0000-0000-000081740000}"/>
    <cellStyle name="Suma 2 10 21" xfId="29812" xr:uid="{00000000-0005-0000-0000-000082740000}"/>
    <cellStyle name="Suma 2 10 21 2" xfId="29813" xr:uid="{00000000-0005-0000-0000-000083740000}"/>
    <cellStyle name="Suma 2 10 21 3" xfId="29814" xr:uid="{00000000-0005-0000-0000-000084740000}"/>
    <cellStyle name="Suma 2 10 22" xfId="29815" xr:uid="{00000000-0005-0000-0000-000085740000}"/>
    <cellStyle name="Suma 2 10 22 2" xfId="29816" xr:uid="{00000000-0005-0000-0000-000086740000}"/>
    <cellStyle name="Suma 2 10 22 3" xfId="29817" xr:uid="{00000000-0005-0000-0000-000087740000}"/>
    <cellStyle name="Suma 2 10 23" xfId="29818" xr:uid="{00000000-0005-0000-0000-000088740000}"/>
    <cellStyle name="Suma 2 10 23 2" xfId="29819" xr:uid="{00000000-0005-0000-0000-000089740000}"/>
    <cellStyle name="Suma 2 10 23 3" xfId="29820" xr:uid="{00000000-0005-0000-0000-00008A740000}"/>
    <cellStyle name="Suma 2 10 24" xfId="29821" xr:uid="{00000000-0005-0000-0000-00008B740000}"/>
    <cellStyle name="Suma 2 10 24 2" xfId="29822" xr:uid="{00000000-0005-0000-0000-00008C740000}"/>
    <cellStyle name="Suma 2 10 24 3" xfId="29823" xr:uid="{00000000-0005-0000-0000-00008D740000}"/>
    <cellStyle name="Suma 2 10 25" xfId="29824" xr:uid="{00000000-0005-0000-0000-00008E740000}"/>
    <cellStyle name="Suma 2 10 25 2" xfId="29825" xr:uid="{00000000-0005-0000-0000-00008F740000}"/>
    <cellStyle name="Suma 2 10 25 3" xfId="29826" xr:uid="{00000000-0005-0000-0000-000090740000}"/>
    <cellStyle name="Suma 2 10 26" xfId="29827" xr:uid="{00000000-0005-0000-0000-000091740000}"/>
    <cellStyle name="Suma 2 10 26 2" xfId="29828" xr:uid="{00000000-0005-0000-0000-000092740000}"/>
    <cellStyle name="Suma 2 10 26 3" xfId="29829" xr:uid="{00000000-0005-0000-0000-000093740000}"/>
    <cellStyle name="Suma 2 10 27" xfId="29830" xr:uid="{00000000-0005-0000-0000-000094740000}"/>
    <cellStyle name="Suma 2 10 27 2" xfId="29831" xr:uid="{00000000-0005-0000-0000-000095740000}"/>
    <cellStyle name="Suma 2 10 27 3" xfId="29832" xr:uid="{00000000-0005-0000-0000-000096740000}"/>
    <cellStyle name="Suma 2 10 28" xfId="29833" xr:uid="{00000000-0005-0000-0000-000097740000}"/>
    <cellStyle name="Suma 2 10 28 2" xfId="29834" xr:uid="{00000000-0005-0000-0000-000098740000}"/>
    <cellStyle name="Suma 2 10 28 3" xfId="29835" xr:uid="{00000000-0005-0000-0000-000099740000}"/>
    <cellStyle name="Suma 2 10 29" xfId="29836" xr:uid="{00000000-0005-0000-0000-00009A740000}"/>
    <cellStyle name="Suma 2 10 29 2" xfId="29837" xr:uid="{00000000-0005-0000-0000-00009B740000}"/>
    <cellStyle name="Suma 2 10 29 3" xfId="29838" xr:uid="{00000000-0005-0000-0000-00009C740000}"/>
    <cellStyle name="Suma 2 10 3" xfId="29839" xr:uid="{00000000-0005-0000-0000-00009D740000}"/>
    <cellStyle name="Suma 2 10 3 2" xfId="29840" xr:uid="{00000000-0005-0000-0000-00009E740000}"/>
    <cellStyle name="Suma 2 10 3 3" xfId="29841" xr:uid="{00000000-0005-0000-0000-00009F740000}"/>
    <cellStyle name="Suma 2 10 3 4" xfId="29842" xr:uid="{00000000-0005-0000-0000-0000A0740000}"/>
    <cellStyle name="Suma 2 10 30" xfId="29843" xr:uid="{00000000-0005-0000-0000-0000A1740000}"/>
    <cellStyle name="Suma 2 10 30 2" xfId="29844" xr:uid="{00000000-0005-0000-0000-0000A2740000}"/>
    <cellStyle name="Suma 2 10 30 3" xfId="29845" xr:uid="{00000000-0005-0000-0000-0000A3740000}"/>
    <cellStyle name="Suma 2 10 31" xfId="29846" xr:uid="{00000000-0005-0000-0000-0000A4740000}"/>
    <cellStyle name="Suma 2 10 31 2" xfId="29847" xr:uid="{00000000-0005-0000-0000-0000A5740000}"/>
    <cellStyle name="Suma 2 10 31 3" xfId="29848" xr:uid="{00000000-0005-0000-0000-0000A6740000}"/>
    <cellStyle name="Suma 2 10 32" xfId="29849" xr:uid="{00000000-0005-0000-0000-0000A7740000}"/>
    <cellStyle name="Suma 2 10 32 2" xfId="29850" xr:uid="{00000000-0005-0000-0000-0000A8740000}"/>
    <cellStyle name="Suma 2 10 32 3" xfId="29851" xr:uid="{00000000-0005-0000-0000-0000A9740000}"/>
    <cellStyle name="Suma 2 10 33" xfId="29852" xr:uid="{00000000-0005-0000-0000-0000AA740000}"/>
    <cellStyle name="Suma 2 10 33 2" xfId="29853" xr:uid="{00000000-0005-0000-0000-0000AB740000}"/>
    <cellStyle name="Suma 2 10 33 3" xfId="29854" xr:uid="{00000000-0005-0000-0000-0000AC740000}"/>
    <cellStyle name="Suma 2 10 34" xfId="29855" xr:uid="{00000000-0005-0000-0000-0000AD740000}"/>
    <cellStyle name="Suma 2 10 34 2" xfId="29856" xr:uid="{00000000-0005-0000-0000-0000AE740000}"/>
    <cellStyle name="Suma 2 10 34 3" xfId="29857" xr:uid="{00000000-0005-0000-0000-0000AF740000}"/>
    <cellStyle name="Suma 2 10 35" xfId="29858" xr:uid="{00000000-0005-0000-0000-0000B0740000}"/>
    <cellStyle name="Suma 2 10 35 2" xfId="29859" xr:uid="{00000000-0005-0000-0000-0000B1740000}"/>
    <cellStyle name="Suma 2 10 35 3" xfId="29860" xr:uid="{00000000-0005-0000-0000-0000B2740000}"/>
    <cellStyle name="Suma 2 10 36" xfId="29861" xr:uid="{00000000-0005-0000-0000-0000B3740000}"/>
    <cellStyle name="Suma 2 10 36 2" xfId="29862" xr:uid="{00000000-0005-0000-0000-0000B4740000}"/>
    <cellStyle name="Suma 2 10 36 3" xfId="29863" xr:uid="{00000000-0005-0000-0000-0000B5740000}"/>
    <cellStyle name="Suma 2 10 37" xfId="29864" xr:uid="{00000000-0005-0000-0000-0000B6740000}"/>
    <cellStyle name="Suma 2 10 37 2" xfId="29865" xr:uid="{00000000-0005-0000-0000-0000B7740000}"/>
    <cellStyle name="Suma 2 10 37 3" xfId="29866" xr:uid="{00000000-0005-0000-0000-0000B8740000}"/>
    <cellStyle name="Suma 2 10 38" xfId="29867" xr:uid="{00000000-0005-0000-0000-0000B9740000}"/>
    <cellStyle name="Suma 2 10 38 2" xfId="29868" xr:uid="{00000000-0005-0000-0000-0000BA740000}"/>
    <cellStyle name="Suma 2 10 38 3" xfId="29869" xr:uid="{00000000-0005-0000-0000-0000BB740000}"/>
    <cellStyle name="Suma 2 10 39" xfId="29870" xr:uid="{00000000-0005-0000-0000-0000BC740000}"/>
    <cellStyle name="Suma 2 10 39 2" xfId="29871" xr:uid="{00000000-0005-0000-0000-0000BD740000}"/>
    <cellStyle name="Suma 2 10 39 3" xfId="29872" xr:uid="{00000000-0005-0000-0000-0000BE740000}"/>
    <cellStyle name="Suma 2 10 4" xfId="29873" xr:uid="{00000000-0005-0000-0000-0000BF740000}"/>
    <cellStyle name="Suma 2 10 4 2" xfId="29874" xr:uid="{00000000-0005-0000-0000-0000C0740000}"/>
    <cellStyle name="Suma 2 10 4 3" xfId="29875" xr:uid="{00000000-0005-0000-0000-0000C1740000}"/>
    <cellStyle name="Suma 2 10 4 4" xfId="29876" xr:uid="{00000000-0005-0000-0000-0000C2740000}"/>
    <cellStyle name="Suma 2 10 40" xfId="29877" xr:uid="{00000000-0005-0000-0000-0000C3740000}"/>
    <cellStyle name="Suma 2 10 40 2" xfId="29878" xr:uid="{00000000-0005-0000-0000-0000C4740000}"/>
    <cellStyle name="Suma 2 10 40 3" xfId="29879" xr:uid="{00000000-0005-0000-0000-0000C5740000}"/>
    <cellStyle name="Suma 2 10 41" xfId="29880" xr:uid="{00000000-0005-0000-0000-0000C6740000}"/>
    <cellStyle name="Suma 2 10 41 2" xfId="29881" xr:uid="{00000000-0005-0000-0000-0000C7740000}"/>
    <cellStyle name="Suma 2 10 41 3" xfId="29882" xr:uid="{00000000-0005-0000-0000-0000C8740000}"/>
    <cellStyle name="Suma 2 10 42" xfId="29883" xr:uid="{00000000-0005-0000-0000-0000C9740000}"/>
    <cellStyle name="Suma 2 10 42 2" xfId="29884" xr:uid="{00000000-0005-0000-0000-0000CA740000}"/>
    <cellStyle name="Suma 2 10 42 3" xfId="29885" xr:uid="{00000000-0005-0000-0000-0000CB740000}"/>
    <cellStyle name="Suma 2 10 43" xfId="29886" xr:uid="{00000000-0005-0000-0000-0000CC740000}"/>
    <cellStyle name="Suma 2 10 43 2" xfId="29887" xr:uid="{00000000-0005-0000-0000-0000CD740000}"/>
    <cellStyle name="Suma 2 10 43 3" xfId="29888" xr:uid="{00000000-0005-0000-0000-0000CE740000}"/>
    <cellStyle name="Suma 2 10 44" xfId="29889" xr:uid="{00000000-0005-0000-0000-0000CF740000}"/>
    <cellStyle name="Suma 2 10 44 2" xfId="29890" xr:uid="{00000000-0005-0000-0000-0000D0740000}"/>
    <cellStyle name="Suma 2 10 44 3" xfId="29891" xr:uid="{00000000-0005-0000-0000-0000D1740000}"/>
    <cellStyle name="Suma 2 10 45" xfId="29892" xr:uid="{00000000-0005-0000-0000-0000D2740000}"/>
    <cellStyle name="Suma 2 10 45 2" xfId="29893" xr:uid="{00000000-0005-0000-0000-0000D3740000}"/>
    <cellStyle name="Suma 2 10 45 3" xfId="29894" xr:uid="{00000000-0005-0000-0000-0000D4740000}"/>
    <cellStyle name="Suma 2 10 46" xfId="29895" xr:uid="{00000000-0005-0000-0000-0000D5740000}"/>
    <cellStyle name="Suma 2 10 46 2" xfId="29896" xr:uid="{00000000-0005-0000-0000-0000D6740000}"/>
    <cellStyle name="Suma 2 10 46 3" xfId="29897" xr:uid="{00000000-0005-0000-0000-0000D7740000}"/>
    <cellStyle name="Suma 2 10 47" xfId="29898" xr:uid="{00000000-0005-0000-0000-0000D8740000}"/>
    <cellStyle name="Suma 2 10 47 2" xfId="29899" xr:uid="{00000000-0005-0000-0000-0000D9740000}"/>
    <cellStyle name="Suma 2 10 47 3" xfId="29900" xr:uid="{00000000-0005-0000-0000-0000DA740000}"/>
    <cellStyle name="Suma 2 10 48" xfId="29901" xr:uid="{00000000-0005-0000-0000-0000DB740000}"/>
    <cellStyle name="Suma 2 10 48 2" xfId="29902" xr:uid="{00000000-0005-0000-0000-0000DC740000}"/>
    <cellStyle name="Suma 2 10 48 3" xfId="29903" xr:uid="{00000000-0005-0000-0000-0000DD740000}"/>
    <cellStyle name="Suma 2 10 49" xfId="29904" xr:uid="{00000000-0005-0000-0000-0000DE740000}"/>
    <cellStyle name="Suma 2 10 49 2" xfId="29905" xr:uid="{00000000-0005-0000-0000-0000DF740000}"/>
    <cellStyle name="Suma 2 10 49 3" xfId="29906" xr:uid="{00000000-0005-0000-0000-0000E0740000}"/>
    <cellStyle name="Suma 2 10 5" xfId="29907" xr:uid="{00000000-0005-0000-0000-0000E1740000}"/>
    <cellStyle name="Suma 2 10 5 2" xfId="29908" xr:uid="{00000000-0005-0000-0000-0000E2740000}"/>
    <cellStyle name="Suma 2 10 5 3" xfId="29909" xr:uid="{00000000-0005-0000-0000-0000E3740000}"/>
    <cellStyle name="Suma 2 10 5 4" xfId="29910" xr:uid="{00000000-0005-0000-0000-0000E4740000}"/>
    <cellStyle name="Suma 2 10 50" xfId="29911" xr:uid="{00000000-0005-0000-0000-0000E5740000}"/>
    <cellStyle name="Suma 2 10 50 2" xfId="29912" xr:uid="{00000000-0005-0000-0000-0000E6740000}"/>
    <cellStyle name="Suma 2 10 50 3" xfId="29913" xr:uid="{00000000-0005-0000-0000-0000E7740000}"/>
    <cellStyle name="Suma 2 10 51" xfId="29914" xr:uid="{00000000-0005-0000-0000-0000E8740000}"/>
    <cellStyle name="Suma 2 10 51 2" xfId="29915" xr:uid="{00000000-0005-0000-0000-0000E9740000}"/>
    <cellStyle name="Suma 2 10 51 3" xfId="29916" xr:uid="{00000000-0005-0000-0000-0000EA740000}"/>
    <cellStyle name="Suma 2 10 52" xfId="29917" xr:uid="{00000000-0005-0000-0000-0000EB740000}"/>
    <cellStyle name="Suma 2 10 52 2" xfId="29918" xr:uid="{00000000-0005-0000-0000-0000EC740000}"/>
    <cellStyle name="Suma 2 10 52 3" xfId="29919" xr:uid="{00000000-0005-0000-0000-0000ED740000}"/>
    <cellStyle name="Suma 2 10 53" xfId="29920" xr:uid="{00000000-0005-0000-0000-0000EE740000}"/>
    <cellStyle name="Suma 2 10 53 2" xfId="29921" xr:uid="{00000000-0005-0000-0000-0000EF740000}"/>
    <cellStyle name="Suma 2 10 53 3" xfId="29922" xr:uid="{00000000-0005-0000-0000-0000F0740000}"/>
    <cellStyle name="Suma 2 10 54" xfId="29923" xr:uid="{00000000-0005-0000-0000-0000F1740000}"/>
    <cellStyle name="Suma 2 10 54 2" xfId="29924" xr:uid="{00000000-0005-0000-0000-0000F2740000}"/>
    <cellStyle name="Suma 2 10 54 3" xfId="29925" xr:uid="{00000000-0005-0000-0000-0000F3740000}"/>
    <cellStyle name="Suma 2 10 55" xfId="29926" xr:uid="{00000000-0005-0000-0000-0000F4740000}"/>
    <cellStyle name="Suma 2 10 55 2" xfId="29927" xr:uid="{00000000-0005-0000-0000-0000F5740000}"/>
    <cellStyle name="Suma 2 10 55 3" xfId="29928" xr:uid="{00000000-0005-0000-0000-0000F6740000}"/>
    <cellStyle name="Suma 2 10 56" xfId="29929" xr:uid="{00000000-0005-0000-0000-0000F7740000}"/>
    <cellStyle name="Suma 2 10 56 2" xfId="29930" xr:uid="{00000000-0005-0000-0000-0000F8740000}"/>
    <cellStyle name="Suma 2 10 56 3" xfId="29931" xr:uid="{00000000-0005-0000-0000-0000F9740000}"/>
    <cellStyle name="Suma 2 10 57" xfId="29932" xr:uid="{00000000-0005-0000-0000-0000FA740000}"/>
    <cellStyle name="Suma 2 10 58" xfId="29933" xr:uid="{00000000-0005-0000-0000-0000FB740000}"/>
    <cellStyle name="Suma 2 10 6" xfId="29934" xr:uid="{00000000-0005-0000-0000-0000FC740000}"/>
    <cellStyle name="Suma 2 10 6 2" xfId="29935" xr:uid="{00000000-0005-0000-0000-0000FD740000}"/>
    <cellStyle name="Suma 2 10 6 3" xfId="29936" xr:uid="{00000000-0005-0000-0000-0000FE740000}"/>
    <cellStyle name="Suma 2 10 6 4" xfId="29937" xr:uid="{00000000-0005-0000-0000-0000FF740000}"/>
    <cellStyle name="Suma 2 10 7" xfId="29938" xr:uid="{00000000-0005-0000-0000-000000750000}"/>
    <cellStyle name="Suma 2 10 7 2" xfId="29939" xr:uid="{00000000-0005-0000-0000-000001750000}"/>
    <cellStyle name="Suma 2 10 7 3" xfId="29940" xr:uid="{00000000-0005-0000-0000-000002750000}"/>
    <cellStyle name="Suma 2 10 7 4" xfId="29941" xr:uid="{00000000-0005-0000-0000-000003750000}"/>
    <cellStyle name="Suma 2 10 8" xfId="29942" xr:uid="{00000000-0005-0000-0000-000004750000}"/>
    <cellStyle name="Suma 2 10 8 2" xfId="29943" xr:uid="{00000000-0005-0000-0000-000005750000}"/>
    <cellStyle name="Suma 2 10 8 3" xfId="29944" xr:uid="{00000000-0005-0000-0000-000006750000}"/>
    <cellStyle name="Suma 2 10 8 4" xfId="29945" xr:uid="{00000000-0005-0000-0000-000007750000}"/>
    <cellStyle name="Suma 2 10 9" xfId="29946" xr:uid="{00000000-0005-0000-0000-000008750000}"/>
    <cellStyle name="Suma 2 10 9 2" xfId="29947" xr:uid="{00000000-0005-0000-0000-000009750000}"/>
    <cellStyle name="Suma 2 10 9 3" xfId="29948" xr:uid="{00000000-0005-0000-0000-00000A750000}"/>
    <cellStyle name="Suma 2 10 9 4" xfId="29949" xr:uid="{00000000-0005-0000-0000-00000B750000}"/>
    <cellStyle name="Suma 2 11" xfId="29950" xr:uid="{00000000-0005-0000-0000-00000C750000}"/>
    <cellStyle name="Suma 2 11 10" xfId="29951" xr:uid="{00000000-0005-0000-0000-00000D750000}"/>
    <cellStyle name="Suma 2 11 10 2" xfId="29952" xr:uid="{00000000-0005-0000-0000-00000E750000}"/>
    <cellStyle name="Suma 2 11 10 3" xfId="29953" xr:uid="{00000000-0005-0000-0000-00000F750000}"/>
    <cellStyle name="Suma 2 11 10 4" xfId="29954" xr:uid="{00000000-0005-0000-0000-000010750000}"/>
    <cellStyle name="Suma 2 11 11" xfId="29955" xr:uid="{00000000-0005-0000-0000-000011750000}"/>
    <cellStyle name="Suma 2 11 11 2" xfId="29956" xr:uid="{00000000-0005-0000-0000-000012750000}"/>
    <cellStyle name="Suma 2 11 11 3" xfId="29957" xr:uid="{00000000-0005-0000-0000-000013750000}"/>
    <cellStyle name="Suma 2 11 11 4" xfId="29958" xr:uid="{00000000-0005-0000-0000-000014750000}"/>
    <cellStyle name="Suma 2 11 12" xfId="29959" xr:uid="{00000000-0005-0000-0000-000015750000}"/>
    <cellStyle name="Suma 2 11 12 2" xfId="29960" xr:uid="{00000000-0005-0000-0000-000016750000}"/>
    <cellStyle name="Suma 2 11 12 3" xfId="29961" xr:uid="{00000000-0005-0000-0000-000017750000}"/>
    <cellStyle name="Suma 2 11 12 4" xfId="29962" xr:uid="{00000000-0005-0000-0000-000018750000}"/>
    <cellStyle name="Suma 2 11 13" xfId="29963" xr:uid="{00000000-0005-0000-0000-000019750000}"/>
    <cellStyle name="Suma 2 11 13 2" xfId="29964" xr:uid="{00000000-0005-0000-0000-00001A750000}"/>
    <cellStyle name="Suma 2 11 13 3" xfId="29965" xr:uid="{00000000-0005-0000-0000-00001B750000}"/>
    <cellStyle name="Suma 2 11 13 4" xfId="29966" xr:uid="{00000000-0005-0000-0000-00001C750000}"/>
    <cellStyle name="Suma 2 11 14" xfId="29967" xr:uid="{00000000-0005-0000-0000-00001D750000}"/>
    <cellStyle name="Suma 2 11 14 2" xfId="29968" xr:uid="{00000000-0005-0000-0000-00001E750000}"/>
    <cellStyle name="Suma 2 11 14 3" xfId="29969" xr:uid="{00000000-0005-0000-0000-00001F750000}"/>
    <cellStyle name="Suma 2 11 14 4" xfId="29970" xr:uid="{00000000-0005-0000-0000-000020750000}"/>
    <cellStyle name="Suma 2 11 15" xfId="29971" xr:uid="{00000000-0005-0000-0000-000021750000}"/>
    <cellStyle name="Suma 2 11 15 2" xfId="29972" xr:uid="{00000000-0005-0000-0000-000022750000}"/>
    <cellStyle name="Suma 2 11 15 3" xfId="29973" xr:uid="{00000000-0005-0000-0000-000023750000}"/>
    <cellStyle name="Suma 2 11 15 4" xfId="29974" xr:uid="{00000000-0005-0000-0000-000024750000}"/>
    <cellStyle name="Suma 2 11 16" xfId="29975" xr:uid="{00000000-0005-0000-0000-000025750000}"/>
    <cellStyle name="Suma 2 11 16 2" xfId="29976" xr:uid="{00000000-0005-0000-0000-000026750000}"/>
    <cellStyle name="Suma 2 11 16 3" xfId="29977" xr:uid="{00000000-0005-0000-0000-000027750000}"/>
    <cellStyle name="Suma 2 11 16 4" xfId="29978" xr:uid="{00000000-0005-0000-0000-000028750000}"/>
    <cellStyle name="Suma 2 11 17" xfId="29979" xr:uid="{00000000-0005-0000-0000-000029750000}"/>
    <cellStyle name="Suma 2 11 17 2" xfId="29980" xr:uid="{00000000-0005-0000-0000-00002A750000}"/>
    <cellStyle name="Suma 2 11 17 3" xfId="29981" xr:uid="{00000000-0005-0000-0000-00002B750000}"/>
    <cellStyle name="Suma 2 11 17 4" xfId="29982" xr:uid="{00000000-0005-0000-0000-00002C750000}"/>
    <cellStyle name="Suma 2 11 18" xfId="29983" xr:uid="{00000000-0005-0000-0000-00002D750000}"/>
    <cellStyle name="Suma 2 11 18 2" xfId="29984" xr:uid="{00000000-0005-0000-0000-00002E750000}"/>
    <cellStyle name="Suma 2 11 18 3" xfId="29985" xr:uid="{00000000-0005-0000-0000-00002F750000}"/>
    <cellStyle name="Suma 2 11 18 4" xfId="29986" xr:uid="{00000000-0005-0000-0000-000030750000}"/>
    <cellStyle name="Suma 2 11 19" xfId="29987" xr:uid="{00000000-0005-0000-0000-000031750000}"/>
    <cellStyle name="Suma 2 11 19 2" xfId="29988" xr:uid="{00000000-0005-0000-0000-000032750000}"/>
    <cellStyle name="Suma 2 11 19 3" xfId="29989" xr:uid="{00000000-0005-0000-0000-000033750000}"/>
    <cellStyle name="Suma 2 11 19 4" xfId="29990" xr:uid="{00000000-0005-0000-0000-000034750000}"/>
    <cellStyle name="Suma 2 11 2" xfId="29991" xr:uid="{00000000-0005-0000-0000-000035750000}"/>
    <cellStyle name="Suma 2 11 2 2" xfId="29992" xr:uid="{00000000-0005-0000-0000-000036750000}"/>
    <cellStyle name="Suma 2 11 2 3" xfId="29993" xr:uid="{00000000-0005-0000-0000-000037750000}"/>
    <cellStyle name="Suma 2 11 2 4" xfId="29994" xr:uid="{00000000-0005-0000-0000-000038750000}"/>
    <cellStyle name="Suma 2 11 20" xfId="29995" xr:uid="{00000000-0005-0000-0000-000039750000}"/>
    <cellStyle name="Suma 2 11 20 2" xfId="29996" xr:uid="{00000000-0005-0000-0000-00003A750000}"/>
    <cellStyle name="Suma 2 11 20 3" xfId="29997" xr:uid="{00000000-0005-0000-0000-00003B750000}"/>
    <cellStyle name="Suma 2 11 20 4" xfId="29998" xr:uid="{00000000-0005-0000-0000-00003C750000}"/>
    <cellStyle name="Suma 2 11 21" xfId="29999" xr:uid="{00000000-0005-0000-0000-00003D750000}"/>
    <cellStyle name="Suma 2 11 21 2" xfId="30000" xr:uid="{00000000-0005-0000-0000-00003E750000}"/>
    <cellStyle name="Suma 2 11 21 3" xfId="30001" xr:uid="{00000000-0005-0000-0000-00003F750000}"/>
    <cellStyle name="Suma 2 11 22" xfId="30002" xr:uid="{00000000-0005-0000-0000-000040750000}"/>
    <cellStyle name="Suma 2 11 22 2" xfId="30003" xr:uid="{00000000-0005-0000-0000-000041750000}"/>
    <cellStyle name="Suma 2 11 22 3" xfId="30004" xr:uid="{00000000-0005-0000-0000-000042750000}"/>
    <cellStyle name="Suma 2 11 23" xfId="30005" xr:uid="{00000000-0005-0000-0000-000043750000}"/>
    <cellStyle name="Suma 2 11 23 2" xfId="30006" xr:uid="{00000000-0005-0000-0000-000044750000}"/>
    <cellStyle name="Suma 2 11 23 3" xfId="30007" xr:uid="{00000000-0005-0000-0000-000045750000}"/>
    <cellStyle name="Suma 2 11 24" xfId="30008" xr:uid="{00000000-0005-0000-0000-000046750000}"/>
    <cellStyle name="Suma 2 11 24 2" xfId="30009" xr:uid="{00000000-0005-0000-0000-000047750000}"/>
    <cellStyle name="Suma 2 11 24 3" xfId="30010" xr:uid="{00000000-0005-0000-0000-000048750000}"/>
    <cellStyle name="Suma 2 11 25" xfId="30011" xr:uid="{00000000-0005-0000-0000-000049750000}"/>
    <cellStyle name="Suma 2 11 25 2" xfId="30012" xr:uid="{00000000-0005-0000-0000-00004A750000}"/>
    <cellStyle name="Suma 2 11 25 3" xfId="30013" xr:uid="{00000000-0005-0000-0000-00004B750000}"/>
    <cellStyle name="Suma 2 11 26" xfId="30014" xr:uid="{00000000-0005-0000-0000-00004C750000}"/>
    <cellStyle name="Suma 2 11 26 2" xfId="30015" xr:uid="{00000000-0005-0000-0000-00004D750000}"/>
    <cellStyle name="Suma 2 11 26 3" xfId="30016" xr:uid="{00000000-0005-0000-0000-00004E750000}"/>
    <cellStyle name="Suma 2 11 27" xfId="30017" xr:uid="{00000000-0005-0000-0000-00004F750000}"/>
    <cellStyle name="Suma 2 11 27 2" xfId="30018" xr:uid="{00000000-0005-0000-0000-000050750000}"/>
    <cellStyle name="Suma 2 11 27 3" xfId="30019" xr:uid="{00000000-0005-0000-0000-000051750000}"/>
    <cellStyle name="Suma 2 11 28" xfId="30020" xr:uid="{00000000-0005-0000-0000-000052750000}"/>
    <cellStyle name="Suma 2 11 28 2" xfId="30021" xr:uid="{00000000-0005-0000-0000-000053750000}"/>
    <cellStyle name="Suma 2 11 28 3" xfId="30022" xr:uid="{00000000-0005-0000-0000-000054750000}"/>
    <cellStyle name="Suma 2 11 29" xfId="30023" xr:uid="{00000000-0005-0000-0000-000055750000}"/>
    <cellStyle name="Suma 2 11 29 2" xfId="30024" xr:uid="{00000000-0005-0000-0000-000056750000}"/>
    <cellStyle name="Suma 2 11 29 3" xfId="30025" xr:uid="{00000000-0005-0000-0000-000057750000}"/>
    <cellStyle name="Suma 2 11 3" xfId="30026" xr:uid="{00000000-0005-0000-0000-000058750000}"/>
    <cellStyle name="Suma 2 11 3 2" xfId="30027" xr:uid="{00000000-0005-0000-0000-000059750000}"/>
    <cellStyle name="Suma 2 11 3 3" xfId="30028" xr:uid="{00000000-0005-0000-0000-00005A750000}"/>
    <cellStyle name="Suma 2 11 3 4" xfId="30029" xr:uid="{00000000-0005-0000-0000-00005B750000}"/>
    <cellStyle name="Suma 2 11 30" xfId="30030" xr:uid="{00000000-0005-0000-0000-00005C750000}"/>
    <cellStyle name="Suma 2 11 30 2" xfId="30031" xr:uid="{00000000-0005-0000-0000-00005D750000}"/>
    <cellStyle name="Suma 2 11 30 3" xfId="30032" xr:uid="{00000000-0005-0000-0000-00005E750000}"/>
    <cellStyle name="Suma 2 11 31" xfId="30033" xr:uid="{00000000-0005-0000-0000-00005F750000}"/>
    <cellStyle name="Suma 2 11 31 2" xfId="30034" xr:uid="{00000000-0005-0000-0000-000060750000}"/>
    <cellStyle name="Suma 2 11 31 3" xfId="30035" xr:uid="{00000000-0005-0000-0000-000061750000}"/>
    <cellStyle name="Suma 2 11 32" xfId="30036" xr:uid="{00000000-0005-0000-0000-000062750000}"/>
    <cellStyle name="Suma 2 11 32 2" xfId="30037" xr:uid="{00000000-0005-0000-0000-000063750000}"/>
    <cellStyle name="Suma 2 11 32 3" xfId="30038" xr:uid="{00000000-0005-0000-0000-000064750000}"/>
    <cellStyle name="Suma 2 11 33" xfId="30039" xr:uid="{00000000-0005-0000-0000-000065750000}"/>
    <cellStyle name="Suma 2 11 33 2" xfId="30040" xr:uid="{00000000-0005-0000-0000-000066750000}"/>
    <cellStyle name="Suma 2 11 33 3" xfId="30041" xr:uid="{00000000-0005-0000-0000-000067750000}"/>
    <cellStyle name="Suma 2 11 34" xfId="30042" xr:uid="{00000000-0005-0000-0000-000068750000}"/>
    <cellStyle name="Suma 2 11 34 2" xfId="30043" xr:uid="{00000000-0005-0000-0000-000069750000}"/>
    <cellStyle name="Suma 2 11 34 3" xfId="30044" xr:uid="{00000000-0005-0000-0000-00006A750000}"/>
    <cellStyle name="Suma 2 11 35" xfId="30045" xr:uid="{00000000-0005-0000-0000-00006B750000}"/>
    <cellStyle name="Suma 2 11 35 2" xfId="30046" xr:uid="{00000000-0005-0000-0000-00006C750000}"/>
    <cellStyle name="Suma 2 11 35 3" xfId="30047" xr:uid="{00000000-0005-0000-0000-00006D750000}"/>
    <cellStyle name="Suma 2 11 36" xfId="30048" xr:uid="{00000000-0005-0000-0000-00006E750000}"/>
    <cellStyle name="Suma 2 11 36 2" xfId="30049" xr:uid="{00000000-0005-0000-0000-00006F750000}"/>
    <cellStyle name="Suma 2 11 36 3" xfId="30050" xr:uid="{00000000-0005-0000-0000-000070750000}"/>
    <cellStyle name="Suma 2 11 37" xfId="30051" xr:uid="{00000000-0005-0000-0000-000071750000}"/>
    <cellStyle name="Suma 2 11 37 2" xfId="30052" xr:uid="{00000000-0005-0000-0000-000072750000}"/>
    <cellStyle name="Suma 2 11 37 3" xfId="30053" xr:uid="{00000000-0005-0000-0000-000073750000}"/>
    <cellStyle name="Suma 2 11 38" xfId="30054" xr:uid="{00000000-0005-0000-0000-000074750000}"/>
    <cellStyle name="Suma 2 11 38 2" xfId="30055" xr:uid="{00000000-0005-0000-0000-000075750000}"/>
    <cellStyle name="Suma 2 11 38 3" xfId="30056" xr:uid="{00000000-0005-0000-0000-000076750000}"/>
    <cellStyle name="Suma 2 11 39" xfId="30057" xr:uid="{00000000-0005-0000-0000-000077750000}"/>
    <cellStyle name="Suma 2 11 39 2" xfId="30058" xr:uid="{00000000-0005-0000-0000-000078750000}"/>
    <cellStyle name="Suma 2 11 39 3" xfId="30059" xr:uid="{00000000-0005-0000-0000-000079750000}"/>
    <cellStyle name="Suma 2 11 4" xfId="30060" xr:uid="{00000000-0005-0000-0000-00007A750000}"/>
    <cellStyle name="Suma 2 11 4 2" xfId="30061" xr:uid="{00000000-0005-0000-0000-00007B750000}"/>
    <cellStyle name="Suma 2 11 4 3" xfId="30062" xr:uid="{00000000-0005-0000-0000-00007C750000}"/>
    <cellStyle name="Suma 2 11 4 4" xfId="30063" xr:uid="{00000000-0005-0000-0000-00007D750000}"/>
    <cellStyle name="Suma 2 11 40" xfId="30064" xr:uid="{00000000-0005-0000-0000-00007E750000}"/>
    <cellStyle name="Suma 2 11 40 2" xfId="30065" xr:uid="{00000000-0005-0000-0000-00007F750000}"/>
    <cellStyle name="Suma 2 11 40 3" xfId="30066" xr:uid="{00000000-0005-0000-0000-000080750000}"/>
    <cellStyle name="Suma 2 11 41" xfId="30067" xr:uid="{00000000-0005-0000-0000-000081750000}"/>
    <cellStyle name="Suma 2 11 41 2" xfId="30068" xr:uid="{00000000-0005-0000-0000-000082750000}"/>
    <cellStyle name="Suma 2 11 41 3" xfId="30069" xr:uid="{00000000-0005-0000-0000-000083750000}"/>
    <cellStyle name="Suma 2 11 42" xfId="30070" xr:uid="{00000000-0005-0000-0000-000084750000}"/>
    <cellStyle name="Suma 2 11 42 2" xfId="30071" xr:uid="{00000000-0005-0000-0000-000085750000}"/>
    <cellStyle name="Suma 2 11 42 3" xfId="30072" xr:uid="{00000000-0005-0000-0000-000086750000}"/>
    <cellStyle name="Suma 2 11 43" xfId="30073" xr:uid="{00000000-0005-0000-0000-000087750000}"/>
    <cellStyle name="Suma 2 11 43 2" xfId="30074" xr:uid="{00000000-0005-0000-0000-000088750000}"/>
    <cellStyle name="Suma 2 11 43 3" xfId="30075" xr:uid="{00000000-0005-0000-0000-000089750000}"/>
    <cellStyle name="Suma 2 11 44" xfId="30076" xr:uid="{00000000-0005-0000-0000-00008A750000}"/>
    <cellStyle name="Suma 2 11 44 2" xfId="30077" xr:uid="{00000000-0005-0000-0000-00008B750000}"/>
    <cellStyle name="Suma 2 11 44 3" xfId="30078" xr:uid="{00000000-0005-0000-0000-00008C750000}"/>
    <cellStyle name="Suma 2 11 45" xfId="30079" xr:uid="{00000000-0005-0000-0000-00008D750000}"/>
    <cellStyle name="Suma 2 11 45 2" xfId="30080" xr:uid="{00000000-0005-0000-0000-00008E750000}"/>
    <cellStyle name="Suma 2 11 45 3" xfId="30081" xr:uid="{00000000-0005-0000-0000-00008F750000}"/>
    <cellStyle name="Suma 2 11 46" xfId="30082" xr:uid="{00000000-0005-0000-0000-000090750000}"/>
    <cellStyle name="Suma 2 11 46 2" xfId="30083" xr:uid="{00000000-0005-0000-0000-000091750000}"/>
    <cellStyle name="Suma 2 11 46 3" xfId="30084" xr:uid="{00000000-0005-0000-0000-000092750000}"/>
    <cellStyle name="Suma 2 11 47" xfId="30085" xr:uid="{00000000-0005-0000-0000-000093750000}"/>
    <cellStyle name="Suma 2 11 47 2" xfId="30086" xr:uid="{00000000-0005-0000-0000-000094750000}"/>
    <cellStyle name="Suma 2 11 47 3" xfId="30087" xr:uid="{00000000-0005-0000-0000-000095750000}"/>
    <cellStyle name="Suma 2 11 48" xfId="30088" xr:uid="{00000000-0005-0000-0000-000096750000}"/>
    <cellStyle name="Suma 2 11 48 2" xfId="30089" xr:uid="{00000000-0005-0000-0000-000097750000}"/>
    <cellStyle name="Suma 2 11 48 3" xfId="30090" xr:uid="{00000000-0005-0000-0000-000098750000}"/>
    <cellStyle name="Suma 2 11 49" xfId="30091" xr:uid="{00000000-0005-0000-0000-000099750000}"/>
    <cellStyle name="Suma 2 11 49 2" xfId="30092" xr:uid="{00000000-0005-0000-0000-00009A750000}"/>
    <cellStyle name="Suma 2 11 49 3" xfId="30093" xr:uid="{00000000-0005-0000-0000-00009B750000}"/>
    <cellStyle name="Suma 2 11 5" xfId="30094" xr:uid="{00000000-0005-0000-0000-00009C750000}"/>
    <cellStyle name="Suma 2 11 5 2" xfId="30095" xr:uid="{00000000-0005-0000-0000-00009D750000}"/>
    <cellStyle name="Suma 2 11 5 3" xfId="30096" xr:uid="{00000000-0005-0000-0000-00009E750000}"/>
    <cellStyle name="Suma 2 11 5 4" xfId="30097" xr:uid="{00000000-0005-0000-0000-00009F750000}"/>
    <cellStyle name="Suma 2 11 50" xfId="30098" xr:uid="{00000000-0005-0000-0000-0000A0750000}"/>
    <cellStyle name="Suma 2 11 50 2" xfId="30099" xr:uid="{00000000-0005-0000-0000-0000A1750000}"/>
    <cellStyle name="Suma 2 11 50 3" xfId="30100" xr:uid="{00000000-0005-0000-0000-0000A2750000}"/>
    <cellStyle name="Suma 2 11 51" xfId="30101" xr:uid="{00000000-0005-0000-0000-0000A3750000}"/>
    <cellStyle name="Suma 2 11 51 2" xfId="30102" xr:uid="{00000000-0005-0000-0000-0000A4750000}"/>
    <cellStyle name="Suma 2 11 51 3" xfId="30103" xr:uid="{00000000-0005-0000-0000-0000A5750000}"/>
    <cellStyle name="Suma 2 11 52" xfId="30104" xr:uid="{00000000-0005-0000-0000-0000A6750000}"/>
    <cellStyle name="Suma 2 11 52 2" xfId="30105" xr:uid="{00000000-0005-0000-0000-0000A7750000}"/>
    <cellStyle name="Suma 2 11 52 3" xfId="30106" xr:uid="{00000000-0005-0000-0000-0000A8750000}"/>
    <cellStyle name="Suma 2 11 53" xfId="30107" xr:uid="{00000000-0005-0000-0000-0000A9750000}"/>
    <cellStyle name="Suma 2 11 53 2" xfId="30108" xr:uid="{00000000-0005-0000-0000-0000AA750000}"/>
    <cellStyle name="Suma 2 11 53 3" xfId="30109" xr:uid="{00000000-0005-0000-0000-0000AB750000}"/>
    <cellStyle name="Suma 2 11 54" xfId="30110" xr:uid="{00000000-0005-0000-0000-0000AC750000}"/>
    <cellStyle name="Suma 2 11 54 2" xfId="30111" xr:uid="{00000000-0005-0000-0000-0000AD750000}"/>
    <cellStyle name="Suma 2 11 54 3" xfId="30112" xr:uid="{00000000-0005-0000-0000-0000AE750000}"/>
    <cellStyle name="Suma 2 11 55" xfId="30113" xr:uid="{00000000-0005-0000-0000-0000AF750000}"/>
    <cellStyle name="Suma 2 11 55 2" xfId="30114" xr:uid="{00000000-0005-0000-0000-0000B0750000}"/>
    <cellStyle name="Suma 2 11 55 3" xfId="30115" xr:uid="{00000000-0005-0000-0000-0000B1750000}"/>
    <cellStyle name="Suma 2 11 56" xfId="30116" xr:uid="{00000000-0005-0000-0000-0000B2750000}"/>
    <cellStyle name="Suma 2 11 56 2" xfId="30117" xr:uid="{00000000-0005-0000-0000-0000B3750000}"/>
    <cellStyle name="Suma 2 11 56 3" xfId="30118" xr:uid="{00000000-0005-0000-0000-0000B4750000}"/>
    <cellStyle name="Suma 2 11 57" xfId="30119" xr:uid="{00000000-0005-0000-0000-0000B5750000}"/>
    <cellStyle name="Suma 2 11 58" xfId="30120" xr:uid="{00000000-0005-0000-0000-0000B6750000}"/>
    <cellStyle name="Suma 2 11 6" xfId="30121" xr:uid="{00000000-0005-0000-0000-0000B7750000}"/>
    <cellStyle name="Suma 2 11 6 2" xfId="30122" xr:uid="{00000000-0005-0000-0000-0000B8750000}"/>
    <cellStyle name="Suma 2 11 6 3" xfId="30123" xr:uid="{00000000-0005-0000-0000-0000B9750000}"/>
    <cellStyle name="Suma 2 11 6 4" xfId="30124" xr:uid="{00000000-0005-0000-0000-0000BA750000}"/>
    <cellStyle name="Suma 2 11 7" xfId="30125" xr:uid="{00000000-0005-0000-0000-0000BB750000}"/>
    <cellStyle name="Suma 2 11 7 2" xfId="30126" xr:uid="{00000000-0005-0000-0000-0000BC750000}"/>
    <cellStyle name="Suma 2 11 7 3" xfId="30127" xr:uid="{00000000-0005-0000-0000-0000BD750000}"/>
    <cellStyle name="Suma 2 11 7 4" xfId="30128" xr:uid="{00000000-0005-0000-0000-0000BE750000}"/>
    <cellStyle name="Suma 2 11 8" xfId="30129" xr:uid="{00000000-0005-0000-0000-0000BF750000}"/>
    <cellStyle name="Suma 2 11 8 2" xfId="30130" xr:uid="{00000000-0005-0000-0000-0000C0750000}"/>
    <cellStyle name="Suma 2 11 8 3" xfId="30131" xr:uid="{00000000-0005-0000-0000-0000C1750000}"/>
    <cellStyle name="Suma 2 11 8 4" xfId="30132" xr:uid="{00000000-0005-0000-0000-0000C2750000}"/>
    <cellStyle name="Suma 2 11 9" xfId="30133" xr:uid="{00000000-0005-0000-0000-0000C3750000}"/>
    <cellStyle name="Suma 2 11 9 2" xfId="30134" xr:uid="{00000000-0005-0000-0000-0000C4750000}"/>
    <cellStyle name="Suma 2 11 9 3" xfId="30135" xr:uid="{00000000-0005-0000-0000-0000C5750000}"/>
    <cellStyle name="Suma 2 11 9 4" xfId="30136" xr:uid="{00000000-0005-0000-0000-0000C6750000}"/>
    <cellStyle name="Suma 2 12" xfId="30137" xr:uid="{00000000-0005-0000-0000-0000C7750000}"/>
    <cellStyle name="Suma 2 12 10" xfId="30138" xr:uid="{00000000-0005-0000-0000-0000C8750000}"/>
    <cellStyle name="Suma 2 12 10 2" xfId="30139" xr:uid="{00000000-0005-0000-0000-0000C9750000}"/>
    <cellStyle name="Suma 2 12 10 3" xfId="30140" xr:uid="{00000000-0005-0000-0000-0000CA750000}"/>
    <cellStyle name="Suma 2 12 10 4" xfId="30141" xr:uid="{00000000-0005-0000-0000-0000CB750000}"/>
    <cellStyle name="Suma 2 12 11" xfId="30142" xr:uid="{00000000-0005-0000-0000-0000CC750000}"/>
    <cellStyle name="Suma 2 12 11 2" xfId="30143" xr:uid="{00000000-0005-0000-0000-0000CD750000}"/>
    <cellStyle name="Suma 2 12 11 3" xfId="30144" xr:uid="{00000000-0005-0000-0000-0000CE750000}"/>
    <cellStyle name="Suma 2 12 11 4" xfId="30145" xr:uid="{00000000-0005-0000-0000-0000CF750000}"/>
    <cellStyle name="Suma 2 12 12" xfId="30146" xr:uid="{00000000-0005-0000-0000-0000D0750000}"/>
    <cellStyle name="Suma 2 12 12 2" xfId="30147" xr:uid="{00000000-0005-0000-0000-0000D1750000}"/>
    <cellStyle name="Suma 2 12 12 3" xfId="30148" xr:uid="{00000000-0005-0000-0000-0000D2750000}"/>
    <cellStyle name="Suma 2 12 12 4" xfId="30149" xr:uid="{00000000-0005-0000-0000-0000D3750000}"/>
    <cellStyle name="Suma 2 12 13" xfId="30150" xr:uid="{00000000-0005-0000-0000-0000D4750000}"/>
    <cellStyle name="Suma 2 12 13 2" xfId="30151" xr:uid="{00000000-0005-0000-0000-0000D5750000}"/>
    <cellStyle name="Suma 2 12 13 3" xfId="30152" xr:uid="{00000000-0005-0000-0000-0000D6750000}"/>
    <cellStyle name="Suma 2 12 13 4" xfId="30153" xr:uid="{00000000-0005-0000-0000-0000D7750000}"/>
    <cellStyle name="Suma 2 12 14" xfId="30154" xr:uid="{00000000-0005-0000-0000-0000D8750000}"/>
    <cellStyle name="Suma 2 12 14 2" xfId="30155" xr:uid="{00000000-0005-0000-0000-0000D9750000}"/>
    <cellStyle name="Suma 2 12 14 3" xfId="30156" xr:uid="{00000000-0005-0000-0000-0000DA750000}"/>
    <cellStyle name="Suma 2 12 14 4" xfId="30157" xr:uid="{00000000-0005-0000-0000-0000DB750000}"/>
    <cellStyle name="Suma 2 12 15" xfId="30158" xr:uid="{00000000-0005-0000-0000-0000DC750000}"/>
    <cellStyle name="Suma 2 12 15 2" xfId="30159" xr:uid="{00000000-0005-0000-0000-0000DD750000}"/>
    <cellStyle name="Suma 2 12 15 3" xfId="30160" xr:uid="{00000000-0005-0000-0000-0000DE750000}"/>
    <cellStyle name="Suma 2 12 15 4" xfId="30161" xr:uid="{00000000-0005-0000-0000-0000DF750000}"/>
    <cellStyle name="Suma 2 12 16" xfId="30162" xr:uid="{00000000-0005-0000-0000-0000E0750000}"/>
    <cellStyle name="Suma 2 12 16 2" xfId="30163" xr:uid="{00000000-0005-0000-0000-0000E1750000}"/>
    <cellStyle name="Suma 2 12 16 3" xfId="30164" xr:uid="{00000000-0005-0000-0000-0000E2750000}"/>
    <cellStyle name="Suma 2 12 16 4" xfId="30165" xr:uid="{00000000-0005-0000-0000-0000E3750000}"/>
    <cellStyle name="Suma 2 12 17" xfId="30166" xr:uid="{00000000-0005-0000-0000-0000E4750000}"/>
    <cellStyle name="Suma 2 12 17 2" xfId="30167" xr:uid="{00000000-0005-0000-0000-0000E5750000}"/>
    <cellStyle name="Suma 2 12 17 3" xfId="30168" xr:uid="{00000000-0005-0000-0000-0000E6750000}"/>
    <cellStyle name="Suma 2 12 17 4" xfId="30169" xr:uid="{00000000-0005-0000-0000-0000E7750000}"/>
    <cellStyle name="Suma 2 12 18" xfId="30170" xr:uid="{00000000-0005-0000-0000-0000E8750000}"/>
    <cellStyle name="Suma 2 12 18 2" xfId="30171" xr:uid="{00000000-0005-0000-0000-0000E9750000}"/>
    <cellStyle name="Suma 2 12 18 3" xfId="30172" xr:uid="{00000000-0005-0000-0000-0000EA750000}"/>
    <cellStyle name="Suma 2 12 18 4" xfId="30173" xr:uid="{00000000-0005-0000-0000-0000EB750000}"/>
    <cellStyle name="Suma 2 12 19" xfId="30174" xr:uid="{00000000-0005-0000-0000-0000EC750000}"/>
    <cellStyle name="Suma 2 12 19 2" xfId="30175" xr:uid="{00000000-0005-0000-0000-0000ED750000}"/>
    <cellStyle name="Suma 2 12 19 3" xfId="30176" xr:uid="{00000000-0005-0000-0000-0000EE750000}"/>
    <cellStyle name="Suma 2 12 19 4" xfId="30177" xr:uid="{00000000-0005-0000-0000-0000EF750000}"/>
    <cellStyle name="Suma 2 12 2" xfId="30178" xr:uid="{00000000-0005-0000-0000-0000F0750000}"/>
    <cellStyle name="Suma 2 12 2 2" xfId="30179" xr:uid="{00000000-0005-0000-0000-0000F1750000}"/>
    <cellStyle name="Suma 2 12 2 3" xfId="30180" xr:uid="{00000000-0005-0000-0000-0000F2750000}"/>
    <cellStyle name="Suma 2 12 2 4" xfId="30181" xr:uid="{00000000-0005-0000-0000-0000F3750000}"/>
    <cellStyle name="Suma 2 12 20" xfId="30182" xr:uid="{00000000-0005-0000-0000-0000F4750000}"/>
    <cellStyle name="Suma 2 12 20 2" xfId="30183" xr:uid="{00000000-0005-0000-0000-0000F5750000}"/>
    <cellStyle name="Suma 2 12 20 3" xfId="30184" xr:uid="{00000000-0005-0000-0000-0000F6750000}"/>
    <cellStyle name="Suma 2 12 20 4" xfId="30185" xr:uid="{00000000-0005-0000-0000-0000F7750000}"/>
    <cellStyle name="Suma 2 12 21" xfId="30186" xr:uid="{00000000-0005-0000-0000-0000F8750000}"/>
    <cellStyle name="Suma 2 12 21 2" xfId="30187" xr:uid="{00000000-0005-0000-0000-0000F9750000}"/>
    <cellStyle name="Suma 2 12 21 3" xfId="30188" xr:uid="{00000000-0005-0000-0000-0000FA750000}"/>
    <cellStyle name="Suma 2 12 22" xfId="30189" xr:uid="{00000000-0005-0000-0000-0000FB750000}"/>
    <cellStyle name="Suma 2 12 22 2" xfId="30190" xr:uid="{00000000-0005-0000-0000-0000FC750000}"/>
    <cellStyle name="Suma 2 12 22 3" xfId="30191" xr:uid="{00000000-0005-0000-0000-0000FD750000}"/>
    <cellStyle name="Suma 2 12 23" xfId="30192" xr:uid="{00000000-0005-0000-0000-0000FE750000}"/>
    <cellStyle name="Suma 2 12 23 2" xfId="30193" xr:uid="{00000000-0005-0000-0000-0000FF750000}"/>
    <cellStyle name="Suma 2 12 23 3" xfId="30194" xr:uid="{00000000-0005-0000-0000-000000760000}"/>
    <cellStyle name="Suma 2 12 24" xfId="30195" xr:uid="{00000000-0005-0000-0000-000001760000}"/>
    <cellStyle name="Suma 2 12 24 2" xfId="30196" xr:uid="{00000000-0005-0000-0000-000002760000}"/>
    <cellStyle name="Suma 2 12 24 3" xfId="30197" xr:uid="{00000000-0005-0000-0000-000003760000}"/>
    <cellStyle name="Suma 2 12 25" xfId="30198" xr:uid="{00000000-0005-0000-0000-000004760000}"/>
    <cellStyle name="Suma 2 12 25 2" xfId="30199" xr:uid="{00000000-0005-0000-0000-000005760000}"/>
    <cellStyle name="Suma 2 12 25 3" xfId="30200" xr:uid="{00000000-0005-0000-0000-000006760000}"/>
    <cellStyle name="Suma 2 12 26" xfId="30201" xr:uid="{00000000-0005-0000-0000-000007760000}"/>
    <cellStyle name="Suma 2 12 26 2" xfId="30202" xr:uid="{00000000-0005-0000-0000-000008760000}"/>
    <cellStyle name="Suma 2 12 26 3" xfId="30203" xr:uid="{00000000-0005-0000-0000-000009760000}"/>
    <cellStyle name="Suma 2 12 27" xfId="30204" xr:uid="{00000000-0005-0000-0000-00000A760000}"/>
    <cellStyle name="Suma 2 12 27 2" xfId="30205" xr:uid="{00000000-0005-0000-0000-00000B760000}"/>
    <cellStyle name="Suma 2 12 27 3" xfId="30206" xr:uid="{00000000-0005-0000-0000-00000C760000}"/>
    <cellStyle name="Suma 2 12 28" xfId="30207" xr:uid="{00000000-0005-0000-0000-00000D760000}"/>
    <cellStyle name="Suma 2 12 28 2" xfId="30208" xr:uid="{00000000-0005-0000-0000-00000E760000}"/>
    <cellStyle name="Suma 2 12 28 3" xfId="30209" xr:uid="{00000000-0005-0000-0000-00000F760000}"/>
    <cellStyle name="Suma 2 12 29" xfId="30210" xr:uid="{00000000-0005-0000-0000-000010760000}"/>
    <cellStyle name="Suma 2 12 29 2" xfId="30211" xr:uid="{00000000-0005-0000-0000-000011760000}"/>
    <cellStyle name="Suma 2 12 29 3" xfId="30212" xr:uid="{00000000-0005-0000-0000-000012760000}"/>
    <cellStyle name="Suma 2 12 3" xfId="30213" xr:uid="{00000000-0005-0000-0000-000013760000}"/>
    <cellStyle name="Suma 2 12 3 2" xfId="30214" xr:uid="{00000000-0005-0000-0000-000014760000}"/>
    <cellStyle name="Suma 2 12 3 3" xfId="30215" xr:uid="{00000000-0005-0000-0000-000015760000}"/>
    <cellStyle name="Suma 2 12 3 4" xfId="30216" xr:uid="{00000000-0005-0000-0000-000016760000}"/>
    <cellStyle name="Suma 2 12 30" xfId="30217" xr:uid="{00000000-0005-0000-0000-000017760000}"/>
    <cellStyle name="Suma 2 12 30 2" xfId="30218" xr:uid="{00000000-0005-0000-0000-000018760000}"/>
    <cellStyle name="Suma 2 12 30 3" xfId="30219" xr:uid="{00000000-0005-0000-0000-000019760000}"/>
    <cellStyle name="Suma 2 12 31" xfId="30220" xr:uid="{00000000-0005-0000-0000-00001A760000}"/>
    <cellStyle name="Suma 2 12 31 2" xfId="30221" xr:uid="{00000000-0005-0000-0000-00001B760000}"/>
    <cellStyle name="Suma 2 12 31 3" xfId="30222" xr:uid="{00000000-0005-0000-0000-00001C760000}"/>
    <cellStyle name="Suma 2 12 32" xfId="30223" xr:uid="{00000000-0005-0000-0000-00001D760000}"/>
    <cellStyle name="Suma 2 12 32 2" xfId="30224" xr:uid="{00000000-0005-0000-0000-00001E760000}"/>
    <cellStyle name="Suma 2 12 32 3" xfId="30225" xr:uid="{00000000-0005-0000-0000-00001F760000}"/>
    <cellStyle name="Suma 2 12 33" xfId="30226" xr:uid="{00000000-0005-0000-0000-000020760000}"/>
    <cellStyle name="Suma 2 12 33 2" xfId="30227" xr:uid="{00000000-0005-0000-0000-000021760000}"/>
    <cellStyle name="Suma 2 12 33 3" xfId="30228" xr:uid="{00000000-0005-0000-0000-000022760000}"/>
    <cellStyle name="Suma 2 12 34" xfId="30229" xr:uid="{00000000-0005-0000-0000-000023760000}"/>
    <cellStyle name="Suma 2 12 34 2" xfId="30230" xr:uid="{00000000-0005-0000-0000-000024760000}"/>
    <cellStyle name="Suma 2 12 34 3" xfId="30231" xr:uid="{00000000-0005-0000-0000-000025760000}"/>
    <cellStyle name="Suma 2 12 35" xfId="30232" xr:uid="{00000000-0005-0000-0000-000026760000}"/>
    <cellStyle name="Suma 2 12 35 2" xfId="30233" xr:uid="{00000000-0005-0000-0000-000027760000}"/>
    <cellStyle name="Suma 2 12 35 3" xfId="30234" xr:uid="{00000000-0005-0000-0000-000028760000}"/>
    <cellStyle name="Suma 2 12 36" xfId="30235" xr:uid="{00000000-0005-0000-0000-000029760000}"/>
    <cellStyle name="Suma 2 12 36 2" xfId="30236" xr:uid="{00000000-0005-0000-0000-00002A760000}"/>
    <cellStyle name="Suma 2 12 36 3" xfId="30237" xr:uid="{00000000-0005-0000-0000-00002B760000}"/>
    <cellStyle name="Suma 2 12 37" xfId="30238" xr:uid="{00000000-0005-0000-0000-00002C760000}"/>
    <cellStyle name="Suma 2 12 37 2" xfId="30239" xr:uid="{00000000-0005-0000-0000-00002D760000}"/>
    <cellStyle name="Suma 2 12 37 3" xfId="30240" xr:uid="{00000000-0005-0000-0000-00002E760000}"/>
    <cellStyle name="Suma 2 12 38" xfId="30241" xr:uid="{00000000-0005-0000-0000-00002F760000}"/>
    <cellStyle name="Suma 2 12 38 2" xfId="30242" xr:uid="{00000000-0005-0000-0000-000030760000}"/>
    <cellStyle name="Suma 2 12 38 3" xfId="30243" xr:uid="{00000000-0005-0000-0000-000031760000}"/>
    <cellStyle name="Suma 2 12 39" xfId="30244" xr:uid="{00000000-0005-0000-0000-000032760000}"/>
    <cellStyle name="Suma 2 12 39 2" xfId="30245" xr:uid="{00000000-0005-0000-0000-000033760000}"/>
    <cellStyle name="Suma 2 12 39 3" xfId="30246" xr:uid="{00000000-0005-0000-0000-000034760000}"/>
    <cellStyle name="Suma 2 12 4" xfId="30247" xr:uid="{00000000-0005-0000-0000-000035760000}"/>
    <cellStyle name="Suma 2 12 4 2" xfId="30248" xr:uid="{00000000-0005-0000-0000-000036760000}"/>
    <cellStyle name="Suma 2 12 4 3" xfId="30249" xr:uid="{00000000-0005-0000-0000-000037760000}"/>
    <cellStyle name="Suma 2 12 4 4" xfId="30250" xr:uid="{00000000-0005-0000-0000-000038760000}"/>
    <cellStyle name="Suma 2 12 40" xfId="30251" xr:uid="{00000000-0005-0000-0000-000039760000}"/>
    <cellStyle name="Suma 2 12 40 2" xfId="30252" xr:uid="{00000000-0005-0000-0000-00003A760000}"/>
    <cellStyle name="Suma 2 12 40 3" xfId="30253" xr:uid="{00000000-0005-0000-0000-00003B760000}"/>
    <cellStyle name="Suma 2 12 41" xfId="30254" xr:uid="{00000000-0005-0000-0000-00003C760000}"/>
    <cellStyle name="Suma 2 12 41 2" xfId="30255" xr:uid="{00000000-0005-0000-0000-00003D760000}"/>
    <cellStyle name="Suma 2 12 41 3" xfId="30256" xr:uid="{00000000-0005-0000-0000-00003E760000}"/>
    <cellStyle name="Suma 2 12 42" xfId="30257" xr:uid="{00000000-0005-0000-0000-00003F760000}"/>
    <cellStyle name="Suma 2 12 42 2" xfId="30258" xr:uid="{00000000-0005-0000-0000-000040760000}"/>
    <cellStyle name="Suma 2 12 42 3" xfId="30259" xr:uid="{00000000-0005-0000-0000-000041760000}"/>
    <cellStyle name="Suma 2 12 43" xfId="30260" xr:uid="{00000000-0005-0000-0000-000042760000}"/>
    <cellStyle name="Suma 2 12 43 2" xfId="30261" xr:uid="{00000000-0005-0000-0000-000043760000}"/>
    <cellStyle name="Suma 2 12 43 3" xfId="30262" xr:uid="{00000000-0005-0000-0000-000044760000}"/>
    <cellStyle name="Suma 2 12 44" xfId="30263" xr:uid="{00000000-0005-0000-0000-000045760000}"/>
    <cellStyle name="Suma 2 12 44 2" xfId="30264" xr:uid="{00000000-0005-0000-0000-000046760000}"/>
    <cellStyle name="Suma 2 12 44 3" xfId="30265" xr:uid="{00000000-0005-0000-0000-000047760000}"/>
    <cellStyle name="Suma 2 12 45" xfId="30266" xr:uid="{00000000-0005-0000-0000-000048760000}"/>
    <cellStyle name="Suma 2 12 45 2" xfId="30267" xr:uid="{00000000-0005-0000-0000-000049760000}"/>
    <cellStyle name="Suma 2 12 45 3" xfId="30268" xr:uid="{00000000-0005-0000-0000-00004A760000}"/>
    <cellStyle name="Suma 2 12 46" xfId="30269" xr:uid="{00000000-0005-0000-0000-00004B760000}"/>
    <cellStyle name="Suma 2 12 46 2" xfId="30270" xr:uid="{00000000-0005-0000-0000-00004C760000}"/>
    <cellStyle name="Suma 2 12 46 3" xfId="30271" xr:uid="{00000000-0005-0000-0000-00004D760000}"/>
    <cellStyle name="Suma 2 12 47" xfId="30272" xr:uid="{00000000-0005-0000-0000-00004E760000}"/>
    <cellStyle name="Suma 2 12 47 2" xfId="30273" xr:uid="{00000000-0005-0000-0000-00004F760000}"/>
    <cellStyle name="Suma 2 12 47 3" xfId="30274" xr:uid="{00000000-0005-0000-0000-000050760000}"/>
    <cellStyle name="Suma 2 12 48" xfId="30275" xr:uid="{00000000-0005-0000-0000-000051760000}"/>
    <cellStyle name="Suma 2 12 48 2" xfId="30276" xr:uid="{00000000-0005-0000-0000-000052760000}"/>
    <cellStyle name="Suma 2 12 48 3" xfId="30277" xr:uid="{00000000-0005-0000-0000-000053760000}"/>
    <cellStyle name="Suma 2 12 49" xfId="30278" xr:uid="{00000000-0005-0000-0000-000054760000}"/>
    <cellStyle name="Suma 2 12 49 2" xfId="30279" xr:uid="{00000000-0005-0000-0000-000055760000}"/>
    <cellStyle name="Suma 2 12 49 3" xfId="30280" xr:uid="{00000000-0005-0000-0000-000056760000}"/>
    <cellStyle name="Suma 2 12 5" xfId="30281" xr:uid="{00000000-0005-0000-0000-000057760000}"/>
    <cellStyle name="Suma 2 12 5 2" xfId="30282" xr:uid="{00000000-0005-0000-0000-000058760000}"/>
    <cellStyle name="Suma 2 12 5 3" xfId="30283" xr:uid="{00000000-0005-0000-0000-000059760000}"/>
    <cellStyle name="Suma 2 12 5 4" xfId="30284" xr:uid="{00000000-0005-0000-0000-00005A760000}"/>
    <cellStyle name="Suma 2 12 50" xfId="30285" xr:uid="{00000000-0005-0000-0000-00005B760000}"/>
    <cellStyle name="Suma 2 12 50 2" xfId="30286" xr:uid="{00000000-0005-0000-0000-00005C760000}"/>
    <cellStyle name="Suma 2 12 50 3" xfId="30287" xr:uid="{00000000-0005-0000-0000-00005D760000}"/>
    <cellStyle name="Suma 2 12 51" xfId="30288" xr:uid="{00000000-0005-0000-0000-00005E760000}"/>
    <cellStyle name="Suma 2 12 51 2" xfId="30289" xr:uid="{00000000-0005-0000-0000-00005F760000}"/>
    <cellStyle name="Suma 2 12 51 3" xfId="30290" xr:uid="{00000000-0005-0000-0000-000060760000}"/>
    <cellStyle name="Suma 2 12 52" xfId="30291" xr:uid="{00000000-0005-0000-0000-000061760000}"/>
    <cellStyle name="Suma 2 12 52 2" xfId="30292" xr:uid="{00000000-0005-0000-0000-000062760000}"/>
    <cellStyle name="Suma 2 12 52 3" xfId="30293" xr:uid="{00000000-0005-0000-0000-000063760000}"/>
    <cellStyle name="Suma 2 12 53" xfId="30294" xr:uid="{00000000-0005-0000-0000-000064760000}"/>
    <cellStyle name="Suma 2 12 53 2" xfId="30295" xr:uid="{00000000-0005-0000-0000-000065760000}"/>
    <cellStyle name="Suma 2 12 53 3" xfId="30296" xr:uid="{00000000-0005-0000-0000-000066760000}"/>
    <cellStyle name="Suma 2 12 54" xfId="30297" xr:uid="{00000000-0005-0000-0000-000067760000}"/>
    <cellStyle name="Suma 2 12 54 2" xfId="30298" xr:uid="{00000000-0005-0000-0000-000068760000}"/>
    <cellStyle name="Suma 2 12 54 3" xfId="30299" xr:uid="{00000000-0005-0000-0000-000069760000}"/>
    <cellStyle name="Suma 2 12 55" xfId="30300" xr:uid="{00000000-0005-0000-0000-00006A760000}"/>
    <cellStyle name="Suma 2 12 55 2" xfId="30301" xr:uid="{00000000-0005-0000-0000-00006B760000}"/>
    <cellStyle name="Suma 2 12 55 3" xfId="30302" xr:uid="{00000000-0005-0000-0000-00006C760000}"/>
    <cellStyle name="Suma 2 12 56" xfId="30303" xr:uid="{00000000-0005-0000-0000-00006D760000}"/>
    <cellStyle name="Suma 2 12 56 2" xfId="30304" xr:uid="{00000000-0005-0000-0000-00006E760000}"/>
    <cellStyle name="Suma 2 12 56 3" xfId="30305" xr:uid="{00000000-0005-0000-0000-00006F760000}"/>
    <cellStyle name="Suma 2 12 57" xfId="30306" xr:uid="{00000000-0005-0000-0000-000070760000}"/>
    <cellStyle name="Suma 2 12 58" xfId="30307" xr:uid="{00000000-0005-0000-0000-000071760000}"/>
    <cellStyle name="Suma 2 12 6" xfId="30308" xr:uid="{00000000-0005-0000-0000-000072760000}"/>
    <cellStyle name="Suma 2 12 6 2" xfId="30309" xr:uid="{00000000-0005-0000-0000-000073760000}"/>
    <cellStyle name="Suma 2 12 6 3" xfId="30310" xr:uid="{00000000-0005-0000-0000-000074760000}"/>
    <cellStyle name="Suma 2 12 6 4" xfId="30311" xr:uid="{00000000-0005-0000-0000-000075760000}"/>
    <cellStyle name="Suma 2 12 7" xfId="30312" xr:uid="{00000000-0005-0000-0000-000076760000}"/>
    <cellStyle name="Suma 2 12 7 2" xfId="30313" xr:uid="{00000000-0005-0000-0000-000077760000}"/>
    <cellStyle name="Suma 2 12 7 3" xfId="30314" xr:uid="{00000000-0005-0000-0000-000078760000}"/>
    <cellStyle name="Suma 2 12 7 4" xfId="30315" xr:uid="{00000000-0005-0000-0000-000079760000}"/>
    <cellStyle name="Suma 2 12 8" xfId="30316" xr:uid="{00000000-0005-0000-0000-00007A760000}"/>
    <cellStyle name="Suma 2 12 8 2" xfId="30317" xr:uid="{00000000-0005-0000-0000-00007B760000}"/>
    <cellStyle name="Suma 2 12 8 3" xfId="30318" xr:uid="{00000000-0005-0000-0000-00007C760000}"/>
    <cellStyle name="Suma 2 12 8 4" xfId="30319" xr:uid="{00000000-0005-0000-0000-00007D760000}"/>
    <cellStyle name="Suma 2 12 9" xfId="30320" xr:uid="{00000000-0005-0000-0000-00007E760000}"/>
    <cellStyle name="Suma 2 12 9 2" xfId="30321" xr:uid="{00000000-0005-0000-0000-00007F760000}"/>
    <cellStyle name="Suma 2 12 9 3" xfId="30322" xr:uid="{00000000-0005-0000-0000-000080760000}"/>
    <cellStyle name="Suma 2 12 9 4" xfId="30323" xr:uid="{00000000-0005-0000-0000-000081760000}"/>
    <cellStyle name="Suma 2 13" xfId="30324" xr:uid="{00000000-0005-0000-0000-000082760000}"/>
    <cellStyle name="Suma 2 13 10" xfId="30325" xr:uid="{00000000-0005-0000-0000-000083760000}"/>
    <cellStyle name="Suma 2 13 10 2" xfId="30326" xr:uid="{00000000-0005-0000-0000-000084760000}"/>
    <cellStyle name="Suma 2 13 10 3" xfId="30327" xr:uid="{00000000-0005-0000-0000-000085760000}"/>
    <cellStyle name="Suma 2 13 10 4" xfId="30328" xr:uid="{00000000-0005-0000-0000-000086760000}"/>
    <cellStyle name="Suma 2 13 11" xfId="30329" xr:uid="{00000000-0005-0000-0000-000087760000}"/>
    <cellStyle name="Suma 2 13 11 2" xfId="30330" xr:uid="{00000000-0005-0000-0000-000088760000}"/>
    <cellStyle name="Suma 2 13 11 3" xfId="30331" xr:uid="{00000000-0005-0000-0000-000089760000}"/>
    <cellStyle name="Suma 2 13 11 4" xfId="30332" xr:uid="{00000000-0005-0000-0000-00008A760000}"/>
    <cellStyle name="Suma 2 13 12" xfId="30333" xr:uid="{00000000-0005-0000-0000-00008B760000}"/>
    <cellStyle name="Suma 2 13 12 2" xfId="30334" xr:uid="{00000000-0005-0000-0000-00008C760000}"/>
    <cellStyle name="Suma 2 13 12 3" xfId="30335" xr:uid="{00000000-0005-0000-0000-00008D760000}"/>
    <cellStyle name="Suma 2 13 12 4" xfId="30336" xr:uid="{00000000-0005-0000-0000-00008E760000}"/>
    <cellStyle name="Suma 2 13 13" xfId="30337" xr:uid="{00000000-0005-0000-0000-00008F760000}"/>
    <cellStyle name="Suma 2 13 13 2" xfId="30338" xr:uid="{00000000-0005-0000-0000-000090760000}"/>
    <cellStyle name="Suma 2 13 13 3" xfId="30339" xr:uid="{00000000-0005-0000-0000-000091760000}"/>
    <cellStyle name="Suma 2 13 13 4" xfId="30340" xr:uid="{00000000-0005-0000-0000-000092760000}"/>
    <cellStyle name="Suma 2 13 14" xfId="30341" xr:uid="{00000000-0005-0000-0000-000093760000}"/>
    <cellStyle name="Suma 2 13 14 2" xfId="30342" xr:uid="{00000000-0005-0000-0000-000094760000}"/>
    <cellStyle name="Suma 2 13 14 3" xfId="30343" xr:uid="{00000000-0005-0000-0000-000095760000}"/>
    <cellStyle name="Suma 2 13 14 4" xfId="30344" xr:uid="{00000000-0005-0000-0000-000096760000}"/>
    <cellStyle name="Suma 2 13 15" xfId="30345" xr:uid="{00000000-0005-0000-0000-000097760000}"/>
    <cellStyle name="Suma 2 13 15 2" xfId="30346" xr:uid="{00000000-0005-0000-0000-000098760000}"/>
    <cellStyle name="Suma 2 13 15 3" xfId="30347" xr:uid="{00000000-0005-0000-0000-000099760000}"/>
    <cellStyle name="Suma 2 13 15 4" xfId="30348" xr:uid="{00000000-0005-0000-0000-00009A760000}"/>
    <cellStyle name="Suma 2 13 16" xfId="30349" xr:uid="{00000000-0005-0000-0000-00009B760000}"/>
    <cellStyle name="Suma 2 13 16 2" xfId="30350" xr:uid="{00000000-0005-0000-0000-00009C760000}"/>
    <cellStyle name="Suma 2 13 16 3" xfId="30351" xr:uid="{00000000-0005-0000-0000-00009D760000}"/>
    <cellStyle name="Suma 2 13 16 4" xfId="30352" xr:uid="{00000000-0005-0000-0000-00009E760000}"/>
    <cellStyle name="Suma 2 13 17" xfId="30353" xr:uid="{00000000-0005-0000-0000-00009F760000}"/>
    <cellStyle name="Suma 2 13 17 2" xfId="30354" xr:uid="{00000000-0005-0000-0000-0000A0760000}"/>
    <cellStyle name="Suma 2 13 17 3" xfId="30355" xr:uid="{00000000-0005-0000-0000-0000A1760000}"/>
    <cellStyle name="Suma 2 13 17 4" xfId="30356" xr:uid="{00000000-0005-0000-0000-0000A2760000}"/>
    <cellStyle name="Suma 2 13 18" xfId="30357" xr:uid="{00000000-0005-0000-0000-0000A3760000}"/>
    <cellStyle name="Suma 2 13 18 2" xfId="30358" xr:uid="{00000000-0005-0000-0000-0000A4760000}"/>
    <cellStyle name="Suma 2 13 18 3" xfId="30359" xr:uid="{00000000-0005-0000-0000-0000A5760000}"/>
    <cellStyle name="Suma 2 13 18 4" xfId="30360" xr:uid="{00000000-0005-0000-0000-0000A6760000}"/>
    <cellStyle name="Suma 2 13 19" xfId="30361" xr:uid="{00000000-0005-0000-0000-0000A7760000}"/>
    <cellStyle name="Suma 2 13 19 2" xfId="30362" xr:uid="{00000000-0005-0000-0000-0000A8760000}"/>
    <cellStyle name="Suma 2 13 19 3" xfId="30363" xr:uid="{00000000-0005-0000-0000-0000A9760000}"/>
    <cellStyle name="Suma 2 13 19 4" xfId="30364" xr:uid="{00000000-0005-0000-0000-0000AA760000}"/>
    <cellStyle name="Suma 2 13 2" xfId="30365" xr:uid="{00000000-0005-0000-0000-0000AB760000}"/>
    <cellStyle name="Suma 2 13 2 2" xfId="30366" xr:uid="{00000000-0005-0000-0000-0000AC760000}"/>
    <cellStyle name="Suma 2 13 2 3" xfId="30367" xr:uid="{00000000-0005-0000-0000-0000AD760000}"/>
    <cellStyle name="Suma 2 13 2 4" xfId="30368" xr:uid="{00000000-0005-0000-0000-0000AE760000}"/>
    <cellStyle name="Suma 2 13 20" xfId="30369" xr:uid="{00000000-0005-0000-0000-0000AF760000}"/>
    <cellStyle name="Suma 2 13 20 2" xfId="30370" xr:uid="{00000000-0005-0000-0000-0000B0760000}"/>
    <cellStyle name="Suma 2 13 20 3" xfId="30371" xr:uid="{00000000-0005-0000-0000-0000B1760000}"/>
    <cellStyle name="Suma 2 13 20 4" xfId="30372" xr:uid="{00000000-0005-0000-0000-0000B2760000}"/>
    <cellStyle name="Suma 2 13 21" xfId="30373" xr:uid="{00000000-0005-0000-0000-0000B3760000}"/>
    <cellStyle name="Suma 2 13 21 2" xfId="30374" xr:uid="{00000000-0005-0000-0000-0000B4760000}"/>
    <cellStyle name="Suma 2 13 21 3" xfId="30375" xr:uid="{00000000-0005-0000-0000-0000B5760000}"/>
    <cellStyle name="Suma 2 13 22" xfId="30376" xr:uid="{00000000-0005-0000-0000-0000B6760000}"/>
    <cellStyle name="Suma 2 13 22 2" xfId="30377" xr:uid="{00000000-0005-0000-0000-0000B7760000}"/>
    <cellStyle name="Suma 2 13 22 3" xfId="30378" xr:uid="{00000000-0005-0000-0000-0000B8760000}"/>
    <cellStyle name="Suma 2 13 23" xfId="30379" xr:uid="{00000000-0005-0000-0000-0000B9760000}"/>
    <cellStyle name="Suma 2 13 23 2" xfId="30380" xr:uid="{00000000-0005-0000-0000-0000BA760000}"/>
    <cellStyle name="Suma 2 13 23 3" xfId="30381" xr:uid="{00000000-0005-0000-0000-0000BB760000}"/>
    <cellStyle name="Suma 2 13 24" xfId="30382" xr:uid="{00000000-0005-0000-0000-0000BC760000}"/>
    <cellStyle name="Suma 2 13 24 2" xfId="30383" xr:uid="{00000000-0005-0000-0000-0000BD760000}"/>
    <cellStyle name="Suma 2 13 24 3" xfId="30384" xr:uid="{00000000-0005-0000-0000-0000BE760000}"/>
    <cellStyle name="Suma 2 13 25" xfId="30385" xr:uid="{00000000-0005-0000-0000-0000BF760000}"/>
    <cellStyle name="Suma 2 13 25 2" xfId="30386" xr:uid="{00000000-0005-0000-0000-0000C0760000}"/>
    <cellStyle name="Suma 2 13 25 3" xfId="30387" xr:uid="{00000000-0005-0000-0000-0000C1760000}"/>
    <cellStyle name="Suma 2 13 26" xfId="30388" xr:uid="{00000000-0005-0000-0000-0000C2760000}"/>
    <cellStyle name="Suma 2 13 26 2" xfId="30389" xr:uid="{00000000-0005-0000-0000-0000C3760000}"/>
    <cellStyle name="Suma 2 13 26 3" xfId="30390" xr:uid="{00000000-0005-0000-0000-0000C4760000}"/>
    <cellStyle name="Suma 2 13 27" xfId="30391" xr:uid="{00000000-0005-0000-0000-0000C5760000}"/>
    <cellStyle name="Suma 2 13 27 2" xfId="30392" xr:uid="{00000000-0005-0000-0000-0000C6760000}"/>
    <cellStyle name="Suma 2 13 27 3" xfId="30393" xr:uid="{00000000-0005-0000-0000-0000C7760000}"/>
    <cellStyle name="Suma 2 13 28" xfId="30394" xr:uid="{00000000-0005-0000-0000-0000C8760000}"/>
    <cellStyle name="Suma 2 13 28 2" xfId="30395" xr:uid="{00000000-0005-0000-0000-0000C9760000}"/>
    <cellStyle name="Suma 2 13 28 3" xfId="30396" xr:uid="{00000000-0005-0000-0000-0000CA760000}"/>
    <cellStyle name="Suma 2 13 29" xfId="30397" xr:uid="{00000000-0005-0000-0000-0000CB760000}"/>
    <cellStyle name="Suma 2 13 29 2" xfId="30398" xr:uid="{00000000-0005-0000-0000-0000CC760000}"/>
    <cellStyle name="Suma 2 13 29 3" xfId="30399" xr:uid="{00000000-0005-0000-0000-0000CD760000}"/>
    <cellStyle name="Suma 2 13 3" xfId="30400" xr:uid="{00000000-0005-0000-0000-0000CE760000}"/>
    <cellStyle name="Suma 2 13 3 2" xfId="30401" xr:uid="{00000000-0005-0000-0000-0000CF760000}"/>
    <cellStyle name="Suma 2 13 3 3" xfId="30402" xr:uid="{00000000-0005-0000-0000-0000D0760000}"/>
    <cellStyle name="Suma 2 13 3 4" xfId="30403" xr:uid="{00000000-0005-0000-0000-0000D1760000}"/>
    <cellStyle name="Suma 2 13 30" xfId="30404" xr:uid="{00000000-0005-0000-0000-0000D2760000}"/>
    <cellStyle name="Suma 2 13 30 2" xfId="30405" xr:uid="{00000000-0005-0000-0000-0000D3760000}"/>
    <cellStyle name="Suma 2 13 30 3" xfId="30406" xr:uid="{00000000-0005-0000-0000-0000D4760000}"/>
    <cellStyle name="Suma 2 13 31" xfId="30407" xr:uid="{00000000-0005-0000-0000-0000D5760000}"/>
    <cellStyle name="Suma 2 13 31 2" xfId="30408" xr:uid="{00000000-0005-0000-0000-0000D6760000}"/>
    <cellStyle name="Suma 2 13 31 3" xfId="30409" xr:uid="{00000000-0005-0000-0000-0000D7760000}"/>
    <cellStyle name="Suma 2 13 32" xfId="30410" xr:uid="{00000000-0005-0000-0000-0000D8760000}"/>
    <cellStyle name="Suma 2 13 32 2" xfId="30411" xr:uid="{00000000-0005-0000-0000-0000D9760000}"/>
    <cellStyle name="Suma 2 13 32 3" xfId="30412" xr:uid="{00000000-0005-0000-0000-0000DA760000}"/>
    <cellStyle name="Suma 2 13 33" xfId="30413" xr:uid="{00000000-0005-0000-0000-0000DB760000}"/>
    <cellStyle name="Suma 2 13 33 2" xfId="30414" xr:uid="{00000000-0005-0000-0000-0000DC760000}"/>
    <cellStyle name="Suma 2 13 33 3" xfId="30415" xr:uid="{00000000-0005-0000-0000-0000DD760000}"/>
    <cellStyle name="Suma 2 13 34" xfId="30416" xr:uid="{00000000-0005-0000-0000-0000DE760000}"/>
    <cellStyle name="Suma 2 13 34 2" xfId="30417" xr:uid="{00000000-0005-0000-0000-0000DF760000}"/>
    <cellStyle name="Suma 2 13 34 3" xfId="30418" xr:uid="{00000000-0005-0000-0000-0000E0760000}"/>
    <cellStyle name="Suma 2 13 35" xfId="30419" xr:uid="{00000000-0005-0000-0000-0000E1760000}"/>
    <cellStyle name="Suma 2 13 35 2" xfId="30420" xr:uid="{00000000-0005-0000-0000-0000E2760000}"/>
    <cellStyle name="Suma 2 13 35 3" xfId="30421" xr:uid="{00000000-0005-0000-0000-0000E3760000}"/>
    <cellStyle name="Suma 2 13 36" xfId="30422" xr:uid="{00000000-0005-0000-0000-0000E4760000}"/>
    <cellStyle name="Suma 2 13 36 2" xfId="30423" xr:uid="{00000000-0005-0000-0000-0000E5760000}"/>
    <cellStyle name="Suma 2 13 36 3" xfId="30424" xr:uid="{00000000-0005-0000-0000-0000E6760000}"/>
    <cellStyle name="Suma 2 13 37" xfId="30425" xr:uid="{00000000-0005-0000-0000-0000E7760000}"/>
    <cellStyle name="Suma 2 13 37 2" xfId="30426" xr:uid="{00000000-0005-0000-0000-0000E8760000}"/>
    <cellStyle name="Suma 2 13 37 3" xfId="30427" xr:uid="{00000000-0005-0000-0000-0000E9760000}"/>
    <cellStyle name="Suma 2 13 38" xfId="30428" xr:uid="{00000000-0005-0000-0000-0000EA760000}"/>
    <cellStyle name="Suma 2 13 38 2" xfId="30429" xr:uid="{00000000-0005-0000-0000-0000EB760000}"/>
    <cellStyle name="Suma 2 13 38 3" xfId="30430" xr:uid="{00000000-0005-0000-0000-0000EC760000}"/>
    <cellStyle name="Suma 2 13 39" xfId="30431" xr:uid="{00000000-0005-0000-0000-0000ED760000}"/>
    <cellStyle name="Suma 2 13 39 2" xfId="30432" xr:uid="{00000000-0005-0000-0000-0000EE760000}"/>
    <cellStyle name="Suma 2 13 39 3" xfId="30433" xr:uid="{00000000-0005-0000-0000-0000EF760000}"/>
    <cellStyle name="Suma 2 13 4" xfId="30434" xr:uid="{00000000-0005-0000-0000-0000F0760000}"/>
    <cellStyle name="Suma 2 13 4 2" xfId="30435" xr:uid="{00000000-0005-0000-0000-0000F1760000}"/>
    <cellStyle name="Suma 2 13 4 3" xfId="30436" xr:uid="{00000000-0005-0000-0000-0000F2760000}"/>
    <cellStyle name="Suma 2 13 4 4" xfId="30437" xr:uid="{00000000-0005-0000-0000-0000F3760000}"/>
    <cellStyle name="Suma 2 13 40" xfId="30438" xr:uid="{00000000-0005-0000-0000-0000F4760000}"/>
    <cellStyle name="Suma 2 13 40 2" xfId="30439" xr:uid="{00000000-0005-0000-0000-0000F5760000}"/>
    <cellStyle name="Suma 2 13 40 3" xfId="30440" xr:uid="{00000000-0005-0000-0000-0000F6760000}"/>
    <cellStyle name="Suma 2 13 41" xfId="30441" xr:uid="{00000000-0005-0000-0000-0000F7760000}"/>
    <cellStyle name="Suma 2 13 41 2" xfId="30442" xr:uid="{00000000-0005-0000-0000-0000F8760000}"/>
    <cellStyle name="Suma 2 13 41 3" xfId="30443" xr:uid="{00000000-0005-0000-0000-0000F9760000}"/>
    <cellStyle name="Suma 2 13 42" xfId="30444" xr:uid="{00000000-0005-0000-0000-0000FA760000}"/>
    <cellStyle name="Suma 2 13 42 2" xfId="30445" xr:uid="{00000000-0005-0000-0000-0000FB760000}"/>
    <cellStyle name="Suma 2 13 42 3" xfId="30446" xr:uid="{00000000-0005-0000-0000-0000FC760000}"/>
    <cellStyle name="Suma 2 13 43" xfId="30447" xr:uid="{00000000-0005-0000-0000-0000FD760000}"/>
    <cellStyle name="Suma 2 13 43 2" xfId="30448" xr:uid="{00000000-0005-0000-0000-0000FE760000}"/>
    <cellStyle name="Suma 2 13 43 3" xfId="30449" xr:uid="{00000000-0005-0000-0000-0000FF760000}"/>
    <cellStyle name="Suma 2 13 44" xfId="30450" xr:uid="{00000000-0005-0000-0000-000000770000}"/>
    <cellStyle name="Suma 2 13 44 2" xfId="30451" xr:uid="{00000000-0005-0000-0000-000001770000}"/>
    <cellStyle name="Suma 2 13 44 3" xfId="30452" xr:uid="{00000000-0005-0000-0000-000002770000}"/>
    <cellStyle name="Suma 2 13 45" xfId="30453" xr:uid="{00000000-0005-0000-0000-000003770000}"/>
    <cellStyle name="Suma 2 13 45 2" xfId="30454" xr:uid="{00000000-0005-0000-0000-000004770000}"/>
    <cellStyle name="Suma 2 13 45 3" xfId="30455" xr:uid="{00000000-0005-0000-0000-000005770000}"/>
    <cellStyle name="Suma 2 13 46" xfId="30456" xr:uid="{00000000-0005-0000-0000-000006770000}"/>
    <cellStyle name="Suma 2 13 46 2" xfId="30457" xr:uid="{00000000-0005-0000-0000-000007770000}"/>
    <cellStyle name="Suma 2 13 46 3" xfId="30458" xr:uid="{00000000-0005-0000-0000-000008770000}"/>
    <cellStyle name="Suma 2 13 47" xfId="30459" xr:uid="{00000000-0005-0000-0000-000009770000}"/>
    <cellStyle name="Suma 2 13 47 2" xfId="30460" xr:uid="{00000000-0005-0000-0000-00000A770000}"/>
    <cellStyle name="Suma 2 13 47 3" xfId="30461" xr:uid="{00000000-0005-0000-0000-00000B770000}"/>
    <cellStyle name="Suma 2 13 48" xfId="30462" xr:uid="{00000000-0005-0000-0000-00000C770000}"/>
    <cellStyle name="Suma 2 13 48 2" xfId="30463" xr:uid="{00000000-0005-0000-0000-00000D770000}"/>
    <cellStyle name="Suma 2 13 48 3" xfId="30464" xr:uid="{00000000-0005-0000-0000-00000E770000}"/>
    <cellStyle name="Suma 2 13 49" xfId="30465" xr:uid="{00000000-0005-0000-0000-00000F770000}"/>
    <cellStyle name="Suma 2 13 49 2" xfId="30466" xr:uid="{00000000-0005-0000-0000-000010770000}"/>
    <cellStyle name="Suma 2 13 49 3" xfId="30467" xr:uid="{00000000-0005-0000-0000-000011770000}"/>
    <cellStyle name="Suma 2 13 5" xfId="30468" xr:uid="{00000000-0005-0000-0000-000012770000}"/>
    <cellStyle name="Suma 2 13 5 2" xfId="30469" xr:uid="{00000000-0005-0000-0000-000013770000}"/>
    <cellStyle name="Suma 2 13 5 3" xfId="30470" xr:uid="{00000000-0005-0000-0000-000014770000}"/>
    <cellStyle name="Suma 2 13 5 4" xfId="30471" xr:uid="{00000000-0005-0000-0000-000015770000}"/>
    <cellStyle name="Suma 2 13 50" xfId="30472" xr:uid="{00000000-0005-0000-0000-000016770000}"/>
    <cellStyle name="Suma 2 13 50 2" xfId="30473" xr:uid="{00000000-0005-0000-0000-000017770000}"/>
    <cellStyle name="Suma 2 13 50 3" xfId="30474" xr:uid="{00000000-0005-0000-0000-000018770000}"/>
    <cellStyle name="Suma 2 13 51" xfId="30475" xr:uid="{00000000-0005-0000-0000-000019770000}"/>
    <cellStyle name="Suma 2 13 51 2" xfId="30476" xr:uid="{00000000-0005-0000-0000-00001A770000}"/>
    <cellStyle name="Suma 2 13 51 3" xfId="30477" xr:uid="{00000000-0005-0000-0000-00001B770000}"/>
    <cellStyle name="Suma 2 13 52" xfId="30478" xr:uid="{00000000-0005-0000-0000-00001C770000}"/>
    <cellStyle name="Suma 2 13 52 2" xfId="30479" xr:uid="{00000000-0005-0000-0000-00001D770000}"/>
    <cellStyle name="Suma 2 13 52 3" xfId="30480" xr:uid="{00000000-0005-0000-0000-00001E770000}"/>
    <cellStyle name="Suma 2 13 53" xfId="30481" xr:uid="{00000000-0005-0000-0000-00001F770000}"/>
    <cellStyle name="Suma 2 13 53 2" xfId="30482" xr:uid="{00000000-0005-0000-0000-000020770000}"/>
    <cellStyle name="Suma 2 13 53 3" xfId="30483" xr:uid="{00000000-0005-0000-0000-000021770000}"/>
    <cellStyle name="Suma 2 13 54" xfId="30484" xr:uid="{00000000-0005-0000-0000-000022770000}"/>
    <cellStyle name="Suma 2 13 54 2" xfId="30485" xr:uid="{00000000-0005-0000-0000-000023770000}"/>
    <cellStyle name="Suma 2 13 54 3" xfId="30486" xr:uid="{00000000-0005-0000-0000-000024770000}"/>
    <cellStyle name="Suma 2 13 55" xfId="30487" xr:uid="{00000000-0005-0000-0000-000025770000}"/>
    <cellStyle name="Suma 2 13 55 2" xfId="30488" xr:uid="{00000000-0005-0000-0000-000026770000}"/>
    <cellStyle name="Suma 2 13 55 3" xfId="30489" xr:uid="{00000000-0005-0000-0000-000027770000}"/>
    <cellStyle name="Suma 2 13 56" xfId="30490" xr:uid="{00000000-0005-0000-0000-000028770000}"/>
    <cellStyle name="Suma 2 13 56 2" xfId="30491" xr:uid="{00000000-0005-0000-0000-000029770000}"/>
    <cellStyle name="Suma 2 13 56 3" xfId="30492" xr:uid="{00000000-0005-0000-0000-00002A770000}"/>
    <cellStyle name="Suma 2 13 57" xfId="30493" xr:uid="{00000000-0005-0000-0000-00002B770000}"/>
    <cellStyle name="Suma 2 13 58" xfId="30494" xr:uid="{00000000-0005-0000-0000-00002C770000}"/>
    <cellStyle name="Suma 2 13 6" xfId="30495" xr:uid="{00000000-0005-0000-0000-00002D770000}"/>
    <cellStyle name="Suma 2 13 6 2" xfId="30496" xr:uid="{00000000-0005-0000-0000-00002E770000}"/>
    <cellStyle name="Suma 2 13 6 3" xfId="30497" xr:uid="{00000000-0005-0000-0000-00002F770000}"/>
    <cellStyle name="Suma 2 13 6 4" xfId="30498" xr:uid="{00000000-0005-0000-0000-000030770000}"/>
    <cellStyle name="Suma 2 13 7" xfId="30499" xr:uid="{00000000-0005-0000-0000-000031770000}"/>
    <cellStyle name="Suma 2 13 7 2" xfId="30500" xr:uid="{00000000-0005-0000-0000-000032770000}"/>
    <cellStyle name="Suma 2 13 7 3" xfId="30501" xr:uid="{00000000-0005-0000-0000-000033770000}"/>
    <cellStyle name="Suma 2 13 7 4" xfId="30502" xr:uid="{00000000-0005-0000-0000-000034770000}"/>
    <cellStyle name="Suma 2 13 8" xfId="30503" xr:uid="{00000000-0005-0000-0000-000035770000}"/>
    <cellStyle name="Suma 2 13 8 2" xfId="30504" xr:uid="{00000000-0005-0000-0000-000036770000}"/>
    <cellStyle name="Suma 2 13 8 3" xfId="30505" xr:uid="{00000000-0005-0000-0000-000037770000}"/>
    <cellStyle name="Suma 2 13 8 4" xfId="30506" xr:uid="{00000000-0005-0000-0000-000038770000}"/>
    <cellStyle name="Suma 2 13 9" xfId="30507" xr:uid="{00000000-0005-0000-0000-000039770000}"/>
    <cellStyle name="Suma 2 13 9 2" xfId="30508" xr:uid="{00000000-0005-0000-0000-00003A770000}"/>
    <cellStyle name="Suma 2 13 9 3" xfId="30509" xr:uid="{00000000-0005-0000-0000-00003B770000}"/>
    <cellStyle name="Suma 2 13 9 4" xfId="30510" xr:uid="{00000000-0005-0000-0000-00003C770000}"/>
    <cellStyle name="Suma 2 14" xfId="30511" xr:uid="{00000000-0005-0000-0000-00003D770000}"/>
    <cellStyle name="Suma 2 14 10" xfId="30512" xr:uid="{00000000-0005-0000-0000-00003E770000}"/>
    <cellStyle name="Suma 2 14 10 2" xfId="30513" xr:uid="{00000000-0005-0000-0000-00003F770000}"/>
    <cellStyle name="Suma 2 14 10 3" xfId="30514" xr:uid="{00000000-0005-0000-0000-000040770000}"/>
    <cellStyle name="Suma 2 14 10 4" xfId="30515" xr:uid="{00000000-0005-0000-0000-000041770000}"/>
    <cellStyle name="Suma 2 14 11" xfId="30516" xr:uid="{00000000-0005-0000-0000-000042770000}"/>
    <cellStyle name="Suma 2 14 11 2" xfId="30517" xr:uid="{00000000-0005-0000-0000-000043770000}"/>
    <cellStyle name="Suma 2 14 11 3" xfId="30518" xr:uid="{00000000-0005-0000-0000-000044770000}"/>
    <cellStyle name="Suma 2 14 11 4" xfId="30519" xr:uid="{00000000-0005-0000-0000-000045770000}"/>
    <cellStyle name="Suma 2 14 12" xfId="30520" xr:uid="{00000000-0005-0000-0000-000046770000}"/>
    <cellStyle name="Suma 2 14 12 2" xfId="30521" xr:uid="{00000000-0005-0000-0000-000047770000}"/>
    <cellStyle name="Suma 2 14 12 3" xfId="30522" xr:uid="{00000000-0005-0000-0000-000048770000}"/>
    <cellStyle name="Suma 2 14 12 4" xfId="30523" xr:uid="{00000000-0005-0000-0000-000049770000}"/>
    <cellStyle name="Suma 2 14 13" xfId="30524" xr:uid="{00000000-0005-0000-0000-00004A770000}"/>
    <cellStyle name="Suma 2 14 13 2" xfId="30525" xr:uid="{00000000-0005-0000-0000-00004B770000}"/>
    <cellStyle name="Suma 2 14 13 3" xfId="30526" xr:uid="{00000000-0005-0000-0000-00004C770000}"/>
    <cellStyle name="Suma 2 14 13 4" xfId="30527" xr:uid="{00000000-0005-0000-0000-00004D770000}"/>
    <cellStyle name="Suma 2 14 14" xfId="30528" xr:uid="{00000000-0005-0000-0000-00004E770000}"/>
    <cellStyle name="Suma 2 14 14 2" xfId="30529" xr:uid="{00000000-0005-0000-0000-00004F770000}"/>
    <cellStyle name="Suma 2 14 14 3" xfId="30530" xr:uid="{00000000-0005-0000-0000-000050770000}"/>
    <cellStyle name="Suma 2 14 14 4" xfId="30531" xr:uid="{00000000-0005-0000-0000-000051770000}"/>
    <cellStyle name="Suma 2 14 15" xfId="30532" xr:uid="{00000000-0005-0000-0000-000052770000}"/>
    <cellStyle name="Suma 2 14 15 2" xfId="30533" xr:uid="{00000000-0005-0000-0000-000053770000}"/>
    <cellStyle name="Suma 2 14 15 3" xfId="30534" xr:uid="{00000000-0005-0000-0000-000054770000}"/>
    <cellStyle name="Suma 2 14 15 4" xfId="30535" xr:uid="{00000000-0005-0000-0000-000055770000}"/>
    <cellStyle name="Suma 2 14 16" xfId="30536" xr:uid="{00000000-0005-0000-0000-000056770000}"/>
    <cellStyle name="Suma 2 14 16 2" xfId="30537" xr:uid="{00000000-0005-0000-0000-000057770000}"/>
    <cellStyle name="Suma 2 14 16 3" xfId="30538" xr:uid="{00000000-0005-0000-0000-000058770000}"/>
    <cellStyle name="Suma 2 14 16 4" xfId="30539" xr:uid="{00000000-0005-0000-0000-000059770000}"/>
    <cellStyle name="Suma 2 14 17" xfId="30540" xr:uid="{00000000-0005-0000-0000-00005A770000}"/>
    <cellStyle name="Suma 2 14 17 2" xfId="30541" xr:uid="{00000000-0005-0000-0000-00005B770000}"/>
    <cellStyle name="Suma 2 14 17 3" xfId="30542" xr:uid="{00000000-0005-0000-0000-00005C770000}"/>
    <cellStyle name="Suma 2 14 17 4" xfId="30543" xr:uid="{00000000-0005-0000-0000-00005D770000}"/>
    <cellStyle name="Suma 2 14 18" xfId="30544" xr:uid="{00000000-0005-0000-0000-00005E770000}"/>
    <cellStyle name="Suma 2 14 18 2" xfId="30545" xr:uid="{00000000-0005-0000-0000-00005F770000}"/>
    <cellStyle name="Suma 2 14 18 3" xfId="30546" xr:uid="{00000000-0005-0000-0000-000060770000}"/>
    <cellStyle name="Suma 2 14 18 4" xfId="30547" xr:uid="{00000000-0005-0000-0000-000061770000}"/>
    <cellStyle name="Suma 2 14 19" xfId="30548" xr:uid="{00000000-0005-0000-0000-000062770000}"/>
    <cellStyle name="Suma 2 14 19 2" xfId="30549" xr:uid="{00000000-0005-0000-0000-000063770000}"/>
    <cellStyle name="Suma 2 14 19 3" xfId="30550" xr:uid="{00000000-0005-0000-0000-000064770000}"/>
    <cellStyle name="Suma 2 14 19 4" xfId="30551" xr:uid="{00000000-0005-0000-0000-000065770000}"/>
    <cellStyle name="Suma 2 14 2" xfId="30552" xr:uid="{00000000-0005-0000-0000-000066770000}"/>
    <cellStyle name="Suma 2 14 2 2" xfId="30553" xr:uid="{00000000-0005-0000-0000-000067770000}"/>
    <cellStyle name="Suma 2 14 2 3" xfId="30554" xr:uid="{00000000-0005-0000-0000-000068770000}"/>
    <cellStyle name="Suma 2 14 2 4" xfId="30555" xr:uid="{00000000-0005-0000-0000-000069770000}"/>
    <cellStyle name="Suma 2 14 20" xfId="30556" xr:uid="{00000000-0005-0000-0000-00006A770000}"/>
    <cellStyle name="Suma 2 14 20 2" xfId="30557" xr:uid="{00000000-0005-0000-0000-00006B770000}"/>
    <cellStyle name="Suma 2 14 20 3" xfId="30558" xr:uid="{00000000-0005-0000-0000-00006C770000}"/>
    <cellStyle name="Suma 2 14 20 4" xfId="30559" xr:uid="{00000000-0005-0000-0000-00006D770000}"/>
    <cellStyle name="Suma 2 14 21" xfId="30560" xr:uid="{00000000-0005-0000-0000-00006E770000}"/>
    <cellStyle name="Suma 2 14 21 2" xfId="30561" xr:uid="{00000000-0005-0000-0000-00006F770000}"/>
    <cellStyle name="Suma 2 14 21 3" xfId="30562" xr:uid="{00000000-0005-0000-0000-000070770000}"/>
    <cellStyle name="Suma 2 14 22" xfId="30563" xr:uid="{00000000-0005-0000-0000-000071770000}"/>
    <cellStyle name="Suma 2 14 22 2" xfId="30564" xr:uid="{00000000-0005-0000-0000-000072770000}"/>
    <cellStyle name="Suma 2 14 22 3" xfId="30565" xr:uid="{00000000-0005-0000-0000-000073770000}"/>
    <cellStyle name="Suma 2 14 23" xfId="30566" xr:uid="{00000000-0005-0000-0000-000074770000}"/>
    <cellStyle name="Suma 2 14 23 2" xfId="30567" xr:uid="{00000000-0005-0000-0000-000075770000}"/>
    <cellStyle name="Suma 2 14 23 3" xfId="30568" xr:uid="{00000000-0005-0000-0000-000076770000}"/>
    <cellStyle name="Suma 2 14 24" xfId="30569" xr:uid="{00000000-0005-0000-0000-000077770000}"/>
    <cellStyle name="Suma 2 14 24 2" xfId="30570" xr:uid="{00000000-0005-0000-0000-000078770000}"/>
    <cellStyle name="Suma 2 14 24 3" xfId="30571" xr:uid="{00000000-0005-0000-0000-000079770000}"/>
    <cellStyle name="Suma 2 14 25" xfId="30572" xr:uid="{00000000-0005-0000-0000-00007A770000}"/>
    <cellStyle name="Suma 2 14 25 2" xfId="30573" xr:uid="{00000000-0005-0000-0000-00007B770000}"/>
    <cellStyle name="Suma 2 14 25 3" xfId="30574" xr:uid="{00000000-0005-0000-0000-00007C770000}"/>
    <cellStyle name="Suma 2 14 26" xfId="30575" xr:uid="{00000000-0005-0000-0000-00007D770000}"/>
    <cellStyle name="Suma 2 14 26 2" xfId="30576" xr:uid="{00000000-0005-0000-0000-00007E770000}"/>
    <cellStyle name="Suma 2 14 26 3" xfId="30577" xr:uid="{00000000-0005-0000-0000-00007F770000}"/>
    <cellStyle name="Suma 2 14 27" xfId="30578" xr:uid="{00000000-0005-0000-0000-000080770000}"/>
    <cellStyle name="Suma 2 14 27 2" xfId="30579" xr:uid="{00000000-0005-0000-0000-000081770000}"/>
    <cellStyle name="Suma 2 14 27 3" xfId="30580" xr:uid="{00000000-0005-0000-0000-000082770000}"/>
    <cellStyle name="Suma 2 14 28" xfId="30581" xr:uid="{00000000-0005-0000-0000-000083770000}"/>
    <cellStyle name="Suma 2 14 28 2" xfId="30582" xr:uid="{00000000-0005-0000-0000-000084770000}"/>
    <cellStyle name="Suma 2 14 28 3" xfId="30583" xr:uid="{00000000-0005-0000-0000-000085770000}"/>
    <cellStyle name="Suma 2 14 29" xfId="30584" xr:uid="{00000000-0005-0000-0000-000086770000}"/>
    <cellStyle name="Suma 2 14 29 2" xfId="30585" xr:uid="{00000000-0005-0000-0000-000087770000}"/>
    <cellStyle name="Suma 2 14 29 3" xfId="30586" xr:uid="{00000000-0005-0000-0000-000088770000}"/>
    <cellStyle name="Suma 2 14 3" xfId="30587" xr:uid="{00000000-0005-0000-0000-000089770000}"/>
    <cellStyle name="Suma 2 14 3 2" xfId="30588" xr:uid="{00000000-0005-0000-0000-00008A770000}"/>
    <cellStyle name="Suma 2 14 3 3" xfId="30589" xr:uid="{00000000-0005-0000-0000-00008B770000}"/>
    <cellStyle name="Suma 2 14 3 4" xfId="30590" xr:uid="{00000000-0005-0000-0000-00008C770000}"/>
    <cellStyle name="Suma 2 14 30" xfId="30591" xr:uid="{00000000-0005-0000-0000-00008D770000}"/>
    <cellStyle name="Suma 2 14 30 2" xfId="30592" xr:uid="{00000000-0005-0000-0000-00008E770000}"/>
    <cellStyle name="Suma 2 14 30 3" xfId="30593" xr:uid="{00000000-0005-0000-0000-00008F770000}"/>
    <cellStyle name="Suma 2 14 31" xfId="30594" xr:uid="{00000000-0005-0000-0000-000090770000}"/>
    <cellStyle name="Suma 2 14 31 2" xfId="30595" xr:uid="{00000000-0005-0000-0000-000091770000}"/>
    <cellStyle name="Suma 2 14 31 3" xfId="30596" xr:uid="{00000000-0005-0000-0000-000092770000}"/>
    <cellStyle name="Suma 2 14 32" xfId="30597" xr:uid="{00000000-0005-0000-0000-000093770000}"/>
    <cellStyle name="Suma 2 14 32 2" xfId="30598" xr:uid="{00000000-0005-0000-0000-000094770000}"/>
    <cellStyle name="Suma 2 14 32 3" xfId="30599" xr:uid="{00000000-0005-0000-0000-000095770000}"/>
    <cellStyle name="Suma 2 14 33" xfId="30600" xr:uid="{00000000-0005-0000-0000-000096770000}"/>
    <cellStyle name="Suma 2 14 33 2" xfId="30601" xr:uid="{00000000-0005-0000-0000-000097770000}"/>
    <cellStyle name="Suma 2 14 33 3" xfId="30602" xr:uid="{00000000-0005-0000-0000-000098770000}"/>
    <cellStyle name="Suma 2 14 34" xfId="30603" xr:uid="{00000000-0005-0000-0000-000099770000}"/>
    <cellStyle name="Suma 2 14 34 2" xfId="30604" xr:uid="{00000000-0005-0000-0000-00009A770000}"/>
    <cellStyle name="Suma 2 14 34 3" xfId="30605" xr:uid="{00000000-0005-0000-0000-00009B770000}"/>
    <cellStyle name="Suma 2 14 35" xfId="30606" xr:uid="{00000000-0005-0000-0000-00009C770000}"/>
    <cellStyle name="Suma 2 14 35 2" xfId="30607" xr:uid="{00000000-0005-0000-0000-00009D770000}"/>
    <cellStyle name="Suma 2 14 35 3" xfId="30608" xr:uid="{00000000-0005-0000-0000-00009E770000}"/>
    <cellStyle name="Suma 2 14 36" xfId="30609" xr:uid="{00000000-0005-0000-0000-00009F770000}"/>
    <cellStyle name="Suma 2 14 36 2" xfId="30610" xr:uid="{00000000-0005-0000-0000-0000A0770000}"/>
    <cellStyle name="Suma 2 14 36 3" xfId="30611" xr:uid="{00000000-0005-0000-0000-0000A1770000}"/>
    <cellStyle name="Suma 2 14 37" xfId="30612" xr:uid="{00000000-0005-0000-0000-0000A2770000}"/>
    <cellStyle name="Suma 2 14 37 2" xfId="30613" xr:uid="{00000000-0005-0000-0000-0000A3770000}"/>
    <cellStyle name="Suma 2 14 37 3" xfId="30614" xr:uid="{00000000-0005-0000-0000-0000A4770000}"/>
    <cellStyle name="Suma 2 14 38" xfId="30615" xr:uid="{00000000-0005-0000-0000-0000A5770000}"/>
    <cellStyle name="Suma 2 14 38 2" xfId="30616" xr:uid="{00000000-0005-0000-0000-0000A6770000}"/>
    <cellStyle name="Suma 2 14 38 3" xfId="30617" xr:uid="{00000000-0005-0000-0000-0000A7770000}"/>
    <cellStyle name="Suma 2 14 39" xfId="30618" xr:uid="{00000000-0005-0000-0000-0000A8770000}"/>
    <cellStyle name="Suma 2 14 39 2" xfId="30619" xr:uid="{00000000-0005-0000-0000-0000A9770000}"/>
    <cellStyle name="Suma 2 14 39 3" xfId="30620" xr:uid="{00000000-0005-0000-0000-0000AA770000}"/>
    <cellStyle name="Suma 2 14 4" xfId="30621" xr:uid="{00000000-0005-0000-0000-0000AB770000}"/>
    <cellStyle name="Suma 2 14 4 2" xfId="30622" xr:uid="{00000000-0005-0000-0000-0000AC770000}"/>
    <cellStyle name="Suma 2 14 4 3" xfId="30623" xr:uid="{00000000-0005-0000-0000-0000AD770000}"/>
    <cellStyle name="Suma 2 14 4 4" xfId="30624" xr:uid="{00000000-0005-0000-0000-0000AE770000}"/>
    <cellStyle name="Suma 2 14 40" xfId="30625" xr:uid="{00000000-0005-0000-0000-0000AF770000}"/>
    <cellStyle name="Suma 2 14 40 2" xfId="30626" xr:uid="{00000000-0005-0000-0000-0000B0770000}"/>
    <cellStyle name="Suma 2 14 40 3" xfId="30627" xr:uid="{00000000-0005-0000-0000-0000B1770000}"/>
    <cellStyle name="Suma 2 14 41" xfId="30628" xr:uid="{00000000-0005-0000-0000-0000B2770000}"/>
    <cellStyle name="Suma 2 14 41 2" xfId="30629" xr:uid="{00000000-0005-0000-0000-0000B3770000}"/>
    <cellStyle name="Suma 2 14 41 3" xfId="30630" xr:uid="{00000000-0005-0000-0000-0000B4770000}"/>
    <cellStyle name="Suma 2 14 42" xfId="30631" xr:uid="{00000000-0005-0000-0000-0000B5770000}"/>
    <cellStyle name="Suma 2 14 42 2" xfId="30632" xr:uid="{00000000-0005-0000-0000-0000B6770000}"/>
    <cellStyle name="Suma 2 14 42 3" xfId="30633" xr:uid="{00000000-0005-0000-0000-0000B7770000}"/>
    <cellStyle name="Suma 2 14 43" xfId="30634" xr:uid="{00000000-0005-0000-0000-0000B8770000}"/>
    <cellStyle name="Suma 2 14 43 2" xfId="30635" xr:uid="{00000000-0005-0000-0000-0000B9770000}"/>
    <cellStyle name="Suma 2 14 43 3" xfId="30636" xr:uid="{00000000-0005-0000-0000-0000BA770000}"/>
    <cellStyle name="Suma 2 14 44" xfId="30637" xr:uid="{00000000-0005-0000-0000-0000BB770000}"/>
    <cellStyle name="Suma 2 14 44 2" xfId="30638" xr:uid="{00000000-0005-0000-0000-0000BC770000}"/>
    <cellStyle name="Suma 2 14 44 3" xfId="30639" xr:uid="{00000000-0005-0000-0000-0000BD770000}"/>
    <cellStyle name="Suma 2 14 45" xfId="30640" xr:uid="{00000000-0005-0000-0000-0000BE770000}"/>
    <cellStyle name="Suma 2 14 45 2" xfId="30641" xr:uid="{00000000-0005-0000-0000-0000BF770000}"/>
    <cellStyle name="Suma 2 14 45 3" xfId="30642" xr:uid="{00000000-0005-0000-0000-0000C0770000}"/>
    <cellStyle name="Suma 2 14 46" xfId="30643" xr:uid="{00000000-0005-0000-0000-0000C1770000}"/>
    <cellStyle name="Suma 2 14 46 2" xfId="30644" xr:uid="{00000000-0005-0000-0000-0000C2770000}"/>
    <cellStyle name="Suma 2 14 46 3" xfId="30645" xr:uid="{00000000-0005-0000-0000-0000C3770000}"/>
    <cellStyle name="Suma 2 14 47" xfId="30646" xr:uid="{00000000-0005-0000-0000-0000C4770000}"/>
    <cellStyle name="Suma 2 14 47 2" xfId="30647" xr:uid="{00000000-0005-0000-0000-0000C5770000}"/>
    <cellStyle name="Suma 2 14 47 3" xfId="30648" xr:uid="{00000000-0005-0000-0000-0000C6770000}"/>
    <cellStyle name="Suma 2 14 48" xfId="30649" xr:uid="{00000000-0005-0000-0000-0000C7770000}"/>
    <cellStyle name="Suma 2 14 48 2" xfId="30650" xr:uid="{00000000-0005-0000-0000-0000C8770000}"/>
    <cellStyle name="Suma 2 14 48 3" xfId="30651" xr:uid="{00000000-0005-0000-0000-0000C9770000}"/>
    <cellStyle name="Suma 2 14 49" xfId="30652" xr:uid="{00000000-0005-0000-0000-0000CA770000}"/>
    <cellStyle name="Suma 2 14 49 2" xfId="30653" xr:uid="{00000000-0005-0000-0000-0000CB770000}"/>
    <cellStyle name="Suma 2 14 49 3" xfId="30654" xr:uid="{00000000-0005-0000-0000-0000CC770000}"/>
    <cellStyle name="Suma 2 14 5" xfId="30655" xr:uid="{00000000-0005-0000-0000-0000CD770000}"/>
    <cellStyle name="Suma 2 14 5 2" xfId="30656" xr:uid="{00000000-0005-0000-0000-0000CE770000}"/>
    <cellStyle name="Suma 2 14 5 3" xfId="30657" xr:uid="{00000000-0005-0000-0000-0000CF770000}"/>
    <cellStyle name="Suma 2 14 5 4" xfId="30658" xr:uid="{00000000-0005-0000-0000-0000D0770000}"/>
    <cellStyle name="Suma 2 14 50" xfId="30659" xr:uid="{00000000-0005-0000-0000-0000D1770000}"/>
    <cellStyle name="Suma 2 14 50 2" xfId="30660" xr:uid="{00000000-0005-0000-0000-0000D2770000}"/>
    <cellStyle name="Suma 2 14 50 3" xfId="30661" xr:uid="{00000000-0005-0000-0000-0000D3770000}"/>
    <cellStyle name="Suma 2 14 51" xfId="30662" xr:uid="{00000000-0005-0000-0000-0000D4770000}"/>
    <cellStyle name="Suma 2 14 51 2" xfId="30663" xr:uid="{00000000-0005-0000-0000-0000D5770000}"/>
    <cellStyle name="Suma 2 14 51 3" xfId="30664" xr:uid="{00000000-0005-0000-0000-0000D6770000}"/>
    <cellStyle name="Suma 2 14 52" xfId="30665" xr:uid="{00000000-0005-0000-0000-0000D7770000}"/>
    <cellStyle name="Suma 2 14 52 2" xfId="30666" xr:uid="{00000000-0005-0000-0000-0000D8770000}"/>
    <cellStyle name="Suma 2 14 52 3" xfId="30667" xr:uid="{00000000-0005-0000-0000-0000D9770000}"/>
    <cellStyle name="Suma 2 14 53" xfId="30668" xr:uid="{00000000-0005-0000-0000-0000DA770000}"/>
    <cellStyle name="Suma 2 14 53 2" xfId="30669" xr:uid="{00000000-0005-0000-0000-0000DB770000}"/>
    <cellStyle name="Suma 2 14 53 3" xfId="30670" xr:uid="{00000000-0005-0000-0000-0000DC770000}"/>
    <cellStyle name="Suma 2 14 54" xfId="30671" xr:uid="{00000000-0005-0000-0000-0000DD770000}"/>
    <cellStyle name="Suma 2 14 54 2" xfId="30672" xr:uid="{00000000-0005-0000-0000-0000DE770000}"/>
    <cellStyle name="Suma 2 14 54 3" xfId="30673" xr:uid="{00000000-0005-0000-0000-0000DF770000}"/>
    <cellStyle name="Suma 2 14 55" xfId="30674" xr:uid="{00000000-0005-0000-0000-0000E0770000}"/>
    <cellStyle name="Suma 2 14 55 2" xfId="30675" xr:uid="{00000000-0005-0000-0000-0000E1770000}"/>
    <cellStyle name="Suma 2 14 55 3" xfId="30676" xr:uid="{00000000-0005-0000-0000-0000E2770000}"/>
    <cellStyle name="Suma 2 14 56" xfId="30677" xr:uid="{00000000-0005-0000-0000-0000E3770000}"/>
    <cellStyle name="Suma 2 14 56 2" xfId="30678" xr:uid="{00000000-0005-0000-0000-0000E4770000}"/>
    <cellStyle name="Suma 2 14 56 3" xfId="30679" xr:uid="{00000000-0005-0000-0000-0000E5770000}"/>
    <cellStyle name="Suma 2 14 57" xfId="30680" xr:uid="{00000000-0005-0000-0000-0000E6770000}"/>
    <cellStyle name="Suma 2 14 58" xfId="30681" xr:uid="{00000000-0005-0000-0000-0000E7770000}"/>
    <cellStyle name="Suma 2 14 6" xfId="30682" xr:uid="{00000000-0005-0000-0000-0000E8770000}"/>
    <cellStyle name="Suma 2 14 6 2" xfId="30683" xr:uid="{00000000-0005-0000-0000-0000E9770000}"/>
    <cellStyle name="Suma 2 14 6 3" xfId="30684" xr:uid="{00000000-0005-0000-0000-0000EA770000}"/>
    <cellStyle name="Suma 2 14 6 4" xfId="30685" xr:uid="{00000000-0005-0000-0000-0000EB770000}"/>
    <cellStyle name="Suma 2 14 7" xfId="30686" xr:uid="{00000000-0005-0000-0000-0000EC770000}"/>
    <cellStyle name="Suma 2 14 7 2" xfId="30687" xr:uid="{00000000-0005-0000-0000-0000ED770000}"/>
    <cellStyle name="Suma 2 14 7 3" xfId="30688" xr:uid="{00000000-0005-0000-0000-0000EE770000}"/>
    <cellStyle name="Suma 2 14 7 4" xfId="30689" xr:uid="{00000000-0005-0000-0000-0000EF770000}"/>
    <cellStyle name="Suma 2 14 8" xfId="30690" xr:uid="{00000000-0005-0000-0000-0000F0770000}"/>
    <cellStyle name="Suma 2 14 8 2" xfId="30691" xr:uid="{00000000-0005-0000-0000-0000F1770000}"/>
    <cellStyle name="Suma 2 14 8 3" xfId="30692" xr:uid="{00000000-0005-0000-0000-0000F2770000}"/>
    <cellStyle name="Suma 2 14 8 4" xfId="30693" xr:uid="{00000000-0005-0000-0000-0000F3770000}"/>
    <cellStyle name="Suma 2 14 9" xfId="30694" xr:uid="{00000000-0005-0000-0000-0000F4770000}"/>
    <cellStyle name="Suma 2 14 9 2" xfId="30695" xr:uid="{00000000-0005-0000-0000-0000F5770000}"/>
    <cellStyle name="Suma 2 14 9 3" xfId="30696" xr:uid="{00000000-0005-0000-0000-0000F6770000}"/>
    <cellStyle name="Suma 2 14 9 4" xfId="30697" xr:uid="{00000000-0005-0000-0000-0000F7770000}"/>
    <cellStyle name="Suma 2 15" xfId="30698" xr:uid="{00000000-0005-0000-0000-0000F8770000}"/>
    <cellStyle name="Suma 2 15 10" xfId="30699" xr:uid="{00000000-0005-0000-0000-0000F9770000}"/>
    <cellStyle name="Suma 2 15 10 2" xfId="30700" xr:uid="{00000000-0005-0000-0000-0000FA770000}"/>
    <cellStyle name="Suma 2 15 10 3" xfId="30701" xr:uid="{00000000-0005-0000-0000-0000FB770000}"/>
    <cellStyle name="Suma 2 15 10 4" xfId="30702" xr:uid="{00000000-0005-0000-0000-0000FC770000}"/>
    <cellStyle name="Suma 2 15 11" xfId="30703" xr:uid="{00000000-0005-0000-0000-0000FD770000}"/>
    <cellStyle name="Suma 2 15 11 2" xfId="30704" xr:uid="{00000000-0005-0000-0000-0000FE770000}"/>
    <cellStyle name="Suma 2 15 11 3" xfId="30705" xr:uid="{00000000-0005-0000-0000-0000FF770000}"/>
    <cellStyle name="Suma 2 15 11 4" xfId="30706" xr:uid="{00000000-0005-0000-0000-000000780000}"/>
    <cellStyle name="Suma 2 15 12" xfId="30707" xr:uid="{00000000-0005-0000-0000-000001780000}"/>
    <cellStyle name="Suma 2 15 12 2" xfId="30708" xr:uid="{00000000-0005-0000-0000-000002780000}"/>
    <cellStyle name="Suma 2 15 12 3" xfId="30709" xr:uid="{00000000-0005-0000-0000-000003780000}"/>
    <cellStyle name="Suma 2 15 12 4" xfId="30710" xr:uid="{00000000-0005-0000-0000-000004780000}"/>
    <cellStyle name="Suma 2 15 13" xfId="30711" xr:uid="{00000000-0005-0000-0000-000005780000}"/>
    <cellStyle name="Suma 2 15 13 2" xfId="30712" xr:uid="{00000000-0005-0000-0000-000006780000}"/>
    <cellStyle name="Suma 2 15 13 3" xfId="30713" xr:uid="{00000000-0005-0000-0000-000007780000}"/>
    <cellStyle name="Suma 2 15 13 4" xfId="30714" xr:uid="{00000000-0005-0000-0000-000008780000}"/>
    <cellStyle name="Suma 2 15 14" xfId="30715" xr:uid="{00000000-0005-0000-0000-000009780000}"/>
    <cellStyle name="Suma 2 15 14 2" xfId="30716" xr:uid="{00000000-0005-0000-0000-00000A780000}"/>
    <cellStyle name="Suma 2 15 14 3" xfId="30717" xr:uid="{00000000-0005-0000-0000-00000B780000}"/>
    <cellStyle name="Suma 2 15 14 4" xfId="30718" xr:uid="{00000000-0005-0000-0000-00000C780000}"/>
    <cellStyle name="Suma 2 15 15" xfId="30719" xr:uid="{00000000-0005-0000-0000-00000D780000}"/>
    <cellStyle name="Suma 2 15 15 2" xfId="30720" xr:uid="{00000000-0005-0000-0000-00000E780000}"/>
    <cellStyle name="Suma 2 15 15 3" xfId="30721" xr:uid="{00000000-0005-0000-0000-00000F780000}"/>
    <cellStyle name="Suma 2 15 15 4" xfId="30722" xr:uid="{00000000-0005-0000-0000-000010780000}"/>
    <cellStyle name="Suma 2 15 16" xfId="30723" xr:uid="{00000000-0005-0000-0000-000011780000}"/>
    <cellStyle name="Suma 2 15 16 2" xfId="30724" xr:uid="{00000000-0005-0000-0000-000012780000}"/>
    <cellStyle name="Suma 2 15 16 3" xfId="30725" xr:uid="{00000000-0005-0000-0000-000013780000}"/>
    <cellStyle name="Suma 2 15 16 4" xfId="30726" xr:uid="{00000000-0005-0000-0000-000014780000}"/>
    <cellStyle name="Suma 2 15 17" xfId="30727" xr:uid="{00000000-0005-0000-0000-000015780000}"/>
    <cellStyle name="Suma 2 15 17 2" xfId="30728" xr:uid="{00000000-0005-0000-0000-000016780000}"/>
    <cellStyle name="Suma 2 15 17 3" xfId="30729" xr:uid="{00000000-0005-0000-0000-000017780000}"/>
    <cellStyle name="Suma 2 15 17 4" xfId="30730" xr:uid="{00000000-0005-0000-0000-000018780000}"/>
    <cellStyle name="Suma 2 15 18" xfId="30731" xr:uid="{00000000-0005-0000-0000-000019780000}"/>
    <cellStyle name="Suma 2 15 18 2" xfId="30732" xr:uid="{00000000-0005-0000-0000-00001A780000}"/>
    <cellStyle name="Suma 2 15 18 3" xfId="30733" xr:uid="{00000000-0005-0000-0000-00001B780000}"/>
    <cellStyle name="Suma 2 15 18 4" xfId="30734" xr:uid="{00000000-0005-0000-0000-00001C780000}"/>
    <cellStyle name="Suma 2 15 19" xfId="30735" xr:uid="{00000000-0005-0000-0000-00001D780000}"/>
    <cellStyle name="Suma 2 15 19 2" xfId="30736" xr:uid="{00000000-0005-0000-0000-00001E780000}"/>
    <cellStyle name="Suma 2 15 19 3" xfId="30737" xr:uid="{00000000-0005-0000-0000-00001F780000}"/>
    <cellStyle name="Suma 2 15 19 4" xfId="30738" xr:uid="{00000000-0005-0000-0000-000020780000}"/>
    <cellStyle name="Suma 2 15 2" xfId="30739" xr:uid="{00000000-0005-0000-0000-000021780000}"/>
    <cellStyle name="Suma 2 15 2 2" xfId="30740" xr:uid="{00000000-0005-0000-0000-000022780000}"/>
    <cellStyle name="Suma 2 15 2 3" xfId="30741" xr:uid="{00000000-0005-0000-0000-000023780000}"/>
    <cellStyle name="Suma 2 15 2 4" xfId="30742" xr:uid="{00000000-0005-0000-0000-000024780000}"/>
    <cellStyle name="Suma 2 15 20" xfId="30743" xr:uid="{00000000-0005-0000-0000-000025780000}"/>
    <cellStyle name="Suma 2 15 20 2" xfId="30744" xr:uid="{00000000-0005-0000-0000-000026780000}"/>
    <cellStyle name="Suma 2 15 20 3" xfId="30745" xr:uid="{00000000-0005-0000-0000-000027780000}"/>
    <cellStyle name="Suma 2 15 20 4" xfId="30746" xr:uid="{00000000-0005-0000-0000-000028780000}"/>
    <cellStyle name="Suma 2 15 21" xfId="30747" xr:uid="{00000000-0005-0000-0000-000029780000}"/>
    <cellStyle name="Suma 2 15 21 2" xfId="30748" xr:uid="{00000000-0005-0000-0000-00002A780000}"/>
    <cellStyle name="Suma 2 15 21 3" xfId="30749" xr:uid="{00000000-0005-0000-0000-00002B780000}"/>
    <cellStyle name="Suma 2 15 22" xfId="30750" xr:uid="{00000000-0005-0000-0000-00002C780000}"/>
    <cellStyle name="Suma 2 15 22 2" xfId="30751" xr:uid="{00000000-0005-0000-0000-00002D780000}"/>
    <cellStyle name="Suma 2 15 22 3" xfId="30752" xr:uid="{00000000-0005-0000-0000-00002E780000}"/>
    <cellStyle name="Suma 2 15 23" xfId="30753" xr:uid="{00000000-0005-0000-0000-00002F780000}"/>
    <cellStyle name="Suma 2 15 23 2" xfId="30754" xr:uid="{00000000-0005-0000-0000-000030780000}"/>
    <cellStyle name="Suma 2 15 23 3" xfId="30755" xr:uid="{00000000-0005-0000-0000-000031780000}"/>
    <cellStyle name="Suma 2 15 24" xfId="30756" xr:uid="{00000000-0005-0000-0000-000032780000}"/>
    <cellStyle name="Suma 2 15 24 2" xfId="30757" xr:uid="{00000000-0005-0000-0000-000033780000}"/>
    <cellStyle name="Suma 2 15 24 3" xfId="30758" xr:uid="{00000000-0005-0000-0000-000034780000}"/>
    <cellStyle name="Suma 2 15 25" xfId="30759" xr:uid="{00000000-0005-0000-0000-000035780000}"/>
    <cellStyle name="Suma 2 15 25 2" xfId="30760" xr:uid="{00000000-0005-0000-0000-000036780000}"/>
    <cellStyle name="Suma 2 15 25 3" xfId="30761" xr:uid="{00000000-0005-0000-0000-000037780000}"/>
    <cellStyle name="Suma 2 15 26" xfId="30762" xr:uid="{00000000-0005-0000-0000-000038780000}"/>
    <cellStyle name="Suma 2 15 26 2" xfId="30763" xr:uid="{00000000-0005-0000-0000-000039780000}"/>
    <cellStyle name="Suma 2 15 26 3" xfId="30764" xr:uid="{00000000-0005-0000-0000-00003A780000}"/>
    <cellStyle name="Suma 2 15 27" xfId="30765" xr:uid="{00000000-0005-0000-0000-00003B780000}"/>
    <cellStyle name="Suma 2 15 27 2" xfId="30766" xr:uid="{00000000-0005-0000-0000-00003C780000}"/>
    <cellStyle name="Suma 2 15 27 3" xfId="30767" xr:uid="{00000000-0005-0000-0000-00003D780000}"/>
    <cellStyle name="Suma 2 15 28" xfId="30768" xr:uid="{00000000-0005-0000-0000-00003E780000}"/>
    <cellStyle name="Suma 2 15 28 2" xfId="30769" xr:uid="{00000000-0005-0000-0000-00003F780000}"/>
    <cellStyle name="Suma 2 15 28 3" xfId="30770" xr:uid="{00000000-0005-0000-0000-000040780000}"/>
    <cellStyle name="Suma 2 15 29" xfId="30771" xr:uid="{00000000-0005-0000-0000-000041780000}"/>
    <cellStyle name="Suma 2 15 29 2" xfId="30772" xr:uid="{00000000-0005-0000-0000-000042780000}"/>
    <cellStyle name="Suma 2 15 29 3" xfId="30773" xr:uid="{00000000-0005-0000-0000-000043780000}"/>
    <cellStyle name="Suma 2 15 3" xfId="30774" xr:uid="{00000000-0005-0000-0000-000044780000}"/>
    <cellStyle name="Suma 2 15 3 2" xfId="30775" xr:uid="{00000000-0005-0000-0000-000045780000}"/>
    <cellStyle name="Suma 2 15 3 3" xfId="30776" xr:uid="{00000000-0005-0000-0000-000046780000}"/>
    <cellStyle name="Suma 2 15 3 4" xfId="30777" xr:uid="{00000000-0005-0000-0000-000047780000}"/>
    <cellStyle name="Suma 2 15 30" xfId="30778" xr:uid="{00000000-0005-0000-0000-000048780000}"/>
    <cellStyle name="Suma 2 15 30 2" xfId="30779" xr:uid="{00000000-0005-0000-0000-000049780000}"/>
    <cellStyle name="Suma 2 15 30 3" xfId="30780" xr:uid="{00000000-0005-0000-0000-00004A780000}"/>
    <cellStyle name="Suma 2 15 31" xfId="30781" xr:uid="{00000000-0005-0000-0000-00004B780000}"/>
    <cellStyle name="Suma 2 15 31 2" xfId="30782" xr:uid="{00000000-0005-0000-0000-00004C780000}"/>
    <cellStyle name="Suma 2 15 31 3" xfId="30783" xr:uid="{00000000-0005-0000-0000-00004D780000}"/>
    <cellStyle name="Suma 2 15 32" xfId="30784" xr:uid="{00000000-0005-0000-0000-00004E780000}"/>
    <cellStyle name="Suma 2 15 32 2" xfId="30785" xr:uid="{00000000-0005-0000-0000-00004F780000}"/>
    <cellStyle name="Suma 2 15 32 3" xfId="30786" xr:uid="{00000000-0005-0000-0000-000050780000}"/>
    <cellStyle name="Suma 2 15 33" xfId="30787" xr:uid="{00000000-0005-0000-0000-000051780000}"/>
    <cellStyle name="Suma 2 15 33 2" xfId="30788" xr:uid="{00000000-0005-0000-0000-000052780000}"/>
    <cellStyle name="Suma 2 15 33 3" xfId="30789" xr:uid="{00000000-0005-0000-0000-000053780000}"/>
    <cellStyle name="Suma 2 15 34" xfId="30790" xr:uid="{00000000-0005-0000-0000-000054780000}"/>
    <cellStyle name="Suma 2 15 34 2" xfId="30791" xr:uid="{00000000-0005-0000-0000-000055780000}"/>
    <cellStyle name="Suma 2 15 34 3" xfId="30792" xr:uid="{00000000-0005-0000-0000-000056780000}"/>
    <cellStyle name="Suma 2 15 35" xfId="30793" xr:uid="{00000000-0005-0000-0000-000057780000}"/>
    <cellStyle name="Suma 2 15 35 2" xfId="30794" xr:uid="{00000000-0005-0000-0000-000058780000}"/>
    <cellStyle name="Suma 2 15 35 3" xfId="30795" xr:uid="{00000000-0005-0000-0000-000059780000}"/>
    <cellStyle name="Suma 2 15 36" xfId="30796" xr:uid="{00000000-0005-0000-0000-00005A780000}"/>
    <cellStyle name="Suma 2 15 36 2" xfId="30797" xr:uid="{00000000-0005-0000-0000-00005B780000}"/>
    <cellStyle name="Suma 2 15 36 3" xfId="30798" xr:uid="{00000000-0005-0000-0000-00005C780000}"/>
    <cellStyle name="Suma 2 15 37" xfId="30799" xr:uid="{00000000-0005-0000-0000-00005D780000}"/>
    <cellStyle name="Suma 2 15 37 2" xfId="30800" xr:uid="{00000000-0005-0000-0000-00005E780000}"/>
    <cellStyle name="Suma 2 15 37 3" xfId="30801" xr:uid="{00000000-0005-0000-0000-00005F780000}"/>
    <cellStyle name="Suma 2 15 38" xfId="30802" xr:uid="{00000000-0005-0000-0000-000060780000}"/>
    <cellStyle name="Suma 2 15 38 2" xfId="30803" xr:uid="{00000000-0005-0000-0000-000061780000}"/>
    <cellStyle name="Suma 2 15 38 3" xfId="30804" xr:uid="{00000000-0005-0000-0000-000062780000}"/>
    <cellStyle name="Suma 2 15 39" xfId="30805" xr:uid="{00000000-0005-0000-0000-000063780000}"/>
    <cellStyle name="Suma 2 15 39 2" xfId="30806" xr:uid="{00000000-0005-0000-0000-000064780000}"/>
    <cellStyle name="Suma 2 15 39 3" xfId="30807" xr:uid="{00000000-0005-0000-0000-000065780000}"/>
    <cellStyle name="Suma 2 15 4" xfId="30808" xr:uid="{00000000-0005-0000-0000-000066780000}"/>
    <cellStyle name="Suma 2 15 4 2" xfId="30809" xr:uid="{00000000-0005-0000-0000-000067780000}"/>
    <cellStyle name="Suma 2 15 4 3" xfId="30810" xr:uid="{00000000-0005-0000-0000-000068780000}"/>
    <cellStyle name="Suma 2 15 4 4" xfId="30811" xr:uid="{00000000-0005-0000-0000-000069780000}"/>
    <cellStyle name="Suma 2 15 40" xfId="30812" xr:uid="{00000000-0005-0000-0000-00006A780000}"/>
    <cellStyle name="Suma 2 15 40 2" xfId="30813" xr:uid="{00000000-0005-0000-0000-00006B780000}"/>
    <cellStyle name="Suma 2 15 40 3" xfId="30814" xr:uid="{00000000-0005-0000-0000-00006C780000}"/>
    <cellStyle name="Suma 2 15 41" xfId="30815" xr:uid="{00000000-0005-0000-0000-00006D780000}"/>
    <cellStyle name="Suma 2 15 41 2" xfId="30816" xr:uid="{00000000-0005-0000-0000-00006E780000}"/>
    <cellStyle name="Suma 2 15 41 3" xfId="30817" xr:uid="{00000000-0005-0000-0000-00006F780000}"/>
    <cellStyle name="Suma 2 15 42" xfId="30818" xr:uid="{00000000-0005-0000-0000-000070780000}"/>
    <cellStyle name="Suma 2 15 42 2" xfId="30819" xr:uid="{00000000-0005-0000-0000-000071780000}"/>
    <cellStyle name="Suma 2 15 42 3" xfId="30820" xr:uid="{00000000-0005-0000-0000-000072780000}"/>
    <cellStyle name="Suma 2 15 43" xfId="30821" xr:uid="{00000000-0005-0000-0000-000073780000}"/>
    <cellStyle name="Suma 2 15 43 2" xfId="30822" xr:uid="{00000000-0005-0000-0000-000074780000}"/>
    <cellStyle name="Suma 2 15 43 3" xfId="30823" xr:uid="{00000000-0005-0000-0000-000075780000}"/>
    <cellStyle name="Suma 2 15 44" xfId="30824" xr:uid="{00000000-0005-0000-0000-000076780000}"/>
    <cellStyle name="Suma 2 15 44 2" xfId="30825" xr:uid="{00000000-0005-0000-0000-000077780000}"/>
    <cellStyle name="Suma 2 15 44 3" xfId="30826" xr:uid="{00000000-0005-0000-0000-000078780000}"/>
    <cellStyle name="Suma 2 15 45" xfId="30827" xr:uid="{00000000-0005-0000-0000-000079780000}"/>
    <cellStyle name="Suma 2 15 45 2" xfId="30828" xr:uid="{00000000-0005-0000-0000-00007A780000}"/>
    <cellStyle name="Suma 2 15 45 3" xfId="30829" xr:uid="{00000000-0005-0000-0000-00007B780000}"/>
    <cellStyle name="Suma 2 15 46" xfId="30830" xr:uid="{00000000-0005-0000-0000-00007C780000}"/>
    <cellStyle name="Suma 2 15 46 2" xfId="30831" xr:uid="{00000000-0005-0000-0000-00007D780000}"/>
    <cellStyle name="Suma 2 15 46 3" xfId="30832" xr:uid="{00000000-0005-0000-0000-00007E780000}"/>
    <cellStyle name="Suma 2 15 47" xfId="30833" xr:uid="{00000000-0005-0000-0000-00007F780000}"/>
    <cellStyle name="Suma 2 15 47 2" xfId="30834" xr:uid="{00000000-0005-0000-0000-000080780000}"/>
    <cellStyle name="Suma 2 15 47 3" xfId="30835" xr:uid="{00000000-0005-0000-0000-000081780000}"/>
    <cellStyle name="Suma 2 15 48" xfId="30836" xr:uid="{00000000-0005-0000-0000-000082780000}"/>
    <cellStyle name="Suma 2 15 48 2" xfId="30837" xr:uid="{00000000-0005-0000-0000-000083780000}"/>
    <cellStyle name="Suma 2 15 48 3" xfId="30838" xr:uid="{00000000-0005-0000-0000-000084780000}"/>
    <cellStyle name="Suma 2 15 49" xfId="30839" xr:uid="{00000000-0005-0000-0000-000085780000}"/>
    <cellStyle name="Suma 2 15 49 2" xfId="30840" xr:uid="{00000000-0005-0000-0000-000086780000}"/>
    <cellStyle name="Suma 2 15 49 3" xfId="30841" xr:uid="{00000000-0005-0000-0000-000087780000}"/>
    <cellStyle name="Suma 2 15 5" xfId="30842" xr:uid="{00000000-0005-0000-0000-000088780000}"/>
    <cellStyle name="Suma 2 15 5 2" xfId="30843" xr:uid="{00000000-0005-0000-0000-000089780000}"/>
    <cellStyle name="Suma 2 15 5 3" xfId="30844" xr:uid="{00000000-0005-0000-0000-00008A780000}"/>
    <cellStyle name="Suma 2 15 5 4" xfId="30845" xr:uid="{00000000-0005-0000-0000-00008B780000}"/>
    <cellStyle name="Suma 2 15 50" xfId="30846" xr:uid="{00000000-0005-0000-0000-00008C780000}"/>
    <cellStyle name="Suma 2 15 50 2" xfId="30847" xr:uid="{00000000-0005-0000-0000-00008D780000}"/>
    <cellStyle name="Suma 2 15 50 3" xfId="30848" xr:uid="{00000000-0005-0000-0000-00008E780000}"/>
    <cellStyle name="Suma 2 15 51" xfId="30849" xr:uid="{00000000-0005-0000-0000-00008F780000}"/>
    <cellStyle name="Suma 2 15 51 2" xfId="30850" xr:uid="{00000000-0005-0000-0000-000090780000}"/>
    <cellStyle name="Suma 2 15 51 3" xfId="30851" xr:uid="{00000000-0005-0000-0000-000091780000}"/>
    <cellStyle name="Suma 2 15 52" xfId="30852" xr:uid="{00000000-0005-0000-0000-000092780000}"/>
    <cellStyle name="Suma 2 15 52 2" xfId="30853" xr:uid="{00000000-0005-0000-0000-000093780000}"/>
    <cellStyle name="Suma 2 15 52 3" xfId="30854" xr:uid="{00000000-0005-0000-0000-000094780000}"/>
    <cellStyle name="Suma 2 15 53" xfId="30855" xr:uid="{00000000-0005-0000-0000-000095780000}"/>
    <cellStyle name="Suma 2 15 53 2" xfId="30856" xr:uid="{00000000-0005-0000-0000-000096780000}"/>
    <cellStyle name="Suma 2 15 53 3" xfId="30857" xr:uid="{00000000-0005-0000-0000-000097780000}"/>
    <cellStyle name="Suma 2 15 54" xfId="30858" xr:uid="{00000000-0005-0000-0000-000098780000}"/>
    <cellStyle name="Suma 2 15 54 2" xfId="30859" xr:uid="{00000000-0005-0000-0000-000099780000}"/>
    <cellStyle name="Suma 2 15 54 3" xfId="30860" xr:uid="{00000000-0005-0000-0000-00009A780000}"/>
    <cellStyle name="Suma 2 15 55" xfId="30861" xr:uid="{00000000-0005-0000-0000-00009B780000}"/>
    <cellStyle name="Suma 2 15 55 2" xfId="30862" xr:uid="{00000000-0005-0000-0000-00009C780000}"/>
    <cellStyle name="Suma 2 15 55 3" xfId="30863" xr:uid="{00000000-0005-0000-0000-00009D780000}"/>
    <cellStyle name="Suma 2 15 56" xfId="30864" xr:uid="{00000000-0005-0000-0000-00009E780000}"/>
    <cellStyle name="Suma 2 15 56 2" xfId="30865" xr:uid="{00000000-0005-0000-0000-00009F780000}"/>
    <cellStyle name="Suma 2 15 56 3" xfId="30866" xr:uid="{00000000-0005-0000-0000-0000A0780000}"/>
    <cellStyle name="Suma 2 15 57" xfId="30867" xr:uid="{00000000-0005-0000-0000-0000A1780000}"/>
    <cellStyle name="Suma 2 15 58" xfId="30868" xr:uid="{00000000-0005-0000-0000-0000A2780000}"/>
    <cellStyle name="Suma 2 15 6" xfId="30869" xr:uid="{00000000-0005-0000-0000-0000A3780000}"/>
    <cellStyle name="Suma 2 15 6 2" xfId="30870" xr:uid="{00000000-0005-0000-0000-0000A4780000}"/>
    <cellStyle name="Suma 2 15 6 3" xfId="30871" xr:uid="{00000000-0005-0000-0000-0000A5780000}"/>
    <cellStyle name="Suma 2 15 6 4" xfId="30872" xr:uid="{00000000-0005-0000-0000-0000A6780000}"/>
    <cellStyle name="Suma 2 15 7" xfId="30873" xr:uid="{00000000-0005-0000-0000-0000A7780000}"/>
    <cellStyle name="Suma 2 15 7 2" xfId="30874" xr:uid="{00000000-0005-0000-0000-0000A8780000}"/>
    <cellStyle name="Suma 2 15 7 3" xfId="30875" xr:uid="{00000000-0005-0000-0000-0000A9780000}"/>
    <cellStyle name="Suma 2 15 7 4" xfId="30876" xr:uid="{00000000-0005-0000-0000-0000AA780000}"/>
    <cellStyle name="Suma 2 15 8" xfId="30877" xr:uid="{00000000-0005-0000-0000-0000AB780000}"/>
    <cellStyle name="Suma 2 15 8 2" xfId="30878" xr:uid="{00000000-0005-0000-0000-0000AC780000}"/>
    <cellStyle name="Suma 2 15 8 3" xfId="30879" xr:uid="{00000000-0005-0000-0000-0000AD780000}"/>
    <cellStyle name="Suma 2 15 8 4" xfId="30880" xr:uid="{00000000-0005-0000-0000-0000AE780000}"/>
    <cellStyle name="Suma 2 15 9" xfId="30881" xr:uid="{00000000-0005-0000-0000-0000AF780000}"/>
    <cellStyle name="Suma 2 15 9 2" xfId="30882" xr:uid="{00000000-0005-0000-0000-0000B0780000}"/>
    <cellStyle name="Suma 2 15 9 3" xfId="30883" xr:uid="{00000000-0005-0000-0000-0000B1780000}"/>
    <cellStyle name="Suma 2 15 9 4" xfId="30884" xr:uid="{00000000-0005-0000-0000-0000B2780000}"/>
    <cellStyle name="Suma 2 16" xfId="30885" xr:uid="{00000000-0005-0000-0000-0000B3780000}"/>
    <cellStyle name="Suma 2 16 10" xfId="30886" xr:uid="{00000000-0005-0000-0000-0000B4780000}"/>
    <cellStyle name="Suma 2 16 10 2" xfId="30887" xr:uid="{00000000-0005-0000-0000-0000B5780000}"/>
    <cellStyle name="Suma 2 16 10 3" xfId="30888" xr:uid="{00000000-0005-0000-0000-0000B6780000}"/>
    <cellStyle name="Suma 2 16 10 4" xfId="30889" xr:uid="{00000000-0005-0000-0000-0000B7780000}"/>
    <cellStyle name="Suma 2 16 11" xfId="30890" xr:uid="{00000000-0005-0000-0000-0000B8780000}"/>
    <cellStyle name="Suma 2 16 11 2" xfId="30891" xr:uid="{00000000-0005-0000-0000-0000B9780000}"/>
    <cellStyle name="Suma 2 16 11 3" xfId="30892" xr:uid="{00000000-0005-0000-0000-0000BA780000}"/>
    <cellStyle name="Suma 2 16 11 4" xfId="30893" xr:uid="{00000000-0005-0000-0000-0000BB780000}"/>
    <cellStyle name="Suma 2 16 12" xfId="30894" xr:uid="{00000000-0005-0000-0000-0000BC780000}"/>
    <cellStyle name="Suma 2 16 12 2" xfId="30895" xr:uid="{00000000-0005-0000-0000-0000BD780000}"/>
    <cellStyle name="Suma 2 16 12 3" xfId="30896" xr:uid="{00000000-0005-0000-0000-0000BE780000}"/>
    <cellStyle name="Suma 2 16 12 4" xfId="30897" xr:uid="{00000000-0005-0000-0000-0000BF780000}"/>
    <cellStyle name="Suma 2 16 13" xfId="30898" xr:uid="{00000000-0005-0000-0000-0000C0780000}"/>
    <cellStyle name="Suma 2 16 13 2" xfId="30899" xr:uid="{00000000-0005-0000-0000-0000C1780000}"/>
    <cellStyle name="Suma 2 16 13 3" xfId="30900" xr:uid="{00000000-0005-0000-0000-0000C2780000}"/>
    <cellStyle name="Suma 2 16 13 4" xfId="30901" xr:uid="{00000000-0005-0000-0000-0000C3780000}"/>
    <cellStyle name="Suma 2 16 14" xfId="30902" xr:uid="{00000000-0005-0000-0000-0000C4780000}"/>
    <cellStyle name="Suma 2 16 14 2" xfId="30903" xr:uid="{00000000-0005-0000-0000-0000C5780000}"/>
    <cellStyle name="Suma 2 16 14 3" xfId="30904" xr:uid="{00000000-0005-0000-0000-0000C6780000}"/>
    <cellStyle name="Suma 2 16 14 4" xfId="30905" xr:uid="{00000000-0005-0000-0000-0000C7780000}"/>
    <cellStyle name="Suma 2 16 15" xfId="30906" xr:uid="{00000000-0005-0000-0000-0000C8780000}"/>
    <cellStyle name="Suma 2 16 15 2" xfId="30907" xr:uid="{00000000-0005-0000-0000-0000C9780000}"/>
    <cellStyle name="Suma 2 16 15 3" xfId="30908" xr:uid="{00000000-0005-0000-0000-0000CA780000}"/>
    <cellStyle name="Suma 2 16 15 4" xfId="30909" xr:uid="{00000000-0005-0000-0000-0000CB780000}"/>
    <cellStyle name="Suma 2 16 16" xfId="30910" xr:uid="{00000000-0005-0000-0000-0000CC780000}"/>
    <cellStyle name="Suma 2 16 16 2" xfId="30911" xr:uid="{00000000-0005-0000-0000-0000CD780000}"/>
    <cellStyle name="Suma 2 16 16 3" xfId="30912" xr:uid="{00000000-0005-0000-0000-0000CE780000}"/>
    <cellStyle name="Suma 2 16 16 4" xfId="30913" xr:uid="{00000000-0005-0000-0000-0000CF780000}"/>
    <cellStyle name="Suma 2 16 17" xfId="30914" xr:uid="{00000000-0005-0000-0000-0000D0780000}"/>
    <cellStyle name="Suma 2 16 17 2" xfId="30915" xr:uid="{00000000-0005-0000-0000-0000D1780000}"/>
    <cellStyle name="Suma 2 16 17 3" xfId="30916" xr:uid="{00000000-0005-0000-0000-0000D2780000}"/>
    <cellStyle name="Suma 2 16 17 4" xfId="30917" xr:uid="{00000000-0005-0000-0000-0000D3780000}"/>
    <cellStyle name="Suma 2 16 18" xfId="30918" xr:uid="{00000000-0005-0000-0000-0000D4780000}"/>
    <cellStyle name="Suma 2 16 18 2" xfId="30919" xr:uid="{00000000-0005-0000-0000-0000D5780000}"/>
    <cellStyle name="Suma 2 16 18 3" xfId="30920" xr:uid="{00000000-0005-0000-0000-0000D6780000}"/>
    <cellStyle name="Suma 2 16 18 4" xfId="30921" xr:uid="{00000000-0005-0000-0000-0000D7780000}"/>
    <cellStyle name="Suma 2 16 19" xfId="30922" xr:uid="{00000000-0005-0000-0000-0000D8780000}"/>
    <cellStyle name="Suma 2 16 19 2" xfId="30923" xr:uid="{00000000-0005-0000-0000-0000D9780000}"/>
    <cellStyle name="Suma 2 16 19 3" xfId="30924" xr:uid="{00000000-0005-0000-0000-0000DA780000}"/>
    <cellStyle name="Suma 2 16 19 4" xfId="30925" xr:uid="{00000000-0005-0000-0000-0000DB780000}"/>
    <cellStyle name="Suma 2 16 2" xfId="30926" xr:uid="{00000000-0005-0000-0000-0000DC780000}"/>
    <cellStyle name="Suma 2 16 2 2" xfId="30927" xr:uid="{00000000-0005-0000-0000-0000DD780000}"/>
    <cellStyle name="Suma 2 16 2 3" xfId="30928" xr:uid="{00000000-0005-0000-0000-0000DE780000}"/>
    <cellStyle name="Suma 2 16 2 4" xfId="30929" xr:uid="{00000000-0005-0000-0000-0000DF780000}"/>
    <cellStyle name="Suma 2 16 20" xfId="30930" xr:uid="{00000000-0005-0000-0000-0000E0780000}"/>
    <cellStyle name="Suma 2 16 20 2" xfId="30931" xr:uid="{00000000-0005-0000-0000-0000E1780000}"/>
    <cellStyle name="Suma 2 16 20 3" xfId="30932" xr:uid="{00000000-0005-0000-0000-0000E2780000}"/>
    <cellStyle name="Suma 2 16 20 4" xfId="30933" xr:uid="{00000000-0005-0000-0000-0000E3780000}"/>
    <cellStyle name="Suma 2 16 21" xfId="30934" xr:uid="{00000000-0005-0000-0000-0000E4780000}"/>
    <cellStyle name="Suma 2 16 21 2" xfId="30935" xr:uid="{00000000-0005-0000-0000-0000E5780000}"/>
    <cellStyle name="Suma 2 16 21 3" xfId="30936" xr:uid="{00000000-0005-0000-0000-0000E6780000}"/>
    <cellStyle name="Suma 2 16 22" xfId="30937" xr:uid="{00000000-0005-0000-0000-0000E7780000}"/>
    <cellStyle name="Suma 2 16 22 2" xfId="30938" xr:uid="{00000000-0005-0000-0000-0000E8780000}"/>
    <cellStyle name="Suma 2 16 22 3" xfId="30939" xr:uid="{00000000-0005-0000-0000-0000E9780000}"/>
    <cellStyle name="Suma 2 16 23" xfId="30940" xr:uid="{00000000-0005-0000-0000-0000EA780000}"/>
    <cellStyle name="Suma 2 16 23 2" xfId="30941" xr:uid="{00000000-0005-0000-0000-0000EB780000}"/>
    <cellStyle name="Suma 2 16 23 3" xfId="30942" xr:uid="{00000000-0005-0000-0000-0000EC780000}"/>
    <cellStyle name="Suma 2 16 24" xfId="30943" xr:uid="{00000000-0005-0000-0000-0000ED780000}"/>
    <cellStyle name="Suma 2 16 24 2" xfId="30944" xr:uid="{00000000-0005-0000-0000-0000EE780000}"/>
    <cellStyle name="Suma 2 16 24 3" xfId="30945" xr:uid="{00000000-0005-0000-0000-0000EF780000}"/>
    <cellStyle name="Suma 2 16 25" xfId="30946" xr:uid="{00000000-0005-0000-0000-0000F0780000}"/>
    <cellStyle name="Suma 2 16 25 2" xfId="30947" xr:uid="{00000000-0005-0000-0000-0000F1780000}"/>
    <cellStyle name="Suma 2 16 25 3" xfId="30948" xr:uid="{00000000-0005-0000-0000-0000F2780000}"/>
    <cellStyle name="Suma 2 16 26" xfId="30949" xr:uid="{00000000-0005-0000-0000-0000F3780000}"/>
    <cellStyle name="Suma 2 16 26 2" xfId="30950" xr:uid="{00000000-0005-0000-0000-0000F4780000}"/>
    <cellStyle name="Suma 2 16 26 3" xfId="30951" xr:uid="{00000000-0005-0000-0000-0000F5780000}"/>
    <cellStyle name="Suma 2 16 27" xfId="30952" xr:uid="{00000000-0005-0000-0000-0000F6780000}"/>
    <cellStyle name="Suma 2 16 27 2" xfId="30953" xr:uid="{00000000-0005-0000-0000-0000F7780000}"/>
    <cellStyle name="Suma 2 16 27 3" xfId="30954" xr:uid="{00000000-0005-0000-0000-0000F8780000}"/>
    <cellStyle name="Suma 2 16 28" xfId="30955" xr:uid="{00000000-0005-0000-0000-0000F9780000}"/>
    <cellStyle name="Suma 2 16 28 2" xfId="30956" xr:uid="{00000000-0005-0000-0000-0000FA780000}"/>
    <cellStyle name="Suma 2 16 28 3" xfId="30957" xr:uid="{00000000-0005-0000-0000-0000FB780000}"/>
    <cellStyle name="Suma 2 16 29" xfId="30958" xr:uid="{00000000-0005-0000-0000-0000FC780000}"/>
    <cellStyle name="Suma 2 16 29 2" xfId="30959" xr:uid="{00000000-0005-0000-0000-0000FD780000}"/>
    <cellStyle name="Suma 2 16 29 3" xfId="30960" xr:uid="{00000000-0005-0000-0000-0000FE780000}"/>
    <cellStyle name="Suma 2 16 3" xfId="30961" xr:uid="{00000000-0005-0000-0000-0000FF780000}"/>
    <cellStyle name="Suma 2 16 3 2" xfId="30962" xr:uid="{00000000-0005-0000-0000-000000790000}"/>
    <cellStyle name="Suma 2 16 3 3" xfId="30963" xr:uid="{00000000-0005-0000-0000-000001790000}"/>
    <cellStyle name="Suma 2 16 3 4" xfId="30964" xr:uid="{00000000-0005-0000-0000-000002790000}"/>
    <cellStyle name="Suma 2 16 30" xfId="30965" xr:uid="{00000000-0005-0000-0000-000003790000}"/>
    <cellStyle name="Suma 2 16 30 2" xfId="30966" xr:uid="{00000000-0005-0000-0000-000004790000}"/>
    <cellStyle name="Suma 2 16 30 3" xfId="30967" xr:uid="{00000000-0005-0000-0000-000005790000}"/>
    <cellStyle name="Suma 2 16 31" xfId="30968" xr:uid="{00000000-0005-0000-0000-000006790000}"/>
    <cellStyle name="Suma 2 16 31 2" xfId="30969" xr:uid="{00000000-0005-0000-0000-000007790000}"/>
    <cellStyle name="Suma 2 16 31 3" xfId="30970" xr:uid="{00000000-0005-0000-0000-000008790000}"/>
    <cellStyle name="Suma 2 16 32" xfId="30971" xr:uid="{00000000-0005-0000-0000-000009790000}"/>
    <cellStyle name="Suma 2 16 32 2" xfId="30972" xr:uid="{00000000-0005-0000-0000-00000A790000}"/>
    <cellStyle name="Suma 2 16 32 3" xfId="30973" xr:uid="{00000000-0005-0000-0000-00000B790000}"/>
    <cellStyle name="Suma 2 16 33" xfId="30974" xr:uid="{00000000-0005-0000-0000-00000C790000}"/>
    <cellStyle name="Suma 2 16 33 2" xfId="30975" xr:uid="{00000000-0005-0000-0000-00000D790000}"/>
    <cellStyle name="Suma 2 16 33 3" xfId="30976" xr:uid="{00000000-0005-0000-0000-00000E790000}"/>
    <cellStyle name="Suma 2 16 34" xfId="30977" xr:uid="{00000000-0005-0000-0000-00000F790000}"/>
    <cellStyle name="Suma 2 16 34 2" xfId="30978" xr:uid="{00000000-0005-0000-0000-000010790000}"/>
    <cellStyle name="Suma 2 16 34 3" xfId="30979" xr:uid="{00000000-0005-0000-0000-000011790000}"/>
    <cellStyle name="Suma 2 16 35" xfId="30980" xr:uid="{00000000-0005-0000-0000-000012790000}"/>
    <cellStyle name="Suma 2 16 35 2" xfId="30981" xr:uid="{00000000-0005-0000-0000-000013790000}"/>
    <cellStyle name="Suma 2 16 35 3" xfId="30982" xr:uid="{00000000-0005-0000-0000-000014790000}"/>
    <cellStyle name="Suma 2 16 36" xfId="30983" xr:uid="{00000000-0005-0000-0000-000015790000}"/>
    <cellStyle name="Suma 2 16 36 2" xfId="30984" xr:uid="{00000000-0005-0000-0000-000016790000}"/>
    <cellStyle name="Suma 2 16 36 3" xfId="30985" xr:uid="{00000000-0005-0000-0000-000017790000}"/>
    <cellStyle name="Suma 2 16 37" xfId="30986" xr:uid="{00000000-0005-0000-0000-000018790000}"/>
    <cellStyle name="Suma 2 16 37 2" xfId="30987" xr:uid="{00000000-0005-0000-0000-000019790000}"/>
    <cellStyle name="Suma 2 16 37 3" xfId="30988" xr:uid="{00000000-0005-0000-0000-00001A790000}"/>
    <cellStyle name="Suma 2 16 38" xfId="30989" xr:uid="{00000000-0005-0000-0000-00001B790000}"/>
    <cellStyle name="Suma 2 16 38 2" xfId="30990" xr:uid="{00000000-0005-0000-0000-00001C790000}"/>
    <cellStyle name="Suma 2 16 38 3" xfId="30991" xr:uid="{00000000-0005-0000-0000-00001D790000}"/>
    <cellStyle name="Suma 2 16 39" xfId="30992" xr:uid="{00000000-0005-0000-0000-00001E790000}"/>
    <cellStyle name="Suma 2 16 39 2" xfId="30993" xr:uid="{00000000-0005-0000-0000-00001F790000}"/>
    <cellStyle name="Suma 2 16 39 3" xfId="30994" xr:uid="{00000000-0005-0000-0000-000020790000}"/>
    <cellStyle name="Suma 2 16 4" xfId="30995" xr:uid="{00000000-0005-0000-0000-000021790000}"/>
    <cellStyle name="Suma 2 16 4 2" xfId="30996" xr:uid="{00000000-0005-0000-0000-000022790000}"/>
    <cellStyle name="Suma 2 16 4 3" xfId="30997" xr:uid="{00000000-0005-0000-0000-000023790000}"/>
    <cellStyle name="Suma 2 16 4 4" xfId="30998" xr:uid="{00000000-0005-0000-0000-000024790000}"/>
    <cellStyle name="Suma 2 16 40" xfId="30999" xr:uid="{00000000-0005-0000-0000-000025790000}"/>
    <cellStyle name="Suma 2 16 40 2" xfId="31000" xr:uid="{00000000-0005-0000-0000-000026790000}"/>
    <cellStyle name="Suma 2 16 40 3" xfId="31001" xr:uid="{00000000-0005-0000-0000-000027790000}"/>
    <cellStyle name="Suma 2 16 41" xfId="31002" xr:uid="{00000000-0005-0000-0000-000028790000}"/>
    <cellStyle name="Suma 2 16 41 2" xfId="31003" xr:uid="{00000000-0005-0000-0000-000029790000}"/>
    <cellStyle name="Suma 2 16 41 3" xfId="31004" xr:uid="{00000000-0005-0000-0000-00002A790000}"/>
    <cellStyle name="Suma 2 16 42" xfId="31005" xr:uid="{00000000-0005-0000-0000-00002B790000}"/>
    <cellStyle name="Suma 2 16 42 2" xfId="31006" xr:uid="{00000000-0005-0000-0000-00002C790000}"/>
    <cellStyle name="Suma 2 16 42 3" xfId="31007" xr:uid="{00000000-0005-0000-0000-00002D790000}"/>
    <cellStyle name="Suma 2 16 43" xfId="31008" xr:uid="{00000000-0005-0000-0000-00002E790000}"/>
    <cellStyle name="Suma 2 16 43 2" xfId="31009" xr:uid="{00000000-0005-0000-0000-00002F790000}"/>
    <cellStyle name="Suma 2 16 43 3" xfId="31010" xr:uid="{00000000-0005-0000-0000-000030790000}"/>
    <cellStyle name="Suma 2 16 44" xfId="31011" xr:uid="{00000000-0005-0000-0000-000031790000}"/>
    <cellStyle name="Suma 2 16 44 2" xfId="31012" xr:uid="{00000000-0005-0000-0000-000032790000}"/>
    <cellStyle name="Suma 2 16 44 3" xfId="31013" xr:uid="{00000000-0005-0000-0000-000033790000}"/>
    <cellStyle name="Suma 2 16 45" xfId="31014" xr:uid="{00000000-0005-0000-0000-000034790000}"/>
    <cellStyle name="Suma 2 16 45 2" xfId="31015" xr:uid="{00000000-0005-0000-0000-000035790000}"/>
    <cellStyle name="Suma 2 16 45 3" xfId="31016" xr:uid="{00000000-0005-0000-0000-000036790000}"/>
    <cellStyle name="Suma 2 16 46" xfId="31017" xr:uid="{00000000-0005-0000-0000-000037790000}"/>
    <cellStyle name="Suma 2 16 46 2" xfId="31018" xr:uid="{00000000-0005-0000-0000-000038790000}"/>
    <cellStyle name="Suma 2 16 46 3" xfId="31019" xr:uid="{00000000-0005-0000-0000-000039790000}"/>
    <cellStyle name="Suma 2 16 47" xfId="31020" xr:uid="{00000000-0005-0000-0000-00003A790000}"/>
    <cellStyle name="Suma 2 16 47 2" xfId="31021" xr:uid="{00000000-0005-0000-0000-00003B790000}"/>
    <cellStyle name="Suma 2 16 47 3" xfId="31022" xr:uid="{00000000-0005-0000-0000-00003C790000}"/>
    <cellStyle name="Suma 2 16 48" xfId="31023" xr:uid="{00000000-0005-0000-0000-00003D790000}"/>
    <cellStyle name="Suma 2 16 48 2" xfId="31024" xr:uid="{00000000-0005-0000-0000-00003E790000}"/>
    <cellStyle name="Suma 2 16 48 3" xfId="31025" xr:uid="{00000000-0005-0000-0000-00003F790000}"/>
    <cellStyle name="Suma 2 16 49" xfId="31026" xr:uid="{00000000-0005-0000-0000-000040790000}"/>
    <cellStyle name="Suma 2 16 49 2" xfId="31027" xr:uid="{00000000-0005-0000-0000-000041790000}"/>
    <cellStyle name="Suma 2 16 49 3" xfId="31028" xr:uid="{00000000-0005-0000-0000-000042790000}"/>
    <cellStyle name="Suma 2 16 5" xfId="31029" xr:uid="{00000000-0005-0000-0000-000043790000}"/>
    <cellStyle name="Suma 2 16 5 2" xfId="31030" xr:uid="{00000000-0005-0000-0000-000044790000}"/>
    <cellStyle name="Suma 2 16 5 3" xfId="31031" xr:uid="{00000000-0005-0000-0000-000045790000}"/>
    <cellStyle name="Suma 2 16 5 4" xfId="31032" xr:uid="{00000000-0005-0000-0000-000046790000}"/>
    <cellStyle name="Suma 2 16 50" xfId="31033" xr:uid="{00000000-0005-0000-0000-000047790000}"/>
    <cellStyle name="Suma 2 16 50 2" xfId="31034" xr:uid="{00000000-0005-0000-0000-000048790000}"/>
    <cellStyle name="Suma 2 16 50 3" xfId="31035" xr:uid="{00000000-0005-0000-0000-000049790000}"/>
    <cellStyle name="Suma 2 16 51" xfId="31036" xr:uid="{00000000-0005-0000-0000-00004A790000}"/>
    <cellStyle name="Suma 2 16 51 2" xfId="31037" xr:uid="{00000000-0005-0000-0000-00004B790000}"/>
    <cellStyle name="Suma 2 16 51 3" xfId="31038" xr:uid="{00000000-0005-0000-0000-00004C790000}"/>
    <cellStyle name="Suma 2 16 52" xfId="31039" xr:uid="{00000000-0005-0000-0000-00004D790000}"/>
    <cellStyle name="Suma 2 16 52 2" xfId="31040" xr:uid="{00000000-0005-0000-0000-00004E790000}"/>
    <cellStyle name="Suma 2 16 52 3" xfId="31041" xr:uid="{00000000-0005-0000-0000-00004F790000}"/>
    <cellStyle name="Suma 2 16 53" xfId="31042" xr:uid="{00000000-0005-0000-0000-000050790000}"/>
    <cellStyle name="Suma 2 16 53 2" xfId="31043" xr:uid="{00000000-0005-0000-0000-000051790000}"/>
    <cellStyle name="Suma 2 16 53 3" xfId="31044" xr:uid="{00000000-0005-0000-0000-000052790000}"/>
    <cellStyle name="Suma 2 16 54" xfId="31045" xr:uid="{00000000-0005-0000-0000-000053790000}"/>
    <cellStyle name="Suma 2 16 54 2" xfId="31046" xr:uid="{00000000-0005-0000-0000-000054790000}"/>
    <cellStyle name="Suma 2 16 54 3" xfId="31047" xr:uid="{00000000-0005-0000-0000-000055790000}"/>
    <cellStyle name="Suma 2 16 55" xfId="31048" xr:uid="{00000000-0005-0000-0000-000056790000}"/>
    <cellStyle name="Suma 2 16 55 2" xfId="31049" xr:uid="{00000000-0005-0000-0000-000057790000}"/>
    <cellStyle name="Suma 2 16 55 3" xfId="31050" xr:uid="{00000000-0005-0000-0000-000058790000}"/>
    <cellStyle name="Suma 2 16 56" xfId="31051" xr:uid="{00000000-0005-0000-0000-000059790000}"/>
    <cellStyle name="Suma 2 16 56 2" xfId="31052" xr:uid="{00000000-0005-0000-0000-00005A790000}"/>
    <cellStyle name="Suma 2 16 56 3" xfId="31053" xr:uid="{00000000-0005-0000-0000-00005B790000}"/>
    <cellStyle name="Suma 2 16 57" xfId="31054" xr:uid="{00000000-0005-0000-0000-00005C790000}"/>
    <cellStyle name="Suma 2 16 58" xfId="31055" xr:uid="{00000000-0005-0000-0000-00005D790000}"/>
    <cellStyle name="Suma 2 16 6" xfId="31056" xr:uid="{00000000-0005-0000-0000-00005E790000}"/>
    <cellStyle name="Suma 2 16 6 2" xfId="31057" xr:uid="{00000000-0005-0000-0000-00005F790000}"/>
    <cellStyle name="Suma 2 16 6 3" xfId="31058" xr:uid="{00000000-0005-0000-0000-000060790000}"/>
    <cellStyle name="Suma 2 16 6 4" xfId="31059" xr:uid="{00000000-0005-0000-0000-000061790000}"/>
    <cellStyle name="Suma 2 16 7" xfId="31060" xr:uid="{00000000-0005-0000-0000-000062790000}"/>
    <cellStyle name="Suma 2 16 7 2" xfId="31061" xr:uid="{00000000-0005-0000-0000-000063790000}"/>
    <cellStyle name="Suma 2 16 7 3" xfId="31062" xr:uid="{00000000-0005-0000-0000-000064790000}"/>
    <cellStyle name="Suma 2 16 7 4" xfId="31063" xr:uid="{00000000-0005-0000-0000-000065790000}"/>
    <cellStyle name="Suma 2 16 8" xfId="31064" xr:uid="{00000000-0005-0000-0000-000066790000}"/>
    <cellStyle name="Suma 2 16 8 2" xfId="31065" xr:uid="{00000000-0005-0000-0000-000067790000}"/>
    <cellStyle name="Suma 2 16 8 3" xfId="31066" xr:uid="{00000000-0005-0000-0000-000068790000}"/>
    <cellStyle name="Suma 2 16 8 4" xfId="31067" xr:uid="{00000000-0005-0000-0000-000069790000}"/>
    <cellStyle name="Suma 2 16 9" xfId="31068" xr:uid="{00000000-0005-0000-0000-00006A790000}"/>
    <cellStyle name="Suma 2 16 9 2" xfId="31069" xr:uid="{00000000-0005-0000-0000-00006B790000}"/>
    <cellStyle name="Suma 2 16 9 3" xfId="31070" xr:uid="{00000000-0005-0000-0000-00006C790000}"/>
    <cellStyle name="Suma 2 16 9 4" xfId="31071" xr:uid="{00000000-0005-0000-0000-00006D790000}"/>
    <cellStyle name="Suma 2 17" xfId="31072" xr:uid="{00000000-0005-0000-0000-00006E790000}"/>
    <cellStyle name="Suma 2 17 10" xfId="31073" xr:uid="{00000000-0005-0000-0000-00006F790000}"/>
    <cellStyle name="Suma 2 17 10 2" xfId="31074" xr:uid="{00000000-0005-0000-0000-000070790000}"/>
    <cellStyle name="Suma 2 17 10 3" xfId="31075" xr:uid="{00000000-0005-0000-0000-000071790000}"/>
    <cellStyle name="Suma 2 17 10 4" xfId="31076" xr:uid="{00000000-0005-0000-0000-000072790000}"/>
    <cellStyle name="Suma 2 17 11" xfId="31077" xr:uid="{00000000-0005-0000-0000-000073790000}"/>
    <cellStyle name="Suma 2 17 11 2" xfId="31078" xr:uid="{00000000-0005-0000-0000-000074790000}"/>
    <cellStyle name="Suma 2 17 11 3" xfId="31079" xr:uid="{00000000-0005-0000-0000-000075790000}"/>
    <cellStyle name="Suma 2 17 11 4" xfId="31080" xr:uid="{00000000-0005-0000-0000-000076790000}"/>
    <cellStyle name="Suma 2 17 12" xfId="31081" xr:uid="{00000000-0005-0000-0000-000077790000}"/>
    <cellStyle name="Suma 2 17 12 2" xfId="31082" xr:uid="{00000000-0005-0000-0000-000078790000}"/>
    <cellStyle name="Suma 2 17 12 3" xfId="31083" xr:uid="{00000000-0005-0000-0000-000079790000}"/>
    <cellStyle name="Suma 2 17 12 4" xfId="31084" xr:uid="{00000000-0005-0000-0000-00007A790000}"/>
    <cellStyle name="Suma 2 17 13" xfId="31085" xr:uid="{00000000-0005-0000-0000-00007B790000}"/>
    <cellStyle name="Suma 2 17 13 2" xfId="31086" xr:uid="{00000000-0005-0000-0000-00007C790000}"/>
    <cellStyle name="Suma 2 17 13 3" xfId="31087" xr:uid="{00000000-0005-0000-0000-00007D790000}"/>
    <cellStyle name="Suma 2 17 13 4" xfId="31088" xr:uid="{00000000-0005-0000-0000-00007E790000}"/>
    <cellStyle name="Suma 2 17 14" xfId="31089" xr:uid="{00000000-0005-0000-0000-00007F790000}"/>
    <cellStyle name="Suma 2 17 14 2" xfId="31090" xr:uid="{00000000-0005-0000-0000-000080790000}"/>
    <cellStyle name="Suma 2 17 14 3" xfId="31091" xr:uid="{00000000-0005-0000-0000-000081790000}"/>
    <cellStyle name="Suma 2 17 14 4" xfId="31092" xr:uid="{00000000-0005-0000-0000-000082790000}"/>
    <cellStyle name="Suma 2 17 15" xfId="31093" xr:uid="{00000000-0005-0000-0000-000083790000}"/>
    <cellStyle name="Suma 2 17 15 2" xfId="31094" xr:uid="{00000000-0005-0000-0000-000084790000}"/>
    <cellStyle name="Suma 2 17 15 3" xfId="31095" xr:uid="{00000000-0005-0000-0000-000085790000}"/>
    <cellStyle name="Suma 2 17 15 4" xfId="31096" xr:uid="{00000000-0005-0000-0000-000086790000}"/>
    <cellStyle name="Suma 2 17 16" xfId="31097" xr:uid="{00000000-0005-0000-0000-000087790000}"/>
    <cellStyle name="Suma 2 17 16 2" xfId="31098" xr:uid="{00000000-0005-0000-0000-000088790000}"/>
    <cellStyle name="Suma 2 17 16 3" xfId="31099" xr:uid="{00000000-0005-0000-0000-000089790000}"/>
    <cellStyle name="Suma 2 17 16 4" xfId="31100" xr:uid="{00000000-0005-0000-0000-00008A790000}"/>
    <cellStyle name="Suma 2 17 17" xfId="31101" xr:uid="{00000000-0005-0000-0000-00008B790000}"/>
    <cellStyle name="Suma 2 17 17 2" xfId="31102" xr:uid="{00000000-0005-0000-0000-00008C790000}"/>
    <cellStyle name="Suma 2 17 17 3" xfId="31103" xr:uid="{00000000-0005-0000-0000-00008D790000}"/>
    <cellStyle name="Suma 2 17 17 4" xfId="31104" xr:uid="{00000000-0005-0000-0000-00008E790000}"/>
    <cellStyle name="Suma 2 17 18" xfId="31105" xr:uid="{00000000-0005-0000-0000-00008F790000}"/>
    <cellStyle name="Suma 2 17 18 2" xfId="31106" xr:uid="{00000000-0005-0000-0000-000090790000}"/>
    <cellStyle name="Suma 2 17 18 3" xfId="31107" xr:uid="{00000000-0005-0000-0000-000091790000}"/>
    <cellStyle name="Suma 2 17 18 4" xfId="31108" xr:uid="{00000000-0005-0000-0000-000092790000}"/>
    <cellStyle name="Suma 2 17 19" xfId="31109" xr:uid="{00000000-0005-0000-0000-000093790000}"/>
    <cellStyle name="Suma 2 17 19 2" xfId="31110" xr:uid="{00000000-0005-0000-0000-000094790000}"/>
    <cellStyle name="Suma 2 17 19 3" xfId="31111" xr:uid="{00000000-0005-0000-0000-000095790000}"/>
    <cellStyle name="Suma 2 17 19 4" xfId="31112" xr:uid="{00000000-0005-0000-0000-000096790000}"/>
    <cellStyle name="Suma 2 17 2" xfId="31113" xr:uid="{00000000-0005-0000-0000-000097790000}"/>
    <cellStyle name="Suma 2 17 2 2" xfId="31114" xr:uid="{00000000-0005-0000-0000-000098790000}"/>
    <cellStyle name="Suma 2 17 2 3" xfId="31115" xr:uid="{00000000-0005-0000-0000-000099790000}"/>
    <cellStyle name="Suma 2 17 2 4" xfId="31116" xr:uid="{00000000-0005-0000-0000-00009A790000}"/>
    <cellStyle name="Suma 2 17 20" xfId="31117" xr:uid="{00000000-0005-0000-0000-00009B790000}"/>
    <cellStyle name="Suma 2 17 20 2" xfId="31118" xr:uid="{00000000-0005-0000-0000-00009C790000}"/>
    <cellStyle name="Suma 2 17 20 3" xfId="31119" xr:uid="{00000000-0005-0000-0000-00009D790000}"/>
    <cellStyle name="Suma 2 17 20 4" xfId="31120" xr:uid="{00000000-0005-0000-0000-00009E790000}"/>
    <cellStyle name="Suma 2 17 21" xfId="31121" xr:uid="{00000000-0005-0000-0000-00009F790000}"/>
    <cellStyle name="Suma 2 17 21 2" xfId="31122" xr:uid="{00000000-0005-0000-0000-0000A0790000}"/>
    <cellStyle name="Suma 2 17 21 3" xfId="31123" xr:uid="{00000000-0005-0000-0000-0000A1790000}"/>
    <cellStyle name="Suma 2 17 22" xfId="31124" xr:uid="{00000000-0005-0000-0000-0000A2790000}"/>
    <cellStyle name="Suma 2 17 22 2" xfId="31125" xr:uid="{00000000-0005-0000-0000-0000A3790000}"/>
    <cellStyle name="Suma 2 17 22 3" xfId="31126" xr:uid="{00000000-0005-0000-0000-0000A4790000}"/>
    <cellStyle name="Suma 2 17 23" xfId="31127" xr:uid="{00000000-0005-0000-0000-0000A5790000}"/>
    <cellStyle name="Suma 2 17 23 2" xfId="31128" xr:uid="{00000000-0005-0000-0000-0000A6790000}"/>
    <cellStyle name="Suma 2 17 23 3" xfId="31129" xr:uid="{00000000-0005-0000-0000-0000A7790000}"/>
    <cellStyle name="Suma 2 17 24" xfId="31130" xr:uid="{00000000-0005-0000-0000-0000A8790000}"/>
    <cellStyle name="Suma 2 17 24 2" xfId="31131" xr:uid="{00000000-0005-0000-0000-0000A9790000}"/>
    <cellStyle name="Suma 2 17 24 3" xfId="31132" xr:uid="{00000000-0005-0000-0000-0000AA790000}"/>
    <cellStyle name="Suma 2 17 25" xfId="31133" xr:uid="{00000000-0005-0000-0000-0000AB790000}"/>
    <cellStyle name="Suma 2 17 25 2" xfId="31134" xr:uid="{00000000-0005-0000-0000-0000AC790000}"/>
    <cellStyle name="Suma 2 17 25 3" xfId="31135" xr:uid="{00000000-0005-0000-0000-0000AD790000}"/>
    <cellStyle name="Suma 2 17 26" xfId="31136" xr:uid="{00000000-0005-0000-0000-0000AE790000}"/>
    <cellStyle name="Suma 2 17 26 2" xfId="31137" xr:uid="{00000000-0005-0000-0000-0000AF790000}"/>
    <cellStyle name="Suma 2 17 26 3" xfId="31138" xr:uid="{00000000-0005-0000-0000-0000B0790000}"/>
    <cellStyle name="Suma 2 17 27" xfId="31139" xr:uid="{00000000-0005-0000-0000-0000B1790000}"/>
    <cellStyle name="Suma 2 17 27 2" xfId="31140" xr:uid="{00000000-0005-0000-0000-0000B2790000}"/>
    <cellStyle name="Suma 2 17 27 3" xfId="31141" xr:uid="{00000000-0005-0000-0000-0000B3790000}"/>
    <cellStyle name="Suma 2 17 28" xfId="31142" xr:uid="{00000000-0005-0000-0000-0000B4790000}"/>
    <cellStyle name="Suma 2 17 28 2" xfId="31143" xr:uid="{00000000-0005-0000-0000-0000B5790000}"/>
    <cellStyle name="Suma 2 17 28 3" xfId="31144" xr:uid="{00000000-0005-0000-0000-0000B6790000}"/>
    <cellStyle name="Suma 2 17 29" xfId="31145" xr:uid="{00000000-0005-0000-0000-0000B7790000}"/>
    <cellStyle name="Suma 2 17 29 2" xfId="31146" xr:uid="{00000000-0005-0000-0000-0000B8790000}"/>
    <cellStyle name="Suma 2 17 29 3" xfId="31147" xr:uid="{00000000-0005-0000-0000-0000B9790000}"/>
    <cellStyle name="Suma 2 17 3" xfId="31148" xr:uid="{00000000-0005-0000-0000-0000BA790000}"/>
    <cellStyle name="Suma 2 17 3 2" xfId="31149" xr:uid="{00000000-0005-0000-0000-0000BB790000}"/>
    <cellStyle name="Suma 2 17 3 3" xfId="31150" xr:uid="{00000000-0005-0000-0000-0000BC790000}"/>
    <cellStyle name="Suma 2 17 3 4" xfId="31151" xr:uid="{00000000-0005-0000-0000-0000BD790000}"/>
    <cellStyle name="Suma 2 17 30" xfId="31152" xr:uid="{00000000-0005-0000-0000-0000BE790000}"/>
    <cellStyle name="Suma 2 17 30 2" xfId="31153" xr:uid="{00000000-0005-0000-0000-0000BF790000}"/>
    <cellStyle name="Suma 2 17 30 3" xfId="31154" xr:uid="{00000000-0005-0000-0000-0000C0790000}"/>
    <cellStyle name="Suma 2 17 31" xfId="31155" xr:uid="{00000000-0005-0000-0000-0000C1790000}"/>
    <cellStyle name="Suma 2 17 31 2" xfId="31156" xr:uid="{00000000-0005-0000-0000-0000C2790000}"/>
    <cellStyle name="Suma 2 17 31 3" xfId="31157" xr:uid="{00000000-0005-0000-0000-0000C3790000}"/>
    <cellStyle name="Suma 2 17 32" xfId="31158" xr:uid="{00000000-0005-0000-0000-0000C4790000}"/>
    <cellStyle name="Suma 2 17 32 2" xfId="31159" xr:uid="{00000000-0005-0000-0000-0000C5790000}"/>
    <cellStyle name="Suma 2 17 32 3" xfId="31160" xr:uid="{00000000-0005-0000-0000-0000C6790000}"/>
    <cellStyle name="Suma 2 17 33" xfId="31161" xr:uid="{00000000-0005-0000-0000-0000C7790000}"/>
    <cellStyle name="Suma 2 17 33 2" xfId="31162" xr:uid="{00000000-0005-0000-0000-0000C8790000}"/>
    <cellStyle name="Suma 2 17 33 3" xfId="31163" xr:uid="{00000000-0005-0000-0000-0000C9790000}"/>
    <cellStyle name="Suma 2 17 34" xfId="31164" xr:uid="{00000000-0005-0000-0000-0000CA790000}"/>
    <cellStyle name="Suma 2 17 34 2" xfId="31165" xr:uid="{00000000-0005-0000-0000-0000CB790000}"/>
    <cellStyle name="Suma 2 17 34 3" xfId="31166" xr:uid="{00000000-0005-0000-0000-0000CC790000}"/>
    <cellStyle name="Suma 2 17 35" xfId="31167" xr:uid="{00000000-0005-0000-0000-0000CD790000}"/>
    <cellStyle name="Suma 2 17 35 2" xfId="31168" xr:uid="{00000000-0005-0000-0000-0000CE790000}"/>
    <cellStyle name="Suma 2 17 35 3" xfId="31169" xr:uid="{00000000-0005-0000-0000-0000CF790000}"/>
    <cellStyle name="Suma 2 17 36" xfId="31170" xr:uid="{00000000-0005-0000-0000-0000D0790000}"/>
    <cellStyle name="Suma 2 17 36 2" xfId="31171" xr:uid="{00000000-0005-0000-0000-0000D1790000}"/>
    <cellStyle name="Suma 2 17 36 3" xfId="31172" xr:uid="{00000000-0005-0000-0000-0000D2790000}"/>
    <cellStyle name="Suma 2 17 37" xfId="31173" xr:uid="{00000000-0005-0000-0000-0000D3790000}"/>
    <cellStyle name="Suma 2 17 37 2" xfId="31174" xr:uid="{00000000-0005-0000-0000-0000D4790000}"/>
    <cellStyle name="Suma 2 17 37 3" xfId="31175" xr:uid="{00000000-0005-0000-0000-0000D5790000}"/>
    <cellStyle name="Suma 2 17 38" xfId="31176" xr:uid="{00000000-0005-0000-0000-0000D6790000}"/>
    <cellStyle name="Suma 2 17 38 2" xfId="31177" xr:uid="{00000000-0005-0000-0000-0000D7790000}"/>
    <cellStyle name="Suma 2 17 38 3" xfId="31178" xr:uid="{00000000-0005-0000-0000-0000D8790000}"/>
    <cellStyle name="Suma 2 17 39" xfId="31179" xr:uid="{00000000-0005-0000-0000-0000D9790000}"/>
    <cellStyle name="Suma 2 17 39 2" xfId="31180" xr:uid="{00000000-0005-0000-0000-0000DA790000}"/>
    <cellStyle name="Suma 2 17 39 3" xfId="31181" xr:uid="{00000000-0005-0000-0000-0000DB790000}"/>
    <cellStyle name="Suma 2 17 4" xfId="31182" xr:uid="{00000000-0005-0000-0000-0000DC790000}"/>
    <cellStyle name="Suma 2 17 4 2" xfId="31183" xr:uid="{00000000-0005-0000-0000-0000DD790000}"/>
    <cellStyle name="Suma 2 17 4 3" xfId="31184" xr:uid="{00000000-0005-0000-0000-0000DE790000}"/>
    <cellStyle name="Suma 2 17 4 4" xfId="31185" xr:uid="{00000000-0005-0000-0000-0000DF790000}"/>
    <cellStyle name="Suma 2 17 40" xfId="31186" xr:uid="{00000000-0005-0000-0000-0000E0790000}"/>
    <cellStyle name="Suma 2 17 40 2" xfId="31187" xr:uid="{00000000-0005-0000-0000-0000E1790000}"/>
    <cellStyle name="Suma 2 17 40 3" xfId="31188" xr:uid="{00000000-0005-0000-0000-0000E2790000}"/>
    <cellStyle name="Suma 2 17 41" xfId="31189" xr:uid="{00000000-0005-0000-0000-0000E3790000}"/>
    <cellStyle name="Suma 2 17 41 2" xfId="31190" xr:uid="{00000000-0005-0000-0000-0000E4790000}"/>
    <cellStyle name="Suma 2 17 41 3" xfId="31191" xr:uid="{00000000-0005-0000-0000-0000E5790000}"/>
    <cellStyle name="Suma 2 17 42" xfId="31192" xr:uid="{00000000-0005-0000-0000-0000E6790000}"/>
    <cellStyle name="Suma 2 17 42 2" xfId="31193" xr:uid="{00000000-0005-0000-0000-0000E7790000}"/>
    <cellStyle name="Suma 2 17 42 3" xfId="31194" xr:uid="{00000000-0005-0000-0000-0000E8790000}"/>
    <cellStyle name="Suma 2 17 43" xfId="31195" xr:uid="{00000000-0005-0000-0000-0000E9790000}"/>
    <cellStyle name="Suma 2 17 43 2" xfId="31196" xr:uid="{00000000-0005-0000-0000-0000EA790000}"/>
    <cellStyle name="Suma 2 17 43 3" xfId="31197" xr:uid="{00000000-0005-0000-0000-0000EB790000}"/>
    <cellStyle name="Suma 2 17 44" xfId="31198" xr:uid="{00000000-0005-0000-0000-0000EC790000}"/>
    <cellStyle name="Suma 2 17 44 2" xfId="31199" xr:uid="{00000000-0005-0000-0000-0000ED790000}"/>
    <cellStyle name="Suma 2 17 44 3" xfId="31200" xr:uid="{00000000-0005-0000-0000-0000EE790000}"/>
    <cellStyle name="Suma 2 17 45" xfId="31201" xr:uid="{00000000-0005-0000-0000-0000EF790000}"/>
    <cellStyle name="Suma 2 17 45 2" xfId="31202" xr:uid="{00000000-0005-0000-0000-0000F0790000}"/>
    <cellStyle name="Suma 2 17 45 3" xfId="31203" xr:uid="{00000000-0005-0000-0000-0000F1790000}"/>
    <cellStyle name="Suma 2 17 46" xfId="31204" xr:uid="{00000000-0005-0000-0000-0000F2790000}"/>
    <cellStyle name="Suma 2 17 46 2" xfId="31205" xr:uid="{00000000-0005-0000-0000-0000F3790000}"/>
    <cellStyle name="Suma 2 17 46 3" xfId="31206" xr:uid="{00000000-0005-0000-0000-0000F4790000}"/>
    <cellStyle name="Suma 2 17 47" xfId="31207" xr:uid="{00000000-0005-0000-0000-0000F5790000}"/>
    <cellStyle name="Suma 2 17 47 2" xfId="31208" xr:uid="{00000000-0005-0000-0000-0000F6790000}"/>
    <cellStyle name="Suma 2 17 47 3" xfId="31209" xr:uid="{00000000-0005-0000-0000-0000F7790000}"/>
    <cellStyle name="Suma 2 17 48" xfId="31210" xr:uid="{00000000-0005-0000-0000-0000F8790000}"/>
    <cellStyle name="Suma 2 17 48 2" xfId="31211" xr:uid="{00000000-0005-0000-0000-0000F9790000}"/>
    <cellStyle name="Suma 2 17 48 3" xfId="31212" xr:uid="{00000000-0005-0000-0000-0000FA790000}"/>
    <cellStyle name="Suma 2 17 49" xfId="31213" xr:uid="{00000000-0005-0000-0000-0000FB790000}"/>
    <cellStyle name="Suma 2 17 49 2" xfId="31214" xr:uid="{00000000-0005-0000-0000-0000FC790000}"/>
    <cellStyle name="Suma 2 17 49 3" xfId="31215" xr:uid="{00000000-0005-0000-0000-0000FD790000}"/>
    <cellStyle name="Suma 2 17 5" xfId="31216" xr:uid="{00000000-0005-0000-0000-0000FE790000}"/>
    <cellStyle name="Suma 2 17 5 2" xfId="31217" xr:uid="{00000000-0005-0000-0000-0000FF790000}"/>
    <cellStyle name="Suma 2 17 5 3" xfId="31218" xr:uid="{00000000-0005-0000-0000-0000007A0000}"/>
    <cellStyle name="Suma 2 17 5 4" xfId="31219" xr:uid="{00000000-0005-0000-0000-0000017A0000}"/>
    <cellStyle name="Suma 2 17 50" xfId="31220" xr:uid="{00000000-0005-0000-0000-0000027A0000}"/>
    <cellStyle name="Suma 2 17 50 2" xfId="31221" xr:uid="{00000000-0005-0000-0000-0000037A0000}"/>
    <cellStyle name="Suma 2 17 50 3" xfId="31222" xr:uid="{00000000-0005-0000-0000-0000047A0000}"/>
    <cellStyle name="Suma 2 17 51" xfId="31223" xr:uid="{00000000-0005-0000-0000-0000057A0000}"/>
    <cellStyle name="Suma 2 17 51 2" xfId="31224" xr:uid="{00000000-0005-0000-0000-0000067A0000}"/>
    <cellStyle name="Suma 2 17 51 3" xfId="31225" xr:uid="{00000000-0005-0000-0000-0000077A0000}"/>
    <cellStyle name="Suma 2 17 52" xfId="31226" xr:uid="{00000000-0005-0000-0000-0000087A0000}"/>
    <cellStyle name="Suma 2 17 52 2" xfId="31227" xr:uid="{00000000-0005-0000-0000-0000097A0000}"/>
    <cellStyle name="Suma 2 17 52 3" xfId="31228" xr:uid="{00000000-0005-0000-0000-00000A7A0000}"/>
    <cellStyle name="Suma 2 17 53" xfId="31229" xr:uid="{00000000-0005-0000-0000-00000B7A0000}"/>
    <cellStyle name="Suma 2 17 53 2" xfId="31230" xr:uid="{00000000-0005-0000-0000-00000C7A0000}"/>
    <cellStyle name="Suma 2 17 53 3" xfId="31231" xr:uid="{00000000-0005-0000-0000-00000D7A0000}"/>
    <cellStyle name="Suma 2 17 54" xfId="31232" xr:uid="{00000000-0005-0000-0000-00000E7A0000}"/>
    <cellStyle name="Suma 2 17 54 2" xfId="31233" xr:uid="{00000000-0005-0000-0000-00000F7A0000}"/>
    <cellStyle name="Suma 2 17 54 3" xfId="31234" xr:uid="{00000000-0005-0000-0000-0000107A0000}"/>
    <cellStyle name="Suma 2 17 55" xfId="31235" xr:uid="{00000000-0005-0000-0000-0000117A0000}"/>
    <cellStyle name="Suma 2 17 55 2" xfId="31236" xr:uid="{00000000-0005-0000-0000-0000127A0000}"/>
    <cellStyle name="Suma 2 17 55 3" xfId="31237" xr:uid="{00000000-0005-0000-0000-0000137A0000}"/>
    <cellStyle name="Suma 2 17 56" xfId="31238" xr:uid="{00000000-0005-0000-0000-0000147A0000}"/>
    <cellStyle name="Suma 2 17 56 2" xfId="31239" xr:uid="{00000000-0005-0000-0000-0000157A0000}"/>
    <cellStyle name="Suma 2 17 56 3" xfId="31240" xr:uid="{00000000-0005-0000-0000-0000167A0000}"/>
    <cellStyle name="Suma 2 17 57" xfId="31241" xr:uid="{00000000-0005-0000-0000-0000177A0000}"/>
    <cellStyle name="Suma 2 17 58" xfId="31242" xr:uid="{00000000-0005-0000-0000-0000187A0000}"/>
    <cellStyle name="Suma 2 17 6" xfId="31243" xr:uid="{00000000-0005-0000-0000-0000197A0000}"/>
    <cellStyle name="Suma 2 17 6 2" xfId="31244" xr:uid="{00000000-0005-0000-0000-00001A7A0000}"/>
    <cellStyle name="Suma 2 17 6 3" xfId="31245" xr:uid="{00000000-0005-0000-0000-00001B7A0000}"/>
    <cellStyle name="Suma 2 17 6 4" xfId="31246" xr:uid="{00000000-0005-0000-0000-00001C7A0000}"/>
    <cellStyle name="Suma 2 17 7" xfId="31247" xr:uid="{00000000-0005-0000-0000-00001D7A0000}"/>
    <cellStyle name="Suma 2 17 7 2" xfId="31248" xr:uid="{00000000-0005-0000-0000-00001E7A0000}"/>
    <cellStyle name="Suma 2 17 7 3" xfId="31249" xr:uid="{00000000-0005-0000-0000-00001F7A0000}"/>
    <cellStyle name="Suma 2 17 7 4" xfId="31250" xr:uid="{00000000-0005-0000-0000-0000207A0000}"/>
    <cellStyle name="Suma 2 17 8" xfId="31251" xr:uid="{00000000-0005-0000-0000-0000217A0000}"/>
    <cellStyle name="Suma 2 17 8 2" xfId="31252" xr:uid="{00000000-0005-0000-0000-0000227A0000}"/>
    <cellStyle name="Suma 2 17 8 3" xfId="31253" xr:uid="{00000000-0005-0000-0000-0000237A0000}"/>
    <cellStyle name="Suma 2 17 8 4" xfId="31254" xr:uid="{00000000-0005-0000-0000-0000247A0000}"/>
    <cellStyle name="Suma 2 17 9" xfId="31255" xr:uid="{00000000-0005-0000-0000-0000257A0000}"/>
    <cellStyle name="Suma 2 17 9 2" xfId="31256" xr:uid="{00000000-0005-0000-0000-0000267A0000}"/>
    <cellStyle name="Suma 2 17 9 3" xfId="31257" xr:uid="{00000000-0005-0000-0000-0000277A0000}"/>
    <cellStyle name="Suma 2 17 9 4" xfId="31258" xr:uid="{00000000-0005-0000-0000-0000287A0000}"/>
    <cellStyle name="Suma 2 18" xfId="31259" xr:uid="{00000000-0005-0000-0000-0000297A0000}"/>
    <cellStyle name="Suma 2 18 10" xfId="31260" xr:uid="{00000000-0005-0000-0000-00002A7A0000}"/>
    <cellStyle name="Suma 2 18 10 2" xfId="31261" xr:uid="{00000000-0005-0000-0000-00002B7A0000}"/>
    <cellStyle name="Suma 2 18 10 3" xfId="31262" xr:uid="{00000000-0005-0000-0000-00002C7A0000}"/>
    <cellStyle name="Suma 2 18 10 4" xfId="31263" xr:uid="{00000000-0005-0000-0000-00002D7A0000}"/>
    <cellStyle name="Suma 2 18 11" xfId="31264" xr:uid="{00000000-0005-0000-0000-00002E7A0000}"/>
    <cellStyle name="Suma 2 18 11 2" xfId="31265" xr:uid="{00000000-0005-0000-0000-00002F7A0000}"/>
    <cellStyle name="Suma 2 18 11 3" xfId="31266" xr:uid="{00000000-0005-0000-0000-0000307A0000}"/>
    <cellStyle name="Suma 2 18 11 4" xfId="31267" xr:uid="{00000000-0005-0000-0000-0000317A0000}"/>
    <cellStyle name="Suma 2 18 12" xfId="31268" xr:uid="{00000000-0005-0000-0000-0000327A0000}"/>
    <cellStyle name="Suma 2 18 12 2" xfId="31269" xr:uid="{00000000-0005-0000-0000-0000337A0000}"/>
    <cellStyle name="Suma 2 18 12 3" xfId="31270" xr:uid="{00000000-0005-0000-0000-0000347A0000}"/>
    <cellStyle name="Suma 2 18 12 4" xfId="31271" xr:uid="{00000000-0005-0000-0000-0000357A0000}"/>
    <cellStyle name="Suma 2 18 13" xfId="31272" xr:uid="{00000000-0005-0000-0000-0000367A0000}"/>
    <cellStyle name="Suma 2 18 13 2" xfId="31273" xr:uid="{00000000-0005-0000-0000-0000377A0000}"/>
    <cellStyle name="Suma 2 18 13 3" xfId="31274" xr:uid="{00000000-0005-0000-0000-0000387A0000}"/>
    <cellStyle name="Suma 2 18 13 4" xfId="31275" xr:uid="{00000000-0005-0000-0000-0000397A0000}"/>
    <cellStyle name="Suma 2 18 14" xfId="31276" xr:uid="{00000000-0005-0000-0000-00003A7A0000}"/>
    <cellStyle name="Suma 2 18 14 2" xfId="31277" xr:uid="{00000000-0005-0000-0000-00003B7A0000}"/>
    <cellStyle name="Suma 2 18 14 3" xfId="31278" xr:uid="{00000000-0005-0000-0000-00003C7A0000}"/>
    <cellStyle name="Suma 2 18 14 4" xfId="31279" xr:uid="{00000000-0005-0000-0000-00003D7A0000}"/>
    <cellStyle name="Suma 2 18 15" xfId="31280" xr:uid="{00000000-0005-0000-0000-00003E7A0000}"/>
    <cellStyle name="Suma 2 18 15 2" xfId="31281" xr:uid="{00000000-0005-0000-0000-00003F7A0000}"/>
    <cellStyle name="Suma 2 18 15 3" xfId="31282" xr:uid="{00000000-0005-0000-0000-0000407A0000}"/>
    <cellStyle name="Suma 2 18 15 4" xfId="31283" xr:uid="{00000000-0005-0000-0000-0000417A0000}"/>
    <cellStyle name="Suma 2 18 16" xfId="31284" xr:uid="{00000000-0005-0000-0000-0000427A0000}"/>
    <cellStyle name="Suma 2 18 16 2" xfId="31285" xr:uid="{00000000-0005-0000-0000-0000437A0000}"/>
    <cellStyle name="Suma 2 18 16 3" xfId="31286" xr:uid="{00000000-0005-0000-0000-0000447A0000}"/>
    <cellStyle name="Suma 2 18 16 4" xfId="31287" xr:uid="{00000000-0005-0000-0000-0000457A0000}"/>
    <cellStyle name="Suma 2 18 17" xfId="31288" xr:uid="{00000000-0005-0000-0000-0000467A0000}"/>
    <cellStyle name="Suma 2 18 17 2" xfId="31289" xr:uid="{00000000-0005-0000-0000-0000477A0000}"/>
    <cellStyle name="Suma 2 18 17 3" xfId="31290" xr:uid="{00000000-0005-0000-0000-0000487A0000}"/>
    <cellStyle name="Suma 2 18 17 4" xfId="31291" xr:uid="{00000000-0005-0000-0000-0000497A0000}"/>
    <cellStyle name="Suma 2 18 18" xfId="31292" xr:uid="{00000000-0005-0000-0000-00004A7A0000}"/>
    <cellStyle name="Suma 2 18 18 2" xfId="31293" xr:uid="{00000000-0005-0000-0000-00004B7A0000}"/>
    <cellStyle name="Suma 2 18 18 3" xfId="31294" xr:uid="{00000000-0005-0000-0000-00004C7A0000}"/>
    <cellStyle name="Suma 2 18 18 4" xfId="31295" xr:uid="{00000000-0005-0000-0000-00004D7A0000}"/>
    <cellStyle name="Suma 2 18 19" xfId="31296" xr:uid="{00000000-0005-0000-0000-00004E7A0000}"/>
    <cellStyle name="Suma 2 18 19 2" xfId="31297" xr:uid="{00000000-0005-0000-0000-00004F7A0000}"/>
    <cellStyle name="Suma 2 18 19 3" xfId="31298" xr:uid="{00000000-0005-0000-0000-0000507A0000}"/>
    <cellStyle name="Suma 2 18 19 4" xfId="31299" xr:uid="{00000000-0005-0000-0000-0000517A0000}"/>
    <cellStyle name="Suma 2 18 2" xfId="31300" xr:uid="{00000000-0005-0000-0000-0000527A0000}"/>
    <cellStyle name="Suma 2 18 2 2" xfId="31301" xr:uid="{00000000-0005-0000-0000-0000537A0000}"/>
    <cellStyle name="Suma 2 18 2 3" xfId="31302" xr:uid="{00000000-0005-0000-0000-0000547A0000}"/>
    <cellStyle name="Suma 2 18 2 4" xfId="31303" xr:uid="{00000000-0005-0000-0000-0000557A0000}"/>
    <cellStyle name="Suma 2 18 20" xfId="31304" xr:uid="{00000000-0005-0000-0000-0000567A0000}"/>
    <cellStyle name="Suma 2 18 20 2" xfId="31305" xr:uid="{00000000-0005-0000-0000-0000577A0000}"/>
    <cellStyle name="Suma 2 18 20 3" xfId="31306" xr:uid="{00000000-0005-0000-0000-0000587A0000}"/>
    <cellStyle name="Suma 2 18 20 4" xfId="31307" xr:uid="{00000000-0005-0000-0000-0000597A0000}"/>
    <cellStyle name="Suma 2 18 21" xfId="31308" xr:uid="{00000000-0005-0000-0000-00005A7A0000}"/>
    <cellStyle name="Suma 2 18 21 2" xfId="31309" xr:uid="{00000000-0005-0000-0000-00005B7A0000}"/>
    <cellStyle name="Suma 2 18 21 3" xfId="31310" xr:uid="{00000000-0005-0000-0000-00005C7A0000}"/>
    <cellStyle name="Suma 2 18 22" xfId="31311" xr:uid="{00000000-0005-0000-0000-00005D7A0000}"/>
    <cellStyle name="Suma 2 18 22 2" xfId="31312" xr:uid="{00000000-0005-0000-0000-00005E7A0000}"/>
    <cellStyle name="Suma 2 18 22 3" xfId="31313" xr:uid="{00000000-0005-0000-0000-00005F7A0000}"/>
    <cellStyle name="Suma 2 18 23" xfId="31314" xr:uid="{00000000-0005-0000-0000-0000607A0000}"/>
    <cellStyle name="Suma 2 18 23 2" xfId="31315" xr:uid="{00000000-0005-0000-0000-0000617A0000}"/>
    <cellStyle name="Suma 2 18 23 3" xfId="31316" xr:uid="{00000000-0005-0000-0000-0000627A0000}"/>
    <cellStyle name="Suma 2 18 24" xfId="31317" xr:uid="{00000000-0005-0000-0000-0000637A0000}"/>
    <cellStyle name="Suma 2 18 24 2" xfId="31318" xr:uid="{00000000-0005-0000-0000-0000647A0000}"/>
    <cellStyle name="Suma 2 18 24 3" xfId="31319" xr:uid="{00000000-0005-0000-0000-0000657A0000}"/>
    <cellStyle name="Suma 2 18 25" xfId="31320" xr:uid="{00000000-0005-0000-0000-0000667A0000}"/>
    <cellStyle name="Suma 2 18 25 2" xfId="31321" xr:uid="{00000000-0005-0000-0000-0000677A0000}"/>
    <cellStyle name="Suma 2 18 25 3" xfId="31322" xr:uid="{00000000-0005-0000-0000-0000687A0000}"/>
    <cellStyle name="Suma 2 18 26" xfId="31323" xr:uid="{00000000-0005-0000-0000-0000697A0000}"/>
    <cellStyle name="Suma 2 18 26 2" xfId="31324" xr:uid="{00000000-0005-0000-0000-00006A7A0000}"/>
    <cellStyle name="Suma 2 18 26 3" xfId="31325" xr:uid="{00000000-0005-0000-0000-00006B7A0000}"/>
    <cellStyle name="Suma 2 18 27" xfId="31326" xr:uid="{00000000-0005-0000-0000-00006C7A0000}"/>
    <cellStyle name="Suma 2 18 27 2" xfId="31327" xr:uid="{00000000-0005-0000-0000-00006D7A0000}"/>
    <cellStyle name="Suma 2 18 27 3" xfId="31328" xr:uid="{00000000-0005-0000-0000-00006E7A0000}"/>
    <cellStyle name="Suma 2 18 28" xfId="31329" xr:uid="{00000000-0005-0000-0000-00006F7A0000}"/>
    <cellStyle name="Suma 2 18 28 2" xfId="31330" xr:uid="{00000000-0005-0000-0000-0000707A0000}"/>
    <cellStyle name="Suma 2 18 28 3" xfId="31331" xr:uid="{00000000-0005-0000-0000-0000717A0000}"/>
    <cellStyle name="Suma 2 18 29" xfId="31332" xr:uid="{00000000-0005-0000-0000-0000727A0000}"/>
    <cellStyle name="Suma 2 18 29 2" xfId="31333" xr:uid="{00000000-0005-0000-0000-0000737A0000}"/>
    <cellStyle name="Suma 2 18 29 3" xfId="31334" xr:uid="{00000000-0005-0000-0000-0000747A0000}"/>
    <cellStyle name="Suma 2 18 3" xfId="31335" xr:uid="{00000000-0005-0000-0000-0000757A0000}"/>
    <cellStyle name="Suma 2 18 3 2" xfId="31336" xr:uid="{00000000-0005-0000-0000-0000767A0000}"/>
    <cellStyle name="Suma 2 18 3 3" xfId="31337" xr:uid="{00000000-0005-0000-0000-0000777A0000}"/>
    <cellStyle name="Suma 2 18 3 4" xfId="31338" xr:uid="{00000000-0005-0000-0000-0000787A0000}"/>
    <cellStyle name="Suma 2 18 30" xfId="31339" xr:uid="{00000000-0005-0000-0000-0000797A0000}"/>
    <cellStyle name="Suma 2 18 30 2" xfId="31340" xr:uid="{00000000-0005-0000-0000-00007A7A0000}"/>
    <cellStyle name="Suma 2 18 30 3" xfId="31341" xr:uid="{00000000-0005-0000-0000-00007B7A0000}"/>
    <cellStyle name="Suma 2 18 31" xfId="31342" xr:uid="{00000000-0005-0000-0000-00007C7A0000}"/>
    <cellStyle name="Suma 2 18 31 2" xfId="31343" xr:uid="{00000000-0005-0000-0000-00007D7A0000}"/>
    <cellStyle name="Suma 2 18 31 3" xfId="31344" xr:uid="{00000000-0005-0000-0000-00007E7A0000}"/>
    <cellStyle name="Suma 2 18 32" xfId="31345" xr:uid="{00000000-0005-0000-0000-00007F7A0000}"/>
    <cellStyle name="Suma 2 18 32 2" xfId="31346" xr:uid="{00000000-0005-0000-0000-0000807A0000}"/>
    <cellStyle name="Suma 2 18 32 3" xfId="31347" xr:uid="{00000000-0005-0000-0000-0000817A0000}"/>
    <cellStyle name="Suma 2 18 33" xfId="31348" xr:uid="{00000000-0005-0000-0000-0000827A0000}"/>
    <cellStyle name="Suma 2 18 33 2" xfId="31349" xr:uid="{00000000-0005-0000-0000-0000837A0000}"/>
    <cellStyle name="Suma 2 18 33 3" xfId="31350" xr:uid="{00000000-0005-0000-0000-0000847A0000}"/>
    <cellStyle name="Suma 2 18 34" xfId="31351" xr:uid="{00000000-0005-0000-0000-0000857A0000}"/>
    <cellStyle name="Suma 2 18 34 2" xfId="31352" xr:uid="{00000000-0005-0000-0000-0000867A0000}"/>
    <cellStyle name="Suma 2 18 34 3" xfId="31353" xr:uid="{00000000-0005-0000-0000-0000877A0000}"/>
    <cellStyle name="Suma 2 18 35" xfId="31354" xr:uid="{00000000-0005-0000-0000-0000887A0000}"/>
    <cellStyle name="Suma 2 18 35 2" xfId="31355" xr:uid="{00000000-0005-0000-0000-0000897A0000}"/>
    <cellStyle name="Suma 2 18 35 3" xfId="31356" xr:uid="{00000000-0005-0000-0000-00008A7A0000}"/>
    <cellStyle name="Suma 2 18 36" xfId="31357" xr:uid="{00000000-0005-0000-0000-00008B7A0000}"/>
    <cellStyle name="Suma 2 18 36 2" xfId="31358" xr:uid="{00000000-0005-0000-0000-00008C7A0000}"/>
    <cellStyle name="Suma 2 18 36 3" xfId="31359" xr:uid="{00000000-0005-0000-0000-00008D7A0000}"/>
    <cellStyle name="Suma 2 18 37" xfId="31360" xr:uid="{00000000-0005-0000-0000-00008E7A0000}"/>
    <cellStyle name="Suma 2 18 37 2" xfId="31361" xr:uid="{00000000-0005-0000-0000-00008F7A0000}"/>
    <cellStyle name="Suma 2 18 37 3" xfId="31362" xr:uid="{00000000-0005-0000-0000-0000907A0000}"/>
    <cellStyle name="Suma 2 18 38" xfId="31363" xr:uid="{00000000-0005-0000-0000-0000917A0000}"/>
    <cellStyle name="Suma 2 18 38 2" xfId="31364" xr:uid="{00000000-0005-0000-0000-0000927A0000}"/>
    <cellStyle name="Suma 2 18 38 3" xfId="31365" xr:uid="{00000000-0005-0000-0000-0000937A0000}"/>
    <cellStyle name="Suma 2 18 39" xfId="31366" xr:uid="{00000000-0005-0000-0000-0000947A0000}"/>
    <cellStyle name="Suma 2 18 39 2" xfId="31367" xr:uid="{00000000-0005-0000-0000-0000957A0000}"/>
    <cellStyle name="Suma 2 18 39 3" xfId="31368" xr:uid="{00000000-0005-0000-0000-0000967A0000}"/>
    <cellStyle name="Suma 2 18 4" xfId="31369" xr:uid="{00000000-0005-0000-0000-0000977A0000}"/>
    <cellStyle name="Suma 2 18 4 2" xfId="31370" xr:uid="{00000000-0005-0000-0000-0000987A0000}"/>
    <cellStyle name="Suma 2 18 4 3" xfId="31371" xr:uid="{00000000-0005-0000-0000-0000997A0000}"/>
    <cellStyle name="Suma 2 18 4 4" xfId="31372" xr:uid="{00000000-0005-0000-0000-00009A7A0000}"/>
    <cellStyle name="Suma 2 18 40" xfId="31373" xr:uid="{00000000-0005-0000-0000-00009B7A0000}"/>
    <cellStyle name="Suma 2 18 40 2" xfId="31374" xr:uid="{00000000-0005-0000-0000-00009C7A0000}"/>
    <cellStyle name="Suma 2 18 40 3" xfId="31375" xr:uid="{00000000-0005-0000-0000-00009D7A0000}"/>
    <cellStyle name="Suma 2 18 41" xfId="31376" xr:uid="{00000000-0005-0000-0000-00009E7A0000}"/>
    <cellStyle name="Suma 2 18 41 2" xfId="31377" xr:uid="{00000000-0005-0000-0000-00009F7A0000}"/>
    <cellStyle name="Suma 2 18 41 3" xfId="31378" xr:uid="{00000000-0005-0000-0000-0000A07A0000}"/>
    <cellStyle name="Suma 2 18 42" xfId="31379" xr:uid="{00000000-0005-0000-0000-0000A17A0000}"/>
    <cellStyle name="Suma 2 18 42 2" xfId="31380" xr:uid="{00000000-0005-0000-0000-0000A27A0000}"/>
    <cellStyle name="Suma 2 18 42 3" xfId="31381" xr:uid="{00000000-0005-0000-0000-0000A37A0000}"/>
    <cellStyle name="Suma 2 18 43" xfId="31382" xr:uid="{00000000-0005-0000-0000-0000A47A0000}"/>
    <cellStyle name="Suma 2 18 43 2" xfId="31383" xr:uid="{00000000-0005-0000-0000-0000A57A0000}"/>
    <cellStyle name="Suma 2 18 43 3" xfId="31384" xr:uid="{00000000-0005-0000-0000-0000A67A0000}"/>
    <cellStyle name="Suma 2 18 44" xfId="31385" xr:uid="{00000000-0005-0000-0000-0000A77A0000}"/>
    <cellStyle name="Suma 2 18 44 2" xfId="31386" xr:uid="{00000000-0005-0000-0000-0000A87A0000}"/>
    <cellStyle name="Suma 2 18 44 3" xfId="31387" xr:uid="{00000000-0005-0000-0000-0000A97A0000}"/>
    <cellStyle name="Suma 2 18 45" xfId="31388" xr:uid="{00000000-0005-0000-0000-0000AA7A0000}"/>
    <cellStyle name="Suma 2 18 45 2" xfId="31389" xr:uid="{00000000-0005-0000-0000-0000AB7A0000}"/>
    <cellStyle name="Suma 2 18 45 3" xfId="31390" xr:uid="{00000000-0005-0000-0000-0000AC7A0000}"/>
    <cellStyle name="Suma 2 18 46" xfId="31391" xr:uid="{00000000-0005-0000-0000-0000AD7A0000}"/>
    <cellStyle name="Suma 2 18 46 2" xfId="31392" xr:uid="{00000000-0005-0000-0000-0000AE7A0000}"/>
    <cellStyle name="Suma 2 18 46 3" xfId="31393" xr:uid="{00000000-0005-0000-0000-0000AF7A0000}"/>
    <cellStyle name="Suma 2 18 47" xfId="31394" xr:uid="{00000000-0005-0000-0000-0000B07A0000}"/>
    <cellStyle name="Suma 2 18 47 2" xfId="31395" xr:uid="{00000000-0005-0000-0000-0000B17A0000}"/>
    <cellStyle name="Suma 2 18 47 3" xfId="31396" xr:uid="{00000000-0005-0000-0000-0000B27A0000}"/>
    <cellStyle name="Suma 2 18 48" xfId="31397" xr:uid="{00000000-0005-0000-0000-0000B37A0000}"/>
    <cellStyle name="Suma 2 18 48 2" xfId="31398" xr:uid="{00000000-0005-0000-0000-0000B47A0000}"/>
    <cellStyle name="Suma 2 18 48 3" xfId="31399" xr:uid="{00000000-0005-0000-0000-0000B57A0000}"/>
    <cellStyle name="Suma 2 18 49" xfId="31400" xr:uid="{00000000-0005-0000-0000-0000B67A0000}"/>
    <cellStyle name="Suma 2 18 49 2" xfId="31401" xr:uid="{00000000-0005-0000-0000-0000B77A0000}"/>
    <cellStyle name="Suma 2 18 49 3" xfId="31402" xr:uid="{00000000-0005-0000-0000-0000B87A0000}"/>
    <cellStyle name="Suma 2 18 5" xfId="31403" xr:uid="{00000000-0005-0000-0000-0000B97A0000}"/>
    <cellStyle name="Suma 2 18 5 2" xfId="31404" xr:uid="{00000000-0005-0000-0000-0000BA7A0000}"/>
    <cellStyle name="Suma 2 18 5 3" xfId="31405" xr:uid="{00000000-0005-0000-0000-0000BB7A0000}"/>
    <cellStyle name="Suma 2 18 5 4" xfId="31406" xr:uid="{00000000-0005-0000-0000-0000BC7A0000}"/>
    <cellStyle name="Suma 2 18 50" xfId="31407" xr:uid="{00000000-0005-0000-0000-0000BD7A0000}"/>
    <cellStyle name="Suma 2 18 50 2" xfId="31408" xr:uid="{00000000-0005-0000-0000-0000BE7A0000}"/>
    <cellStyle name="Suma 2 18 50 3" xfId="31409" xr:uid="{00000000-0005-0000-0000-0000BF7A0000}"/>
    <cellStyle name="Suma 2 18 51" xfId="31410" xr:uid="{00000000-0005-0000-0000-0000C07A0000}"/>
    <cellStyle name="Suma 2 18 51 2" xfId="31411" xr:uid="{00000000-0005-0000-0000-0000C17A0000}"/>
    <cellStyle name="Suma 2 18 51 3" xfId="31412" xr:uid="{00000000-0005-0000-0000-0000C27A0000}"/>
    <cellStyle name="Suma 2 18 52" xfId="31413" xr:uid="{00000000-0005-0000-0000-0000C37A0000}"/>
    <cellStyle name="Suma 2 18 52 2" xfId="31414" xr:uid="{00000000-0005-0000-0000-0000C47A0000}"/>
    <cellStyle name="Suma 2 18 52 3" xfId="31415" xr:uid="{00000000-0005-0000-0000-0000C57A0000}"/>
    <cellStyle name="Suma 2 18 53" xfId="31416" xr:uid="{00000000-0005-0000-0000-0000C67A0000}"/>
    <cellStyle name="Suma 2 18 53 2" xfId="31417" xr:uid="{00000000-0005-0000-0000-0000C77A0000}"/>
    <cellStyle name="Suma 2 18 53 3" xfId="31418" xr:uid="{00000000-0005-0000-0000-0000C87A0000}"/>
    <cellStyle name="Suma 2 18 54" xfId="31419" xr:uid="{00000000-0005-0000-0000-0000C97A0000}"/>
    <cellStyle name="Suma 2 18 54 2" xfId="31420" xr:uid="{00000000-0005-0000-0000-0000CA7A0000}"/>
    <cellStyle name="Suma 2 18 54 3" xfId="31421" xr:uid="{00000000-0005-0000-0000-0000CB7A0000}"/>
    <cellStyle name="Suma 2 18 55" xfId="31422" xr:uid="{00000000-0005-0000-0000-0000CC7A0000}"/>
    <cellStyle name="Suma 2 18 55 2" xfId="31423" xr:uid="{00000000-0005-0000-0000-0000CD7A0000}"/>
    <cellStyle name="Suma 2 18 55 3" xfId="31424" xr:uid="{00000000-0005-0000-0000-0000CE7A0000}"/>
    <cellStyle name="Suma 2 18 56" xfId="31425" xr:uid="{00000000-0005-0000-0000-0000CF7A0000}"/>
    <cellStyle name="Suma 2 18 56 2" xfId="31426" xr:uid="{00000000-0005-0000-0000-0000D07A0000}"/>
    <cellStyle name="Suma 2 18 56 3" xfId="31427" xr:uid="{00000000-0005-0000-0000-0000D17A0000}"/>
    <cellStyle name="Suma 2 18 57" xfId="31428" xr:uid="{00000000-0005-0000-0000-0000D27A0000}"/>
    <cellStyle name="Suma 2 18 58" xfId="31429" xr:uid="{00000000-0005-0000-0000-0000D37A0000}"/>
    <cellStyle name="Suma 2 18 6" xfId="31430" xr:uid="{00000000-0005-0000-0000-0000D47A0000}"/>
    <cellStyle name="Suma 2 18 6 2" xfId="31431" xr:uid="{00000000-0005-0000-0000-0000D57A0000}"/>
    <cellStyle name="Suma 2 18 6 3" xfId="31432" xr:uid="{00000000-0005-0000-0000-0000D67A0000}"/>
    <cellStyle name="Suma 2 18 6 4" xfId="31433" xr:uid="{00000000-0005-0000-0000-0000D77A0000}"/>
    <cellStyle name="Suma 2 18 7" xfId="31434" xr:uid="{00000000-0005-0000-0000-0000D87A0000}"/>
    <cellStyle name="Suma 2 18 7 2" xfId="31435" xr:uid="{00000000-0005-0000-0000-0000D97A0000}"/>
    <cellStyle name="Suma 2 18 7 3" xfId="31436" xr:uid="{00000000-0005-0000-0000-0000DA7A0000}"/>
    <cellStyle name="Suma 2 18 7 4" xfId="31437" xr:uid="{00000000-0005-0000-0000-0000DB7A0000}"/>
    <cellStyle name="Suma 2 18 8" xfId="31438" xr:uid="{00000000-0005-0000-0000-0000DC7A0000}"/>
    <cellStyle name="Suma 2 18 8 2" xfId="31439" xr:uid="{00000000-0005-0000-0000-0000DD7A0000}"/>
    <cellStyle name="Suma 2 18 8 3" xfId="31440" xr:uid="{00000000-0005-0000-0000-0000DE7A0000}"/>
    <cellStyle name="Suma 2 18 8 4" xfId="31441" xr:uid="{00000000-0005-0000-0000-0000DF7A0000}"/>
    <cellStyle name="Suma 2 18 9" xfId="31442" xr:uid="{00000000-0005-0000-0000-0000E07A0000}"/>
    <cellStyle name="Suma 2 18 9 2" xfId="31443" xr:uid="{00000000-0005-0000-0000-0000E17A0000}"/>
    <cellStyle name="Suma 2 18 9 3" xfId="31444" xr:uid="{00000000-0005-0000-0000-0000E27A0000}"/>
    <cellStyle name="Suma 2 18 9 4" xfId="31445" xr:uid="{00000000-0005-0000-0000-0000E37A0000}"/>
    <cellStyle name="Suma 2 19" xfId="31446" xr:uid="{00000000-0005-0000-0000-0000E47A0000}"/>
    <cellStyle name="Suma 2 19 10" xfId="31447" xr:uid="{00000000-0005-0000-0000-0000E57A0000}"/>
    <cellStyle name="Suma 2 19 10 2" xfId="31448" xr:uid="{00000000-0005-0000-0000-0000E67A0000}"/>
    <cellStyle name="Suma 2 19 10 3" xfId="31449" xr:uid="{00000000-0005-0000-0000-0000E77A0000}"/>
    <cellStyle name="Suma 2 19 10 4" xfId="31450" xr:uid="{00000000-0005-0000-0000-0000E87A0000}"/>
    <cellStyle name="Suma 2 19 11" xfId="31451" xr:uid="{00000000-0005-0000-0000-0000E97A0000}"/>
    <cellStyle name="Suma 2 19 11 2" xfId="31452" xr:uid="{00000000-0005-0000-0000-0000EA7A0000}"/>
    <cellStyle name="Suma 2 19 11 3" xfId="31453" xr:uid="{00000000-0005-0000-0000-0000EB7A0000}"/>
    <cellStyle name="Suma 2 19 11 4" xfId="31454" xr:uid="{00000000-0005-0000-0000-0000EC7A0000}"/>
    <cellStyle name="Suma 2 19 12" xfId="31455" xr:uid="{00000000-0005-0000-0000-0000ED7A0000}"/>
    <cellStyle name="Suma 2 19 12 2" xfId="31456" xr:uid="{00000000-0005-0000-0000-0000EE7A0000}"/>
    <cellStyle name="Suma 2 19 12 3" xfId="31457" xr:uid="{00000000-0005-0000-0000-0000EF7A0000}"/>
    <cellStyle name="Suma 2 19 12 4" xfId="31458" xr:uid="{00000000-0005-0000-0000-0000F07A0000}"/>
    <cellStyle name="Suma 2 19 13" xfId="31459" xr:uid="{00000000-0005-0000-0000-0000F17A0000}"/>
    <cellStyle name="Suma 2 19 13 2" xfId="31460" xr:uid="{00000000-0005-0000-0000-0000F27A0000}"/>
    <cellStyle name="Suma 2 19 13 3" xfId="31461" xr:uid="{00000000-0005-0000-0000-0000F37A0000}"/>
    <cellStyle name="Suma 2 19 13 4" xfId="31462" xr:uid="{00000000-0005-0000-0000-0000F47A0000}"/>
    <cellStyle name="Suma 2 19 14" xfId="31463" xr:uid="{00000000-0005-0000-0000-0000F57A0000}"/>
    <cellStyle name="Suma 2 19 14 2" xfId="31464" xr:uid="{00000000-0005-0000-0000-0000F67A0000}"/>
    <cellStyle name="Suma 2 19 14 3" xfId="31465" xr:uid="{00000000-0005-0000-0000-0000F77A0000}"/>
    <cellStyle name="Suma 2 19 14 4" xfId="31466" xr:uid="{00000000-0005-0000-0000-0000F87A0000}"/>
    <cellStyle name="Suma 2 19 15" xfId="31467" xr:uid="{00000000-0005-0000-0000-0000F97A0000}"/>
    <cellStyle name="Suma 2 19 15 2" xfId="31468" xr:uid="{00000000-0005-0000-0000-0000FA7A0000}"/>
    <cellStyle name="Suma 2 19 15 3" xfId="31469" xr:uid="{00000000-0005-0000-0000-0000FB7A0000}"/>
    <cellStyle name="Suma 2 19 15 4" xfId="31470" xr:uid="{00000000-0005-0000-0000-0000FC7A0000}"/>
    <cellStyle name="Suma 2 19 16" xfId="31471" xr:uid="{00000000-0005-0000-0000-0000FD7A0000}"/>
    <cellStyle name="Suma 2 19 16 2" xfId="31472" xr:uid="{00000000-0005-0000-0000-0000FE7A0000}"/>
    <cellStyle name="Suma 2 19 16 3" xfId="31473" xr:uid="{00000000-0005-0000-0000-0000FF7A0000}"/>
    <cellStyle name="Suma 2 19 16 4" xfId="31474" xr:uid="{00000000-0005-0000-0000-0000007B0000}"/>
    <cellStyle name="Suma 2 19 17" xfId="31475" xr:uid="{00000000-0005-0000-0000-0000017B0000}"/>
    <cellStyle name="Suma 2 19 17 2" xfId="31476" xr:uid="{00000000-0005-0000-0000-0000027B0000}"/>
    <cellStyle name="Suma 2 19 17 3" xfId="31477" xr:uid="{00000000-0005-0000-0000-0000037B0000}"/>
    <cellStyle name="Suma 2 19 17 4" xfId="31478" xr:uid="{00000000-0005-0000-0000-0000047B0000}"/>
    <cellStyle name="Suma 2 19 18" xfId="31479" xr:uid="{00000000-0005-0000-0000-0000057B0000}"/>
    <cellStyle name="Suma 2 19 18 2" xfId="31480" xr:uid="{00000000-0005-0000-0000-0000067B0000}"/>
    <cellStyle name="Suma 2 19 18 3" xfId="31481" xr:uid="{00000000-0005-0000-0000-0000077B0000}"/>
    <cellStyle name="Suma 2 19 18 4" xfId="31482" xr:uid="{00000000-0005-0000-0000-0000087B0000}"/>
    <cellStyle name="Suma 2 19 19" xfId="31483" xr:uid="{00000000-0005-0000-0000-0000097B0000}"/>
    <cellStyle name="Suma 2 19 19 2" xfId="31484" xr:uid="{00000000-0005-0000-0000-00000A7B0000}"/>
    <cellStyle name="Suma 2 19 19 3" xfId="31485" xr:uid="{00000000-0005-0000-0000-00000B7B0000}"/>
    <cellStyle name="Suma 2 19 19 4" xfId="31486" xr:uid="{00000000-0005-0000-0000-00000C7B0000}"/>
    <cellStyle name="Suma 2 19 2" xfId="31487" xr:uid="{00000000-0005-0000-0000-00000D7B0000}"/>
    <cellStyle name="Suma 2 19 2 2" xfId="31488" xr:uid="{00000000-0005-0000-0000-00000E7B0000}"/>
    <cellStyle name="Suma 2 19 2 3" xfId="31489" xr:uid="{00000000-0005-0000-0000-00000F7B0000}"/>
    <cellStyle name="Suma 2 19 2 4" xfId="31490" xr:uid="{00000000-0005-0000-0000-0000107B0000}"/>
    <cellStyle name="Suma 2 19 20" xfId="31491" xr:uid="{00000000-0005-0000-0000-0000117B0000}"/>
    <cellStyle name="Suma 2 19 20 2" xfId="31492" xr:uid="{00000000-0005-0000-0000-0000127B0000}"/>
    <cellStyle name="Suma 2 19 20 3" xfId="31493" xr:uid="{00000000-0005-0000-0000-0000137B0000}"/>
    <cellStyle name="Suma 2 19 20 4" xfId="31494" xr:uid="{00000000-0005-0000-0000-0000147B0000}"/>
    <cellStyle name="Suma 2 19 21" xfId="31495" xr:uid="{00000000-0005-0000-0000-0000157B0000}"/>
    <cellStyle name="Suma 2 19 21 2" xfId="31496" xr:uid="{00000000-0005-0000-0000-0000167B0000}"/>
    <cellStyle name="Suma 2 19 21 3" xfId="31497" xr:uid="{00000000-0005-0000-0000-0000177B0000}"/>
    <cellStyle name="Suma 2 19 22" xfId="31498" xr:uid="{00000000-0005-0000-0000-0000187B0000}"/>
    <cellStyle name="Suma 2 19 22 2" xfId="31499" xr:uid="{00000000-0005-0000-0000-0000197B0000}"/>
    <cellStyle name="Suma 2 19 22 3" xfId="31500" xr:uid="{00000000-0005-0000-0000-00001A7B0000}"/>
    <cellStyle name="Suma 2 19 23" xfId="31501" xr:uid="{00000000-0005-0000-0000-00001B7B0000}"/>
    <cellStyle name="Suma 2 19 23 2" xfId="31502" xr:uid="{00000000-0005-0000-0000-00001C7B0000}"/>
    <cellStyle name="Suma 2 19 23 3" xfId="31503" xr:uid="{00000000-0005-0000-0000-00001D7B0000}"/>
    <cellStyle name="Suma 2 19 24" xfId="31504" xr:uid="{00000000-0005-0000-0000-00001E7B0000}"/>
    <cellStyle name="Suma 2 19 24 2" xfId="31505" xr:uid="{00000000-0005-0000-0000-00001F7B0000}"/>
    <cellStyle name="Suma 2 19 24 3" xfId="31506" xr:uid="{00000000-0005-0000-0000-0000207B0000}"/>
    <cellStyle name="Suma 2 19 25" xfId="31507" xr:uid="{00000000-0005-0000-0000-0000217B0000}"/>
    <cellStyle name="Suma 2 19 25 2" xfId="31508" xr:uid="{00000000-0005-0000-0000-0000227B0000}"/>
    <cellStyle name="Suma 2 19 25 3" xfId="31509" xr:uid="{00000000-0005-0000-0000-0000237B0000}"/>
    <cellStyle name="Suma 2 19 26" xfId="31510" xr:uid="{00000000-0005-0000-0000-0000247B0000}"/>
    <cellStyle name="Suma 2 19 26 2" xfId="31511" xr:uid="{00000000-0005-0000-0000-0000257B0000}"/>
    <cellStyle name="Suma 2 19 26 3" xfId="31512" xr:uid="{00000000-0005-0000-0000-0000267B0000}"/>
    <cellStyle name="Suma 2 19 27" xfId="31513" xr:uid="{00000000-0005-0000-0000-0000277B0000}"/>
    <cellStyle name="Suma 2 19 27 2" xfId="31514" xr:uid="{00000000-0005-0000-0000-0000287B0000}"/>
    <cellStyle name="Suma 2 19 27 3" xfId="31515" xr:uid="{00000000-0005-0000-0000-0000297B0000}"/>
    <cellStyle name="Suma 2 19 28" xfId="31516" xr:uid="{00000000-0005-0000-0000-00002A7B0000}"/>
    <cellStyle name="Suma 2 19 28 2" xfId="31517" xr:uid="{00000000-0005-0000-0000-00002B7B0000}"/>
    <cellStyle name="Suma 2 19 28 3" xfId="31518" xr:uid="{00000000-0005-0000-0000-00002C7B0000}"/>
    <cellStyle name="Suma 2 19 29" xfId="31519" xr:uid="{00000000-0005-0000-0000-00002D7B0000}"/>
    <cellStyle name="Suma 2 19 29 2" xfId="31520" xr:uid="{00000000-0005-0000-0000-00002E7B0000}"/>
    <cellStyle name="Suma 2 19 29 3" xfId="31521" xr:uid="{00000000-0005-0000-0000-00002F7B0000}"/>
    <cellStyle name="Suma 2 19 3" xfId="31522" xr:uid="{00000000-0005-0000-0000-0000307B0000}"/>
    <cellStyle name="Suma 2 19 3 2" xfId="31523" xr:uid="{00000000-0005-0000-0000-0000317B0000}"/>
    <cellStyle name="Suma 2 19 3 3" xfId="31524" xr:uid="{00000000-0005-0000-0000-0000327B0000}"/>
    <cellStyle name="Suma 2 19 3 4" xfId="31525" xr:uid="{00000000-0005-0000-0000-0000337B0000}"/>
    <cellStyle name="Suma 2 19 30" xfId="31526" xr:uid="{00000000-0005-0000-0000-0000347B0000}"/>
    <cellStyle name="Suma 2 19 30 2" xfId="31527" xr:uid="{00000000-0005-0000-0000-0000357B0000}"/>
    <cellStyle name="Suma 2 19 30 3" xfId="31528" xr:uid="{00000000-0005-0000-0000-0000367B0000}"/>
    <cellStyle name="Suma 2 19 31" xfId="31529" xr:uid="{00000000-0005-0000-0000-0000377B0000}"/>
    <cellStyle name="Suma 2 19 31 2" xfId="31530" xr:uid="{00000000-0005-0000-0000-0000387B0000}"/>
    <cellStyle name="Suma 2 19 31 3" xfId="31531" xr:uid="{00000000-0005-0000-0000-0000397B0000}"/>
    <cellStyle name="Suma 2 19 32" xfId="31532" xr:uid="{00000000-0005-0000-0000-00003A7B0000}"/>
    <cellStyle name="Suma 2 19 32 2" xfId="31533" xr:uid="{00000000-0005-0000-0000-00003B7B0000}"/>
    <cellStyle name="Suma 2 19 32 3" xfId="31534" xr:uid="{00000000-0005-0000-0000-00003C7B0000}"/>
    <cellStyle name="Suma 2 19 33" xfId="31535" xr:uid="{00000000-0005-0000-0000-00003D7B0000}"/>
    <cellStyle name="Suma 2 19 33 2" xfId="31536" xr:uid="{00000000-0005-0000-0000-00003E7B0000}"/>
    <cellStyle name="Suma 2 19 33 3" xfId="31537" xr:uid="{00000000-0005-0000-0000-00003F7B0000}"/>
    <cellStyle name="Suma 2 19 34" xfId="31538" xr:uid="{00000000-0005-0000-0000-0000407B0000}"/>
    <cellStyle name="Suma 2 19 34 2" xfId="31539" xr:uid="{00000000-0005-0000-0000-0000417B0000}"/>
    <cellStyle name="Suma 2 19 34 3" xfId="31540" xr:uid="{00000000-0005-0000-0000-0000427B0000}"/>
    <cellStyle name="Suma 2 19 35" xfId="31541" xr:uid="{00000000-0005-0000-0000-0000437B0000}"/>
    <cellStyle name="Suma 2 19 35 2" xfId="31542" xr:uid="{00000000-0005-0000-0000-0000447B0000}"/>
    <cellStyle name="Suma 2 19 35 3" xfId="31543" xr:uid="{00000000-0005-0000-0000-0000457B0000}"/>
    <cellStyle name="Suma 2 19 36" xfId="31544" xr:uid="{00000000-0005-0000-0000-0000467B0000}"/>
    <cellStyle name="Suma 2 19 36 2" xfId="31545" xr:uid="{00000000-0005-0000-0000-0000477B0000}"/>
    <cellStyle name="Suma 2 19 36 3" xfId="31546" xr:uid="{00000000-0005-0000-0000-0000487B0000}"/>
    <cellStyle name="Suma 2 19 37" xfId="31547" xr:uid="{00000000-0005-0000-0000-0000497B0000}"/>
    <cellStyle name="Suma 2 19 37 2" xfId="31548" xr:uid="{00000000-0005-0000-0000-00004A7B0000}"/>
    <cellStyle name="Suma 2 19 37 3" xfId="31549" xr:uid="{00000000-0005-0000-0000-00004B7B0000}"/>
    <cellStyle name="Suma 2 19 38" xfId="31550" xr:uid="{00000000-0005-0000-0000-00004C7B0000}"/>
    <cellStyle name="Suma 2 19 38 2" xfId="31551" xr:uid="{00000000-0005-0000-0000-00004D7B0000}"/>
    <cellStyle name="Suma 2 19 38 3" xfId="31552" xr:uid="{00000000-0005-0000-0000-00004E7B0000}"/>
    <cellStyle name="Suma 2 19 39" xfId="31553" xr:uid="{00000000-0005-0000-0000-00004F7B0000}"/>
    <cellStyle name="Suma 2 19 39 2" xfId="31554" xr:uid="{00000000-0005-0000-0000-0000507B0000}"/>
    <cellStyle name="Suma 2 19 39 3" xfId="31555" xr:uid="{00000000-0005-0000-0000-0000517B0000}"/>
    <cellStyle name="Suma 2 19 4" xfId="31556" xr:uid="{00000000-0005-0000-0000-0000527B0000}"/>
    <cellStyle name="Suma 2 19 4 2" xfId="31557" xr:uid="{00000000-0005-0000-0000-0000537B0000}"/>
    <cellStyle name="Suma 2 19 4 3" xfId="31558" xr:uid="{00000000-0005-0000-0000-0000547B0000}"/>
    <cellStyle name="Suma 2 19 4 4" xfId="31559" xr:uid="{00000000-0005-0000-0000-0000557B0000}"/>
    <cellStyle name="Suma 2 19 40" xfId="31560" xr:uid="{00000000-0005-0000-0000-0000567B0000}"/>
    <cellStyle name="Suma 2 19 40 2" xfId="31561" xr:uid="{00000000-0005-0000-0000-0000577B0000}"/>
    <cellStyle name="Suma 2 19 40 3" xfId="31562" xr:uid="{00000000-0005-0000-0000-0000587B0000}"/>
    <cellStyle name="Suma 2 19 41" xfId="31563" xr:uid="{00000000-0005-0000-0000-0000597B0000}"/>
    <cellStyle name="Suma 2 19 41 2" xfId="31564" xr:uid="{00000000-0005-0000-0000-00005A7B0000}"/>
    <cellStyle name="Suma 2 19 41 3" xfId="31565" xr:uid="{00000000-0005-0000-0000-00005B7B0000}"/>
    <cellStyle name="Suma 2 19 42" xfId="31566" xr:uid="{00000000-0005-0000-0000-00005C7B0000}"/>
    <cellStyle name="Suma 2 19 42 2" xfId="31567" xr:uid="{00000000-0005-0000-0000-00005D7B0000}"/>
    <cellStyle name="Suma 2 19 42 3" xfId="31568" xr:uid="{00000000-0005-0000-0000-00005E7B0000}"/>
    <cellStyle name="Suma 2 19 43" xfId="31569" xr:uid="{00000000-0005-0000-0000-00005F7B0000}"/>
    <cellStyle name="Suma 2 19 43 2" xfId="31570" xr:uid="{00000000-0005-0000-0000-0000607B0000}"/>
    <cellStyle name="Suma 2 19 43 3" xfId="31571" xr:uid="{00000000-0005-0000-0000-0000617B0000}"/>
    <cellStyle name="Suma 2 19 44" xfId="31572" xr:uid="{00000000-0005-0000-0000-0000627B0000}"/>
    <cellStyle name="Suma 2 19 44 2" xfId="31573" xr:uid="{00000000-0005-0000-0000-0000637B0000}"/>
    <cellStyle name="Suma 2 19 44 3" xfId="31574" xr:uid="{00000000-0005-0000-0000-0000647B0000}"/>
    <cellStyle name="Suma 2 19 45" xfId="31575" xr:uid="{00000000-0005-0000-0000-0000657B0000}"/>
    <cellStyle name="Suma 2 19 45 2" xfId="31576" xr:uid="{00000000-0005-0000-0000-0000667B0000}"/>
    <cellStyle name="Suma 2 19 45 3" xfId="31577" xr:uid="{00000000-0005-0000-0000-0000677B0000}"/>
    <cellStyle name="Suma 2 19 46" xfId="31578" xr:uid="{00000000-0005-0000-0000-0000687B0000}"/>
    <cellStyle name="Suma 2 19 46 2" xfId="31579" xr:uid="{00000000-0005-0000-0000-0000697B0000}"/>
    <cellStyle name="Suma 2 19 46 3" xfId="31580" xr:uid="{00000000-0005-0000-0000-00006A7B0000}"/>
    <cellStyle name="Suma 2 19 47" xfId="31581" xr:uid="{00000000-0005-0000-0000-00006B7B0000}"/>
    <cellStyle name="Suma 2 19 47 2" xfId="31582" xr:uid="{00000000-0005-0000-0000-00006C7B0000}"/>
    <cellStyle name="Suma 2 19 47 3" xfId="31583" xr:uid="{00000000-0005-0000-0000-00006D7B0000}"/>
    <cellStyle name="Suma 2 19 48" xfId="31584" xr:uid="{00000000-0005-0000-0000-00006E7B0000}"/>
    <cellStyle name="Suma 2 19 48 2" xfId="31585" xr:uid="{00000000-0005-0000-0000-00006F7B0000}"/>
    <cellStyle name="Suma 2 19 48 3" xfId="31586" xr:uid="{00000000-0005-0000-0000-0000707B0000}"/>
    <cellStyle name="Suma 2 19 49" xfId="31587" xr:uid="{00000000-0005-0000-0000-0000717B0000}"/>
    <cellStyle name="Suma 2 19 49 2" xfId="31588" xr:uid="{00000000-0005-0000-0000-0000727B0000}"/>
    <cellStyle name="Suma 2 19 49 3" xfId="31589" xr:uid="{00000000-0005-0000-0000-0000737B0000}"/>
    <cellStyle name="Suma 2 19 5" xfId="31590" xr:uid="{00000000-0005-0000-0000-0000747B0000}"/>
    <cellStyle name="Suma 2 19 5 2" xfId="31591" xr:uid="{00000000-0005-0000-0000-0000757B0000}"/>
    <cellStyle name="Suma 2 19 5 3" xfId="31592" xr:uid="{00000000-0005-0000-0000-0000767B0000}"/>
    <cellStyle name="Suma 2 19 5 4" xfId="31593" xr:uid="{00000000-0005-0000-0000-0000777B0000}"/>
    <cellStyle name="Suma 2 19 50" xfId="31594" xr:uid="{00000000-0005-0000-0000-0000787B0000}"/>
    <cellStyle name="Suma 2 19 50 2" xfId="31595" xr:uid="{00000000-0005-0000-0000-0000797B0000}"/>
    <cellStyle name="Suma 2 19 50 3" xfId="31596" xr:uid="{00000000-0005-0000-0000-00007A7B0000}"/>
    <cellStyle name="Suma 2 19 51" xfId="31597" xr:uid="{00000000-0005-0000-0000-00007B7B0000}"/>
    <cellStyle name="Suma 2 19 51 2" xfId="31598" xr:uid="{00000000-0005-0000-0000-00007C7B0000}"/>
    <cellStyle name="Suma 2 19 51 3" xfId="31599" xr:uid="{00000000-0005-0000-0000-00007D7B0000}"/>
    <cellStyle name="Suma 2 19 52" xfId="31600" xr:uid="{00000000-0005-0000-0000-00007E7B0000}"/>
    <cellStyle name="Suma 2 19 52 2" xfId="31601" xr:uid="{00000000-0005-0000-0000-00007F7B0000}"/>
    <cellStyle name="Suma 2 19 52 3" xfId="31602" xr:uid="{00000000-0005-0000-0000-0000807B0000}"/>
    <cellStyle name="Suma 2 19 53" xfId="31603" xr:uid="{00000000-0005-0000-0000-0000817B0000}"/>
    <cellStyle name="Suma 2 19 53 2" xfId="31604" xr:uid="{00000000-0005-0000-0000-0000827B0000}"/>
    <cellStyle name="Suma 2 19 53 3" xfId="31605" xr:uid="{00000000-0005-0000-0000-0000837B0000}"/>
    <cellStyle name="Suma 2 19 54" xfId="31606" xr:uid="{00000000-0005-0000-0000-0000847B0000}"/>
    <cellStyle name="Suma 2 19 54 2" xfId="31607" xr:uid="{00000000-0005-0000-0000-0000857B0000}"/>
    <cellStyle name="Suma 2 19 54 3" xfId="31608" xr:uid="{00000000-0005-0000-0000-0000867B0000}"/>
    <cellStyle name="Suma 2 19 55" xfId="31609" xr:uid="{00000000-0005-0000-0000-0000877B0000}"/>
    <cellStyle name="Suma 2 19 55 2" xfId="31610" xr:uid="{00000000-0005-0000-0000-0000887B0000}"/>
    <cellStyle name="Suma 2 19 55 3" xfId="31611" xr:uid="{00000000-0005-0000-0000-0000897B0000}"/>
    <cellStyle name="Suma 2 19 56" xfId="31612" xr:uid="{00000000-0005-0000-0000-00008A7B0000}"/>
    <cellStyle name="Suma 2 19 56 2" xfId="31613" xr:uid="{00000000-0005-0000-0000-00008B7B0000}"/>
    <cellStyle name="Suma 2 19 56 3" xfId="31614" xr:uid="{00000000-0005-0000-0000-00008C7B0000}"/>
    <cellStyle name="Suma 2 19 57" xfId="31615" xr:uid="{00000000-0005-0000-0000-00008D7B0000}"/>
    <cellStyle name="Suma 2 19 58" xfId="31616" xr:uid="{00000000-0005-0000-0000-00008E7B0000}"/>
    <cellStyle name="Suma 2 19 6" xfId="31617" xr:uid="{00000000-0005-0000-0000-00008F7B0000}"/>
    <cellStyle name="Suma 2 19 6 2" xfId="31618" xr:uid="{00000000-0005-0000-0000-0000907B0000}"/>
    <cellStyle name="Suma 2 19 6 3" xfId="31619" xr:uid="{00000000-0005-0000-0000-0000917B0000}"/>
    <cellStyle name="Suma 2 19 6 4" xfId="31620" xr:uid="{00000000-0005-0000-0000-0000927B0000}"/>
    <cellStyle name="Suma 2 19 7" xfId="31621" xr:uid="{00000000-0005-0000-0000-0000937B0000}"/>
    <cellStyle name="Suma 2 19 7 2" xfId="31622" xr:uid="{00000000-0005-0000-0000-0000947B0000}"/>
    <cellStyle name="Suma 2 19 7 3" xfId="31623" xr:uid="{00000000-0005-0000-0000-0000957B0000}"/>
    <cellStyle name="Suma 2 19 7 4" xfId="31624" xr:uid="{00000000-0005-0000-0000-0000967B0000}"/>
    <cellStyle name="Suma 2 19 8" xfId="31625" xr:uid="{00000000-0005-0000-0000-0000977B0000}"/>
    <cellStyle name="Suma 2 19 8 2" xfId="31626" xr:uid="{00000000-0005-0000-0000-0000987B0000}"/>
    <cellStyle name="Suma 2 19 8 3" xfId="31627" xr:uid="{00000000-0005-0000-0000-0000997B0000}"/>
    <cellStyle name="Suma 2 19 8 4" xfId="31628" xr:uid="{00000000-0005-0000-0000-00009A7B0000}"/>
    <cellStyle name="Suma 2 19 9" xfId="31629" xr:uid="{00000000-0005-0000-0000-00009B7B0000}"/>
    <cellStyle name="Suma 2 19 9 2" xfId="31630" xr:uid="{00000000-0005-0000-0000-00009C7B0000}"/>
    <cellStyle name="Suma 2 19 9 3" xfId="31631" xr:uid="{00000000-0005-0000-0000-00009D7B0000}"/>
    <cellStyle name="Suma 2 19 9 4" xfId="31632" xr:uid="{00000000-0005-0000-0000-00009E7B0000}"/>
    <cellStyle name="Suma 2 2" xfId="31633" xr:uid="{00000000-0005-0000-0000-00009F7B0000}"/>
    <cellStyle name="Suma 2 2 10" xfId="31634" xr:uid="{00000000-0005-0000-0000-0000A07B0000}"/>
    <cellStyle name="Suma 2 2 10 2" xfId="31635" xr:uid="{00000000-0005-0000-0000-0000A17B0000}"/>
    <cellStyle name="Suma 2 2 10 3" xfId="31636" xr:uid="{00000000-0005-0000-0000-0000A27B0000}"/>
    <cellStyle name="Suma 2 2 10 4" xfId="31637" xr:uid="{00000000-0005-0000-0000-0000A37B0000}"/>
    <cellStyle name="Suma 2 2 11" xfId="31638" xr:uid="{00000000-0005-0000-0000-0000A47B0000}"/>
    <cellStyle name="Suma 2 2 11 2" xfId="31639" xr:uid="{00000000-0005-0000-0000-0000A57B0000}"/>
    <cellStyle name="Suma 2 2 11 3" xfId="31640" xr:uid="{00000000-0005-0000-0000-0000A67B0000}"/>
    <cellStyle name="Suma 2 2 11 4" xfId="31641" xr:uid="{00000000-0005-0000-0000-0000A77B0000}"/>
    <cellStyle name="Suma 2 2 12" xfId="31642" xr:uid="{00000000-0005-0000-0000-0000A87B0000}"/>
    <cellStyle name="Suma 2 2 12 2" xfId="31643" xr:uid="{00000000-0005-0000-0000-0000A97B0000}"/>
    <cellStyle name="Suma 2 2 12 3" xfId="31644" xr:uid="{00000000-0005-0000-0000-0000AA7B0000}"/>
    <cellStyle name="Suma 2 2 12 4" xfId="31645" xr:uid="{00000000-0005-0000-0000-0000AB7B0000}"/>
    <cellStyle name="Suma 2 2 13" xfId="31646" xr:uid="{00000000-0005-0000-0000-0000AC7B0000}"/>
    <cellStyle name="Suma 2 2 13 2" xfId="31647" xr:uid="{00000000-0005-0000-0000-0000AD7B0000}"/>
    <cellStyle name="Suma 2 2 13 3" xfId="31648" xr:uid="{00000000-0005-0000-0000-0000AE7B0000}"/>
    <cellStyle name="Suma 2 2 13 4" xfId="31649" xr:uid="{00000000-0005-0000-0000-0000AF7B0000}"/>
    <cellStyle name="Suma 2 2 14" xfId="31650" xr:uid="{00000000-0005-0000-0000-0000B07B0000}"/>
    <cellStyle name="Suma 2 2 14 2" xfId="31651" xr:uid="{00000000-0005-0000-0000-0000B17B0000}"/>
    <cellStyle name="Suma 2 2 14 3" xfId="31652" xr:uid="{00000000-0005-0000-0000-0000B27B0000}"/>
    <cellStyle name="Suma 2 2 14 4" xfId="31653" xr:uid="{00000000-0005-0000-0000-0000B37B0000}"/>
    <cellStyle name="Suma 2 2 15" xfId="31654" xr:uid="{00000000-0005-0000-0000-0000B47B0000}"/>
    <cellStyle name="Suma 2 2 15 2" xfId="31655" xr:uid="{00000000-0005-0000-0000-0000B57B0000}"/>
    <cellStyle name="Suma 2 2 15 3" xfId="31656" xr:uid="{00000000-0005-0000-0000-0000B67B0000}"/>
    <cellStyle name="Suma 2 2 15 4" xfId="31657" xr:uid="{00000000-0005-0000-0000-0000B77B0000}"/>
    <cellStyle name="Suma 2 2 16" xfId="31658" xr:uid="{00000000-0005-0000-0000-0000B87B0000}"/>
    <cellStyle name="Suma 2 2 16 2" xfId="31659" xr:uid="{00000000-0005-0000-0000-0000B97B0000}"/>
    <cellStyle name="Suma 2 2 16 3" xfId="31660" xr:uid="{00000000-0005-0000-0000-0000BA7B0000}"/>
    <cellStyle name="Suma 2 2 16 4" xfId="31661" xr:uid="{00000000-0005-0000-0000-0000BB7B0000}"/>
    <cellStyle name="Suma 2 2 17" xfId="31662" xr:uid="{00000000-0005-0000-0000-0000BC7B0000}"/>
    <cellStyle name="Suma 2 2 17 2" xfId="31663" xr:uid="{00000000-0005-0000-0000-0000BD7B0000}"/>
    <cellStyle name="Suma 2 2 17 3" xfId="31664" xr:uid="{00000000-0005-0000-0000-0000BE7B0000}"/>
    <cellStyle name="Suma 2 2 17 4" xfId="31665" xr:uid="{00000000-0005-0000-0000-0000BF7B0000}"/>
    <cellStyle name="Suma 2 2 18" xfId="31666" xr:uid="{00000000-0005-0000-0000-0000C07B0000}"/>
    <cellStyle name="Suma 2 2 18 2" xfId="31667" xr:uid="{00000000-0005-0000-0000-0000C17B0000}"/>
    <cellStyle name="Suma 2 2 18 3" xfId="31668" xr:uid="{00000000-0005-0000-0000-0000C27B0000}"/>
    <cellStyle name="Suma 2 2 18 4" xfId="31669" xr:uid="{00000000-0005-0000-0000-0000C37B0000}"/>
    <cellStyle name="Suma 2 2 19" xfId="31670" xr:uid="{00000000-0005-0000-0000-0000C47B0000}"/>
    <cellStyle name="Suma 2 2 19 2" xfId="31671" xr:uid="{00000000-0005-0000-0000-0000C57B0000}"/>
    <cellStyle name="Suma 2 2 19 3" xfId="31672" xr:uid="{00000000-0005-0000-0000-0000C67B0000}"/>
    <cellStyle name="Suma 2 2 19 4" xfId="31673" xr:uid="{00000000-0005-0000-0000-0000C77B0000}"/>
    <cellStyle name="Suma 2 2 2" xfId="31674" xr:uid="{00000000-0005-0000-0000-0000C87B0000}"/>
    <cellStyle name="Suma 2 2 2 2" xfId="31675" xr:uid="{00000000-0005-0000-0000-0000C97B0000}"/>
    <cellStyle name="Suma 2 2 2 3" xfId="31676" xr:uid="{00000000-0005-0000-0000-0000CA7B0000}"/>
    <cellStyle name="Suma 2 2 2 4" xfId="31677" xr:uid="{00000000-0005-0000-0000-0000CB7B0000}"/>
    <cellStyle name="Suma 2 2 20" xfId="31678" xr:uid="{00000000-0005-0000-0000-0000CC7B0000}"/>
    <cellStyle name="Suma 2 2 20 2" xfId="31679" xr:uid="{00000000-0005-0000-0000-0000CD7B0000}"/>
    <cellStyle name="Suma 2 2 20 3" xfId="31680" xr:uid="{00000000-0005-0000-0000-0000CE7B0000}"/>
    <cellStyle name="Suma 2 2 20 4" xfId="31681" xr:uid="{00000000-0005-0000-0000-0000CF7B0000}"/>
    <cellStyle name="Suma 2 2 21" xfId="31682" xr:uid="{00000000-0005-0000-0000-0000D07B0000}"/>
    <cellStyle name="Suma 2 2 21 2" xfId="31683" xr:uid="{00000000-0005-0000-0000-0000D17B0000}"/>
    <cellStyle name="Suma 2 2 21 3" xfId="31684" xr:uid="{00000000-0005-0000-0000-0000D27B0000}"/>
    <cellStyle name="Suma 2 2 22" xfId="31685" xr:uid="{00000000-0005-0000-0000-0000D37B0000}"/>
    <cellStyle name="Suma 2 2 22 2" xfId="31686" xr:uid="{00000000-0005-0000-0000-0000D47B0000}"/>
    <cellStyle name="Suma 2 2 22 3" xfId="31687" xr:uid="{00000000-0005-0000-0000-0000D57B0000}"/>
    <cellStyle name="Suma 2 2 23" xfId="31688" xr:uid="{00000000-0005-0000-0000-0000D67B0000}"/>
    <cellStyle name="Suma 2 2 23 2" xfId="31689" xr:uid="{00000000-0005-0000-0000-0000D77B0000}"/>
    <cellStyle name="Suma 2 2 23 3" xfId="31690" xr:uid="{00000000-0005-0000-0000-0000D87B0000}"/>
    <cellStyle name="Suma 2 2 24" xfId="31691" xr:uid="{00000000-0005-0000-0000-0000D97B0000}"/>
    <cellStyle name="Suma 2 2 24 2" xfId="31692" xr:uid="{00000000-0005-0000-0000-0000DA7B0000}"/>
    <cellStyle name="Suma 2 2 24 3" xfId="31693" xr:uid="{00000000-0005-0000-0000-0000DB7B0000}"/>
    <cellStyle name="Suma 2 2 25" xfId="31694" xr:uid="{00000000-0005-0000-0000-0000DC7B0000}"/>
    <cellStyle name="Suma 2 2 25 2" xfId="31695" xr:uid="{00000000-0005-0000-0000-0000DD7B0000}"/>
    <cellStyle name="Suma 2 2 25 3" xfId="31696" xr:uid="{00000000-0005-0000-0000-0000DE7B0000}"/>
    <cellStyle name="Suma 2 2 26" xfId="31697" xr:uid="{00000000-0005-0000-0000-0000DF7B0000}"/>
    <cellStyle name="Suma 2 2 26 2" xfId="31698" xr:uid="{00000000-0005-0000-0000-0000E07B0000}"/>
    <cellStyle name="Suma 2 2 26 3" xfId="31699" xr:uid="{00000000-0005-0000-0000-0000E17B0000}"/>
    <cellStyle name="Suma 2 2 27" xfId="31700" xr:uid="{00000000-0005-0000-0000-0000E27B0000}"/>
    <cellStyle name="Suma 2 2 27 2" xfId="31701" xr:uid="{00000000-0005-0000-0000-0000E37B0000}"/>
    <cellStyle name="Suma 2 2 27 3" xfId="31702" xr:uid="{00000000-0005-0000-0000-0000E47B0000}"/>
    <cellStyle name="Suma 2 2 28" xfId="31703" xr:uid="{00000000-0005-0000-0000-0000E57B0000}"/>
    <cellStyle name="Suma 2 2 28 2" xfId="31704" xr:uid="{00000000-0005-0000-0000-0000E67B0000}"/>
    <cellStyle name="Suma 2 2 28 3" xfId="31705" xr:uid="{00000000-0005-0000-0000-0000E77B0000}"/>
    <cellStyle name="Suma 2 2 29" xfId="31706" xr:uid="{00000000-0005-0000-0000-0000E87B0000}"/>
    <cellStyle name="Suma 2 2 29 2" xfId="31707" xr:uid="{00000000-0005-0000-0000-0000E97B0000}"/>
    <cellStyle name="Suma 2 2 29 3" xfId="31708" xr:uid="{00000000-0005-0000-0000-0000EA7B0000}"/>
    <cellStyle name="Suma 2 2 3" xfId="31709" xr:uid="{00000000-0005-0000-0000-0000EB7B0000}"/>
    <cellStyle name="Suma 2 2 3 2" xfId="31710" xr:uid="{00000000-0005-0000-0000-0000EC7B0000}"/>
    <cellStyle name="Suma 2 2 3 3" xfId="31711" xr:uid="{00000000-0005-0000-0000-0000ED7B0000}"/>
    <cellStyle name="Suma 2 2 3 4" xfId="31712" xr:uid="{00000000-0005-0000-0000-0000EE7B0000}"/>
    <cellStyle name="Suma 2 2 30" xfId="31713" xr:uid="{00000000-0005-0000-0000-0000EF7B0000}"/>
    <cellStyle name="Suma 2 2 30 2" xfId="31714" xr:uid="{00000000-0005-0000-0000-0000F07B0000}"/>
    <cellStyle name="Suma 2 2 30 3" xfId="31715" xr:uid="{00000000-0005-0000-0000-0000F17B0000}"/>
    <cellStyle name="Suma 2 2 31" xfId="31716" xr:uid="{00000000-0005-0000-0000-0000F27B0000}"/>
    <cellStyle name="Suma 2 2 31 2" xfId="31717" xr:uid="{00000000-0005-0000-0000-0000F37B0000}"/>
    <cellStyle name="Suma 2 2 31 3" xfId="31718" xr:uid="{00000000-0005-0000-0000-0000F47B0000}"/>
    <cellStyle name="Suma 2 2 32" xfId="31719" xr:uid="{00000000-0005-0000-0000-0000F57B0000}"/>
    <cellStyle name="Suma 2 2 32 2" xfId="31720" xr:uid="{00000000-0005-0000-0000-0000F67B0000}"/>
    <cellStyle name="Suma 2 2 32 3" xfId="31721" xr:uid="{00000000-0005-0000-0000-0000F77B0000}"/>
    <cellStyle name="Suma 2 2 33" xfId="31722" xr:uid="{00000000-0005-0000-0000-0000F87B0000}"/>
    <cellStyle name="Suma 2 2 33 2" xfId="31723" xr:uid="{00000000-0005-0000-0000-0000F97B0000}"/>
    <cellStyle name="Suma 2 2 33 3" xfId="31724" xr:uid="{00000000-0005-0000-0000-0000FA7B0000}"/>
    <cellStyle name="Suma 2 2 34" xfId="31725" xr:uid="{00000000-0005-0000-0000-0000FB7B0000}"/>
    <cellStyle name="Suma 2 2 34 2" xfId="31726" xr:uid="{00000000-0005-0000-0000-0000FC7B0000}"/>
    <cellStyle name="Suma 2 2 34 3" xfId="31727" xr:uid="{00000000-0005-0000-0000-0000FD7B0000}"/>
    <cellStyle name="Suma 2 2 35" xfId="31728" xr:uid="{00000000-0005-0000-0000-0000FE7B0000}"/>
    <cellStyle name="Suma 2 2 35 2" xfId="31729" xr:uid="{00000000-0005-0000-0000-0000FF7B0000}"/>
    <cellStyle name="Suma 2 2 35 3" xfId="31730" xr:uid="{00000000-0005-0000-0000-0000007C0000}"/>
    <cellStyle name="Suma 2 2 36" xfId="31731" xr:uid="{00000000-0005-0000-0000-0000017C0000}"/>
    <cellStyle name="Suma 2 2 36 2" xfId="31732" xr:uid="{00000000-0005-0000-0000-0000027C0000}"/>
    <cellStyle name="Suma 2 2 36 3" xfId="31733" xr:uid="{00000000-0005-0000-0000-0000037C0000}"/>
    <cellStyle name="Suma 2 2 37" xfId="31734" xr:uid="{00000000-0005-0000-0000-0000047C0000}"/>
    <cellStyle name="Suma 2 2 37 2" xfId="31735" xr:uid="{00000000-0005-0000-0000-0000057C0000}"/>
    <cellStyle name="Suma 2 2 37 3" xfId="31736" xr:uid="{00000000-0005-0000-0000-0000067C0000}"/>
    <cellStyle name="Suma 2 2 38" xfId="31737" xr:uid="{00000000-0005-0000-0000-0000077C0000}"/>
    <cellStyle name="Suma 2 2 38 2" xfId="31738" xr:uid="{00000000-0005-0000-0000-0000087C0000}"/>
    <cellStyle name="Suma 2 2 38 3" xfId="31739" xr:uid="{00000000-0005-0000-0000-0000097C0000}"/>
    <cellStyle name="Suma 2 2 39" xfId="31740" xr:uid="{00000000-0005-0000-0000-00000A7C0000}"/>
    <cellStyle name="Suma 2 2 39 2" xfId="31741" xr:uid="{00000000-0005-0000-0000-00000B7C0000}"/>
    <cellStyle name="Suma 2 2 39 3" xfId="31742" xr:uid="{00000000-0005-0000-0000-00000C7C0000}"/>
    <cellStyle name="Suma 2 2 4" xfId="31743" xr:uid="{00000000-0005-0000-0000-00000D7C0000}"/>
    <cellStyle name="Suma 2 2 4 2" xfId="31744" xr:uid="{00000000-0005-0000-0000-00000E7C0000}"/>
    <cellStyle name="Suma 2 2 4 3" xfId="31745" xr:uid="{00000000-0005-0000-0000-00000F7C0000}"/>
    <cellStyle name="Suma 2 2 4 4" xfId="31746" xr:uid="{00000000-0005-0000-0000-0000107C0000}"/>
    <cellStyle name="Suma 2 2 40" xfId="31747" xr:uid="{00000000-0005-0000-0000-0000117C0000}"/>
    <cellStyle name="Suma 2 2 40 2" xfId="31748" xr:uid="{00000000-0005-0000-0000-0000127C0000}"/>
    <cellStyle name="Suma 2 2 40 3" xfId="31749" xr:uid="{00000000-0005-0000-0000-0000137C0000}"/>
    <cellStyle name="Suma 2 2 41" xfId="31750" xr:uid="{00000000-0005-0000-0000-0000147C0000}"/>
    <cellStyle name="Suma 2 2 41 2" xfId="31751" xr:uid="{00000000-0005-0000-0000-0000157C0000}"/>
    <cellStyle name="Suma 2 2 41 3" xfId="31752" xr:uid="{00000000-0005-0000-0000-0000167C0000}"/>
    <cellStyle name="Suma 2 2 42" xfId="31753" xr:uid="{00000000-0005-0000-0000-0000177C0000}"/>
    <cellStyle name="Suma 2 2 42 2" xfId="31754" xr:uid="{00000000-0005-0000-0000-0000187C0000}"/>
    <cellStyle name="Suma 2 2 42 3" xfId="31755" xr:uid="{00000000-0005-0000-0000-0000197C0000}"/>
    <cellStyle name="Suma 2 2 43" xfId="31756" xr:uid="{00000000-0005-0000-0000-00001A7C0000}"/>
    <cellStyle name="Suma 2 2 43 2" xfId="31757" xr:uid="{00000000-0005-0000-0000-00001B7C0000}"/>
    <cellStyle name="Suma 2 2 43 3" xfId="31758" xr:uid="{00000000-0005-0000-0000-00001C7C0000}"/>
    <cellStyle name="Suma 2 2 44" xfId="31759" xr:uid="{00000000-0005-0000-0000-00001D7C0000}"/>
    <cellStyle name="Suma 2 2 44 2" xfId="31760" xr:uid="{00000000-0005-0000-0000-00001E7C0000}"/>
    <cellStyle name="Suma 2 2 44 3" xfId="31761" xr:uid="{00000000-0005-0000-0000-00001F7C0000}"/>
    <cellStyle name="Suma 2 2 45" xfId="31762" xr:uid="{00000000-0005-0000-0000-0000207C0000}"/>
    <cellStyle name="Suma 2 2 45 2" xfId="31763" xr:uid="{00000000-0005-0000-0000-0000217C0000}"/>
    <cellStyle name="Suma 2 2 45 3" xfId="31764" xr:uid="{00000000-0005-0000-0000-0000227C0000}"/>
    <cellStyle name="Suma 2 2 46" xfId="31765" xr:uid="{00000000-0005-0000-0000-0000237C0000}"/>
    <cellStyle name="Suma 2 2 46 2" xfId="31766" xr:uid="{00000000-0005-0000-0000-0000247C0000}"/>
    <cellStyle name="Suma 2 2 46 3" xfId="31767" xr:uid="{00000000-0005-0000-0000-0000257C0000}"/>
    <cellStyle name="Suma 2 2 47" xfId="31768" xr:uid="{00000000-0005-0000-0000-0000267C0000}"/>
    <cellStyle name="Suma 2 2 47 2" xfId="31769" xr:uid="{00000000-0005-0000-0000-0000277C0000}"/>
    <cellStyle name="Suma 2 2 47 3" xfId="31770" xr:uid="{00000000-0005-0000-0000-0000287C0000}"/>
    <cellStyle name="Suma 2 2 48" xfId="31771" xr:uid="{00000000-0005-0000-0000-0000297C0000}"/>
    <cellStyle name="Suma 2 2 48 2" xfId="31772" xr:uid="{00000000-0005-0000-0000-00002A7C0000}"/>
    <cellStyle name="Suma 2 2 48 3" xfId="31773" xr:uid="{00000000-0005-0000-0000-00002B7C0000}"/>
    <cellStyle name="Suma 2 2 49" xfId="31774" xr:uid="{00000000-0005-0000-0000-00002C7C0000}"/>
    <cellStyle name="Suma 2 2 49 2" xfId="31775" xr:uid="{00000000-0005-0000-0000-00002D7C0000}"/>
    <cellStyle name="Suma 2 2 49 3" xfId="31776" xr:uid="{00000000-0005-0000-0000-00002E7C0000}"/>
    <cellStyle name="Suma 2 2 5" xfId="31777" xr:uid="{00000000-0005-0000-0000-00002F7C0000}"/>
    <cellStyle name="Suma 2 2 5 2" xfId="31778" xr:uid="{00000000-0005-0000-0000-0000307C0000}"/>
    <cellStyle name="Suma 2 2 5 3" xfId="31779" xr:uid="{00000000-0005-0000-0000-0000317C0000}"/>
    <cellStyle name="Suma 2 2 5 4" xfId="31780" xr:uid="{00000000-0005-0000-0000-0000327C0000}"/>
    <cellStyle name="Suma 2 2 50" xfId="31781" xr:uid="{00000000-0005-0000-0000-0000337C0000}"/>
    <cellStyle name="Suma 2 2 50 2" xfId="31782" xr:uid="{00000000-0005-0000-0000-0000347C0000}"/>
    <cellStyle name="Suma 2 2 50 3" xfId="31783" xr:uid="{00000000-0005-0000-0000-0000357C0000}"/>
    <cellStyle name="Suma 2 2 51" xfId="31784" xr:uid="{00000000-0005-0000-0000-0000367C0000}"/>
    <cellStyle name="Suma 2 2 51 2" xfId="31785" xr:uid="{00000000-0005-0000-0000-0000377C0000}"/>
    <cellStyle name="Suma 2 2 51 3" xfId="31786" xr:uid="{00000000-0005-0000-0000-0000387C0000}"/>
    <cellStyle name="Suma 2 2 52" xfId="31787" xr:uid="{00000000-0005-0000-0000-0000397C0000}"/>
    <cellStyle name="Suma 2 2 52 2" xfId="31788" xr:uid="{00000000-0005-0000-0000-00003A7C0000}"/>
    <cellStyle name="Suma 2 2 52 3" xfId="31789" xr:uid="{00000000-0005-0000-0000-00003B7C0000}"/>
    <cellStyle name="Suma 2 2 53" xfId="31790" xr:uid="{00000000-0005-0000-0000-00003C7C0000}"/>
    <cellStyle name="Suma 2 2 53 2" xfId="31791" xr:uid="{00000000-0005-0000-0000-00003D7C0000}"/>
    <cellStyle name="Suma 2 2 53 3" xfId="31792" xr:uid="{00000000-0005-0000-0000-00003E7C0000}"/>
    <cellStyle name="Suma 2 2 54" xfId="31793" xr:uid="{00000000-0005-0000-0000-00003F7C0000}"/>
    <cellStyle name="Suma 2 2 54 2" xfId="31794" xr:uid="{00000000-0005-0000-0000-0000407C0000}"/>
    <cellStyle name="Suma 2 2 54 3" xfId="31795" xr:uid="{00000000-0005-0000-0000-0000417C0000}"/>
    <cellStyle name="Suma 2 2 55" xfId="31796" xr:uid="{00000000-0005-0000-0000-0000427C0000}"/>
    <cellStyle name="Suma 2 2 55 2" xfId="31797" xr:uid="{00000000-0005-0000-0000-0000437C0000}"/>
    <cellStyle name="Suma 2 2 55 3" xfId="31798" xr:uid="{00000000-0005-0000-0000-0000447C0000}"/>
    <cellStyle name="Suma 2 2 56" xfId="31799" xr:uid="{00000000-0005-0000-0000-0000457C0000}"/>
    <cellStyle name="Suma 2 2 56 2" xfId="31800" xr:uid="{00000000-0005-0000-0000-0000467C0000}"/>
    <cellStyle name="Suma 2 2 56 3" xfId="31801" xr:uid="{00000000-0005-0000-0000-0000477C0000}"/>
    <cellStyle name="Suma 2 2 57" xfId="31802" xr:uid="{00000000-0005-0000-0000-0000487C0000}"/>
    <cellStyle name="Suma 2 2 58" xfId="31803" xr:uid="{00000000-0005-0000-0000-0000497C0000}"/>
    <cellStyle name="Suma 2 2 59" xfId="31804" xr:uid="{00000000-0005-0000-0000-00004A7C0000}"/>
    <cellStyle name="Suma 2 2 6" xfId="31805" xr:uid="{00000000-0005-0000-0000-00004B7C0000}"/>
    <cellStyle name="Suma 2 2 6 2" xfId="31806" xr:uid="{00000000-0005-0000-0000-00004C7C0000}"/>
    <cellStyle name="Suma 2 2 6 3" xfId="31807" xr:uid="{00000000-0005-0000-0000-00004D7C0000}"/>
    <cellStyle name="Suma 2 2 6 4" xfId="31808" xr:uid="{00000000-0005-0000-0000-00004E7C0000}"/>
    <cellStyle name="Suma 2 2 7" xfId="31809" xr:uid="{00000000-0005-0000-0000-00004F7C0000}"/>
    <cellStyle name="Suma 2 2 7 2" xfId="31810" xr:uid="{00000000-0005-0000-0000-0000507C0000}"/>
    <cellStyle name="Suma 2 2 7 3" xfId="31811" xr:uid="{00000000-0005-0000-0000-0000517C0000}"/>
    <cellStyle name="Suma 2 2 7 4" xfId="31812" xr:uid="{00000000-0005-0000-0000-0000527C0000}"/>
    <cellStyle name="Suma 2 2 8" xfId="31813" xr:uid="{00000000-0005-0000-0000-0000537C0000}"/>
    <cellStyle name="Suma 2 2 8 2" xfId="31814" xr:uid="{00000000-0005-0000-0000-0000547C0000}"/>
    <cellStyle name="Suma 2 2 8 3" xfId="31815" xr:uid="{00000000-0005-0000-0000-0000557C0000}"/>
    <cellStyle name="Suma 2 2 8 4" xfId="31816" xr:uid="{00000000-0005-0000-0000-0000567C0000}"/>
    <cellStyle name="Suma 2 2 9" xfId="31817" xr:uid="{00000000-0005-0000-0000-0000577C0000}"/>
    <cellStyle name="Suma 2 2 9 2" xfId="31818" xr:uid="{00000000-0005-0000-0000-0000587C0000}"/>
    <cellStyle name="Suma 2 2 9 3" xfId="31819" xr:uid="{00000000-0005-0000-0000-0000597C0000}"/>
    <cellStyle name="Suma 2 2 9 4" xfId="31820" xr:uid="{00000000-0005-0000-0000-00005A7C0000}"/>
    <cellStyle name="Suma 2 20" xfId="31821" xr:uid="{00000000-0005-0000-0000-00005B7C0000}"/>
    <cellStyle name="Suma 2 20 10" xfId="31822" xr:uid="{00000000-0005-0000-0000-00005C7C0000}"/>
    <cellStyle name="Suma 2 20 10 2" xfId="31823" xr:uid="{00000000-0005-0000-0000-00005D7C0000}"/>
    <cellStyle name="Suma 2 20 10 3" xfId="31824" xr:uid="{00000000-0005-0000-0000-00005E7C0000}"/>
    <cellStyle name="Suma 2 20 10 4" xfId="31825" xr:uid="{00000000-0005-0000-0000-00005F7C0000}"/>
    <cellStyle name="Suma 2 20 11" xfId="31826" xr:uid="{00000000-0005-0000-0000-0000607C0000}"/>
    <cellStyle name="Suma 2 20 11 2" xfId="31827" xr:uid="{00000000-0005-0000-0000-0000617C0000}"/>
    <cellStyle name="Suma 2 20 11 3" xfId="31828" xr:uid="{00000000-0005-0000-0000-0000627C0000}"/>
    <cellStyle name="Suma 2 20 11 4" xfId="31829" xr:uid="{00000000-0005-0000-0000-0000637C0000}"/>
    <cellStyle name="Suma 2 20 12" xfId="31830" xr:uid="{00000000-0005-0000-0000-0000647C0000}"/>
    <cellStyle name="Suma 2 20 12 2" xfId="31831" xr:uid="{00000000-0005-0000-0000-0000657C0000}"/>
    <cellStyle name="Suma 2 20 12 3" xfId="31832" xr:uid="{00000000-0005-0000-0000-0000667C0000}"/>
    <cellStyle name="Suma 2 20 12 4" xfId="31833" xr:uid="{00000000-0005-0000-0000-0000677C0000}"/>
    <cellStyle name="Suma 2 20 13" xfId="31834" xr:uid="{00000000-0005-0000-0000-0000687C0000}"/>
    <cellStyle name="Suma 2 20 13 2" xfId="31835" xr:uid="{00000000-0005-0000-0000-0000697C0000}"/>
    <cellStyle name="Suma 2 20 13 3" xfId="31836" xr:uid="{00000000-0005-0000-0000-00006A7C0000}"/>
    <cellStyle name="Suma 2 20 13 4" xfId="31837" xr:uid="{00000000-0005-0000-0000-00006B7C0000}"/>
    <cellStyle name="Suma 2 20 14" xfId="31838" xr:uid="{00000000-0005-0000-0000-00006C7C0000}"/>
    <cellStyle name="Suma 2 20 14 2" xfId="31839" xr:uid="{00000000-0005-0000-0000-00006D7C0000}"/>
    <cellStyle name="Suma 2 20 14 3" xfId="31840" xr:uid="{00000000-0005-0000-0000-00006E7C0000}"/>
    <cellStyle name="Suma 2 20 14 4" xfId="31841" xr:uid="{00000000-0005-0000-0000-00006F7C0000}"/>
    <cellStyle name="Suma 2 20 15" xfId="31842" xr:uid="{00000000-0005-0000-0000-0000707C0000}"/>
    <cellStyle name="Suma 2 20 15 2" xfId="31843" xr:uid="{00000000-0005-0000-0000-0000717C0000}"/>
    <cellStyle name="Suma 2 20 15 3" xfId="31844" xr:uid="{00000000-0005-0000-0000-0000727C0000}"/>
    <cellStyle name="Suma 2 20 15 4" xfId="31845" xr:uid="{00000000-0005-0000-0000-0000737C0000}"/>
    <cellStyle name="Suma 2 20 16" xfId="31846" xr:uid="{00000000-0005-0000-0000-0000747C0000}"/>
    <cellStyle name="Suma 2 20 16 2" xfId="31847" xr:uid="{00000000-0005-0000-0000-0000757C0000}"/>
    <cellStyle name="Suma 2 20 16 3" xfId="31848" xr:uid="{00000000-0005-0000-0000-0000767C0000}"/>
    <cellStyle name="Suma 2 20 16 4" xfId="31849" xr:uid="{00000000-0005-0000-0000-0000777C0000}"/>
    <cellStyle name="Suma 2 20 17" xfId="31850" xr:uid="{00000000-0005-0000-0000-0000787C0000}"/>
    <cellStyle name="Suma 2 20 17 2" xfId="31851" xr:uid="{00000000-0005-0000-0000-0000797C0000}"/>
    <cellStyle name="Suma 2 20 17 3" xfId="31852" xr:uid="{00000000-0005-0000-0000-00007A7C0000}"/>
    <cellStyle name="Suma 2 20 17 4" xfId="31853" xr:uid="{00000000-0005-0000-0000-00007B7C0000}"/>
    <cellStyle name="Suma 2 20 18" xfId="31854" xr:uid="{00000000-0005-0000-0000-00007C7C0000}"/>
    <cellStyle name="Suma 2 20 18 2" xfId="31855" xr:uid="{00000000-0005-0000-0000-00007D7C0000}"/>
    <cellStyle name="Suma 2 20 18 3" xfId="31856" xr:uid="{00000000-0005-0000-0000-00007E7C0000}"/>
    <cellStyle name="Suma 2 20 18 4" xfId="31857" xr:uid="{00000000-0005-0000-0000-00007F7C0000}"/>
    <cellStyle name="Suma 2 20 19" xfId="31858" xr:uid="{00000000-0005-0000-0000-0000807C0000}"/>
    <cellStyle name="Suma 2 20 19 2" xfId="31859" xr:uid="{00000000-0005-0000-0000-0000817C0000}"/>
    <cellStyle name="Suma 2 20 19 3" xfId="31860" xr:uid="{00000000-0005-0000-0000-0000827C0000}"/>
    <cellStyle name="Suma 2 20 19 4" xfId="31861" xr:uid="{00000000-0005-0000-0000-0000837C0000}"/>
    <cellStyle name="Suma 2 20 2" xfId="31862" xr:uid="{00000000-0005-0000-0000-0000847C0000}"/>
    <cellStyle name="Suma 2 20 2 2" xfId="31863" xr:uid="{00000000-0005-0000-0000-0000857C0000}"/>
    <cellStyle name="Suma 2 20 2 3" xfId="31864" xr:uid="{00000000-0005-0000-0000-0000867C0000}"/>
    <cellStyle name="Suma 2 20 2 4" xfId="31865" xr:uid="{00000000-0005-0000-0000-0000877C0000}"/>
    <cellStyle name="Suma 2 20 20" xfId="31866" xr:uid="{00000000-0005-0000-0000-0000887C0000}"/>
    <cellStyle name="Suma 2 20 20 2" xfId="31867" xr:uid="{00000000-0005-0000-0000-0000897C0000}"/>
    <cellStyle name="Suma 2 20 20 3" xfId="31868" xr:uid="{00000000-0005-0000-0000-00008A7C0000}"/>
    <cellStyle name="Suma 2 20 20 4" xfId="31869" xr:uid="{00000000-0005-0000-0000-00008B7C0000}"/>
    <cellStyle name="Suma 2 20 21" xfId="31870" xr:uid="{00000000-0005-0000-0000-00008C7C0000}"/>
    <cellStyle name="Suma 2 20 21 2" xfId="31871" xr:uid="{00000000-0005-0000-0000-00008D7C0000}"/>
    <cellStyle name="Suma 2 20 21 3" xfId="31872" xr:uid="{00000000-0005-0000-0000-00008E7C0000}"/>
    <cellStyle name="Suma 2 20 22" xfId="31873" xr:uid="{00000000-0005-0000-0000-00008F7C0000}"/>
    <cellStyle name="Suma 2 20 22 2" xfId="31874" xr:uid="{00000000-0005-0000-0000-0000907C0000}"/>
    <cellStyle name="Suma 2 20 22 3" xfId="31875" xr:uid="{00000000-0005-0000-0000-0000917C0000}"/>
    <cellStyle name="Suma 2 20 23" xfId="31876" xr:uid="{00000000-0005-0000-0000-0000927C0000}"/>
    <cellStyle name="Suma 2 20 23 2" xfId="31877" xr:uid="{00000000-0005-0000-0000-0000937C0000}"/>
    <cellStyle name="Suma 2 20 23 3" xfId="31878" xr:uid="{00000000-0005-0000-0000-0000947C0000}"/>
    <cellStyle name="Suma 2 20 24" xfId="31879" xr:uid="{00000000-0005-0000-0000-0000957C0000}"/>
    <cellStyle name="Suma 2 20 24 2" xfId="31880" xr:uid="{00000000-0005-0000-0000-0000967C0000}"/>
    <cellStyle name="Suma 2 20 24 3" xfId="31881" xr:uid="{00000000-0005-0000-0000-0000977C0000}"/>
    <cellStyle name="Suma 2 20 25" xfId="31882" xr:uid="{00000000-0005-0000-0000-0000987C0000}"/>
    <cellStyle name="Suma 2 20 25 2" xfId="31883" xr:uid="{00000000-0005-0000-0000-0000997C0000}"/>
    <cellStyle name="Suma 2 20 25 3" xfId="31884" xr:uid="{00000000-0005-0000-0000-00009A7C0000}"/>
    <cellStyle name="Suma 2 20 26" xfId="31885" xr:uid="{00000000-0005-0000-0000-00009B7C0000}"/>
    <cellStyle name="Suma 2 20 26 2" xfId="31886" xr:uid="{00000000-0005-0000-0000-00009C7C0000}"/>
    <cellStyle name="Suma 2 20 26 3" xfId="31887" xr:uid="{00000000-0005-0000-0000-00009D7C0000}"/>
    <cellStyle name="Suma 2 20 27" xfId="31888" xr:uid="{00000000-0005-0000-0000-00009E7C0000}"/>
    <cellStyle name="Suma 2 20 27 2" xfId="31889" xr:uid="{00000000-0005-0000-0000-00009F7C0000}"/>
    <cellStyle name="Suma 2 20 27 3" xfId="31890" xr:uid="{00000000-0005-0000-0000-0000A07C0000}"/>
    <cellStyle name="Suma 2 20 28" xfId="31891" xr:uid="{00000000-0005-0000-0000-0000A17C0000}"/>
    <cellStyle name="Suma 2 20 28 2" xfId="31892" xr:uid="{00000000-0005-0000-0000-0000A27C0000}"/>
    <cellStyle name="Suma 2 20 28 3" xfId="31893" xr:uid="{00000000-0005-0000-0000-0000A37C0000}"/>
    <cellStyle name="Suma 2 20 29" xfId="31894" xr:uid="{00000000-0005-0000-0000-0000A47C0000}"/>
    <cellStyle name="Suma 2 20 29 2" xfId="31895" xr:uid="{00000000-0005-0000-0000-0000A57C0000}"/>
    <cellStyle name="Suma 2 20 29 3" xfId="31896" xr:uid="{00000000-0005-0000-0000-0000A67C0000}"/>
    <cellStyle name="Suma 2 20 3" xfId="31897" xr:uid="{00000000-0005-0000-0000-0000A77C0000}"/>
    <cellStyle name="Suma 2 20 3 2" xfId="31898" xr:uid="{00000000-0005-0000-0000-0000A87C0000}"/>
    <cellStyle name="Suma 2 20 3 3" xfId="31899" xr:uid="{00000000-0005-0000-0000-0000A97C0000}"/>
    <cellStyle name="Suma 2 20 3 4" xfId="31900" xr:uid="{00000000-0005-0000-0000-0000AA7C0000}"/>
    <cellStyle name="Suma 2 20 30" xfId="31901" xr:uid="{00000000-0005-0000-0000-0000AB7C0000}"/>
    <cellStyle name="Suma 2 20 30 2" xfId="31902" xr:uid="{00000000-0005-0000-0000-0000AC7C0000}"/>
    <cellStyle name="Suma 2 20 30 3" xfId="31903" xr:uid="{00000000-0005-0000-0000-0000AD7C0000}"/>
    <cellStyle name="Suma 2 20 31" xfId="31904" xr:uid="{00000000-0005-0000-0000-0000AE7C0000}"/>
    <cellStyle name="Suma 2 20 31 2" xfId="31905" xr:uid="{00000000-0005-0000-0000-0000AF7C0000}"/>
    <cellStyle name="Suma 2 20 31 3" xfId="31906" xr:uid="{00000000-0005-0000-0000-0000B07C0000}"/>
    <cellStyle name="Suma 2 20 32" xfId="31907" xr:uid="{00000000-0005-0000-0000-0000B17C0000}"/>
    <cellStyle name="Suma 2 20 32 2" xfId="31908" xr:uid="{00000000-0005-0000-0000-0000B27C0000}"/>
    <cellStyle name="Suma 2 20 32 3" xfId="31909" xr:uid="{00000000-0005-0000-0000-0000B37C0000}"/>
    <cellStyle name="Suma 2 20 33" xfId="31910" xr:uid="{00000000-0005-0000-0000-0000B47C0000}"/>
    <cellStyle name="Suma 2 20 33 2" xfId="31911" xr:uid="{00000000-0005-0000-0000-0000B57C0000}"/>
    <cellStyle name="Suma 2 20 33 3" xfId="31912" xr:uid="{00000000-0005-0000-0000-0000B67C0000}"/>
    <cellStyle name="Suma 2 20 34" xfId="31913" xr:uid="{00000000-0005-0000-0000-0000B77C0000}"/>
    <cellStyle name="Suma 2 20 34 2" xfId="31914" xr:uid="{00000000-0005-0000-0000-0000B87C0000}"/>
    <cellStyle name="Suma 2 20 34 3" xfId="31915" xr:uid="{00000000-0005-0000-0000-0000B97C0000}"/>
    <cellStyle name="Suma 2 20 35" xfId="31916" xr:uid="{00000000-0005-0000-0000-0000BA7C0000}"/>
    <cellStyle name="Suma 2 20 35 2" xfId="31917" xr:uid="{00000000-0005-0000-0000-0000BB7C0000}"/>
    <cellStyle name="Suma 2 20 35 3" xfId="31918" xr:uid="{00000000-0005-0000-0000-0000BC7C0000}"/>
    <cellStyle name="Suma 2 20 36" xfId="31919" xr:uid="{00000000-0005-0000-0000-0000BD7C0000}"/>
    <cellStyle name="Suma 2 20 36 2" xfId="31920" xr:uid="{00000000-0005-0000-0000-0000BE7C0000}"/>
    <cellStyle name="Suma 2 20 36 3" xfId="31921" xr:uid="{00000000-0005-0000-0000-0000BF7C0000}"/>
    <cellStyle name="Suma 2 20 37" xfId="31922" xr:uid="{00000000-0005-0000-0000-0000C07C0000}"/>
    <cellStyle name="Suma 2 20 37 2" xfId="31923" xr:uid="{00000000-0005-0000-0000-0000C17C0000}"/>
    <cellStyle name="Suma 2 20 37 3" xfId="31924" xr:uid="{00000000-0005-0000-0000-0000C27C0000}"/>
    <cellStyle name="Suma 2 20 38" xfId="31925" xr:uid="{00000000-0005-0000-0000-0000C37C0000}"/>
    <cellStyle name="Suma 2 20 38 2" xfId="31926" xr:uid="{00000000-0005-0000-0000-0000C47C0000}"/>
    <cellStyle name="Suma 2 20 38 3" xfId="31927" xr:uid="{00000000-0005-0000-0000-0000C57C0000}"/>
    <cellStyle name="Suma 2 20 39" xfId="31928" xr:uid="{00000000-0005-0000-0000-0000C67C0000}"/>
    <cellStyle name="Suma 2 20 39 2" xfId="31929" xr:uid="{00000000-0005-0000-0000-0000C77C0000}"/>
    <cellStyle name="Suma 2 20 39 3" xfId="31930" xr:uid="{00000000-0005-0000-0000-0000C87C0000}"/>
    <cellStyle name="Suma 2 20 4" xfId="31931" xr:uid="{00000000-0005-0000-0000-0000C97C0000}"/>
    <cellStyle name="Suma 2 20 4 2" xfId="31932" xr:uid="{00000000-0005-0000-0000-0000CA7C0000}"/>
    <cellStyle name="Suma 2 20 4 3" xfId="31933" xr:uid="{00000000-0005-0000-0000-0000CB7C0000}"/>
    <cellStyle name="Suma 2 20 4 4" xfId="31934" xr:uid="{00000000-0005-0000-0000-0000CC7C0000}"/>
    <cellStyle name="Suma 2 20 40" xfId="31935" xr:uid="{00000000-0005-0000-0000-0000CD7C0000}"/>
    <cellStyle name="Suma 2 20 40 2" xfId="31936" xr:uid="{00000000-0005-0000-0000-0000CE7C0000}"/>
    <cellStyle name="Suma 2 20 40 3" xfId="31937" xr:uid="{00000000-0005-0000-0000-0000CF7C0000}"/>
    <cellStyle name="Suma 2 20 41" xfId="31938" xr:uid="{00000000-0005-0000-0000-0000D07C0000}"/>
    <cellStyle name="Suma 2 20 41 2" xfId="31939" xr:uid="{00000000-0005-0000-0000-0000D17C0000}"/>
    <cellStyle name="Suma 2 20 41 3" xfId="31940" xr:uid="{00000000-0005-0000-0000-0000D27C0000}"/>
    <cellStyle name="Suma 2 20 42" xfId="31941" xr:uid="{00000000-0005-0000-0000-0000D37C0000}"/>
    <cellStyle name="Suma 2 20 42 2" xfId="31942" xr:uid="{00000000-0005-0000-0000-0000D47C0000}"/>
    <cellStyle name="Suma 2 20 42 3" xfId="31943" xr:uid="{00000000-0005-0000-0000-0000D57C0000}"/>
    <cellStyle name="Suma 2 20 43" xfId="31944" xr:uid="{00000000-0005-0000-0000-0000D67C0000}"/>
    <cellStyle name="Suma 2 20 43 2" xfId="31945" xr:uid="{00000000-0005-0000-0000-0000D77C0000}"/>
    <cellStyle name="Suma 2 20 43 3" xfId="31946" xr:uid="{00000000-0005-0000-0000-0000D87C0000}"/>
    <cellStyle name="Suma 2 20 44" xfId="31947" xr:uid="{00000000-0005-0000-0000-0000D97C0000}"/>
    <cellStyle name="Suma 2 20 44 2" xfId="31948" xr:uid="{00000000-0005-0000-0000-0000DA7C0000}"/>
    <cellStyle name="Suma 2 20 44 3" xfId="31949" xr:uid="{00000000-0005-0000-0000-0000DB7C0000}"/>
    <cellStyle name="Suma 2 20 45" xfId="31950" xr:uid="{00000000-0005-0000-0000-0000DC7C0000}"/>
    <cellStyle name="Suma 2 20 45 2" xfId="31951" xr:uid="{00000000-0005-0000-0000-0000DD7C0000}"/>
    <cellStyle name="Suma 2 20 45 3" xfId="31952" xr:uid="{00000000-0005-0000-0000-0000DE7C0000}"/>
    <cellStyle name="Suma 2 20 46" xfId="31953" xr:uid="{00000000-0005-0000-0000-0000DF7C0000}"/>
    <cellStyle name="Suma 2 20 46 2" xfId="31954" xr:uid="{00000000-0005-0000-0000-0000E07C0000}"/>
    <cellStyle name="Suma 2 20 46 3" xfId="31955" xr:uid="{00000000-0005-0000-0000-0000E17C0000}"/>
    <cellStyle name="Suma 2 20 47" xfId="31956" xr:uid="{00000000-0005-0000-0000-0000E27C0000}"/>
    <cellStyle name="Suma 2 20 47 2" xfId="31957" xr:uid="{00000000-0005-0000-0000-0000E37C0000}"/>
    <cellStyle name="Suma 2 20 47 3" xfId="31958" xr:uid="{00000000-0005-0000-0000-0000E47C0000}"/>
    <cellStyle name="Suma 2 20 48" xfId="31959" xr:uid="{00000000-0005-0000-0000-0000E57C0000}"/>
    <cellStyle name="Suma 2 20 48 2" xfId="31960" xr:uid="{00000000-0005-0000-0000-0000E67C0000}"/>
    <cellStyle name="Suma 2 20 48 3" xfId="31961" xr:uid="{00000000-0005-0000-0000-0000E77C0000}"/>
    <cellStyle name="Suma 2 20 49" xfId="31962" xr:uid="{00000000-0005-0000-0000-0000E87C0000}"/>
    <cellStyle name="Suma 2 20 49 2" xfId="31963" xr:uid="{00000000-0005-0000-0000-0000E97C0000}"/>
    <cellStyle name="Suma 2 20 49 3" xfId="31964" xr:uid="{00000000-0005-0000-0000-0000EA7C0000}"/>
    <cellStyle name="Suma 2 20 5" xfId="31965" xr:uid="{00000000-0005-0000-0000-0000EB7C0000}"/>
    <cellStyle name="Suma 2 20 5 2" xfId="31966" xr:uid="{00000000-0005-0000-0000-0000EC7C0000}"/>
    <cellStyle name="Suma 2 20 5 3" xfId="31967" xr:uid="{00000000-0005-0000-0000-0000ED7C0000}"/>
    <cellStyle name="Suma 2 20 5 4" xfId="31968" xr:uid="{00000000-0005-0000-0000-0000EE7C0000}"/>
    <cellStyle name="Suma 2 20 50" xfId="31969" xr:uid="{00000000-0005-0000-0000-0000EF7C0000}"/>
    <cellStyle name="Suma 2 20 50 2" xfId="31970" xr:uid="{00000000-0005-0000-0000-0000F07C0000}"/>
    <cellStyle name="Suma 2 20 50 3" xfId="31971" xr:uid="{00000000-0005-0000-0000-0000F17C0000}"/>
    <cellStyle name="Suma 2 20 51" xfId="31972" xr:uid="{00000000-0005-0000-0000-0000F27C0000}"/>
    <cellStyle name="Suma 2 20 51 2" xfId="31973" xr:uid="{00000000-0005-0000-0000-0000F37C0000}"/>
    <cellStyle name="Suma 2 20 51 3" xfId="31974" xr:uid="{00000000-0005-0000-0000-0000F47C0000}"/>
    <cellStyle name="Suma 2 20 52" xfId="31975" xr:uid="{00000000-0005-0000-0000-0000F57C0000}"/>
    <cellStyle name="Suma 2 20 52 2" xfId="31976" xr:uid="{00000000-0005-0000-0000-0000F67C0000}"/>
    <cellStyle name="Suma 2 20 52 3" xfId="31977" xr:uid="{00000000-0005-0000-0000-0000F77C0000}"/>
    <cellStyle name="Suma 2 20 53" xfId="31978" xr:uid="{00000000-0005-0000-0000-0000F87C0000}"/>
    <cellStyle name="Suma 2 20 53 2" xfId="31979" xr:uid="{00000000-0005-0000-0000-0000F97C0000}"/>
    <cellStyle name="Suma 2 20 53 3" xfId="31980" xr:uid="{00000000-0005-0000-0000-0000FA7C0000}"/>
    <cellStyle name="Suma 2 20 54" xfId="31981" xr:uid="{00000000-0005-0000-0000-0000FB7C0000}"/>
    <cellStyle name="Suma 2 20 54 2" xfId="31982" xr:uid="{00000000-0005-0000-0000-0000FC7C0000}"/>
    <cellStyle name="Suma 2 20 54 3" xfId="31983" xr:uid="{00000000-0005-0000-0000-0000FD7C0000}"/>
    <cellStyle name="Suma 2 20 55" xfId="31984" xr:uid="{00000000-0005-0000-0000-0000FE7C0000}"/>
    <cellStyle name="Suma 2 20 55 2" xfId="31985" xr:uid="{00000000-0005-0000-0000-0000FF7C0000}"/>
    <cellStyle name="Suma 2 20 55 3" xfId="31986" xr:uid="{00000000-0005-0000-0000-0000007D0000}"/>
    <cellStyle name="Suma 2 20 56" xfId="31987" xr:uid="{00000000-0005-0000-0000-0000017D0000}"/>
    <cellStyle name="Suma 2 20 56 2" xfId="31988" xr:uid="{00000000-0005-0000-0000-0000027D0000}"/>
    <cellStyle name="Suma 2 20 56 3" xfId="31989" xr:uid="{00000000-0005-0000-0000-0000037D0000}"/>
    <cellStyle name="Suma 2 20 57" xfId="31990" xr:uid="{00000000-0005-0000-0000-0000047D0000}"/>
    <cellStyle name="Suma 2 20 58" xfId="31991" xr:uid="{00000000-0005-0000-0000-0000057D0000}"/>
    <cellStyle name="Suma 2 20 6" xfId="31992" xr:uid="{00000000-0005-0000-0000-0000067D0000}"/>
    <cellStyle name="Suma 2 20 6 2" xfId="31993" xr:uid="{00000000-0005-0000-0000-0000077D0000}"/>
    <cellStyle name="Suma 2 20 6 3" xfId="31994" xr:uid="{00000000-0005-0000-0000-0000087D0000}"/>
    <cellStyle name="Suma 2 20 6 4" xfId="31995" xr:uid="{00000000-0005-0000-0000-0000097D0000}"/>
    <cellStyle name="Suma 2 20 7" xfId="31996" xr:uid="{00000000-0005-0000-0000-00000A7D0000}"/>
    <cellStyle name="Suma 2 20 7 2" xfId="31997" xr:uid="{00000000-0005-0000-0000-00000B7D0000}"/>
    <cellStyle name="Suma 2 20 7 3" xfId="31998" xr:uid="{00000000-0005-0000-0000-00000C7D0000}"/>
    <cellStyle name="Suma 2 20 7 4" xfId="31999" xr:uid="{00000000-0005-0000-0000-00000D7D0000}"/>
    <cellStyle name="Suma 2 20 8" xfId="32000" xr:uid="{00000000-0005-0000-0000-00000E7D0000}"/>
    <cellStyle name="Suma 2 20 8 2" xfId="32001" xr:uid="{00000000-0005-0000-0000-00000F7D0000}"/>
    <cellStyle name="Suma 2 20 8 3" xfId="32002" xr:uid="{00000000-0005-0000-0000-0000107D0000}"/>
    <cellStyle name="Suma 2 20 8 4" xfId="32003" xr:uid="{00000000-0005-0000-0000-0000117D0000}"/>
    <cellStyle name="Suma 2 20 9" xfId="32004" xr:uid="{00000000-0005-0000-0000-0000127D0000}"/>
    <cellStyle name="Suma 2 20 9 2" xfId="32005" xr:uid="{00000000-0005-0000-0000-0000137D0000}"/>
    <cellStyle name="Suma 2 20 9 3" xfId="32006" xr:uid="{00000000-0005-0000-0000-0000147D0000}"/>
    <cellStyle name="Suma 2 20 9 4" xfId="32007" xr:uid="{00000000-0005-0000-0000-0000157D0000}"/>
    <cellStyle name="Suma 2 21" xfId="32008" xr:uid="{00000000-0005-0000-0000-0000167D0000}"/>
    <cellStyle name="Suma 2 21 10" xfId="32009" xr:uid="{00000000-0005-0000-0000-0000177D0000}"/>
    <cellStyle name="Suma 2 21 10 2" xfId="32010" xr:uid="{00000000-0005-0000-0000-0000187D0000}"/>
    <cellStyle name="Suma 2 21 10 3" xfId="32011" xr:uid="{00000000-0005-0000-0000-0000197D0000}"/>
    <cellStyle name="Suma 2 21 10 4" xfId="32012" xr:uid="{00000000-0005-0000-0000-00001A7D0000}"/>
    <cellStyle name="Suma 2 21 11" xfId="32013" xr:uid="{00000000-0005-0000-0000-00001B7D0000}"/>
    <cellStyle name="Suma 2 21 11 2" xfId="32014" xr:uid="{00000000-0005-0000-0000-00001C7D0000}"/>
    <cellStyle name="Suma 2 21 11 3" xfId="32015" xr:uid="{00000000-0005-0000-0000-00001D7D0000}"/>
    <cellStyle name="Suma 2 21 11 4" xfId="32016" xr:uid="{00000000-0005-0000-0000-00001E7D0000}"/>
    <cellStyle name="Suma 2 21 12" xfId="32017" xr:uid="{00000000-0005-0000-0000-00001F7D0000}"/>
    <cellStyle name="Suma 2 21 12 2" xfId="32018" xr:uid="{00000000-0005-0000-0000-0000207D0000}"/>
    <cellStyle name="Suma 2 21 12 3" xfId="32019" xr:uid="{00000000-0005-0000-0000-0000217D0000}"/>
    <cellStyle name="Suma 2 21 12 4" xfId="32020" xr:uid="{00000000-0005-0000-0000-0000227D0000}"/>
    <cellStyle name="Suma 2 21 13" xfId="32021" xr:uid="{00000000-0005-0000-0000-0000237D0000}"/>
    <cellStyle name="Suma 2 21 13 2" xfId="32022" xr:uid="{00000000-0005-0000-0000-0000247D0000}"/>
    <cellStyle name="Suma 2 21 13 3" xfId="32023" xr:uid="{00000000-0005-0000-0000-0000257D0000}"/>
    <cellStyle name="Suma 2 21 13 4" xfId="32024" xr:uid="{00000000-0005-0000-0000-0000267D0000}"/>
    <cellStyle name="Suma 2 21 14" xfId="32025" xr:uid="{00000000-0005-0000-0000-0000277D0000}"/>
    <cellStyle name="Suma 2 21 14 2" xfId="32026" xr:uid="{00000000-0005-0000-0000-0000287D0000}"/>
    <cellStyle name="Suma 2 21 14 3" xfId="32027" xr:uid="{00000000-0005-0000-0000-0000297D0000}"/>
    <cellStyle name="Suma 2 21 14 4" xfId="32028" xr:uid="{00000000-0005-0000-0000-00002A7D0000}"/>
    <cellStyle name="Suma 2 21 15" xfId="32029" xr:uid="{00000000-0005-0000-0000-00002B7D0000}"/>
    <cellStyle name="Suma 2 21 15 2" xfId="32030" xr:uid="{00000000-0005-0000-0000-00002C7D0000}"/>
    <cellStyle name="Suma 2 21 15 3" xfId="32031" xr:uid="{00000000-0005-0000-0000-00002D7D0000}"/>
    <cellStyle name="Suma 2 21 15 4" xfId="32032" xr:uid="{00000000-0005-0000-0000-00002E7D0000}"/>
    <cellStyle name="Suma 2 21 16" xfId="32033" xr:uid="{00000000-0005-0000-0000-00002F7D0000}"/>
    <cellStyle name="Suma 2 21 16 2" xfId="32034" xr:uid="{00000000-0005-0000-0000-0000307D0000}"/>
    <cellStyle name="Suma 2 21 16 3" xfId="32035" xr:uid="{00000000-0005-0000-0000-0000317D0000}"/>
    <cellStyle name="Suma 2 21 16 4" xfId="32036" xr:uid="{00000000-0005-0000-0000-0000327D0000}"/>
    <cellStyle name="Suma 2 21 17" xfId="32037" xr:uid="{00000000-0005-0000-0000-0000337D0000}"/>
    <cellStyle name="Suma 2 21 17 2" xfId="32038" xr:uid="{00000000-0005-0000-0000-0000347D0000}"/>
    <cellStyle name="Suma 2 21 17 3" xfId="32039" xr:uid="{00000000-0005-0000-0000-0000357D0000}"/>
    <cellStyle name="Suma 2 21 17 4" xfId="32040" xr:uid="{00000000-0005-0000-0000-0000367D0000}"/>
    <cellStyle name="Suma 2 21 18" xfId="32041" xr:uid="{00000000-0005-0000-0000-0000377D0000}"/>
    <cellStyle name="Suma 2 21 18 2" xfId="32042" xr:uid="{00000000-0005-0000-0000-0000387D0000}"/>
    <cellStyle name="Suma 2 21 18 3" xfId="32043" xr:uid="{00000000-0005-0000-0000-0000397D0000}"/>
    <cellStyle name="Suma 2 21 18 4" xfId="32044" xr:uid="{00000000-0005-0000-0000-00003A7D0000}"/>
    <cellStyle name="Suma 2 21 19" xfId="32045" xr:uid="{00000000-0005-0000-0000-00003B7D0000}"/>
    <cellStyle name="Suma 2 21 19 2" xfId="32046" xr:uid="{00000000-0005-0000-0000-00003C7D0000}"/>
    <cellStyle name="Suma 2 21 19 3" xfId="32047" xr:uid="{00000000-0005-0000-0000-00003D7D0000}"/>
    <cellStyle name="Suma 2 21 19 4" xfId="32048" xr:uid="{00000000-0005-0000-0000-00003E7D0000}"/>
    <cellStyle name="Suma 2 21 2" xfId="32049" xr:uid="{00000000-0005-0000-0000-00003F7D0000}"/>
    <cellStyle name="Suma 2 21 2 2" xfId="32050" xr:uid="{00000000-0005-0000-0000-0000407D0000}"/>
    <cellStyle name="Suma 2 21 2 3" xfId="32051" xr:uid="{00000000-0005-0000-0000-0000417D0000}"/>
    <cellStyle name="Suma 2 21 2 4" xfId="32052" xr:uid="{00000000-0005-0000-0000-0000427D0000}"/>
    <cellStyle name="Suma 2 21 20" xfId="32053" xr:uid="{00000000-0005-0000-0000-0000437D0000}"/>
    <cellStyle name="Suma 2 21 20 2" xfId="32054" xr:uid="{00000000-0005-0000-0000-0000447D0000}"/>
    <cellStyle name="Suma 2 21 20 3" xfId="32055" xr:uid="{00000000-0005-0000-0000-0000457D0000}"/>
    <cellStyle name="Suma 2 21 20 4" xfId="32056" xr:uid="{00000000-0005-0000-0000-0000467D0000}"/>
    <cellStyle name="Suma 2 21 21" xfId="32057" xr:uid="{00000000-0005-0000-0000-0000477D0000}"/>
    <cellStyle name="Suma 2 21 21 2" xfId="32058" xr:uid="{00000000-0005-0000-0000-0000487D0000}"/>
    <cellStyle name="Suma 2 21 21 3" xfId="32059" xr:uid="{00000000-0005-0000-0000-0000497D0000}"/>
    <cellStyle name="Suma 2 21 22" xfId="32060" xr:uid="{00000000-0005-0000-0000-00004A7D0000}"/>
    <cellStyle name="Suma 2 21 22 2" xfId="32061" xr:uid="{00000000-0005-0000-0000-00004B7D0000}"/>
    <cellStyle name="Suma 2 21 22 3" xfId="32062" xr:uid="{00000000-0005-0000-0000-00004C7D0000}"/>
    <cellStyle name="Suma 2 21 23" xfId="32063" xr:uid="{00000000-0005-0000-0000-00004D7D0000}"/>
    <cellStyle name="Suma 2 21 23 2" xfId="32064" xr:uid="{00000000-0005-0000-0000-00004E7D0000}"/>
    <cellStyle name="Suma 2 21 23 3" xfId="32065" xr:uid="{00000000-0005-0000-0000-00004F7D0000}"/>
    <cellStyle name="Suma 2 21 24" xfId="32066" xr:uid="{00000000-0005-0000-0000-0000507D0000}"/>
    <cellStyle name="Suma 2 21 24 2" xfId="32067" xr:uid="{00000000-0005-0000-0000-0000517D0000}"/>
    <cellStyle name="Suma 2 21 24 3" xfId="32068" xr:uid="{00000000-0005-0000-0000-0000527D0000}"/>
    <cellStyle name="Suma 2 21 25" xfId="32069" xr:uid="{00000000-0005-0000-0000-0000537D0000}"/>
    <cellStyle name="Suma 2 21 25 2" xfId="32070" xr:uid="{00000000-0005-0000-0000-0000547D0000}"/>
    <cellStyle name="Suma 2 21 25 3" xfId="32071" xr:uid="{00000000-0005-0000-0000-0000557D0000}"/>
    <cellStyle name="Suma 2 21 26" xfId="32072" xr:uid="{00000000-0005-0000-0000-0000567D0000}"/>
    <cellStyle name="Suma 2 21 26 2" xfId="32073" xr:uid="{00000000-0005-0000-0000-0000577D0000}"/>
    <cellStyle name="Suma 2 21 26 3" xfId="32074" xr:uid="{00000000-0005-0000-0000-0000587D0000}"/>
    <cellStyle name="Suma 2 21 27" xfId="32075" xr:uid="{00000000-0005-0000-0000-0000597D0000}"/>
    <cellStyle name="Suma 2 21 27 2" xfId="32076" xr:uid="{00000000-0005-0000-0000-00005A7D0000}"/>
    <cellStyle name="Suma 2 21 27 3" xfId="32077" xr:uid="{00000000-0005-0000-0000-00005B7D0000}"/>
    <cellStyle name="Suma 2 21 28" xfId="32078" xr:uid="{00000000-0005-0000-0000-00005C7D0000}"/>
    <cellStyle name="Suma 2 21 28 2" xfId="32079" xr:uid="{00000000-0005-0000-0000-00005D7D0000}"/>
    <cellStyle name="Suma 2 21 28 3" xfId="32080" xr:uid="{00000000-0005-0000-0000-00005E7D0000}"/>
    <cellStyle name="Suma 2 21 29" xfId="32081" xr:uid="{00000000-0005-0000-0000-00005F7D0000}"/>
    <cellStyle name="Suma 2 21 29 2" xfId="32082" xr:uid="{00000000-0005-0000-0000-0000607D0000}"/>
    <cellStyle name="Suma 2 21 29 3" xfId="32083" xr:uid="{00000000-0005-0000-0000-0000617D0000}"/>
    <cellStyle name="Suma 2 21 3" xfId="32084" xr:uid="{00000000-0005-0000-0000-0000627D0000}"/>
    <cellStyle name="Suma 2 21 3 2" xfId="32085" xr:uid="{00000000-0005-0000-0000-0000637D0000}"/>
    <cellStyle name="Suma 2 21 3 3" xfId="32086" xr:uid="{00000000-0005-0000-0000-0000647D0000}"/>
    <cellStyle name="Suma 2 21 3 4" xfId="32087" xr:uid="{00000000-0005-0000-0000-0000657D0000}"/>
    <cellStyle name="Suma 2 21 30" xfId="32088" xr:uid="{00000000-0005-0000-0000-0000667D0000}"/>
    <cellStyle name="Suma 2 21 30 2" xfId="32089" xr:uid="{00000000-0005-0000-0000-0000677D0000}"/>
    <cellStyle name="Suma 2 21 30 3" xfId="32090" xr:uid="{00000000-0005-0000-0000-0000687D0000}"/>
    <cellStyle name="Suma 2 21 31" xfId="32091" xr:uid="{00000000-0005-0000-0000-0000697D0000}"/>
    <cellStyle name="Suma 2 21 31 2" xfId="32092" xr:uid="{00000000-0005-0000-0000-00006A7D0000}"/>
    <cellStyle name="Suma 2 21 31 3" xfId="32093" xr:uid="{00000000-0005-0000-0000-00006B7D0000}"/>
    <cellStyle name="Suma 2 21 32" xfId="32094" xr:uid="{00000000-0005-0000-0000-00006C7D0000}"/>
    <cellStyle name="Suma 2 21 32 2" xfId="32095" xr:uid="{00000000-0005-0000-0000-00006D7D0000}"/>
    <cellStyle name="Suma 2 21 32 3" xfId="32096" xr:uid="{00000000-0005-0000-0000-00006E7D0000}"/>
    <cellStyle name="Suma 2 21 33" xfId="32097" xr:uid="{00000000-0005-0000-0000-00006F7D0000}"/>
    <cellStyle name="Suma 2 21 33 2" xfId="32098" xr:uid="{00000000-0005-0000-0000-0000707D0000}"/>
    <cellStyle name="Suma 2 21 33 3" xfId="32099" xr:uid="{00000000-0005-0000-0000-0000717D0000}"/>
    <cellStyle name="Suma 2 21 34" xfId="32100" xr:uid="{00000000-0005-0000-0000-0000727D0000}"/>
    <cellStyle name="Suma 2 21 34 2" xfId="32101" xr:uid="{00000000-0005-0000-0000-0000737D0000}"/>
    <cellStyle name="Suma 2 21 34 3" xfId="32102" xr:uid="{00000000-0005-0000-0000-0000747D0000}"/>
    <cellStyle name="Suma 2 21 35" xfId="32103" xr:uid="{00000000-0005-0000-0000-0000757D0000}"/>
    <cellStyle name="Suma 2 21 35 2" xfId="32104" xr:uid="{00000000-0005-0000-0000-0000767D0000}"/>
    <cellStyle name="Suma 2 21 35 3" xfId="32105" xr:uid="{00000000-0005-0000-0000-0000777D0000}"/>
    <cellStyle name="Suma 2 21 36" xfId="32106" xr:uid="{00000000-0005-0000-0000-0000787D0000}"/>
    <cellStyle name="Suma 2 21 36 2" xfId="32107" xr:uid="{00000000-0005-0000-0000-0000797D0000}"/>
    <cellStyle name="Suma 2 21 36 3" xfId="32108" xr:uid="{00000000-0005-0000-0000-00007A7D0000}"/>
    <cellStyle name="Suma 2 21 37" xfId="32109" xr:uid="{00000000-0005-0000-0000-00007B7D0000}"/>
    <cellStyle name="Suma 2 21 37 2" xfId="32110" xr:uid="{00000000-0005-0000-0000-00007C7D0000}"/>
    <cellStyle name="Suma 2 21 37 3" xfId="32111" xr:uid="{00000000-0005-0000-0000-00007D7D0000}"/>
    <cellStyle name="Suma 2 21 38" xfId="32112" xr:uid="{00000000-0005-0000-0000-00007E7D0000}"/>
    <cellStyle name="Suma 2 21 38 2" xfId="32113" xr:uid="{00000000-0005-0000-0000-00007F7D0000}"/>
    <cellStyle name="Suma 2 21 38 3" xfId="32114" xr:uid="{00000000-0005-0000-0000-0000807D0000}"/>
    <cellStyle name="Suma 2 21 39" xfId="32115" xr:uid="{00000000-0005-0000-0000-0000817D0000}"/>
    <cellStyle name="Suma 2 21 39 2" xfId="32116" xr:uid="{00000000-0005-0000-0000-0000827D0000}"/>
    <cellStyle name="Suma 2 21 39 3" xfId="32117" xr:uid="{00000000-0005-0000-0000-0000837D0000}"/>
    <cellStyle name="Suma 2 21 4" xfId="32118" xr:uid="{00000000-0005-0000-0000-0000847D0000}"/>
    <cellStyle name="Suma 2 21 4 2" xfId="32119" xr:uid="{00000000-0005-0000-0000-0000857D0000}"/>
    <cellStyle name="Suma 2 21 4 3" xfId="32120" xr:uid="{00000000-0005-0000-0000-0000867D0000}"/>
    <cellStyle name="Suma 2 21 4 4" xfId="32121" xr:uid="{00000000-0005-0000-0000-0000877D0000}"/>
    <cellStyle name="Suma 2 21 40" xfId="32122" xr:uid="{00000000-0005-0000-0000-0000887D0000}"/>
    <cellStyle name="Suma 2 21 40 2" xfId="32123" xr:uid="{00000000-0005-0000-0000-0000897D0000}"/>
    <cellStyle name="Suma 2 21 40 3" xfId="32124" xr:uid="{00000000-0005-0000-0000-00008A7D0000}"/>
    <cellStyle name="Suma 2 21 41" xfId="32125" xr:uid="{00000000-0005-0000-0000-00008B7D0000}"/>
    <cellStyle name="Suma 2 21 41 2" xfId="32126" xr:uid="{00000000-0005-0000-0000-00008C7D0000}"/>
    <cellStyle name="Suma 2 21 41 3" xfId="32127" xr:uid="{00000000-0005-0000-0000-00008D7D0000}"/>
    <cellStyle name="Suma 2 21 42" xfId="32128" xr:uid="{00000000-0005-0000-0000-00008E7D0000}"/>
    <cellStyle name="Suma 2 21 42 2" xfId="32129" xr:uid="{00000000-0005-0000-0000-00008F7D0000}"/>
    <cellStyle name="Suma 2 21 42 3" xfId="32130" xr:uid="{00000000-0005-0000-0000-0000907D0000}"/>
    <cellStyle name="Suma 2 21 43" xfId="32131" xr:uid="{00000000-0005-0000-0000-0000917D0000}"/>
    <cellStyle name="Suma 2 21 43 2" xfId="32132" xr:uid="{00000000-0005-0000-0000-0000927D0000}"/>
    <cellStyle name="Suma 2 21 43 3" xfId="32133" xr:uid="{00000000-0005-0000-0000-0000937D0000}"/>
    <cellStyle name="Suma 2 21 44" xfId="32134" xr:uid="{00000000-0005-0000-0000-0000947D0000}"/>
    <cellStyle name="Suma 2 21 44 2" xfId="32135" xr:uid="{00000000-0005-0000-0000-0000957D0000}"/>
    <cellStyle name="Suma 2 21 44 3" xfId="32136" xr:uid="{00000000-0005-0000-0000-0000967D0000}"/>
    <cellStyle name="Suma 2 21 45" xfId="32137" xr:uid="{00000000-0005-0000-0000-0000977D0000}"/>
    <cellStyle name="Suma 2 21 45 2" xfId="32138" xr:uid="{00000000-0005-0000-0000-0000987D0000}"/>
    <cellStyle name="Suma 2 21 45 3" xfId="32139" xr:uid="{00000000-0005-0000-0000-0000997D0000}"/>
    <cellStyle name="Suma 2 21 46" xfId="32140" xr:uid="{00000000-0005-0000-0000-00009A7D0000}"/>
    <cellStyle name="Suma 2 21 46 2" xfId="32141" xr:uid="{00000000-0005-0000-0000-00009B7D0000}"/>
    <cellStyle name="Suma 2 21 46 3" xfId="32142" xr:uid="{00000000-0005-0000-0000-00009C7D0000}"/>
    <cellStyle name="Suma 2 21 47" xfId="32143" xr:uid="{00000000-0005-0000-0000-00009D7D0000}"/>
    <cellStyle name="Suma 2 21 47 2" xfId="32144" xr:uid="{00000000-0005-0000-0000-00009E7D0000}"/>
    <cellStyle name="Suma 2 21 47 3" xfId="32145" xr:uid="{00000000-0005-0000-0000-00009F7D0000}"/>
    <cellStyle name="Suma 2 21 48" xfId="32146" xr:uid="{00000000-0005-0000-0000-0000A07D0000}"/>
    <cellStyle name="Suma 2 21 48 2" xfId="32147" xr:uid="{00000000-0005-0000-0000-0000A17D0000}"/>
    <cellStyle name="Suma 2 21 48 3" xfId="32148" xr:uid="{00000000-0005-0000-0000-0000A27D0000}"/>
    <cellStyle name="Suma 2 21 49" xfId="32149" xr:uid="{00000000-0005-0000-0000-0000A37D0000}"/>
    <cellStyle name="Suma 2 21 49 2" xfId="32150" xr:uid="{00000000-0005-0000-0000-0000A47D0000}"/>
    <cellStyle name="Suma 2 21 49 3" xfId="32151" xr:uid="{00000000-0005-0000-0000-0000A57D0000}"/>
    <cellStyle name="Suma 2 21 5" xfId="32152" xr:uid="{00000000-0005-0000-0000-0000A67D0000}"/>
    <cellStyle name="Suma 2 21 5 2" xfId="32153" xr:uid="{00000000-0005-0000-0000-0000A77D0000}"/>
    <cellStyle name="Suma 2 21 5 3" xfId="32154" xr:uid="{00000000-0005-0000-0000-0000A87D0000}"/>
    <cellStyle name="Suma 2 21 5 4" xfId="32155" xr:uid="{00000000-0005-0000-0000-0000A97D0000}"/>
    <cellStyle name="Suma 2 21 50" xfId="32156" xr:uid="{00000000-0005-0000-0000-0000AA7D0000}"/>
    <cellStyle name="Suma 2 21 50 2" xfId="32157" xr:uid="{00000000-0005-0000-0000-0000AB7D0000}"/>
    <cellStyle name="Suma 2 21 50 3" xfId="32158" xr:uid="{00000000-0005-0000-0000-0000AC7D0000}"/>
    <cellStyle name="Suma 2 21 51" xfId="32159" xr:uid="{00000000-0005-0000-0000-0000AD7D0000}"/>
    <cellStyle name="Suma 2 21 51 2" xfId="32160" xr:uid="{00000000-0005-0000-0000-0000AE7D0000}"/>
    <cellStyle name="Suma 2 21 51 3" xfId="32161" xr:uid="{00000000-0005-0000-0000-0000AF7D0000}"/>
    <cellStyle name="Suma 2 21 52" xfId="32162" xr:uid="{00000000-0005-0000-0000-0000B07D0000}"/>
    <cellStyle name="Suma 2 21 52 2" xfId="32163" xr:uid="{00000000-0005-0000-0000-0000B17D0000}"/>
    <cellStyle name="Suma 2 21 52 3" xfId="32164" xr:uid="{00000000-0005-0000-0000-0000B27D0000}"/>
    <cellStyle name="Suma 2 21 53" xfId="32165" xr:uid="{00000000-0005-0000-0000-0000B37D0000}"/>
    <cellStyle name="Suma 2 21 53 2" xfId="32166" xr:uid="{00000000-0005-0000-0000-0000B47D0000}"/>
    <cellStyle name="Suma 2 21 53 3" xfId="32167" xr:uid="{00000000-0005-0000-0000-0000B57D0000}"/>
    <cellStyle name="Suma 2 21 54" xfId="32168" xr:uid="{00000000-0005-0000-0000-0000B67D0000}"/>
    <cellStyle name="Suma 2 21 54 2" xfId="32169" xr:uid="{00000000-0005-0000-0000-0000B77D0000}"/>
    <cellStyle name="Suma 2 21 54 3" xfId="32170" xr:uid="{00000000-0005-0000-0000-0000B87D0000}"/>
    <cellStyle name="Suma 2 21 55" xfId="32171" xr:uid="{00000000-0005-0000-0000-0000B97D0000}"/>
    <cellStyle name="Suma 2 21 55 2" xfId="32172" xr:uid="{00000000-0005-0000-0000-0000BA7D0000}"/>
    <cellStyle name="Suma 2 21 55 3" xfId="32173" xr:uid="{00000000-0005-0000-0000-0000BB7D0000}"/>
    <cellStyle name="Suma 2 21 56" xfId="32174" xr:uid="{00000000-0005-0000-0000-0000BC7D0000}"/>
    <cellStyle name="Suma 2 21 56 2" xfId="32175" xr:uid="{00000000-0005-0000-0000-0000BD7D0000}"/>
    <cellStyle name="Suma 2 21 56 3" xfId="32176" xr:uid="{00000000-0005-0000-0000-0000BE7D0000}"/>
    <cellStyle name="Suma 2 21 57" xfId="32177" xr:uid="{00000000-0005-0000-0000-0000BF7D0000}"/>
    <cellStyle name="Suma 2 21 58" xfId="32178" xr:uid="{00000000-0005-0000-0000-0000C07D0000}"/>
    <cellStyle name="Suma 2 21 6" xfId="32179" xr:uid="{00000000-0005-0000-0000-0000C17D0000}"/>
    <cellStyle name="Suma 2 21 6 2" xfId="32180" xr:uid="{00000000-0005-0000-0000-0000C27D0000}"/>
    <cellStyle name="Suma 2 21 6 3" xfId="32181" xr:uid="{00000000-0005-0000-0000-0000C37D0000}"/>
    <cellStyle name="Suma 2 21 6 4" xfId="32182" xr:uid="{00000000-0005-0000-0000-0000C47D0000}"/>
    <cellStyle name="Suma 2 21 7" xfId="32183" xr:uid="{00000000-0005-0000-0000-0000C57D0000}"/>
    <cellStyle name="Suma 2 21 7 2" xfId="32184" xr:uid="{00000000-0005-0000-0000-0000C67D0000}"/>
    <cellStyle name="Suma 2 21 7 3" xfId="32185" xr:uid="{00000000-0005-0000-0000-0000C77D0000}"/>
    <cellStyle name="Suma 2 21 7 4" xfId="32186" xr:uid="{00000000-0005-0000-0000-0000C87D0000}"/>
    <cellStyle name="Suma 2 21 8" xfId="32187" xr:uid="{00000000-0005-0000-0000-0000C97D0000}"/>
    <cellStyle name="Suma 2 21 8 2" xfId="32188" xr:uid="{00000000-0005-0000-0000-0000CA7D0000}"/>
    <cellStyle name="Suma 2 21 8 3" xfId="32189" xr:uid="{00000000-0005-0000-0000-0000CB7D0000}"/>
    <cellStyle name="Suma 2 21 8 4" xfId="32190" xr:uid="{00000000-0005-0000-0000-0000CC7D0000}"/>
    <cellStyle name="Suma 2 21 9" xfId="32191" xr:uid="{00000000-0005-0000-0000-0000CD7D0000}"/>
    <cellStyle name="Suma 2 21 9 2" xfId="32192" xr:uid="{00000000-0005-0000-0000-0000CE7D0000}"/>
    <cellStyle name="Suma 2 21 9 3" xfId="32193" xr:uid="{00000000-0005-0000-0000-0000CF7D0000}"/>
    <cellStyle name="Suma 2 21 9 4" xfId="32194" xr:uid="{00000000-0005-0000-0000-0000D07D0000}"/>
    <cellStyle name="Suma 2 22" xfId="32195" xr:uid="{00000000-0005-0000-0000-0000D17D0000}"/>
    <cellStyle name="Suma 2 22 10" xfId="32196" xr:uid="{00000000-0005-0000-0000-0000D27D0000}"/>
    <cellStyle name="Suma 2 22 10 2" xfId="32197" xr:uid="{00000000-0005-0000-0000-0000D37D0000}"/>
    <cellStyle name="Suma 2 22 10 3" xfId="32198" xr:uid="{00000000-0005-0000-0000-0000D47D0000}"/>
    <cellStyle name="Suma 2 22 10 4" xfId="32199" xr:uid="{00000000-0005-0000-0000-0000D57D0000}"/>
    <cellStyle name="Suma 2 22 11" xfId="32200" xr:uid="{00000000-0005-0000-0000-0000D67D0000}"/>
    <cellStyle name="Suma 2 22 11 2" xfId="32201" xr:uid="{00000000-0005-0000-0000-0000D77D0000}"/>
    <cellStyle name="Suma 2 22 11 3" xfId="32202" xr:uid="{00000000-0005-0000-0000-0000D87D0000}"/>
    <cellStyle name="Suma 2 22 11 4" xfId="32203" xr:uid="{00000000-0005-0000-0000-0000D97D0000}"/>
    <cellStyle name="Suma 2 22 12" xfId="32204" xr:uid="{00000000-0005-0000-0000-0000DA7D0000}"/>
    <cellStyle name="Suma 2 22 12 2" xfId="32205" xr:uid="{00000000-0005-0000-0000-0000DB7D0000}"/>
    <cellStyle name="Suma 2 22 12 3" xfId="32206" xr:uid="{00000000-0005-0000-0000-0000DC7D0000}"/>
    <cellStyle name="Suma 2 22 12 4" xfId="32207" xr:uid="{00000000-0005-0000-0000-0000DD7D0000}"/>
    <cellStyle name="Suma 2 22 13" xfId="32208" xr:uid="{00000000-0005-0000-0000-0000DE7D0000}"/>
    <cellStyle name="Suma 2 22 13 2" xfId="32209" xr:uid="{00000000-0005-0000-0000-0000DF7D0000}"/>
    <cellStyle name="Suma 2 22 13 3" xfId="32210" xr:uid="{00000000-0005-0000-0000-0000E07D0000}"/>
    <cellStyle name="Suma 2 22 13 4" xfId="32211" xr:uid="{00000000-0005-0000-0000-0000E17D0000}"/>
    <cellStyle name="Suma 2 22 14" xfId="32212" xr:uid="{00000000-0005-0000-0000-0000E27D0000}"/>
    <cellStyle name="Suma 2 22 14 2" xfId="32213" xr:uid="{00000000-0005-0000-0000-0000E37D0000}"/>
    <cellStyle name="Suma 2 22 14 3" xfId="32214" xr:uid="{00000000-0005-0000-0000-0000E47D0000}"/>
    <cellStyle name="Suma 2 22 14 4" xfId="32215" xr:uid="{00000000-0005-0000-0000-0000E57D0000}"/>
    <cellStyle name="Suma 2 22 15" xfId="32216" xr:uid="{00000000-0005-0000-0000-0000E67D0000}"/>
    <cellStyle name="Suma 2 22 15 2" xfId="32217" xr:uid="{00000000-0005-0000-0000-0000E77D0000}"/>
    <cellStyle name="Suma 2 22 15 3" xfId="32218" xr:uid="{00000000-0005-0000-0000-0000E87D0000}"/>
    <cellStyle name="Suma 2 22 15 4" xfId="32219" xr:uid="{00000000-0005-0000-0000-0000E97D0000}"/>
    <cellStyle name="Suma 2 22 16" xfId="32220" xr:uid="{00000000-0005-0000-0000-0000EA7D0000}"/>
    <cellStyle name="Suma 2 22 16 2" xfId="32221" xr:uid="{00000000-0005-0000-0000-0000EB7D0000}"/>
    <cellStyle name="Suma 2 22 16 3" xfId="32222" xr:uid="{00000000-0005-0000-0000-0000EC7D0000}"/>
    <cellStyle name="Suma 2 22 16 4" xfId="32223" xr:uid="{00000000-0005-0000-0000-0000ED7D0000}"/>
    <cellStyle name="Suma 2 22 17" xfId="32224" xr:uid="{00000000-0005-0000-0000-0000EE7D0000}"/>
    <cellStyle name="Suma 2 22 17 2" xfId="32225" xr:uid="{00000000-0005-0000-0000-0000EF7D0000}"/>
    <cellStyle name="Suma 2 22 17 3" xfId="32226" xr:uid="{00000000-0005-0000-0000-0000F07D0000}"/>
    <cellStyle name="Suma 2 22 17 4" xfId="32227" xr:uid="{00000000-0005-0000-0000-0000F17D0000}"/>
    <cellStyle name="Suma 2 22 18" xfId="32228" xr:uid="{00000000-0005-0000-0000-0000F27D0000}"/>
    <cellStyle name="Suma 2 22 18 2" xfId="32229" xr:uid="{00000000-0005-0000-0000-0000F37D0000}"/>
    <cellStyle name="Suma 2 22 18 3" xfId="32230" xr:uid="{00000000-0005-0000-0000-0000F47D0000}"/>
    <cellStyle name="Suma 2 22 18 4" xfId="32231" xr:uid="{00000000-0005-0000-0000-0000F57D0000}"/>
    <cellStyle name="Suma 2 22 19" xfId="32232" xr:uid="{00000000-0005-0000-0000-0000F67D0000}"/>
    <cellStyle name="Suma 2 22 19 2" xfId="32233" xr:uid="{00000000-0005-0000-0000-0000F77D0000}"/>
    <cellStyle name="Suma 2 22 19 3" xfId="32234" xr:uid="{00000000-0005-0000-0000-0000F87D0000}"/>
    <cellStyle name="Suma 2 22 19 4" xfId="32235" xr:uid="{00000000-0005-0000-0000-0000F97D0000}"/>
    <cellStyle name="Suma 2 22 2" xfId="32236" xr:uid="{00000000-0005-0000-0000-0000FA7D0000}"/>
    <cellStyle name="Suma 2 22 2 2" xfId="32237" xr:uid="{00000000-0005-0000-0000-0000FB7D0000}"/>
    <cellStyle name="Suma 2 22 2 3" xfId="32238" xr:uid="{00000000-0005-0000-0000-0000FC7D0000}"/>
    <cellStyle name="Suma 2 22 2 4" xfId="32239" xr:uid="{00000000-0005-0000-0000-0000FD7D0000}"/>
    <cellStyle name="Suma 2 22 20" xfId="32240" xr:uid="{00000000-0005-0000-0000-0000FE7D0000}"/>
    <cellStyle name="Suma 2 22 20 2" xfId="32241" xr:uid="{00000000-0005-0000-0000-0000FF7D0000}"/>
    <cellStyle name="Suma 2 22 20 3" xfId="32242" xr:uid="{00000000-0005-0000-0000-0000007E0000}"/>
    <cellStyle name="Suma 2 22 20 4" xfId="32243" xr:uid="{00000000-0005-0000-0000-0000017E0000}"/>
    <cellStyle name="Suma 2 22 21" xfId="32244" xr:uid="{00000000-0005-0000-0000-0000027E0000}"/>
    <cellStyle name="Suma 2 22 21 2" xfId="32245" xr:uid="{00000000-0005-0000-0000-0000037E0000}"/>
    <cellStyle name="Suma 2 22 21 3" xfId="32246" xr:uid="{00000000-0005-0000-0000-0000047E0000}"/>
    <cellStyle name="Suma 2 22 22" xfId="32247" xr:uid="{00000000-0005-0000-0000-0000057E0000}"/>
    <cellStyle name="Suma 2 22 22 2" xfId="32248" xr:uid="{00000000-0005-0000-0000-0000067E0000}"/>
    <cellStyle name="Suma 2 22 22 3" xfId="32249" xr:uid="{00000000-0005-0000-0000-0000077E0000}"/>
    <cellStyle name="Suma 2 22 23" xfId="32250" xr:uid="{00000000-0005-0000-0000-0000087E0000}"/>
    <cellStyle name="Suma 2 22 23 2" xfId="32251" xr:uid="{00000000-0005-0000-0000-0000097E0000}"/>
    <cellStyle name="Suma 2 22 23 3" xfId="32252" xr:uid="{00000000-0005-0000-0000-00000A7E0000}"/>
    <cellStyle name="Suma 2 22 24" xfId="32253" xr:uid="{00000000-0005-0000-0000-00000B7E0000}"/>
    <cellStyle name="Suma 2 22 24 2" xfId="32254" xr:uid="{00000000-0005-0000-0000-00000C7E0000}"/>
    <cellStyle name="Suma 2 22 24 3" xfId="32255" xr:uid="{00000000-0005-0000-0000-00000D7E0000}"/>
    <cellStyle name="Suma 2 22 25" xfId="32256" xr:uid="{00000000-0005-0000-0000-00000E7E0000}"/>
    <cellStyle name="Suma 2 22 25 2" xfId="32257" xr:uid="{00000000-0005-0000-0000-00000F7E0000}"/>
    <cellStyle name="Suma 2 22 25 3" xfId="32258" xr:uid="{00000000-0005-0000-0000-0000107E0000}"/>
    <cellStyle name="Suma 2 22 26" xfId="32259" xr:uid="{00000000-0005-0000-0000-0000117E0000}"/>
    <cellStyle name="Suma 2 22 26 2" xfId="32260" xr:uid="{00000000-0005-0000-0000-0000127E0000}"/>
    <cellStyle name="Suma 2 22 26 3" xfId="32261" xr:uid="{00000000-0005-0000-0000-0000137E0000}"/>
    <cellStyle name="Suma 2 22 27" xfId="32262" xr:uid="{00000000-0005-0000-0000-0000147E0000}"/>
    <cellStyle name="Suma 2 22 27 2" xfId="32263" xr:uid="{00000000-0005-0000-0000-0000157E0000}"/>
    <cellStyle name="Suma 2 22 27 3" xfId="32264" xr:uid="{00000000-0005-0000-0000-0000167E0000}"/>
    <cellStyle name="Suma 2 22 28" xfId="32265" xr:uid="{00000000-0005-0000-0000-0000177E0000}"/>
    <cellStyle name="Suma 2 22 28 2" xfId="32266" xr:uid="{00000000-0005-0000-0000-0000187E0000}"/>
    <cellStyle name="Suma 2 22 28 3" xfId="32267" xr:uid="{00000000-0005-0000-0000-0000197E0000}"/>
    <cellStyle name="Suma 2 22 29" xfId="32268" xr:uid="{00000000-0005-0000-0000-00001A7E0000}"/>
    <cellStyle name="Suma 2 22 29 2" xfId="32269" xr:uid="{00000000-0005-0000-0000-00001B7E0000}"/>
    <cellStyle name="Suma 2 22 29 3" xfId="32270" xr:uid="{00000000-0005-0000-0000-00001C7E0000}"/>
    <cellStyle name="Suma 2 22 3" xfId="32271" xr:uid="{00000000-0005-0000-0000-00001D7E0000}"/>
    <cellStyle name="Suma 2 22 3 2" xfId="32272" xr:uid="{00000000-0005-0000-0000-00001E7E0000}"/>
    <cellStyle name="Suma 2 22 3 3" xfId="32273" xr:uid="{00000000-0005-0000-0000-00001F7E0000}"/>
    <cellStyle name="Suma 2 22 3 4" xfId="32274" xr:uid="{00000000-0005-0000-0000-0000207E0000}"/>
    <cellStyle name="Suma 2 22 30" xfId="32275" xr:uid="{00000000-0005-0000-0000-0000217E0000}"/>
    <cellStyle name="Suma 2 22 30 2" xfId="32276" xr:uid="{00000000-0005-0000-0000-0000227E0000}"/>
    <cellStyle name="Suma 2 22 30 3" xfId="32277" xr:uid="{00000000-0005-0000-0000-0000237E0000}"/>
    <cellStyle name="Suma 2 22 31" xfId="32278" xr:uid="{00000000-0005-0000-0000-0000247E0000}"/>
    <cellStyle name="Suma 2 22 31 2" xfId="32279" xr:uid="{00000000-0005-0000-0000-0000257E0000}"/>
    <cellStyle name="Suma 2 22 31 3" xfId="32280" xr:uid="{00000000-0005-0000-0000-0000267E0000}"/>
    <cellStyle name="Suma 2 22 32" xfId="32281" xr:uid="{00000000-0005-0000-0000-0000277E0000}"/>
    <cellStyle name="Suma 2 22 32 2" xfId="32282" xr:uid="{00000000-0005-0000-0000-0000287E0000}"/>
    <cellStyle name="Suma 2 22 32 3" xfId="32283" xr:uid="{00000000-0005-0000-0000-0000297E0000}"/>
    <cellStyle name="Suma 2 22 33" xfId="32284" xr:uid="{00000000-0005-0000-0000-00002A7E0000}"/>
    <cellStyle name="Suma 2 22 33 2" xfId="32285" xr:uid="{00000000-0005-0000-0000-00002B7E0000}"/>
    <cellStyle name="Suma 2 22 33 3" xfId="32286" xr:uid="{00000000-0005-0000-0000-00002C7E0000}"/>
    <cellStyle name="Suma 2 22 34" xfId="32287" xr:uid="{00000000-0005-0000-0000-00002D7E0000}"/>
    <cellStyle name="Suma 2 22 34 2" xfId="32288" xr:uid="{00000000-0005-0000-0000-00002E7E0000}"/>
    <cellStyle name="Suma 2 22 34 3" xfId="32289" xr:uid="{00000000-0005-0000-0000-00002F7E0000}"/>
    <cellStyle name="Suma 2 22 35" xfId="32290" xr:uid="{00000000-0005-0000-0000-0000307E0000}"/>
    <cellStyle name="Suma 2 22 35 2" xfId="32291" xr:uid="{00000000-0005-0000-0000-0000317E0000}"/>
    <cellStyle name="Suma 2 22 35 3" xfId="32292" xr:uid="{00000000-0005-0000-0000-0000327E0000}"/>
    <cellStyle name="Suma 2 22 36" xfId="32293" xr:uid="{00000000-0005-0000-0000-0000337E0000}"/>
    <cellStyle name="Suma 2 22 36 2" xfId="32294" xr:uid="{00000000-0005-0000-0000-0000347E0000}"/>
    <cellStyle name="Suma 2 22 36 3" xfId="32295" xr:uid="{00000000-0005-0000-0000-0000357E0000}"/>
    <cellStyle name="Suma 2 22 37" xfId="32296" xr:uid="{00000000-0005-0000-0000-0000367E0000}"/>
    <cellStyle name="Suma 2 22 37 2" xfId="32297" xr:uid="{00000000-0005-0000-0000-0000377E0000}"/>
    <cellStyle name="Suma 2 22 37 3" xfId="32298" xr:uid="{00000000-0005-0000-0000-0000387E0000}"/>
    <cellStyle name="Suma 2 22 38" xfId="32299" xr:uid="{00000000-0005-0000-0000-0000397E0000}"/>
    <cellStyle name="Suma 2 22 38 2" xfId="32300" xr:uid="{00000000-0005-0000-0000-00003A7E0000}"/>
    <cellStyle name="Suma 2 22 38 3" xfId="32301" xr:uid="{00000000-0005-0000-0000-00003B7E0000}"/>
    <cellStyle name="Suma 2 22 39" xfId="32302" xr:uid="{00000000-0005-0000-0000-00003C7E0000}"/>
    <cellStyle name="Suma 2 22 39 2" xfId="32303" xr:uid="{00000000-0005-0000-0000-00003D7E0000}"/>
    <cellStyle name="Suma 2 22 39 3" xfId="32304" xr:uid="{00000000-0005-0000-0000-00003E7E0000}"/>
    <cellStyle name="Suma 2 22 4" xfId="32305" xr:uid="{00000000-0005-0000-0000-00003F7E0000}"/>
    <cellStyle name="Suma 2 22 4 2" xfId="32306" xr:uid="{00000000-0005-0000-0000-0000407E0000}"/>
    <cellStyle name="Suma 2 22 4 3" xfId="32307" xr:uid="{00000000-0005-0000-0000-0000417E0000}"/>
    <cellStyle name="Suma 2 22 4 4" xfId="32308" xr:uid="{00000000-0005-0000-0000-0000427E0000}"/>
    <cellStyle name="Suma 2 22 40" xfId="32309" xr:uid="{00000000-0005-0000-0000-0000437E0000}"/>
    <cellStyle name="Suma 2 22 40 2" xfId="32310" xr:uid="{00000000-0005-0000-0000-0000447E0000}"/>
    <cellStyle name="Suma 2 22 40 3" xfId="32311" xr:uid="{00000000-0005-0000-0000-0000457E0000}"/>
    <cellStyle name="Suma 2 22 41" xfId="32312" xr:uid="{00000000-0005-0000-0000-0000467E0000}"/>
    <cellStyle name="Suma 2 22 41 2" xfId="32313" xr:uid="{00000000-0005-0000-0000-0000477E0000}"/>
    <cellStyle name="Suma 2 22 41 3" xfId="32314" xr:uid="{00000000-0005-0000-0000-0000487E0000}"/>
    <cellStyle name="Suma 2 22 42" xfId="32315" xr:uid="{00000000-0005-0000-0000-0000497E0000}"/>
    <cellStyle name="Suma 2 22 42 2" xfId="32316" xr:uid="{00000000-0005-0000-0000-00004A7E0000}"/>
    <cellStyle name="Suma 2 22 42 3" xfId="32317" xr:uid="{00000000-0005-0000-0000-00004B7E0000}"/>
    <cellStyle name="Suma 2 22 43" xfId="32318" xr:uid="{00000000-0005-0000-0000-00004C7E0000}"/>
    <cellStyle name="Suma 2 22 43 2" xfId="32319" xr:uid="{00000000-0005-0000-0000-00004D7E0000}"/>
    <cellStyle name="Suma 2 22 43 3" xfId="32320" xr:uid="{00000000-0005-0000-0000-00004E7E0000}"/>
    <cellStyle name="Suma 2 22 44" xfId="32321" xr:uid="{00000000-0005-0000-0000-00004F7E0000}"/>
    <cellStyle name="Suma 2 22 44 2" xfId="32322" xr:uid="{00000000-0005-0000-0000-0000507E0000}"/>
    <cellStyle name="Suma 2 22 44 3" xfId="32323" xr:uid="{00000000-0005-0000-0000-0000517E0000}"/>
    <cellStyle name="Suma 2 22 45" xfId="32324" xr:uid="{00000000-0005-0000-0000-0000527E0000}"/>
    <cellStyle name="Suma 2 22 45 2" xfId="32325" xr:uid="{00000000-0005-0000-0000-0000537E0000}"/>
    <cellStyle name="Suma 2 22 45 3" xfId="32326" xr:uid="{00000000-0005-0000-0000-0000547E0000}"/>
    <cellStyle name="Suma 2 22 46" xfId="32327" xr:uid="{00000000-0005-0000-0000-0000557E0000}"/>
    <cellStyle name="Suma 2 22 46 2" xfId="32328" xr:uid="{00000000-0005-0000-0000-0000567E0000}"/>
    <cellStyle name="Suma 2 22 46 3" xfId="32329" xr:uid="{00000000-0005-0000-0000-0000577E0000}"/>
    <cellStyle name="Suma 2 22 47" xfId="32330" xr:uid="{00000000-0005-0000-0000-0000587E0000}"/>
    <cellStyle name="Suma 2 22 47 2" xfId="32331" xr:uid="{00000000-0005-0000-0000-0000597E0000}"/>
    <cellStyle name="Suma 2 22 47 3" xfId="32332" xr:uid="{00000000-0005-0000-0000-00005A7E0000}"/>
    <cellStyle name="Suma 2 22 48" xfId="32333" xr:uid="{00000000-0005-0000-0000-00005B7E0000}"/>
    <cellStyle name="Suma 2 22 48 2" xfId="32334" xr:uid="{00000000-0005-0000-0000-00005C7E0000}"/>
    <cellStyle name="Suma 2 22 48 3" xfId="32335" xr:uid="{00000000-0005-0000-0000-00005D7E0000}"/>
    <cellStyle name="Suma 2 22 49" xfId="32336" xr:uid="{00000000-0005-0000-0000-00005E7E0000}"/>
    <cellStyle name="Suma 2 22 49 2" xfId="32337" xr:uid="{00000000-0005-0000-0000-00005F7E0000}"/>
    <cellStyle name="Suma 2 22 49 3" xfId="32338" xr:uid="{00000000-0005-0000-0000-0000607E0000}"/>
    <cellStyle name="Suma 2 22 5" xfId="32339" xr:uid="{00000000-0005-0000-0000-0000617E0000}"/>
    <cellStyle name="Suma 2 22 5 2" xfId="32340" xr:uid="{00000000-0005-0000-0000-0000627E0000}"/>
    <cellStyle name="Suma 2 22 5 3" xfId="32341" xr:uid="{00000000-0005-0000-0000-0000637E0000}"/>
    <cellStyle name="Suma 2 22 5 4" xfId="32342" xr:uid="{00000000-0005-0000-0000-0000647E0000}"/>
    <cellStyle name="Suma 2 22 50" xfId="32343" xr:uid="{00000000-0005-0000-0000-0000657E0000}"/>
    <cellStyle name="Suma 2 22 50 2" xfId="32344" xr:uid="{00000000-0005-0000-0000-0000667E0000}"/>
    <cellStyle name="Suma 2 22 50 3" xfId="32345" xr:uid="{00000000-0005-0000-0000-0000677E0000}"/>
    <cellStyle name="Suma 2 22 51" xfId="32346" xr:uid="{00000000-0005-0000-0000-0000687E0000}"/>
    <cellStyle name="Suma 2 22 51 2" xfId="32347" xr:uid="{00000000-0005-0000-0000-0000697E0000}"/>
    <cellStyle name="Suma 2 22 51 3" xfId="32348" xr:uid="{00000000-0005-0000-0000-00006A7E0000}"/>
    <cellStyle name="Suma 2 22 52" xfId="32349" xr:uid="{00000000-0005-0000-0000-00006B7E0000}"/>
    <cellStyle name="Suma 2 22 52 2" xfId="32350" xr:uid="{00000000-0005-0000-0000-00006C7E0000}"/>
    <cellStyle name="Suma 2 22 52 3" xfId="32351" xr:uid="{00000000-0005-0000-0000-00006D7E0000}"/>
    <cellStyle name="Suma 2 22 53" xfId="32352" xr:uid="{00000000-0005-0000-0000-00006E7E0000}"/>
    <cellStyle name="Suma 2 22 53 2" xfId="32353" xr:uid="{00000000-0005-0000-0000-00006F7E0000}"/>
    <cellStyle name="Suma 2 22 53 3" xfId="32354" xr:uid="{00000000-0005-0000-0000-0000707E0000}"/>
    <cellStyle name="Suma 2 22 54" xfId="32355" xr:uid="{00000000-0005-0000-0000-0000717E0000}"/>
    <cellStyle name="Suma 2 22 54 2" xfId="32356" xr:uid="{00000000-0005-0000-0000-0000727E0000}"/>
    <cellStyle name="Suma 2 22 54 3" xfId="32357" xr:uid="{00000000-0005-0000-0000-0000737E0000}"/>
    <cellStyle name="Suma 2 22 55" xfId="32358" xr:uid="{00000000-0005-0000-0000-0000747E0000}"/>
    <cellStyle name="Suma 2 22 55 2" xfId="32359" xr:uid="{00000000-0005-0000-0000-0000757E0000}"/>
    <cellStyle name="Suma 2 22 55 3" xfId="32360" xr:uid="{00000000-0005-0000-0000-0000767E0000}"/>
    <cellStyle name="Suma 2 22 56" xfId="32361" xr:uid="{00000000-0005-0000-0000-0000777E0000}"/>
    <cellStyle name="Suma 2 22 56 2" xfId="32362" xr:uid="{00000000-0005-0000-0000-0000787E0000}"/>
    <cellStyle name="Suma 2 22 56 3" xfId="32363" xr:uid="{00000000-0005-0000-0000-0000797E0000}"/>
    <cellStyle name="Suma 2 22 57" xfId="32364" xr:uid="{00000000-0005-0000-0000-00007A7E0000}"/>
    <cellStyle name="Suma 2 22 58" xfId="32365" xr:uid="{00000000-0005-0000-0000-00007B7E0000}"/>
    <cellStyle name="Suma 2 22 6" xfId="32366" xr:uid="{00000000-0005-0000-0000-00007C7E0000}"/>
    <cellStyle name="Suma 2 22 6 2" xfId="32367" xr:uid="{00000000-0005-0000-0000-00007D7E0000}"/>
    <cellStyle name="Suma 2 22 6 3" xfId="32368" xr:uid="{00000000-0005-0000-0000-00007E7E0000}"/>
    <cellStyle name="Suma 2 22 6 4" xfId="32369" xr:uid="{00000000-0005-0000-0000-00007F7E0000}"/>
    <cellStyle name="Suma 2 22 7" xfId="32370" xr:uid="{00000000-0005-0000-0000-0000807E0000}"/>
    <cellStyle name="Suma 2 22 7 2" xfId="32371" xr:uid="{00000000-0005-0000-0000-0000817E0000}"/>
    <cellStyle name="Suma 2 22 7 3" xfId="32372" xr:uid="{00000000-0005-0000-0000-0000827E0000}"/>
    <cellStyle name="Suma 2 22 7 4" xfId="32373" xr:uid="{00000000-0005-0000-0000-0000837E0000}"/>
    <cellStyle name="Suma 2 22 8" xfId="32374" xr:uid="{00000000-0005-0000-0000-0000847E0000}"/>
    <cellStyle name="Suma 2 22 8 2" xfId="32375" xr:uid="{00000000-0005-0000-0000-0000857E0000}"/>
    <cellStyle name="Suma 2 22 8 3" xfId="32376" xr:uid="{00000000-0005-0000-0000-0000867E0000}"/>
    <cellStyle name="Suma 2 22 8 4" xfId="32377" xr:uid="{00000000-0005-0000-0000-0000877E0000}"/>
    <cellStyle name="Suma 2 22 9" xfId="32378" xr:uid="{00000000-0005-0000-0000-0000887E0000}"/>
    <cellStyle name="Suma 2 22 9 2" xfId="32379" xr:uid="{00000000-0005-0000-0000-0000897E0000}"/>
    <cellStyle name="Suma 2 22 9 3" xfId="32380" xr:uid="{00000000-0005-0000-0000-00008A7E0000}"/>
    <cellStyle name="Suma 2 22 9 4" xfId="32381" xr:uid="{00000000-0005-0000-0000-00008B7E0000}"/>
    <cellStyle name="Suma 2 23" xfId="32382" xr:uid="{00000000-0005-0000-0000-00008C7E0000}"/>
    <cellStyle name="Suma 2 23 10" xfId="32383" xr:uid="{00000000-0005-0000-0000-00008D7E0000}"/>
    <cellStyle name="Suma 2 23 10 2" xfId="32384" xr:uid="{00000000-0005-0000-0000-00008E7E0000}"/>
    <cellStyle name="Suma 2 23 10 3" xfId="32385" xr:uid="{00000000-0005-0000-0000-00008F7E0000}"/>
    <cellStyle name="Suma 2 23 10 4" xfId="32386" xr:uid="{00000000-0005-0000-0000-0000907E0000}"/>
    <cellStyle name="Suma 2 23 11" xfId="32387" xr:uid="{00000000-0005-0000-0000-0000917E0000}"/>
    <cellStyle name="Suma 2 23 11 2" xfId="32388" xr:uid="{00000000-0005-0000-0000-0000927E0000}"/>
    <cellStyle name="Suma 2 23 11 3" xfId="32389" xr:uid="{00000000-0005-0000-0000-0000937E0000}"/>
    <cellStyle name="Suma 2 23 11 4" xfId="32390" xr:uid="{00000000-0005-0000-0000-0000947E0000}"/>
    <cellStyle name="Suma 2 23 12" xfId="32391" xr:uid="{00000000-0005-0000-0000-0000957E0000}"/>
    <cellStyle name="Suma 2 23 12 2" xfId="32392" xr:uid="{00000000-0005-0000-0000-0000967E0000}"/>
    <cellStyle name="Suma 2 23 12 3" xfId="32393" xr:uid="{00000000-0005-0000-0000-0000977E0000}"/>
    <cellStyle name="Suma 2 23 12 4" xfId="32394" xr:uid="{00000000-0005-0000-0000-0000987E0000}"/>
    <cellStyle name="Suma 2 23 13" xfId="32395" xr:uid="{00000000-0005-0000-0000-0000997E0000}"/>
    <cellStyle name="Suma 2 23 13 2" xfId="32396" xr:uid="{00000000-0005-0000-0000-00009A7E0000}"/>
    <cellStyle name="Suma 2 23 13 3" xfId="32397" xr:uid="{00000000-0005-0000-0000-00009B7E0000}"/>
    <cellStyle name="Suma 2 23 13 4" xfId="32398" xr:uid="{00000000-0005-0000-0000-00009C7E0000}"/>
    <cellStyle name="Suma 2 23 14" xfId="32399" xr:uid="{00000000-0005-0000-0000-00009D7E0000}"/>
    <cellStyle name="Suma 2 23 14 2" xfId="32400" xr:uid="{00000000-0005-0000-0000-00009E7E0000}"/>
    <cellStyle name="Suma 2 23 14 3" xfId="32401" xr:uid="{00000000-0005-0000-0000-00009F7E0000}"/>
    <cellStyle name="Suma 2 23 14 4" xfId="32402" xr:uid="{00000000-0005-0000-0000-0000A07E0000}"/>
    <cellStyle name="Suma 2 23 15" xfId="32403" xr:uid="{00000000-0005-0000-0000-0000A17E0000}"/>
    <cellStyle name="Suma 2 23 15 2" xfId="32404" xr:uid="{00000000-0005-0000-0000-0000A27E0000}"/>
    <cellStyle name="Suma 2 23 15 3" xfId="32405" xr:uid="{00000000-0005-0000-0000-0000A37E0000}"/>
    <cellStyle name="Suma 2 23 15 4" xfId="32406" xr:uid="{00000000-0005-0000-0000-0000A47E0000}"/>
    <cellStyle name="Suma 2 23 16" xfId="32407" xr:uid="{00000000-0005-0000-0000-0000A57E0000}"/>
    <cellStyle name="Suma 2 23 16 2" xfId="32408" xr:uid="{00000000-0005-0000-0000-0000A67E0000}"/>
    <cellStyle name="Suma 2 23 16 3" xfId="32409" xr:uid="{00000000-0005-0000-0000-0000A77E0000}"/>
    <cellStyle name="Suma 2 23 16 4" xfId="32410" xr:uid="{00000000-0005-0000-0000-0000A87E0000}"/>
    <cellStyle name="Suma 2 23 17" xfId="32411" xr:uid="{00000000-0005-0000-0000-0000A97E0000}"/>
    <cellStyle name="Suma 2 23 17 2" xfId="32412" xr:uid="{00000000-0005-0000-0000-0000AA7E0000}"/>
    <cellStyle name="Suma 2 23 17 3" xfId="32413" xr:uid="{00000000-0005-0000-0000-0000AB7E0000}"/>
    <cellStyle name="Suma 2 23 17 4" xfId="32414" xr:uid="{00000000-0005-0000-0000-0000AC7E0000}"/>
    <cellStyle name="Suma 2 23 18" xfId="32415" xr:uid="{00000000-0005-0000-0000-0000AD7E0000}"/>
    <cellStyle name="Suma 2 23 18 2" xfId="32416" xr:uid="{00000000-0005-0000-0000-0000AE7E0000}"/>
    <cellStyle name="Suma 2 23 18 3" xfId="32417" xr:uid="{00000000-0005-0000-0000-0000AF7E0000}"/>
    <cellStyle name="Suma 2 23 18 4" xfId="32418" xr:uid="{00000000-0005-0000-0000-0000B07E0000}"/>
    <cellStyle name="Suma 2 23 19" xfId="32419" xr:uid="{00000000-0005-0000-0000-0000B17E0000}"/>
    <cellStyle name="Suma 2 23 19 2" xfId="32420" xr:uid="{00000000-0005-0000-0000-0000B27E0000}"/>
    <cellStyle name="Suma 2 23 19 3" xfId="32421" xr:uid="{00000000-0005-0000-0000-0000B37E0000}"/>
    <cellStyle name="Suma 2 23 19 4" xfId="32422" xr:uid="{00000000-0005-0000-0000-0000B47E0000}"/>
    <cellStyle name="Suma 2 23 2" xfId="32423" xr:uid="{00000000-0005-0000-0000-0000B57E0000}"/>
    <cellStyle name="Suma 2 23 2 2" xfId="32424" xr:uid="{00000000-0005-0000-0000-0000B67E0000}"/>
    <cellStyle name="Suma 2 23 2 3" xfId="32425" xr:uid="{00000000-0005-0000-0000-0000B77E0000}"/>
    <cellStyle name="Suma 2 23 2 4" xfId="32426" xr:uid="{00000000-0005-0000-0000-0000B87E0000}"/>
    <cellStyle name="Suma 2 23 20" xfId="32427" xr:uid="{00000000-0005-0000-0000-0000B97E0000}"/>
    <cellStyle name="Suma 2 23 20 2" xfId="32428" xr:uid="{00000000-0005-0000-0000-0000BA7E0000}"/>
    <cellStyle name="Suma 2 23 20 3" xfId="32429" xr:uid="{00000000-0005-0000-0000-0000BB7E0000}"/>
    <cellStyle name="Suma 2 23 20 4" xfId="32430" xr:uid="{00000000-0005-0000-0000-0000BC7E0000}"/>
    <cellStyle name="Suma 2 23 21" xfId="32431" xr:uid="{00000000-0005-0000-0000-0000BD7E0000}"/>
    <cellStyle name="Suma 2 23 21 2" xfId="32432" xr:uid="{00000000-0005-0000-0000-0000BE7E0000}"/>
    <cellStyle name="Suma 2 23 21 3" xfId="32433" xr:uid="{00000000-0005-0000-0000-0000BF7E0000}"/>
    <cellStyle name="Suma 2 23 22" xfId="32434" xr:uid="{00000000-0005-0000-0000-0000C07E0000}"/>
    <cellStyle name="Suma 2 23 22 2" xfId="32435" xr:uid="{00000000-0005-0000-0000-0000C17E0000}"/>
    <cellStyle name="Suma 2 23 22 3" xfId="32436" xr:uid="{00000000-0005-0000-0000-0000C27E0000}"/>
    <cellStyle name="Suma 2 23 23" xfId="32437" xr:uid="{00000000-0005-0000-0000-0000C37E0000}"/>
    <cellStyle name="Suma 2 23 23 2" xfId="32438" xr:uid="{00000000-0005-0000-0000-0000C47E0000}"/>
    <cellStyle name="Suma 2 23 23 3" xfId="32439" xr:uid="{00000000-0005-0000-0000-0000C57E0000}"/>
    <cellStyle name="Suma 2 23 24" xfId="32440" xr:uid="{00000000-0005-0000-0000-0000C67E0000}"/>
    <cellStyle name="Suma 2 23 24 2" xfId="32441" xr:uid="{00000000-0005-0000-0000-0000C77E0000}"/>
    <cellStyle name="Suma 2 23 24 3" xfId="32442" xr:uid="{00000000-0005-0000-0000-0000C87E0000}"/>
    <cellStyle name="Suma 2 23 25" xfId="32443" xr:uid="{00000000-0005-0000-0000-0000C97E0000}"/>
    <cellStyle name="Suma 2 23 25 2" xfId="32444" xr:uid="{00000000-0005-0000-0000-0000CA7E0000}"/>
    <cellStyle name="Suma 2 23 25 3" xfId="32445" xr:uid="{00000000-0005-0000-0000-0000CB7E0000}"/>
    <cellStyle name="Suma 2 23 26" xfId="32446" xr:uid="{00000000-0005-0000-0000-0000CC7E0000}"/>
    <cellStyle name="Suma 2 23 26 2" xfId="32447" xr:uid="{00000000-0005-0000-0000-0000CD7E0000}"/>
    <cellStyle name="Suma 2 23 26 3" xfId="32448" xr:uid="{00000000-0005-0000-0000-0000CE7E0000}"/>
    <cellStyle name="Suma 2 23 27" xfId="32449" xr:uid="{00000000-0005-0000-0000-0000CF7E0000}"/>
    <cellStyle name="Suma 2 23 27 2" xfId="32450" xr:uid="{00000000-0005-0000-0000-0000D07E0000}"/>
    <cellStyle name="Suma 2 23 27 3" xfId="32451" xr:uid="{00000000-0005-0000-0000-0000D17E0000}"/>
    <cellStyle name="Suma 2 23 28" xfId="32452" xr:uid="{00000000-0005-0000-0000-0000D27E0000}"/>
    <cellStyle name="Suma 2 23 28 2" xfId="32453" xr:uid="{00000000-0005-0000-0000-0000D37E0000}"/>
    <cellStyle name="Suma 2 23 28 3" xfId="32454" xr:uid="{00000000-0005-0000-0000-0000D47E0000}"/>
    <cellStyle name="Suma 2 23 29" xfId="32455" xr:uid="{00000000-0005-0000-0000-0000D57E0000}"/>
    <cellStyle name="Suma 2 23 29 2" xfId="32456" xr:uid="{00000000-0005-0000-0000-0000D67E0000}"/>
    <cellStyle name="Suma 2 23 29 3" xfId="32457" xr:uid="{00000000-0005-0000-0000-0000D77E0000}"/>
    <cellStyle name="Suma 2 23 3" xfId="32458" xr:uid="{00000000-0005-0000-0000-0000D87E0000}"/>
    <cellStyle name="Suma 2 23 3 2" xfId="32459" xr:uid="{00000000-0005-0000-0000-0000D97E0000}"/>
    <cellStyle name="Suma 2 23 3 3" xfId="32460" xr:uid="{00000000-0005-0000-0000-0000DA7E0000}"/>
    <cellStyle name="Suma 2 23 3 4" xfId="32461" xr:uid="{00000000-0005-0000-0000-0000DB7E0000}"/>
    <cellStyle name="Suma 2 23 30" xfId="32462" xr:uid="{00000000-0005-0000-0000-0000DC7E0000}"/>
    <cellStyle name="Suma 2 23 30 2" xfId="32463" xr:uid="{00000000-0005-0000-0000-0000DD7E0000}"/>
    <cellStyle name="Suma 2 23 30 3" xfId="32464" xr:uid="{00000000-0005-0000-0000-0000DE7E0000}"/>
    <cellStyle name="Suma 2 23 31" xfId="32465" xr:uid="{00000000-0005-0000-0000-0000DF7E0000}"/>
    <cellStyle name="Suma 2 23 31 2" xfId="32466" xr:uid="{00000000-0005-0000-0000-0000E07E0000}"/>
    <cellStyle name="Suma 2 23 31 3" xfId="32467" xr:uid="{00000000-0005-0000-0000-0000E17E0000}"/>
    <cellStyle name="Suma 2 23 32" xfId="32468" xr:uid="{00000000-0005-0000-0000-0000E27E0000}"/>
    <cellStyle name="Suma 2 23 32 2" xfId="32469" xr:uid="{00000000-0005-0000-0000-0000E37E0000}"/>
    <cellStyle name="Suma 2 23 32 3" xfId="32470" xr:uid="{00000000-0005-0000-0000-0000E47E0000}"/>
    <cellStyle name="Suma 2 23 33" xfId="32471" xr:uid="{00000000-0005-0000-0000-0000E57E0000}"/>
    <cellStyle name="Suma 2 23 33 2" xfId="32472" xr:uid="{00000000-0005-0000-0000-0000E67E0000}"/>
    <cellStyle name="Suma 2 23 33 3" xfId="32473" xr:uid="{00000000-0005-0000-0000-0000E77E0000}"/>
    <cellStyle name="Suma 2 23 34" xfId="32474" xr:uid="{00000000-0005-0000-0000-0000E87E0000}"/>
    <cellStyle name="Suma 2 23 34 2" xfId="32475" xr:uid="{00000000-0005-0000-0000-0000E97E0000}"/>
    <cellStyle name="Suma 2 23 34 3" xfId="32476" xr:uid="{00000000-0005-0000-0000-0000EA7E0000}"/>
    <cellStyle name="Suma 2 23 35" xfId="32477" xr:uid="{00000000-0005-0000-0000-0000EB7E0000}"/>
    <cellStyle name="Suma 2 23 35 2" xfId="32478" xr:uid="{00000000-0005-0000-0000-0000EC7E0000}"/>
    <cellStyle name="Suma 2 23 35 3" xfId="32479" xr:uid="{00000000-0005-0000-0000-0000ED7E0000}"/>
    <cellStyle name="Suma 2 23 36" xfId="32480" xr:uid="{00000000-0005-0000-0000-0000EE7E0000}"/>
    <cellStyle name="Suma 2 23 36 2" xfId="32481" xr:uid="{00000000-0005-0000-0000-0000EF7E0000}"/>
    <cellStyle name="Suma 2 23 36 3" xfId="32482" xr:uid="{00000000-0005-0000-0000-0000F07E0000}"/>
    <cellStyle name="Suma 2 23 37" xfId="32483" xr:uid="{00000000-0005-0000-0000-0000F17E0000}"/>
    <cellStyle name="Suma 2 23 37 2" xfId="32484" xr:uid="{00000000-0005-0000-0000-0000F27E0000}"/>
    <cellStyle name="Suma 2 23 37 3" xfId="32485" xr:uid="{00000000-0005-0000-0000-0000F37E0000}"/>
    <cellStyle name="Suma 2 23 38" xfId="32486" xr:uid="{00000000-0005-0000-0000-0000F47E0000}"/>
    <cellStyle name="Suma 2 23 38 2" xfId="32487" xr:uid="{00000000-0005-0000-0000-0000F57E0000}"/>
    <cellStyle name="Suma 2 23 38 3" xfId="32488" xr:uid="{00000000-0005-0000-0000-0000F67E0000}"/>
    <cellStyle name="Suma 2 23 39" xfId="32489" xr:uid="{00000000-0005-0000-0000-0000F77E0000}"/>
    <cellStyle name="Suma 2 23 39 2" xfId="32490" xr:uid="{00000000-0005-0000-0000-0000F87E0000}"/>
    <cellStyle name="Suma 2 23 39 3" xfId="32491" xr:uid="{00000000-0005-0000-0000-0000F97E0000}"/>
    <cellStyle name="Suma 2 23 4" xfId="32492" xr:uid="{00000000-0005-0000-0000-0000FA7E0000}"/>
    <cellStyle name="Suma 2 23 4 2" xfId="32493" xr:uid="{00000000-0005-0000-0000-0000FB7E0000}"/>
    <cellStyle name="Suma 2 23 4 3" xfId="32494" xr:uid="{00000000-0005-0000-0000-0000FC7E0000}"/>
    <cellStyle name="Suma 2 23 4 4" xfId="32495" xr:uid="{00000000-0005-0000-0000-0000FD7E0000}"/>
    <cellStyle name="Suma 2 23 40" xfId="32496" xr:uid="{00000000-0005-0000-0000-0000FE7E0000}"/>
    <cellStyle name="Suma 2 23 40 2" xfId="32497" xr:uid="{00000000-0005-0000-0000-0000FF7E0000}"/>
    <cellStyle name="Suma 2 23 40 3" xfId="32498" xr:uid="{00000000-0005-0000-0000-0000007F0000}"/>
    <cellStyle name="Suma 2 23 41" xfId="32499" xr:uid="{00000000-0005-0000-0000-0000017F0000}"/>
    <cellStyle name="Suma 2 23 41 2" xfId="32500" xr:uid="{00000000-0005-0000-0000-0000027F0000}"/>
    <cellStyle name="Suma 2 23 41 3" xfId="32501" xr:uid="{00000000-0005-0000-0000-0000037F0000}"/>
    <cellStyle name="Suma 2 23 42" xfId="32502" xr:uid="{00000000-0005-0000-0000-0000047F0000}"/>
    <cellStyle name="Suma 2 23 42 2" xfId="32503" xr:uid="{00000000-0005-0000-0000-0000057F0000}"/>
    <cellStyle name="Suma 2 23 42 3" xfId="32504" xr:uid="{00000000-0005-0000-0000-0000067F0000}"/>
    <cellStyle name="Suma 2 23 43" xfId="32505" xr:uid="{00000000-0005-0000-0000-0000077F0000}"/>
    <cellStyle name="Suma 2 23 43 2" xfId="32506" xr:uid="{00000000-0005-0000-0000-0000087F0000}"/>
    <cellStyle name="Suma 2 23 43 3" xfId="32507" xr:uid="{00000000-0005-0000-0000-0000097F0000}"/>
    <cellStyle name="Suma 2 23 44" xfId="32508" xr:uid="{00000000-0005-0000-0000-00000A7F0000}"/>
    <cellStyle name="Suma 2 23 44 2" xfId="32509" xr:uid="{00000000-0005-0000-0000-00000B7F0000}"/>
    <cellStyle name="Suma 2 23 44 3" xfId="32510" xr:uid="{00000000-0005-0000-0000-00000C7F0000}"/>
    <cellStyle name="Suma 2 23 45" xfId="32511" xr:uid="{00000000-0005-0000-0000-00000D7F0000}"/>
    <cellStyle name="Suma 2 23 45 2" xfId="32512" xr:uid="{00000000-0005-0000-0000-00000E7F0000}"/>
    <cellStyle name="Suma 2 23 45 3" xfId="32513" xr:uid="{00000000-0005-0000-0000-00000F7F0000}"/>
    <cellStyle name="Suma 2 23 46" xfId="32514" xr:uid="{00000000-0005-0000-0000-0000107F0000}"/>
    <cellStyle name="Suma 2 23 46 2" xfId="32515" xr:uid="{00000000-0005-0000-0000-0000117F0000}"/>
    <cellStyle name="Suma 2 23 46 3" xfId="32516" xr:uid="{00000000-0005-0000-0000-0000127F0000}"/>
    <cellStyle name="Suma 2 23 47" xfId="32517" xr:uid="{00000000-0005-0000-0000-0000137F0000}"/>
    <cellStyle name="Suma 2 23 47 2" xfId="32518" xr:uid="{00000000-0005-0000-0000-0000147F0000}"/>
    <cellStyle name="Suma 2 23 47 3" xfId="32519" xr:uid="{00000000-0005-0000-0000-0000157F0000}"/>
    <cellStyle name="Suma 2 23 48" xfId="32520" xr:uid="{00000000-0005-0000-0000-0000167F0000}"/>
    <cellStyle name="Suma 2 23 48 2" xfId="32521" xr:uid="{00000000-0005-0000-0000-0000177F0000}"/>
    <cellStyle name="Suma 2 23 48 3" xfId="32522" xr:uid="{00000000-0005-0000-0000-0000187F0000}"/>
    <cellStyle name="Suma 2 23 49" xfId="32523" xr:uid="{00000000-0005-0000-0000-0000197F0000}"/>
    <cellStyle name="Suma 2 23 49 2" xfId="32524" xr:uid="{00000000-0005-0000-0000-00001A7F0000}"/>
    <cellStyle name="Suma 2 23 49 3" xfId="32525" xr:uid="{00000000-0005-0000-0000-00001B7F0000}"/>
    <cellStyle name="Suma 2 23 5" xfId="32526" xr:uid="{00000000-0005-0000-0000-00001C7F0000}"/>
    <cellStyle name="Suma 2 23 5 2" xfId="32527" xr:uid="{00000000-0005-0000-0000-00001D7F0000}"/>
    <cellStyle name="Suma 2 23 5 3" xfId="32528" xr:uid="{00000000-0005-0000-0000-00001E7F0000}"/>
    <cellStyle name="Suma 2 23 5 4" xfId="32529" xr:uid="{00000000-0005-0000-0000-00001F7F0000}"/>
    <cellStyle name="Suma 2 23 50" xfId="32530" xr:uid="{00000000-0005-0000-0000-0000207F0000}"/>
    <cellStyle name="Suma 2 23 50 2" xfId="32531" xr:uid="{00000000-0005-0000-0000-0000217F0000}"/>
    <cellStyle name="Suma 2 23 50 3" xfId="32532" xr:uid="{00000000-0005-0000-0000-0000227F0000}"/>
    <cellStyle name="Suma 2 23 51" xfId="32533" xr:uid="{00000000-0005-0000-0000-0000237F0000}"/>
    <cellStyle name="Suma 2 23 51 2" xfId="32534" xr:uid="{00000000-0005-0000-0000-0000247F0000}"/>
    <cellStyle name="Suma 2 23 51 3" xfId="32535" xr:uid="{00000000-0005-0000-0000-0000257F0000}"/>
    <cellStyle name="Suma 2 23 52" xfId="32536" xr:uid="{00000000-0005-0000-0000-0000267F0000}"/>
    <cellStyle name="Suma 2 23 52 2" xfId="32537" xr:uid="{00000000-0005-0000-0000-0000277F0000}"/>
    <cellStyle name="Suma 2 23 52 3" xfId="32538" xr:uid="{00000000-0005-0000-0000-0000287F0000}"/>
    <cellStyle name="Suma 2 23 53" xfId="32539" xr:uid="{00000000-0005-0000-0000-0000297F0000}"/>
    <cellStyle name="Suma 2 23 53 2" xfId="32540" xr:uid="{00000000-0005-0000-0000-00002A7F0000}"/>
    <cellStyle name="Suma 2 23 53 3" xfId="32541" xr:uid="{00000000-0005-0000-0000-00002B7F0000}"/>
    <cellStyle name="Suma 2 23 54" xfId="32542" xr:uid="{00000000-0005-0000-0000-00002C7F0000}"/>
    <cellStyle name="Suma 2 23 54 2" xfId="32543" xr:uid="{00000000-0005-0000-0000-00002D7F0000}"/>
    <cellStyle name="Suma 2 23 54 3" xfId="32544" xr:uid="{00000000-0005-0000-0000-00002E7F0000}"/>
    <cellStyle name="Suma 2 23 55" xfId="32545" xr:uid="{00000000-0005-0000-0000-00002F7F0000}"/>
    <cellStyle name="Suma 2 23 55 2" xfId="32546" xr:uid="{00000000-0005-0000-0000-0000307F0000}"/>
    <cellStyle name="Suma 2 23 55 3" xfId="32547" xr:uid="{00000000-0005-0000-0000-0000317F0000}"/>
    <cellStyle name="Suma 2 23 56" xfId="32548" xr:uid="{00000000-0005-0000-0000-0000327F0000}"/>
    <cellStyle name="Suma 2 23 56 2" xfId="32549" xr:uid="{00000000-0005-0000-0000-0000337F0000}"/>
    <cellStyle name="Suma 2 23 56 3" xfId="32550" xr:uid="{00000000-0005-0000-0000-0000347F0000}"/>
    <cellStyle name="Suma 2 23 57" xfId="32551" xr:uid="{00000000-0005-0000-0000-0000357F0000}"/>
    <cellStyle name="Suma 2 23 58" xfId="32552" xr:uid="{00000000-0005-0000-0000-0000367F0000}"/>
    <cellStyle name="Suma 2 23 6" xfId="32553" xr:uid="{00000000-0005-0000-0000-0000377F0000}"/>
    <cellStyle name="Suma 2 23 6 2" xfId="32554" xr:uid="{00000000-0005-0000-0000-0000387F0000}"/>
    <cellStyle name="Suma 2 23 6 3" xfId="32555" xr:uid="{00000000-0005-0000-0000-0000397F0000}"/>
    <cellStyle name="Suma 2 23 6 4" xfId="32556" xr:uid="{00000000-0005-0000-0000-00003A7F0000}"/>
    <cellStyle name="Suma 2 23 7" xfId="32557" xr:uid="{00000000-0005-0000-0000-00003B7F0000}"/>
    <cellStyle name="Suma 2 23 7 2" xfId="32558" xr:uid="{00000000-0005-0000-0000-00003C7F0000}"/>
    <cellStyle name="Suma 2 23 7 3" xfId="32559" xr:uid="{00000000-0005-0000-0000-00003D7F0000}"/>
    <cellStyle name="Suma 2 23 7 4" xfId="32560" xr:uid="{00000000-0005-0000-0000-00003E7F0000}"/>
    <cellStyle name="Suma 2 23 8" xfId="32561" xr:uid="{00000000-0005-0000-0000-00003F7F0000}"/>
    <cellStyle name="Suma 2 23 8 2" xfId="32562" xr:uid="{00000000-0005-0000-0000-0000407F0000}"/>
    <cellStyle name="Suma 2 23 8 3" xfId="32563" xr:uid="{00000000-0005-0000-0000-0000417F0000}"/>
    <cellStyle name="Suma 2 23 8 4" xfId="32564" xr:uid="{00000000-0005-0000-0000-0000427F0000}"/>
    <cellStyle name="Suma 2 23 9" xfId="32565" xr:uid="{00000000-0005-0000-0000-0000437F0000}"/>
    <cellStyle name="Suma 2 23 9 2" xfId="32566" xr:uid="{00000000-0005-0000-0000-0000447F0000}"/>
    <cellStyle name="Suma 2 23 9 3" xfId="32567" xr:uid="{00000000-0005-0000-0000-0000457F0000}"/>
    <cellStyle name="Suma 2 23 9 4" xfId="32568" xr:uid="{00000000-0005-0000-0000-0000467F0000}"/>
    <cellStyle name="Suma 2 24" xfId="32569" xr:uid="{00000000-0005-0000-0000-0000477F0000}"/>
    <cellStyle name="Suma 2 24 10" xfId="32570" xr:uid="{00000000-0005-0000-0000-0000487F0000}"/>
    <cellStyle name="Suma 2 24 10 2" xfId="32571" xr:uid="{00000000-0005-0000-0000-0000497F0000}"/>
    <cellStyle name="Suma 2 24 10 3" xfId="32572" xr:uid="{00000000-0005-0000-0000-00004A7F0000}"/>
    <cellStyle name="Suma 2 24 10 4" xfId="32573" xr:uid="{00000000-0005-0000-0000-00004B7F0000}"/>
    <cellStyle name="Suma 2 24 11" xfId="32574" xr:uid="{00000000-0005-0000-0000-00004C7F0000}"/>
    <cellStyle name="Suma 2 24 11 2" xfId="32575" xr:uid="{00000000-0005-0000-0000-00004D7F0000}"/>
    <cellStyle name="Suma 2 24 11 3" xfId="32576" xr:uid="{00000000-0005-0000-0000-00004E7F0000}"/>
    <cellStyle name="Suma 2 24 11 4" xfId="32577" xr:uid="{00000000-0005-0000-0000-00004F7F0000}"/>
    <cellStyle name="Suma 2 24 12" xfId="32578" xr:uid="{00000000-0005-0000-0000-0000507F0000}"/>
    <cellStyle name="Suma 2 24 12 2" xfId="32579" xr:uid="{00000000-0005-0000-0000-0000517F0000}"/>
    <cellStyle name="Suma 2 24 12 3" xfId="32580" xr:uid="{00000000-0005-0000-0000-0000527F0000}"/>
    <cellStyle name="Suma 2 24 12 4" xfId="32581" xr:uid="{00000000-0005-0000-0000-0000537F0000}"/>
    <cellStyle name="Suma 2 24 13" xfId="32582" xr:uid="{00000000-0005-0000-0000-0000547F0000}"/>
    <cellStyle name="Suma 2 24 13 2" xfId="32583" xr:uid="{00000000-0005-0000-0000-0000557F0000}"/>
    <cellStyle name="Suma 2 24 13 3" xfId="32584" xr:uid="{00000000-0005-0000-0000-0000567F0000}"/>
    <cellStyle name="Suma 2 24 13 4" xfId="32585" xr:uid="{00000000-0005-0000-0000-0000577F0000}"/>
    <cellStyle name="Suma 2 24 14" xfId="32586" xr:uid="{00000000-0005-0000-0000-0000587F0000}"/>
    <cellStyle name="Suma 2 24 14 2" xfId="32587" xr:uid="{00000000-0005-0000-0000-0000597F0000}"/>
    <cellStyle name="Suma 2 24 14 3" xfId="32588" xr:uid="{00000000-0005-0000-0000-00005A7F0000}"/>
    <cellStyle name="Suma 2 24 14 4" xfId="32589" xr:uid="{00000000-0005-0000-0000-00005B7F0000}"/>
    <cellStyle name="Suma 2 24 15" xfId="32590" xr:uid="{00000000-0005-0000-0000-00005C7F0000}"/>
    <cellStyle name="Suma 2 24 15 2" xfId="32591" xr:uid="{00000000-0005-0000-0000-00005D7F0000}"/>
    <cellStyle name="Suma 2 24 15 3" xfId="32592" xr:uid="{00000000-0005-0000-0000-00005E7F0000}"/>
    <cellStyle name="Suma 2 24 15 4" xfId="32593" xr:uid="{00000000-0005-0000-0000-00005F7F0000}"/>
    <cellStyle name="Suma 2 24 16" xfId="32594" xr:uid="{00000000-0005-0000-0000-0000607F0000}"/>
    <cellStyle name="Suma 2 24 16 2" xfId="32595" xr:uid="{00000000-0005-0000-0000-0000617F0000}"/>
    <cellStyle name="Suma 2 24 16 3" xfId="32596" xr:uid="{00000000-0005-0000-0000-0000627F0000}"/>
    <cellStyle name="Suma 2 24 16 4" xfId="32597" xr:uid="{00000000-0005-0000-0000-0000637F0000}"/>
    <cellStyle name="Suma 2 24 17" xfId="32598" xr:uid="{00000000-0005-0000-0000-0000647F0000}"/>
    <cellStyle name="Suma 2 24 17 2" xfId="32599" xr:uid="{00000000-0005-0000-0000-0000657F0000}"/>
    <cellStyle name="Suma 2 24 17 3" xfId="32600" xr:uid="{00000000-0005-0000-0000-0000667F0000}"/>
    <cellStyle name="Suma 2 24 17 4" xfId="32601" xr:uid="{00000000-0005-0000-0000-0000677F0000}"/>
    <cellStyle name="Suma 2 24 18" xfId="32602" xr:uid="{00000000-0005-0000-0000-0000687F0000}"/>
    <cellStyle name="Suma 2 24 18 2" xfId="32603" xr:uid="{00000000-0005-0000-0000-0000697F0000}"/>
    <cellStyle name="Suma 2 24 18 3" xfId="32604" xr:uid="{00000000-0005-0000-0000-00006A7F0000}"/>
    <cellStyle name="Suma 2 24 18 4" xfId="32605" xr:uid="{00000000-0005-0000-0000-00006B7F0000}"/>
    <cellStyle name="Suma 2 24 19" xfId="32606" xr:uid="{00000000-0005-0000-0000-00006C7F0000}"/>
    <cellStyle name="Suma 2 24 19 2" xfId="32607" xr:uid="{00000000-0005-0000-0000-00006D7F0000}"/>
    <cellStyle name="Suma 2 24 19 3" xfId="32608" xr:uid="{00000000-0005-0000-0000-00006E7F0000}"/>
    <cellStyle name="Suma 2 24 19 4" xfId="32609" xr:uid="{00000000-0005-0000-0000-00006F7F0000}"/>
    <cellStyle name="Suma 2 24 2" xfId="32610" xr:uid="{00000000-0005-0000-0000-0000707F0000}"/>
    <cellStyle name="Suma 2 24 2 2" xfId="32611" xr:uid="{00000000-0005-0000-0000-0000717F0000}"/>
    <cellStyle name="Suma 2 24 2 3" xfId="32612" xr:uid="{00000000-0005-0000-0000-0000727F0000}"/>
    <cellStyle name="Suma 2 24 2 4" xfId="32613" xr:uid="{00000000-0005-0000-0000-0000737F0000}"/>
    <cellStyle name="Suma 2 24 20" xfId="32614" xr:uid="{00000000-0005-0000-0000-0000747F0000}"/>
    <cellStyle name="Suma 2 24 20 2" xfId="32615" xr:uid="{00000000-0005-0000-0000-0000757F0000}"/>
    <cellStyle name="Suma 2 24 20 3" xfId="32616" xr:uid="{00000000-0005-0000-0000-0000767F0000}"/>
    <cellStyle name="Suma 2 24 20 4" xfId="32617" xr:uid="{00000000-0005-0000-0000-0000777F0000}"/>
    <cellStyle name="Suma 2 24 21" xfId="32618" xr:uid="{00000000-0005-0000-0000-0000787F0000}"/>
    <cellStyle name="Suma 2 24 21 2" xfId="32619" xr:uid="{00000000-0005-0000-0000-0000797F0000}"/>
    <cellStyle name="Suma 2 24 21 3" xfId="32620" xr:uid="{00000000-0005-0000-0000-00007A7F0000}"/>
    <cellStyle name="Suma 2 24 22" xfId="32621" xr:uid="{00000000-0005-0000-0000-00007B7F0000}"/>
    <cellStyle name="Suma 2 24 22 2" xfId="32622" xr:uid="{00000000-0005-0000-0000-00007C7F0000}"/>
    <cellStyle name="Suma 2 24 22 3" xfId="32623" xr:uid="{00000000-0005-0000-0000-00007D7F0000}"/>
    <cellStyle name="Suma 2 24 23" xfId="32624" xr:uid="{00000000-0005-0000-0000-00007E7F0000}"/>
    <cellStyle name="Suma 2 24 23 2" xfId="32625" xr:uid="{00000000-0005-0000-0000-00007F7F0000}"/>
    <cellStyle name="Suma 2 24 23 3" xfId="32626" xr:uid="{00000000-0005-0000-0000-0000807F0000}"/>
    <cellStyle name="Suma 2 24 24" xfId="32627" xr:uid="{00000000-0005-0000-0000-0000817F0000}"/>
    <cellStyle name="Suma 2 24 24 2" xfId="32628" xr:uid="{00000000-0005-0000-0000-0000827F0000}"/>
    <cellStyle name="Suma 2 24 24 3" xfId="32629" xr:uid="{00000000-0005-0000-0000-0000837F0000}"/>
    <cellStyle name="Suma 2 24 25" xfId="32630" xr:uid="{00000000-0005-0000-0000-0000847F0000}"/>
    <cellStyle name="Suma 2 24 25 2" xfId="32631" xr:uid="{00000000-0005-0000-0000-0000857F0000}"/>
    <cellStyle name="Suma 2 24 25 3" xfId="32632" xr:uid="{00000000-0005-0000-0000-0000867F0000}"/>
    <cellStyle name="Suma 2 24 26" xfId="32633" xr:uid="{00000000-0005-0000-0000-0000877F0000}"/>
    <cellStyle name="Suma 2 24 26 2" xfId="32634" xr:uid="{00000000-0005-0000-0000-0000887F0000}"/>
    <cellStyle name="Suma 2 24 26 3" xfId="32635" xr:uid="{00000000-0005-0000-0000-0000897F0000}"/>
    <cellStyle name="Suma 2 24 27" xfId="32636" xr:uid="{00000000-0005-0000-0000-00008A7F0000}"/>
    <cellStyle name="Suma 2 24 27 2" xfId="32637" xr:uid="{00000000-0005-0000-0000-00008B7F0000}"/>
    <cellStyle name="Suma 2 24 27 3" xfId="32638" xr:uid="{00000000-0005-0000-0000-00008C7F0000}"/>
    <cellStyle name="Suma 2 24 28" xfId="32639" xr:uid="{00000000-0005-0000-0000-00008D7F0000}"/>
    <cellStyle name="Suma 2 24 28 2" xfId="32640" xr:uid="{00000000-0005-0000-0000-00008E7F0000}"/>
    <cellStyle name="Suma 2 24 28 3" xfId="32641" xr:uid="{00000000-0005-0000-0000-00008F7F0000}"/>
    <cellStyle name="Suma 2 24 29" xfId="32642" xr:uid="{00000000-0005-0000-0000-0000907F0000}"/>
    <cellStyle name="Suma 2 24 29 2" xfId="32643" xr:uid="{00000000-0005-0000-0000-0000917F0000}"/>
    <cellStyle name="Suma 2 24 29 3" xfId="32644" xr:uid="{00000000-0005-0000-0000-0000927F0000}"/>
    <cellStyle name="Suma 2 24 3" xfId="32645" xr:uid="{00000000-0005-0000-0000-0000937F0000}"/>
    <cellStyle name="Suma 2 24 3 2" xfId="32646" xr:uid="{00000000-0005-0000-0000-0000947F0000}"/>
    <cellStyle name="Suma 2 24 3 3" xfId="32647" xr:uid="{00000000-0005-0000-0000-0000957F0000}"/>
    <cellStyle name="Suma 2 24 3 4" xfId="32648" xr:uid="{00000000-0005-0000-0000-0000967F0000}"/>
    <cellStyle name="Suma 2 24 30" xfId="32649" xr:uid="{00000000-0005-0000-0000-0000977F0000}"/>
    <cellStyle name="Suma 2 24 30 2" xfId="32650" xr:uid="{00000000-0005-0000-0000-0000987F0000}"/>
    <cellStyle name="Suma 2 24 30 3" xfId="32651" xr:uid="{00000000-0005-0000-0000-0000997F0000}"/>
    <cellStyle name="Suma 2 24 31" xfId="32652" xr:uid="{00000000-0005-0000-0000-00009A7F0000}"/>
    <cellStyle name="Suma 2 24 31 2" xfId="32653" xr:uid="{00000000-0005-0000-0000-00009B7F0000}"/>
    <cellStyle name="Suma 2 24 31 3" xfId="32654" xr:uid="{00000000-0005-0000-0000-00009C7F0000}"/>
    <cellStyle name="Suma 2 24 32" xfId="32655" xr:uid="{00000000-0005-0000-0000-00009D7F0000}"/>
    <cellStyle name="Suma 2 24 32 2" xfId="32656" xr:uid="{00000000-0005-0000-0000-00009E7F0000}"/>
    <cellStyle name="Suma 2 24 32 3" xfId="32657" xr:uid="{00000000-0005-0000-0000-00009F7F0000}"/>
    <cellStyle name="Suma 2 24 33" xfId="32658" xr:uid="{00000000-0005-0000-0000-0000A07F0000}"/>
    <cellStyle name="Suma 2 24 33 2" xfId="32659" xr:uid="{00000000-0005-0000-0000-0000A17F0000}"/>
    <cellStyle name="Suma 2 24 33 3" xfId="32660" xr:uid="{00000000-0005-0000-0000-0000A27F0000}"/>
    <cellStyle name="Suma 2 24 34" xfId="32661" xr:uid="{00000000-0005-0000-0000-0000A37F0000}"/>
    <cellStyle name="Suma 2 24 34 2" xfId="32662" xr:uid="{00000000-0005-0000-0000-0000A47F0000}"/>
    <cellStyle name="Suma 2 24 34 3" xfId="32663" xr:uid="{00000000-0005-0000-0000-0000A57F0000}"/>
    <cellStyle name="Suma 2 24 35" xfId="32664" xr:uid="{00000000-0005-0000-0000-0000A67F0000}"/>
    <cellStyle name="Suma 2 24 35 2" xfId="32665" xr:uid="{00000000-0005-0000-0000-0000A77F0000}"/>
    <cellStyle name="Suma 2 24 35 3" xfId="32666" xr:uid="{00000000-0005-0000-0000-0000A87F0000}"/>
    <cellStyle name="Suma 2 24 36" xfId="32667" xr:uid="{00000000-0005-0000-0000-0000A97F0000}"/>
    <cellStyle name="Suma 2 24 36 2" xfId="32668" xr:uid="{00000000-0005-0000-0000-0000AA7F0000}"/>
    <cellStyle name="Suma 2 24 36 3" xfId="32669" xr:uid="{00000000-0005-0000-0000-0000AB7F0000}"/>
    <cellStyle name="Suma 2 24 37" xfId="32670" xr:uid="{00000000-0005-0000-0000-0000AC7F0000}"/>
    <cellStyle name="Suma 2 24 37 2" xfId="32671" xr:uid="{00000000-0005-0000-0000-0000AD7F0000}"/>
    <cellStyle name="Suma 2 24 37 3" xfId="32672" xr:uid="{00000000-0005-0000-0000-0000AE7F0000}"/>
    <cellStyle name="Suma 2 24 38" xfId="32673" xr:uid="{00000000-0005-0000-0000-0000AF7F0000}"/>
    <cellStyle name="Suma 2 24 38 2" xfId="32674" xr:uid="{00000000-0005-0000-0000-0000B07F0000}"/>
    <cellStyle name="Suma 2 24 38 3" xfId="32675" xr:uid="{00000000-0005-0000-0000-0000B17F0000}"/>
    <cellStyle name="Suma 2 24 39" xfId="32676" xr:uid="{00000000-0005-0000-0000-0000B27F0000}"/>
    <cellStyle name="Suma 2 24 39 2" xfId="32677" xr:uid="{00000000-0005-0000-0000-0000B37F0000}"/>
    <cellStyle name="Suma 2 24 39 3" xfId="32678" xr:uid="{00000000-0005-0000-0000-0000B47F0000}"/>
    <cellStyle name="Suma 2 24 4" xfId="32679" xr:uid="{00000000-0005-0000-0000-0000B57F0000}"/>
    <cellStyle name="Suma 2 24 4 2" xfId="32680" xr:uid="{00000000-0005-0000-0000-0000B67F0000}"/>
    <cellStyle name="Suma 2 24 4 3" xfId="32681" xr:uid="{00000000-0005-0000-0000-0000B77F0000}"/>
    <cellStyle name="Suma 2 24 4 4" xfId="32682" xr:uid="{00000000-0005-0000-0000-0000B87F0000}"/>
    <cellStyle name="Suma 2 24 40" xfId="32683" xr:uid="{00000000-0005-0000-0000-0000B97F0000}"/>
    <cellStyle name="Suma 2 24 40 2" xfId="32684" xr:uid="{00000000-0005-0000-0000-0000BA7F0000}"/>
    <cellStyle name="Suma 2 24 40 3" xfId="32685" xr:uid="{00000000-0005-0000-0000-0000BB7F0000}"/>
    <cellStyle name="Suma 2 24 41" xfId="32686" xr:uid="{00000000-0005-0000-0000-0000BC7F0000}"/>
    <cellStyle name="Suma 2 24 41 2" xfId="32687" xr:uid="{00000000-0005-0000-0000-0000BD7F0000}"/>
    <cellStyle name="Suma 2 24 41 3" xfId="32688" xr:uid="{00000000-0005-0000-0000-0000BE7F0000}"/>
    <cellStyle name="Suma 2 24 42" xfId="32689" xr:uid="{00000000-0005-0000-0000-0000BF7F0000}"/>
    <cellStyle name="Suma 2 24 42 2" xfId="32690" xr:uid="{00000000-0005-0000-0000-0000C07F0000}"/>
    <cellStyle name="Suma 2 24 42 3" xfId="32691" xr:uid="{00000000-0005-0000-0000-0000C17F0000}"/>
    <cellStyle name="Suma 2 24 43" xfId="32692" xr:uid="{00000000-0005-0000-0000-0000C27F0000}"/>
    <cellStyle name="Suma 2 24 43 2" xfId="32693" xr:uid="{00000000-0005-0000-0000-0000C37F0000}"/>
    <cellStyle name="Suma 2 24 43 3" xfId="32694" xr:uid="{00000000-0005-0000-0000-0000C47F0000}"/>
    <cellStyle name="Suma 2 24 44" xfId="32695" xr:uid="{00000000-0005-0000-0000-0000C57F0000}"/>
    <cellStyle name="Suma 2 24 44 2" xfId="32696" xr:uid="{00000000-0005-0000-0000-0000C67F0000}"/>
    <cellStyle name="Suma 2 24 44 3" xfId="32697" xr:uid="{00000000-0005-0000-0000-0000C77F0000}"/>
    <cellStyle name="Suma 2 24 45" xfId="32698" xr:uid="{00000000-0005-0000-0000-0000C87F0000}"/>
    <cellStyle name="Suma 2 24 45 2" xfId="32699" xr:uid="{00000000-0005-0000-0000-0000C97F0000}"/>
    <cellStyle name="Suma 2 24 45 3" xfId="32700" xr:uid="{00000000-0005-0000-0000-0000CA7F0000}"/>
    <cellStyle name="Suma 2 24 46" xfId="32701" xr:uid="{00000000-0005-0000-0000-0000CB7F0000}"/>
    <cellStyle name="Suma 2 24 46 2" xfId="32702" xr:uid="{00000000-0005-0000-0000-0000CC7F0000}"/>
    <cellStyle name="Suma 2 24 46 3" xfId="32703" xr:uid="{00000000-0005-0000-0000-0000CD7F0000}"/>
    <cellStyle name="Suma 2 24 47" xfId="32704" xr:uid="{00000000-0005-0000-0000-0000CE7F0000}"/>
    <cellStyle name="Suma 2 24 47 2" xfId="32705" xr:uid="{00000000-0005-0000-0000-0000CF7F0000}"/>
    <cellStyle name="Suma 2 24 47 3" xfId="32706" xr:uid="{00000000-0005-0000-0000-0000D07F0000}"/>
    <cellStyle name="Suma 2 24 48" xfId="32707" xr:uid="{00000000-0005-0000-0000-0000D17F0000}"/>
    <cellStyle name="Suma 2 24 48 2" xfId="32708" xr:uid="{00000000-0005-0000-0000-0000D27F0000}"/>
    <cellStyle name="Suma 2 24 48 3" xfId="32709" xr:uid="{00000000-0005-0000-0000-0000D37F0000}"/>
    <cellStyle name="Suma 2 24 49" xfId="32710" xr:uid="{00000000-0005-0000-0000-0000D47F0000}"/>
    <cellStyle name="Suma 2 24 49 2" xfId="32711" xr:uid="{00000000-0005-0000-0000-0000D57F0000}"/>
    <cellStyle name="Suma 2 24 49 3" xfId="32712" xr:uid="{00000000-0005-0000-0000-0000D67F0000}"/>
    <cellStyle name="Suma 2 24 5" xfId="32713" xr:uid="{00000000-0005-0000-0000-0000D77F0000}"/>
    <cellStyle name="Suma 2 24 5 2" xfId="32714" xr:uid="{00000000-0005-0000-0000-0000D87F0000}"/>
    <cellStyle name="Suma 2 24 5 3" xfId="32715" xr:uid="{00000000-0005-0000-0000-0000D97F0000}"/>
    <cellStyle name="Suma 2 24 5 4" xfId="32716" xr:uid="{00000000-0005-0000-0000-0000DA7F0000}"/>
    <cellStyle name="Suma 2 24 50" xfId="32717" xr:uid="{00000000-0005-0000-0000-0000DB7F0000}"/>
    <cellStyle name="Suma 2 24 50 2" xfId="32718" xr:uid="{00000000-0005-0000-0000-0000DC7F0000}"/>
    <cellStyle name="Suma 2 24 50 3" xfId="32719" xr:uid="{00000000-0005-0000-0000-0000DD7F0000}"/>
    <cellStyle name="Suma 2 24 51" xfId="32720" xr:uid="{00000000-0005-0000-0000-0000DE7F0000}"/>
    <cellStyle name="Suma 2 24 51 2" xfId="32721" xr:uid="{00000000-0005-0000-0000-0000DF7F0000}"/>
    <cellStyle name="Suma 2 24 51 3" xfId="32722" xr:uid="{00000000-0005-0000-0000-0000E07F0000}"/>
    <cellStyle name="Suma 2 24 52" xfId="32723" xr:uid="{00000000-0005-0000-0000-0000E17F0000}"/>
    <cellStyle name="Suma 2 24 52 2" xfId="32724" xr:uid="{00000000-0005-0000-0000-0000E27F0000}"/>
    <cellStyle name="Suma 2 24 52 3" xfId="32725" xr:uid="{00000000-0005-0000-0000-0000E37F0000}"/>
    <cellStyle name="Suma 2 24 53" xfId="32726" xr:uid="{00000000-0005-0000-0000-0000E47F0000}"/>
    <cellStyle name="Suma 2 24 53 2" xfId="32727" xr:uid="{00000000-0005-0000-0000-0000E57F0000}"/>
    <cellStyle name="Suma 2 24 53 3" xfId="32728" xr:uid="{00000000-0005-0000-0000-0000E67F0000}"/>
    <cellStyle name="Suma 2 24 54" xfId="32729" xr:uid="{00000000-0005-0000-0000-0000E77F0000}"/>
    <cellStyle name="Suma 2 24 54 2" xfId="32730" xr:uid="{00000000-0005-0000-0000-0000E87F0000}"/>
    <cellStyle name="Suma 2 24 54 3" xfId="32731" xr:uid="{00000000-0005-0000-0000-0000E97F0000}"/>
    <cellStyle name="Suma 2 24 55" xfId="32732" xr:uid="{00000000-0005-0000-0000-0000EA7F0000}"/>
    <cellStyle name="Suma 2 24 55 2" xfId="32733" xr:uid="{00000000-0005-0000-0000-0000EB7F0000}"/>
    <cellStyle name="Suma 2 24 55 3" xfId="32734" xr:uid="{00000000-0005-0000-0000-0000EC7F0000}"/>
    <cellStyle name="Suma 2 24 56" xfId="32735" xr:uid="{00000000-0005-0000-0000-0000ED7F0000}"/>
    <cellStyle name="Suma 2 24 56 2" xfId="32736" xr:uid="{00000000-0005-0000-0000-0000EE7F0000}"/>
    <cellStyle name="Suma 2 24 56 3" xfId="32737" xr:uid="{00000000-0005-0000-0000-0000EF7F0000}"/>
    <cellStyle name="Suma 2 24 57" xfId="32738" xr:uid="{00000000-0005-0000-0000-0000F07F0000}"/>
    <cellStyle name="Suma 2 24 58" xfId="32739" xr:uid="{00000000-0005-0000-0000-0000F17F0000}"/>
    <cellStyle name="Suma 2 24 6" xfId="32740" xr:uid="{00000000-0005-0000-0000-0000F27F0000}"/>
    <cellStyle name="Suma 2 24 6 2" xfId="32741" xr:uid="{00000000-0005-0000-0000-0000F37F0000}"/>
    <cellStyle name="Suma 2 24 6 3" xfId="32742" xr:uid="{00000000-0005-0000-0000-0000F47F0000}"/>
    <cellStyle name="Suma 2 24 6 4" xfId="32743" xr:uid="{00000000-0005-0000-0000-0000F57F0000}"/>
    <cellStyle name="Suma 2 24 7" xfId="32744" xr:uid="{00000000-0005-0000-0000-0000F67F0000}"/>
    <cellStyle name="Suma 2 24 7 2" xfId="32745" xr:uid="{00000000-0005-0000-0000-0000F77F0000}"/>
    <cellStyle name="Suma 2 24 7 3" xfId="32746" xr:uid="{00000000-0005-0000-0000-0000F87F0000}"/>
    <cellStyle name="Suma 2 24 7 4" xfId="32747" xr:uid="{00000000-0005-0000-0000-0000F97F0000}"/>
    <cellStyle name="Suma 2 24 8" xfId="32748" xr:uid="{00000000-0005-0000-0000-0000FA7F0000}"/>
    <cellStyle name="Suma 2 24 8 2" xfId="32749" xr:uid="{00000000-0005-0000-0000-0000FB7F0000}"/>
    <cellStyle name="Suma 2 24 8 3" xfId="32750" xr:uid="{00000000-0005-0000-0000-0000FC7F0000}"/>
    <cellStyle name="Suma 2 24 8 4" xfId="32751" xr:uid="{00000000-0005-0000-0000-0000FD7F0000}"/>
    <cellStyle name="Suma 2 24 9" xfId="32752" xr:uid="{00000000-0005-0000-0000-0000FE7F0000}"/>
    <cellStyle name="Suma 2 24 9 2" xfId="32753" xr:uid="{00000000-0005-0000-0000-0000FF7F0000}"/>
    <cellStyle name="Suma 2 24 9 3" xfId="32754" xr:uid="{00000000-0005-0000-0000-000000800000}"/>
    <cellStyle name="Suma 2 24 9 4" xfId="32755" xr:uid="{00000000-0005-0000-0000-000001800000}"/>
    <cellStyle name="Suma 2 25" xfId="32756" xr:uid="{00000000-0005-0000-0000-000002800000}"/>
    <cellStyle name="Suma 2 25 10" xfId="32757" xr:uid="{00000000-0005-0000-0000-000003800000}"/>
    <cellStyle name="Suma 2 25 10 2" xfId="32758" xr:uid="{00000000-0005-0000-0000-000004800000}"/>
    <cellStyle name="Suma 2 25 10 3" xfId="32759" xr:uid="{00000000-0005-0000-0000-000005800000}"/>
    <cellStyle name="Suma 2 25 10 4" xfId="32760" xr:uid="{00000000-0005-0000-0000-000006800000}"/>
    <cellStyle name="Suma 2 25 11" xfId="32761" xr:uid="{00000000-0005-0000-0000-000007800000}"/>
    <cellStyle name="Suma 2 25 11 2" xfId="32762" xr:uid="{00000000-0005-0000-0000-000008800000}"/>
    <cellStyle name="Suma 2 25 11 3" xfId="32763" xr:uid="{00000000-0005-0000-0000-000009800000}"/>
    <cellStyle name="Suma 2 25 11 4" xfId="32764" xr:uid="{00000000-0005-0000-0000-00000A800000}"/>
    <cellStyle name="Suma 2 25 12" xfId="32765" xr:uid="{00000000-0005-0000-0000-00000B800000}"/>
    <cellStyle name="Suma 2 25 12 2" xfId="32766" xr:uid="{00000000-0005-0000-0000-00000C800000}"/>
    <cellStyle name="Suma 2 25 12 3" xfId="32767" xr:uid="{00000000-0005-0000-0000-00000D800000}"/>
    <cellStyle name="Suma 2 25 12 4" xfId="32768" xr:uid="{00000000-0005-0000-0000-00000E800000}"/>
    <cellStyle name="Suma 2 25 13" xfId="32769" xr:uid="{00000000-0005-0000-0000-00000F800000}"/>
    <cellStyle name="Suma 2 25 13 2" xfId="32770" xr:uid="{00000000-0005-0000-0000-000010800000}"/>
    <cellStyle name="Suma 2 25 13 3" xfId="32771" xr:uid="{00000000-0005-0000-0000-000011800000}"/>
    <cellStyle name="Suma 2 25 13 4" xfId="32772" xr:uid="{00000000-0005-0000-0000-000012800000}"/>
    <cellStyle name="Suma 2 25 14" xfId="32773" xr:uid="{00000000-0005-0000-0000-000013800000}"/>
    <cellStyle name="Suma 2 25 14 2" xfId="32774" xr:uid="{00000000-0005-0000-0000-000014800000}"/>
    <cellStyle name="Suma 2 25 14 3" xfId="32775" xr:uid="{00000000-0005-0000-0000-000015800000}"/>
    <cellStyle name="Suma 2 25 14 4" xfId="32776" xr:uid="{00000000-0005-0000-0000-000016800000}"/>
    <cellStyle name="Suma 2 25 15" xfId="32777" xr:uid="{00000000-0005-0000-0000-000017800000}"/>
    <cellStyle name="Suma 2 25 15 2" xfId="32778" xr:uid="{00000000-0005-0000-0000-000018800000}"/>
    <cellStyle name="Suma 2 25 15 3" xfId="32779" xr:uid="{00000000-0005-0000-0000-000019800000}"/>
    <cellStyle name="Suma 2 25 15 4" xfId="32780" xr:uid="{00000000-0005-0000-0000-00001A800000}"/>
    <cellStyle name="Suma 2 25 16" xfId="32781" xr:uid="{00000000-0005-0000-0000-00001B800000}"/>
    <cellStyle name="Suma 2 25 16 2" xfId="32782" xr:uid="{00000000-0005-0000-0000-00001C800000}"/>
    <cellStyle name="Suma 2 25 16 3" xfId="32783" xr:uid="{00000000-0005-0000-0000-00001D800000}"/>
    <cellStyle name="Suma 2 25 16 4" xfId="32784" xr:uid="{00000000-0005-0000-0000-00001E800000}"/>
    <cellStyle name="Suma 2 25 17" xfId="32785" xr:uid="{00000000-0005-0000-0000-00001F800000}"/>
    <cellStyle name="Suma 2 25 17 2" xfId="32786" xr:uid="{00000000-0005-0000-0000-000020800000}"/>
    <cellStyle name="Suma 2 25 17 3" xfId="32787" xr:uid="{00000000-0005-0000-0000-000021800000}"/>
    <cellStyle name="Suma 2 25 17 4" xfId="32788" xr:uid="{00000000-0005-0000-0000-000022800000}"/>
    <cellStyle name="Suma 2 25 18" xfId="32789" xr:uid="{00000000-0005-0000-0000-000023800000}"/>
    <cellStyle name="Suma 2 25 18 2" xfId="32790" xr:uid="{00000000-0005-0000-0000-000024800000}"/>
    <cellStyle name="Suma 2 25 18 3" xfId="32791" xr:uid="{00000000-0005-0000-0000-000025800000}"/>
    <cellStyle name="Suma 2 25 18 4" xfId="32792" xr:uid="{00000000-0005-0000-0000-000026800000}"/>
    <cellStyle name="Suma 2 25 19" xfId="32793" xr:uid="{00000000-0005-0000-0000-000027800000}"/>
    <cellStyle name="Suma 2 25 19 2" xfId="32794" xr:uid="{00000000-0005-0000-0000-000028800000}"/>
    <cellStyle name="Suma 2 25 19 3" xfId="32795" xr:uid="{00000000-0005-0000-0000-000029800000}"/>
    <cellStyle name="Suma 2 25 19 4" xfId="32796" xr:uid="{00000000-0005-0000-0000-00002A800000}"/>
    <cellStyle name="Suma 2 25 2" xfId="32797" xr:uid="{00000000-0005-0000-0000-00002B800000}"/>
    <cellStyle name="Suma 2 25 2 2" xfId="32798" xr:uid="{00000000-0005-0000-0000-00002C800000}"/>
    <cellStyle name="Suma 2 25 2 3" xfId="32799" xr:uid="{00000000-0005-0000-0000-00002D800000}"/>
    <cellStyle name="Suma 2 25 2 4" xfId="32800" xr:uid="{00000000-0005-0000-0000-00002E800000}"/>
    <cellStyle name="Suma 2 25 20" xfId="32801" xr:uid="{00000000-0005-0000-0000-00002F800000}"/>
    <cellStyle name="Suma 2 25 20 2" xfId="32802" xr:uid="{00000000-0005-0000-0000-000030800000}"/>
    <cellStyle name="Suma 2 25 20 3" xfId="32803" xr:uid="{00000000-0005-0000-0000-000031800000}"/>
    <cellStyle name="Suma 2 25 20 4" xfId="32804" xr:uid="{00000000-0005-0000-0000-000032800000}"/>
    <cellStyle name="Suma 2 25 21" xfId="32805" xr:uid="{00000000-0005-0000-0000-000033800000}"/>
    <cellStyle name="Suma 2 25 21 2" xfId="32806" xr:uid="{00000000-0005-0000-0000-000034800000}"/>
    <cellStyle name="Suma 2 25 21 3" xfId="32807" xr:uid="{00000000-0005-0000-0000-000035800000}"/>
    <cellStyle name="Suma 2 25 22" xfId="32808" xr:uid="{00000000-0005-0000-0000-000036800000}"/>
    <cellStyle name="Suma 2 25 22 2" xfId="32809" xr:uid="{00000000-0005-0000-0000-000037800000}"/>
    <cellStyle name="Suma 2 25 22 3" xfId="32810" xr:uid="{00000000-0005-0000-0000-000038800000}"/>
    <cellStyle name="Suma 2 25 23" xfId="32811" xr:uid="{00000000-0005-0000-0000-000039800000}"/>
    <cellStyle name="Suma 2 25 23 2" xfId="32812" xr:uid="{00000000-0005-0000-0000-00003A800000}"/>
    <cellStyle name="Suma 2 25 23 3" xfId="32813" xr:uid="{00000000-0005-0000-0000-00003B800000}"/>
    <cellStyle name="Suma 2 25 24" xfId="32814" xr:uid="{00000000-0005-0000-0000-00003C800000}"/>
    <cellStyle name="Suma 2 25 24 2" xfId="32815" xr:uid="{00000000-0005-0000-0000-00003D800000}"/>
    <cellStyle name="Suma 2 25 24 3" xfId="32816" xr:uid="{00000000-0005-0000-0000-00003E800000}"/>
    <cellStyle name="Suma 2 25 25" xfId="32817" xr:uid="{00000000-0005-0000-0000-00003F800000}"/>
    <cellStyle name="Suma 2 25 25 2" xfId="32818" xr:uid="{00000000-0005-0000-0000-000040800000}"/>
    <cellStyle name="Suma 2 25 25 3" xfId="32819" xr:uid="{00000000-0005-0000-0000-000041800000}"/>
    <cellStyle name="Suma 2 25 26" xfId="32820" xr:uid="{00000000-0005-0000-0000-000042800000}"/>
    <cellStyle name="Suma 2 25 26 2" xfId="32821" xr:uid="{00000000-0005-0000-0000-000043800000}"/>
    <cellStyle name="Suma 2 25 26 3" xfId="32822" xr:uid="{00000000-0005-0000-0000-000044800000}"/>
    <cellStyle name="Suma 2 25 27" xfId="32823" xr:uid="{00000000-0005-0000-0000-000045800000}"/>
    <cellStyle name="Suma 2 25 27 2" xfId="32824" xr:uid="{00000000-0005-0000-0000-000046800000}"/>
    <cellStyle name="Suma 2 25 27 3" xfId="32825" xr:uid="{00000000-0005-0000-0000-000047800000}"/>
    <cellStyle name="Suma 2 25 28" xfId="32826" xr:uid="{00000000-0005-0000-0000-000048800000}"/>
    <cellStyle name="Suma 2 25 28 2" xfId="32827" xr:uid="{00000000-0005-0000-0000-000049800000}"/>
    <cellStyle name="Suma 2 25 28 3" xfId="32828" xr:uid="{00000000-0005-0000-0000-00004A800000}"/>
    <cellStyle name="Suma 2 25 29" xfId="32829" xr:uid="{00000000-0005-0000-0000-00004B800000}"/>
    <cellStyle name="Suma 2 25 29 2" xfId="32830" xr:uid="{00000000-0005-0000-0000-00004C800000}"/>
    <cellStyle name="Suma 2 25 29 3" xfId="32831" xr:uid="{00000000-0005-0000-0000-00004D800000}"/>
    <cellStyle name="Suma 2 25 3" xfId="32832" xr:uid="{00000000-0005-0000-0000-00004E800000}"/>
    <cellStyle name="Suma 2 25 3 2" xfId="32833" xr:uid="{00000000-0005-0000-0000-00004F800000}"/>
    <cellStyle name="Suma 2 25 3 3" xfId="32834" xr:uid="{00000000-0005-0000-0000-000050800000}"/>
    <cellStyle name="Suma 2 25 3 4" xfId="32835" xr:uid="{00000000-0005-0000-0000-000051800000}"/>
    <cellStyle name="Suma 2 25 30" xfId="32836" xr:uid="{00000000-0005-0000-0000-000052800000}"/>
    <cellStyle name="Suma 2 25 30 2" xfId="32837" xr:uid="{00000000-0005-0000-0000-000053800000}"/>
    <cellStyle name="Suma 2 25 30 3" xfId="32838" xr:uid="{00000000-0005-0000-0000-000054800000}"/>
    <cellStyle name="Suma 2 25 31" xfId="32839" xr:uid="{00000000-0005-0000-0000-000055800000}"/>
    <cellStyle name="Suma 2 25 31 2" xfId="32840" xr:uid="{00000000-0005-0000-0000-000056800000}"/>
    <cellStyle name="Suma 2 25 31 3" xfId="32841" xr:uid="{00000000-0005-0000-0000-000057800000}"/>
    <cellStyle name="Suma 2 25 32" xfId="32842" xr:uid="{00000000-0005-0000-0000-000058800000}"/>
    <cellStyle name="Suma 2 25 32 2" xfId="32843" xr:uid="{00000000-0005-0000-0000-000059800000}"/>
    <cellStyle name="Suma 2 25 32 3" xfId="32844" xr:uid="{00000000-0005-0000-0000-00005A800000}"/>
    <cellStyle name="Suma 2 25 33" xfId="32845" xr:uid="{00000000-0005-0000-0000-00005B800000}"/>
    <cellStyle name="Suma 2 25 33 2" xfId="32846" xr:uid="{00000000-0005-0000-0000-00005C800000}"/>
    <cellStyle name="Suma 2 25 33 3" xfId="32847" xr:uid="{00000000-0005-0000-0000-00005D800000}"/>
    <cellStyle name="Suma 2 25 34" xfId="32848" xr:uid="{00000000-0005-0000-0000-00005E800000}"/>
    <cellStyle name="Suma 2 25 34 2" xfId="32849" xr:uid="{00000000-0005-0000-0000-00005F800000}"/>
    <cellStyle name="Suma 2 25 34 3" xfId="32850" xr:uid="{00000000-0005-0000-0000-000060800000}"/>
    <cellStyle name="Suma 2 25 35" xfId="32851" xr:uid="{00000000-0005-0000-0000-000061800000}"/>
    <cellStyle name="Suma 2 25 35 2" xfId="32852" xr:uid="{00000000-0005-0000-0000-000062800000}"/>
    <cellStyle name="Suma 2 25 35 3" xfId="32853" xr:uid="{00000000-0005-0000-0000-000063800000}"/>
    <cellStyle name="Suma 2 25 36" xfId="32854" xr:uid="{00000000-0005-0000-0000-000064800000}"/>
    <cellStyle name="Suma 2 25 36 2" xfId="32855" xr:uid="{00000000-0005-0000-0000-000065800000}"/>
    <cellStyle name="Suma 2 25 36 3" xfId="32856" xr:uid="{00000000-0005-0000-0000-000066800000}"/>
    <cellStyle name="Suma 2 25 37" xfId="32857" xr:uid="{00000000-0005-0000-0000-000067800000}"/>
    <cellStyle name="Suma 2 25 37 2" xfId="32858" xr:uid="{00000000-0005-0000-0000-000068800000}"/>
    <cellStyle name="Suma 2 25 37 3" xfId="32859" xr:uid="{00000000-0005-0000-0000-000069800000}"/>
    <cellStyle name="Suma 2 25 38" xfId="32860" xr:uid="{00000000-0005-0000-0000-00006A800000}"/>
    <cellStyle name="Suma 2 25 38 2" xfId="32861" xr:uid="{00000000-0005-0000-0000-00006B800000}"/>
    <cellStyle name="Suma 2 25 38 3" xfId="32862" xr:uid="{00000000-0005-0000-0000-00006C800000}"/>
    <cellStyle name="Suma 2 25 39" xfId="32863" xr:uid="{00000000-0005-0000-0000-00006D800000}"/>
    <cellStyle name="Suma 2 25 39 2" xfId="32864" xr:uid="{00000000-0005-0000-0000-00006E800000}"/>
    <cellStyle name="Suma 2 25 39 3" xfId="32865" xr:uid="{00000000-0005-0000-0000-00006F800000}"/>
    <cellStyle name="Suma 2 25 4" xfId="32866" xr:uid="{00000000-0005-0000-0000-000070800000}"/>
    <cellStyle name="Suma 2 25 4 2" xfId="32867" xr:uid="{00000000-0005-0000-0000-000071800000}"/>
    <cellStyle name="Suma 2 25 4 3" xfId="32868" xr:uid="{00000000-0005-0000-0000-000072800000}"/>
    <cellStyle name="Suma 2 25 4 4" xfId="32869" xr:uid="{00000000-0005-0000-0000-000073800000}"/>
    <cellStyle name="Suma 2 25 40" xfId="32870" xr:uid="{00000000-0005-0000-0000-000074800000}"/>
    <cellStyle name="Suma 2 25 40 2" xfId="32871" xr:uid="{00000000-0005-0000-0000-000075800000}"/>
    <cellStyle name="Suma 2 25 40 3" xfId="32872" xr:uid="{00000000-0005-0000-0000-000076800000}"/>
    <cellStyle name="Suma 2 25 41" xfId="32873" xr:uid="{00000000-0005-0000-0000-000077800000}"/>
    <cellStyle name="Suma 2 25 41 2" xfId="32874" xr:uid="{00000000-0005-0000-0000-000078800000}"/>
    <cellStyle name="Suma 2 25 41 3" xfId="32875" xr:uid="{00000000-0005-0000-0000-000079800000}"/>
    <cellStyle name="Suma 2 25 42" xfId="32876" xr:uid="{00000000-0005-0000-0000-00007A800000}"/>
    <cellStyle name="Suma 2 25 42 2" xfId="32877" xr:uid="{00000000-0005-0000-0000-00007B800000}"/>
    <cellStyle name="Suma 2 25 42 3" xfId="32878" xr:uid="{00000000-0005-0000-0000-00007C800000}"/>
    <cellStyle name="Suma 2 25 43" xfId="32879" xr:uid="{00000000-0005-0000-0000-00007D800000}"/>
    <cellStyle name="Suma 2 25 43 2" xfId="32880" xr:uid="{00000000-0005-0000-0000-00007E800000}"/>
    <cellStyle name="Suma 2 25 43 3" xfId="32881" xr:uid="{00000000-0005-0000-0000-00007F800000}"/>
    <cellStyle name="Suma 2 25 44" xfId="32882" xr:uid="{00000000-0005-0000-0000-000080800000}"/>
    <cellStyle name="Suma 2 25 44 2" xfId="32883" xr:uid="{00000000-0005-0000-0000-000081800000}"/>
    <cellStyle name="Suma 2 25 44 3" xfId="32884" xr:uid="{00000000-0005-0000-0000-000082800000}"/>
    <cellStyle name="Suma 2 25 45" xfId="32885" xr:uid="{00000000-0005-0000-0000-000083800000}"/>
    <cellStyle name="Suma 2 25 45 2" xfId="32886" xr:uid="{00000000-0005-0000-0000-000084800000}"/>
    <cellStyle name="Suma 2 25 45 3" xfId="32887" xr:uid="{00000000-0005-0000-0000-000085800000}"/>
    <cellStyle name="Suma 2 25 46" xfId="32888" xr:uid="{00000000-0005-0000-0000-000086800000}"/>
    <cellStyle name="Suma 2 25 46 2" xfId="32889" xr:uid="{00000000-0005-0000-0000-000087800000}"/>
    <cellStyle name="Suma 2 25 46 3" xfId="32890" xr:uid="{00000000-0005-0000-0000-000088800000}"/>
    <cellStyle name="Suma 2 25 47" xfId="32891" xr:uid="{00000000-0005-0000-0000-000089800000}"/>
    <cellStyle name="Suma 2 25 47 2" xfId="32892" xr:uid="{00000000-0005-0000-0000-00008A800000}"/>
    <cellStyle name="Suma 2 25 47 3" xfId="32893" xr:uid="{00000000-0005-0000-0000-00008B800000}"/>
    <cellStyle name="Suma 2 25 48" xfId="32894" xr:uid="{00000000-0005-0000-0000-00008C800000}"/>
    <cellStyle name="Suma 2 25 48 2" xfId="32895" xr:uid="{00000000-0005-0000-0000-00008D800000}"/>
    <cellStyle name="Suma 2 25 48 3" xfId="32896" xr:uid="{00000000-0005-0000-0000-00008E800000}"/>
    <cellStyle name="Suma 2 25 49" xfId="32897" xr:uid="{00000000-0005-0000-0000-00008F800000}"/>
    <cellStyle name="Suma 2 25 49 2" xfId="32898" xr:uid="{00000000-0005-0000-0000-000090800000}"/>
    <cellStyle name="Suma 2 25 49 3" xfId="32899" xr:uid="{00000000-0005-0000-0000-000091800000}"/>
    <cellStyle name="Suma 2 25 5" xfId="32900" xr:uid="{00000000-0005-0000-0000-000092800000}"/>
    <cellStyle name="Suma 2 25 5 2" xfId="32901" xr:uid="{00000000-0005-0000-0000-000093800000}"/>
    <cellStyle name="Suma 2 25 5 3" xfId="32902" xr:uid="{00000000-0005-0000-0000-000094800000}"/>
    <cellStyle name="Suma 2 25 5 4" xfId="32903" xr:uid="{00000000-0005-0000-0000-000095800000}"/>
    <cellStyle name="Suma 2 25 50" xfId="32904" xr:uid="{00000000-0005-0000-0000-000096800000}"/>
    <cellStyle name="Suma 2 25 50 2" xfId="32905" xr:uid="{00000000-0005-0000-0000-000097800000}"/>
    <cellStyle name="Suma 2 25 50 3" xfId="32906" xr:uid="{00000000-0005-0000-0000-000098800000}"/>
    <cellStyle name="Suma 2 25 51" xfId="32907" xr:uid="{00000000-0005-0000-0000-000099800000}"/>
    <cellStyle name="Suma 2 25 51 2" xfId="32908" xr:uid="{00000000-0005-0000-0000-00009A800000}"/>
    <cellStyle name="Suma 2 25 51 3" xfId="32909" xr:uid="{00000000-0005-0000-0000-00009B800000}"/>
    <cellStyle name="Suma 2 25 52" xfId="32910" xr:uid="{00000000-0005-0000-0000-00009C800000}"/>
    <cellStyle name="Suma 2 25 52 2" xfId="32911" xr:uid="{00000000-0005-0000-0000-00009D800000}"/>
    <cellStyle name="Suma 2 25 52 3" xfId="32912" xr:uid="{00000000-0005-0000-0000-00009E800000}"/>
    <cellStyle name="Suma 2 25 53" xfId="32913" xr:uid="{00000000-0005-0000-0000-00009F800000}"/>
    <cellStyle name="Suma 2 25 53 2" xfId="32914" xr:uid="{00000000-0005-0000-0000-0000A0800000}"/>
    <cellStyle name="Suma 2 25 53 3" xfId="32915" xr:uid="{00000000-0005-0000-0000-0000A1800000}"/>
    <cellStyle name="Suma 2 25 54" xfId="32916" xr:uid="{00000000-0005-0000-0000-0000A2800000}"/>
    <cellStyle name="Suma 2 25 54 2" xfId="32917" xr:uid="{00000000-0005-0000-0000-0000A3800000}"/>
    <cellStyle name="Suma 2 25 54 3" xfId="32918" xr:uid="{00000000-0005-0000-0000-0000A4800000}"/>
    <cellStyle name="Suma 2 25 55" xfId="32919" xr:uid="{00000000-0005-0000-0000-0000A5800000}"/>
    <cellStyle name="Suma 2 25 55 2" xfId="32920" xr:uid="{00000000-0005-0000-0000-0000A6800000}"/>
    <cellStyle name="Suma 2 25 55 3" xfId="32921" xr:uid="{00000000-0005-0000-0000-0000A7800000}"/>
    <cellStyle name="Suma 2 25 56" xfId="32922" xr:uid="{00000000-0005-0000-0000-0000A8800000}"/>
    <cellStyle name="Suma 2 25 56 2" xfId="32923" xr:uid="{00000000-0005-0000-0000-0000A9800000}"/>
    <cellStyle name="Suma 2 25 56 3" xfId="32924" xr:uid="{00000000-0005-0000-0000-0000AA800000}"/>
    <cellStyle name="Suma 2 25 57" xfId="32925" xr:uid="{00000000-0005-0000-0000-0000AB800000}"/>
    <cellStyle name="Suma 2 25 58" xfId="32926" xr:uid="{00000000-0005-0000-0000-0000AC800000}"/>
    <cellStyle name="Suma 2 25 6" xfId="32927" xr:uid="{00000000-0005-0000-0000-0000AD800000}"/>
    <cellStyle name="Suma 2 25 6 2" xfId="32928" xr:uid="{00000000-0005-0000-0000-0000AE800000}"/>
    <cellStyle name="Suma 2 25 6 3" xfId="32929" xr:uid="{00000000-0005-0000-0000-0000AF800000}"/>
    <cellStyle name="Suma 2 25 6 4" xfId="32930" xr:uid="{00000000-0005-0000-0000-0000B0800000}"/>
    <cellStyle name="Suma 2 25 7" xfId="32931" xr:uid="{00000000-0005-0000-0000-0000B1800000}"/>
    <cellStyle name="Suma 2 25 7 2" xfId="32932" xr:uid="{00000000-0005-0000-0000-0000B2800000}"/>
    <cellStyle name="Suma 2 25 7 3" xfId="32933" xr:uid="{00000000-0005-0000-0000-0000B3800000}"/>
    <cellStyle name="Suma 2 25 7 4" xfId="32934" xr:uid="{00000000-0005-0000-0000-0000B4800000}"/>
    <cellStyle name="Suma 2 25 8" xfId="32935" xr:uid="{00000000-0005-0000-0000-0000B5800000}"/>
    <cellStyle name="Suma 2 25 8 2" xfId="32936" xr:uid="{00000000-0005-0000-0000-0000B6800000}"/>
    <cellStyle name="Suma 2 25 8 3" xfId="32937" xr:uid="{00000000-0005-0000-0000-0000B7800000}"/>
    <cellStyle name="Suma 2 25 8 4" xfId="32938" xr:uid="{00000000-0005-0000-0000-0000B8800000}"/>
    <cellStyle name="Suma 2 25 9" xfId="32939" xr:uid="{00000000-0005-0000-0000-0000B9800000}"/>
    <cellStyle name="Suma 2 25 9 2" xfId="32940" xr:uid="{00000000-0005-0000-0000-0000BA800000}"/>
    <cellStyle name="Suma 2 25 9 3" xfId="32941" xr:uid="{00000000-0005-0000-0000-0000BB800000}"/>
    <cellStyle name="Suma 2 25 9 4" xfId="32942" xr:uid="{00000000-0005-0000-0000-0000BC800000}"/>
    <cellStyle name="Suma 2 26" xfId="32943" xr:uid="{00000000-0005-0000-0000-0000BD800000}"/>
    <cellStyle name="Suma 2 26 10" xfId="32944" xr:uid="{00000000-0005-0000-0000-0000BE800000}"/>
    <cellStyle name="Suma 2 26 10 2" xfId="32945" xr:uid="{00000000-0005-0000-0000-0000BF800000}"/>
    <cellStyle name="Suma 2 26 10 3" xfId="32946" xr:uid="{00000000-0005-0000-0000-0000C0800000}"/>
    <cellStyle name="Suma 2 26 10 4" xfId="32947" xr:uid="{00000000-0005-0000-0000-0000C1800000}"/>
    <cellStyle name="Suma 2 26 11" xfId="32948" xr:uid="{00000000-0005-0000-0000-0000C2800000}"/>
    <cellStyle name="Suma 2 26 11 2" xfId="32949" xr:uid="{00000000-0005-0000-0000-0000C3800000}"/>
    <cellStyle name="Suma 2 26 11 3" xfId="32950" xr:uid="{00000000-0005-0000-0000-0000C4800000}"/>
    <cellStyle name="Suma 2 26 11 4" xfId="32951" xr:uid="{00000000-0005-0000-0000-0000C5800000}"/>
    <cellStyle name="Suma 2 26 12" xfId="32952" xr:uid="{00000000-0005-0000-0000-0000C6800000}"/>
    <cellStyle name="Suma 2 26 12 2" xfId="32953" xr:uid="{00000000-0005-0000-0000-0000C7800000}"/>
    <cellStyle name="Suma 2 26 12 3" xfId="32954" xr:uid="{00000000-0005-0000-0000-0000C8800000}"/>
    <cellStyle name="Suma 2 26 12 4" xfId="32955" xr:uid="{00000000-0005-0000-0000-0000C9800000}"/>
    <cellStyle name="Suma 2 26 13" xfId="32956" xr:uid="{00000000-0005-0000-0000-0000CA800000}"/>
    <cellStyle name="Suma 2 26 13 2" xfId="32957" xr:uid="{00000000-0005-0000-0000-0000CB800000}"/>
    <cellStyle name="Suma 2 26 13 3" xfId="32958" xr:uid="{00000000-0005-0000-0000-0000CC800000}"/>
    <cellStyle name="Suma 2 26 13 4" xfId="32959" xr:uid="{00000000-0005-0000-0000-0000CD800000}"/>
    <cellStyle name="Suma 2 26 14" xfId="32960" xr:uid="{00000000-0005-0000-0000-0000CE800000}"/>
    <cellStyle name="Suma 2 26 14 2" xfId="32961" xr:uid="{00000000-0005-0000-0000-0000CF800000}"/>
    <cellStyle name="Suma 2 26 14 3" xfId="32962" xr:uid="{00000000-0005-0000-0000-0000D0800000}"/>
    <cellStyle name="Suma 2 26 14 4" xfId="32963" xr:uid="{00000000-0005-0000-0000-0000D1800000}"/>
    <cellStyle name="Suma 2 26 15" xfId="32964" xr:uid="{00000000-0005-0000-0000-0000D2800000}"/>
    <cellStyle name="Suma 2 26 15 2" xfId="32965" xr:uid="{00000000-0005-0000-0000-0000D3800000}"/>
    <cellStyle name="Suma 2 26 15 3" xfId="32966" xr:uid="{00000000-0005-0000-0000-0000D4800000}"/>
    <cellStyle name="Suma 2 26 15 4" xfId="32967" xr:uid="{00000000-0005-0000-0000-0000D5800000}"/>
    <cellStyle name="Suma 2 26 16" xfId="32968" xr:uid="{00000000-0005-0000-0000-0000D6800000}"/>
    <cellStyle name="Suma 2 26 16 2" xfId="32969" xr:uid="{00000000-0005-0000-0000-0000D7800000}"/>
    <cellStyle name="Suma 2 26 16 3" xfId="32970" xr:uid="{00000000-0005-0000-0000-0000D8800000}"/>
    <cellStyle name="Suma 2 26 16 4" xfId="32971" xr:uid="{00000000-0005-0000-0000-0000D9800000}"/>
    <cellStyle name="Suma 2 26 17" xfId="32972" xr:uid="{00000000-0005-0000-0000-0000DA800000}"/>
    <cellStyle name="Suma 2 26 17 2" xfId="32973" xr:uid="{00000000-0005-0000-0000-0000DB800000}"/>
    <cellStyle name="Suma 2 26 17 3" xfId="32974" xr:uid="{00000000-0005-0000-0000-0000DC800000}"/>
    <cellStyle name="Suma 2 26 17 4" xfId="32975" xr:uid="{00000000-0005-0000-0000-0000DD800000}"/>
    <cellStyle name="Suma 2 26 18" xfId="32976" xr:uid="{00000000-0005-0000-0000-0000DE800000}"/>
    <cellStyle name="Suma 2 26 18 2" xfId="32977" xr:uid="{00000000-0005-0000-0000-0000DF800000}"/>
    <cellStyle name="Suma 2 26 18 3" xfId="32978" xr:uid="{00000000-0005-0000-0000-0000E0800000}"/>
    <cellStyle name="Suma 2 26 18 4" xfId="32979" xr:uid="{00000000-0005-0000-0000-0000E1800000}"/>
    <cellStyle name="Suma 2 26 19" xfId="32980" xr:uid="{00000000-0005-0000-0000-0000E2800000}"/>
    <cellStyle name="Suma 2 26 19 2" xfId="32981" xr:uid="{00000000-0005-0000-0000-0000E3800000}"/>
    <cellStyle name="Suma 2 26 19 3" xfId="32982" xr:uid="{00000000-0005-0000-0000-0000E4800000}"/>
    <cellStyle name="Suma 2 26 19 4" xfId="32983" xr:uid="{00000000-0005-0000-0000-0000E5800000}"/>
    <cellStyle name="Suma 2 26 2" xfId="32984" xr:uid="{00000000-0005-0000-0000-0000E6800000}"/>
    <cellStyle name="Suma 2 26 2 2" xfId="32985" xr:uid="{00000000-0005-0000-0000-0000E7800000}"/>
    <cellStyle name="Suma 2 26 2 3" xfId="32986" xr:uid="{00000000-0005-0000-0000-0000E8800000}"/>
    <cellStyle name="Suma 2 26 2 4" xfId="32987" xr:uid="{00000000-0005-0000-0000-0000E9800000}"/>
    <cellStyle name="Suma 2 26 20" xfId="32988" xr:uid="{00000000-0005-0000-0000-0000EA800000}"/>
    <cellStyle name="Suma 2 26 20 2" xfId="32989" xr:uid="{00000000-0005-0000-0000-0000EB800000}"/>
    <cellStyle name="Suma 2 26 20 3" xfId="32990" xr:uid="{00000000-0005-0000-0000-0000EC800000}"/>
    <cellStyle name="Suma 2 26 20 4" xfId="32991" xr:uid="{00000000-0005-0000-0000-0000ED800000}"/>
    <cellStyle name="Suma 2 26 21" xfId="32992" xr:uid="{00000000-0005-0000-0000-0000EE800000}"/>
    <cellStyle name="Suma 2 26 21 2" xfId="32993" xr:uid="{00000000-0005-0000-0000-0000EF800000}"/>
    <cellStyle name="Suma 2 26 21 3" xfId="32994" xr:uid="{00000000-0005-0000-0000-0000F0800000}"/>
    <cellStyle name="Suma 2 26 22" xfId="32995" xr:uid="{00000000-0005-0000-0000-0000F1800000}"/>
    <cellStyle name="Suma 2 26 22 2" xfId="32996" xr:uid="{00000000-0005-0000-0000-0000F2800000}"/>
    <cellStyle name="Suma 2 26 22 3" xfId="32997" xr:uid="{00000000-0005-0000-0000-0000F3800000}"/>
    <cellStyle name="Suma 2 26 23" xfId="32998" xr:uid="{00000000-0005-0000-0000-0000F4800000}"/>
    <cellStyle name="Suma 2 26 23 2" xfId="32999" xr:uid="{00000000-0005-0000-0000-0000F5800000}"/>
    <cellStyle name="Suma 2 26 23 3" xfId="33000" xr:uid="{00000000-0005-0000-0000-0000F6800000}"/>
    <cellStyle name="Suma 2 26 24" xfId="33001" xr:uid="{00000000-0005-0000-0000-0000F7800000}"/>
    <cellStyle name="Suma 2 26 24 2" xfId="33002" xr:uid="{00000000-0005-0000-0000-0000F8800000}"/>
    <cellStyle name="Suma 2 26 24 3" xfId="33003" xr:uid="{00000000-0005-0000-0000-0000F9800000}"/>
    <cellStyle name="Suma 2 26 25" xfId="33004" xr:uid="{00000000-0005-0000-0000-0000FA800000}"/>
    <cellStyle name="Suma 2 26 25 2" xfId="33005" xr:uid="{00000000-0005-0000-0000-0000FB800000}"/>
    <cellStyle name="Suma 2 26 25 3" xfId="33006" xr:uid="{00000000-0005-0000-0000-0000FC800000}"/>
    <cellStyle name="Suma 2 26 26" xfId="33007" xr:uid="{00000000-0005-0000-0000-0000FD800000}"/>
    <cellStyle name="Suma 2 26 26 2" xfId="33008" xr:uid="{00000000-0005-0000-0000-0000FE800000}"/>
    <cellStyle name="Suma 2 26 26 3" xfId="33009" xr:uid="{00000000-0005-0000-0000-0000FF800000}"/>
    <cellStyle name="Suma 2 26 27" xfId="33010" xr:uid="{00000000-0005-0000-0000-000000810000}"/>
    <cellStyle name="Suma 2 26 27 2" xfId="33011" xr:uid="{00000000-0005-0000-0000-000001810000}"/>
    <cellStyle name="Suma 2 26 27 3" xfId="33012" xr:uid="{00000000-0005-0000-0000-000002810000}"/>
    <cellStyle name="Suma 2 26 28" xfId="33013" xr:uid="{00000000-0005-0000-0000-000003810000}"/>
    <cellStyle name="Suma 2 26 28 2" xfId="33014" xr:uid="{00000000-0005-0000-0000-000004810000}"/>
    <cellStyle name="Suma 2 26 28 3" xfId="33015" xr:uid="{00000000-0005-0000-0000-000005810000}"/>
    <cellStyle name="Suma 2 26 29" xfId="33016" xr:uid="{00000000-0005-0000-0000-000006810000}"/>
    <cellStyle name="Suma 2 26 29 2" xfId="33017" xr:uid="{00000000-0005-0000-0000-000007810000}"/>
    <cellStyle name="Suma 2 26 29 3" xfId="33018" xr:uid="{00000000-0005-0000-0000-000008810000}"/>
    <cellStyle name="Suma 2 26 3" xfId="33019" xr:uid="{00000000-0005-0000-0000-000009810000}"/>
    <cellStyle name="Suma 2 26 3 2" xfId="33020" xr:uid="{00000000-0005-0000-0000-00000A810000}"/>
    <cellStyle name="Suma 2 26 3 3" xfId="33021" xr:uid="{00000000-0005-0000-0000-00000B810000}"/>
    <cellStyle name="Suma 2 26 3 4" xfId="33022" xr:uid="{00000000-0005-0000-0000-00000C810000}"/>
    <cellStyle name="Suma 2 26 30" xfId="33023" xr:uid="{00000000-0005-0000-0000-00000D810000}"/>
    <cellStyle name="Suma 2 26 30 2" xfId="33024" xr:uid="{00000000-0005-0000-0000-00000E810000}"/>
    <cellStyle name="Suma 2 26 30 3" xfId="33025" xr:uid="{00000000-0005-0000-0000-00000F810000}"/>
    <cellStyle name="Suma 2 26 31" xfId="33026" xr:uid="{00000000-0005-0000-0000-000010810000}"/>
    <cellStyle name="Suma 2 26 31 2" xfId="33027" xr:uid="{00000000-0005-0000-0000-000011810000}"/>
    <cellStyle name="Suma 2 26 31 3" xfId="33028" xr:uid="{00000000-0005-0000-0000-000012810000}"/>
    <cellStyle name="Suma 2 26 32" xfId="33029" xr:uid="{00000000-0005-0000-0000-000013810000}"/>
    <cellStyle name="Suma 2 26 32 2" xfId="33030" xr:uid="{00000000-0005-0000-0000-000014810000}"/>
    <cellStyle name="Suma 2 26 32 3" xfId="33031" xr:uid="{00000000-0005-0000-0000-000015810000}"/>
    <cellStyle name="Suma 2 26 33" xfId="33032" xr:uid="{00000000-0005-0000-0000-000016810000}"/>
    <cellStyle name="Suma 2 26 33 2" xfId="33033" xr:uid="{00000000-0005-0000-0000-000017810000}"/>
    <cellStyle name="Suma 2 26 33 3" xfId="33034" xr:uid="{00000000-0005-0000-0000-000018810000}"/>
    <cellStyle name="Suma 2 26 34" xfId="33035" xr:uid="{00000000-0005-0000-0000-000019810000}"/>
    <cellStyle name="Suma 2 26 34 2" xfId="33036" xr:uid="{00000000-0005-0000-0000-00001A810000}"/>
    <cellStyle name="Suma 2 26 34 3" xfId="33037" xr:uid="{00000000-0005-0000-0000-00001B810000}"/>
    <cellStyle name="Suma 2 26 35" xfId="33038" xr:uid="{00000000-0005-0000-0000-00001C810000}"/>
    <cellStyle name="Suma 2 26 35 2" xfId="33039" xr:uid="{00000000-0005-0000-0000-00001D810000}"/>
    <cellStyle name="Suma 2 26 35 3" xfId="33040" xr:uid="{00000000-0005-0000-0000-00001E810000}"/>
    <cellStyle name="Suma 2 26 36" xfId="33041" xr:uid="{00000000-0005-0000-0000-00001F810000}"/>
    <cellStyle name="Suma 2 26 36 2" xfId="33042" xr:uid="{00000000-0005-0000-0000-000020810000}"/>
    <cellStyle name="Suma 2 26 36 3" xfId="33043" xr:uid="{00000000-0005-0000-0000-000021810000}"/>
    <cellStyle name="Suma 2 26 37" xfId="33044" xr:uid="{00000000-0005-0000-0000-000022810000}"/>
    <cellStyle name="Suma 2 26 37 2" xfId="33045" xr:uid="{00000000-0005-0000-0000-000023810000}"/>
    <cellStyle name="Suma 2 26 37 3" xfId="33046" xr:uid="{00000000-0005-0000-0000-000024810000}"/>
    <cellStyle name="Suma 2 26 38" xfId="33047" xr:uid="{00000000-0005-0000-0000-000025810000}"/>
    <cellStyle name="Suma 2 26 38 2" xfId="33048" xr:uid="{00000000-0005-0000-0000-000026810000}"/>
    <cellStyle name="Suma 2 26 38 3" xfId="33049" xr:uid="{00000000-0005-0000-0000-000027810000}"/>
    <cellStyle name="Suma 2 26 39" xfId="33050" xr:uid="{00000000-0005-0000-0000-000028810000}"/>
    <cellStyle name="Suma 2 26 39 2" xfId="33051" xr:uid="{00000000-0005-0000-0000-000029810000}"/>
    <cellStyle name="Suma 2 26 39 3" xfId="33052" xr:uid="{00000000-0005-0000-0000-00002A810000}"/>
    <cellStyle name="Suma 2 26 4" xfId="33053" xr:uid="{00000000-0005-0000-0000-00002B810000}"/>
    <cellStyle name="Suma 2 26 4 2" xfId="33054" xr:uid="{00000000-0005-0000-0000-00002C810000}"/>
    <cellStyle name="Suma 2 26 4 3" xfId="33055" xr:uid="{00000000-0005-0000-0000-00002D810000}"/>
    <cellStyle name="Suma 2 26 4 4" xfId="33056" xr:uid="{00000000-0005-0000-0000-00002E810000}"/>
    <cellStyle name="Suma 2 26 40" xfId="33057" xr:uid="{00000000-0005-0000-0000-00002F810000}"/>
    <cellStyle name="Suma 2 26 40 2" xfId="33058" xr:uid="{00000000-0005-0000-0000-000030810000}"/>
    <cellStyle name="Suma 2 26 40 3" xfId="33059" xr:uid="{00000000-0005-0000-0000-000031810000}"/>
    <cellStyle name="Suma 2 26 41" xfId="33060" xr:uid="{00000000-0005-0000-0000-000032810000}"/>
    <cellStyle name="Suma 2 26 41 2" xfId="33061" xr:uid="{00000000-0005-0000-0000-000033810000}"/>
    <cellStyle name="Suma 2 26 41 3" xfId="33062" xr:uid="{00000000-0005-0000-0000-000034810000}"/>
    <cellStyle name="Suma 2 26 42" xfId="33063" xr:uid="{00000000-0005-0000-0000-000035810000}"/>
    <cellStyle name="Suma 2 26 42 2" xfId="33064" xr:uid="{00000000-0005-0000-0000-000036810000}"/>
    <cellStyle name="Suma 2 26 42 3" xfId="33065" xr:uid="{00000000-0005-0000-0000-000037810000}"/>
    <cellStyle name="Suma 2 26 43" xfId="33066" xr:uid="{00000000-0005-0000-0000-000038810000}"/>
    <cellStyle name="Suma 2 26 43 2" xfId="33067" xr:uid="{00000000-0005-0000-0000-000039810000}"/>
    <cellStyle name="Suma 2 26 43 3" xfId="33068" xr:uid="{00000000-0005-0000-0000-00003A810000}"/>
    <cellStyle name="Suma 2 26 44" xfId="33069" xr:uid="{00000000-0005-0000-0000-00003B810000}"/>
    <cellStyle name="Suma 2 26 44 2" xfId="33070" xr:uid="{00000000-0005-0000-0000-00003C810000}"/>
    <cellStyle name="Suma 2 26 44 3" xfId="33071" xr:uid="{00000000-0005-0000-0000-00003D810000}"/>
    <cellStyle name="Suma 2 26 45" xfId="33072" xr:uid="{00000000-0005-0000-0000-00003E810000}"/>
    <cellStyle name="Suma 2 26 45 2" xfId="33073" xr:uid="{00000000-0005-0000-0000-00003F810000}"/>
    <cellStyle name="Suma 2 26 45 3" xfId="33074" xr:uid="{00000000-0005-0000-0000-000040810000}"/>
    <cellStyle name="Suma 2 26 46" xfId="33075" xr:uid="{00000000-0005-0000-0000-000041810000}"/>
    <cellStyle name="Suma 2 26 46 2" xfId="33076" xr:uid="{00000000-0005-0000-0000-000042810000}"/>
    <cellStyle name="Suma 2 26 46 3" xfId="33077" xr:uid="{00000000-0005-0000-0000-000043810000}"/>
    <cellStyle name="Suma 2 26 47" xfId="33078" xr:uid="{00000000-0005-0000-0000-000044810000}"/>
    <cellStyle name="Suma 2 26 47 2" xfId="33079" xr:uid="{00000000-0005-0000-0000-000045810000}"/>
    <cellStyle name="Suma 2 26 47 3" xfId="33080" xr:uid="{00000000-0005-0000-0000-000046810000}"/>
    <cellStyle name="Suma 2 26 48" xfId="33081" xr:uid="{00000000-0005-0000-0000-000047810000}"/>
    <cellStyle name="Suma 2 26 48 2" xfId="33082" xr:uid="{00000000-0005-0000-0000-000048810000}"/>
    <cellStyle name="Suma 2 26 48 3" xfId="33083" xr:uid="{00000000-0005-0000-0000-000049810000}"/>
    <cellStyle name="Suma 2 26 49" xfId="33084" xr:uid="{00000000-0005-0000-0000-00004A810000}"/>
    <cellStyle name="Suma 2 26 49 2" xfId="33085" xr:uid="{00000000-0005-0000-0000-00004B810000}"/>
    <cellStyle name="Suma 2 26 49 3" xfId="33086" xr:uid="{00000000-0005-0000-0000-00004C810000}"/>
    <cellStyle name="Suma 2 26 5" xfId="33087" xr:uid="{00000000-0005-0000-0000-00004D810000}"/>
    <cellStyle name="Suma 2 26 5 2" xfId="33088" xr:uid="{00000000-0005-0000-0000-00004E810000}"/>
    <cellStyle name="Suma 2 26 5 3" xfId="33089" xr:uid="{00000000-0005-0000-0000-00004F810000}"/>
    <cellStyle name="Suma 2 26 5 4" xfId="33090" xr:uid="{00000000-0005-0000-0000-000050810000}"/>
    <cellStyle name="Suma 2 26 50" xfId="33091" xr:uid="{00000000-0005-0000-0000-000051810000}"/>
    <cellStyle name="Suma 2 26 50 2" xfId="33092" xr:uid="{00000000-0005-0000-0000-000052810000}"/>
    <cellStyle name="Suma 2 26 50 3" xfId="33093" xr:uid="{00000000-0005-0000-0000-000053810000}"/>
    <cellStyle name="Suma 2 26 51" xfId="33094" xr:uid="{00000000-0005-0000-0000-000054810000}"/>
    <cellStyle name="Suma 2 26 51 2" xfId="33095" xr:uid="{00000000-0005-0000-0000-000055810000}"/>
    <cellStyle name="Suma 2 26 51 3" xfId="33096" xr:uid="{00000000-0005-0000-0000-000056810000}"/>
    <cellStyle name="Suma 2 26 52" xfId="33097" xr:uid="{00000000-0005-0000-0000-000057810000}"/>
    <cellStyle name="Suma 2 26 52 2" xfId="33098" xr:uid="{00000000-0005-0000-0000-000058810000}"/>
    <cellStyle name="Suma 2 26 52 3" xfId="33099" xr:uid="{00000000-0005-0000-0000-000059810000}"/>
    <cellStyle name="Suma 2 26 53" xfId="33100" xr:uid="{00000000-0005-0000-0000-00005A810000}"/>
    <cellStyle name="Suma 2 26 53 2" xfId="33101" xr:uid="{00000000-0005-0000-0000-00005B810000}"/>
    <cellStyle name="Suma 2 26 53 3" xfId="33102" xr:uid="{00000000-0005-0000-0000-00005C810000}"/>
    <cellStyle name="Suma 2 26 54" xfId="33103" xr:uid="{00000000-0005-0000-0000-00005D810000}"/>
    <cellStyle name="Suma 2 26 54 2" xfId="33104" xr:uid="{00000000-0005-0000-0000-00005E810000}"/>
    <cellStyle name="Suma 2 26 54 3" xfId="33105" xr:uid="{00000000-0005-0000-0000-00005F810000}"/>
    <cellStyle name="Suma 2 26 55" xfId="33106" xr:uid="{00000000-0005-0000-0000-000060810000}"/>
    <cellStyle name="Suma 2 26 55 2" xfId="33107" xr:uid="{00000000-0005-0000-0000-000061810000}"/>
    <cellStyle name="Suma 2 26 55 3" xfId="33108" xr:uid="{00000000-0005-0000-0000-000062810000}"/>
    <cellStyle name="Suma 2 26 56" xfId="33109" xr:uid="{00000000-0005-0000-0000-000063810000}"/>
    <cellStyle name="Suma 2 26 56 2" xfId="33110" xr:uid="{00000000-0005-0000-0000-000064810000}"/>
    <cellStyle name="Suma 2 26 56 3" xfId="33111" xr:uid="{00000000-0005-0000-0000-000065810000}"/>
    <cellStyle name="Suma 2 26 57" xfId="33112" xr:uid="{00000000-0005-0000-0000-000066810000}"/>
    <cellStyle name="Suma 2 26 58" xfId="33113" xr:uid="{00000000-0005-0000-0000-000067810000}"/>
    <cellStyle name="Suma 2 26 6" xfId="33114" xr:uid="{00000000-0005-0000-0000-000068810000}"/>
    <cellStyle name="Suma 2 26 6 2" xfId="33115" xr:uid="{00000000-0005-0000-0000-000069810000}"/>
    <cellStyle name="Suma 2 26 6 3" xfId="33116" xr:uid="{00000000-0005-0000-0000-00006A810000}"/>
    <cellStyle name="Suma 2 26 6 4" xfId="33117" xr:uid="{00000000-0005-0000-0000-00006B810000}"/>
    <cellStyle name="Suma 2 26 7" xfId="33118" xr:uid="{00000000-0005-0000-0000-00006C810000}"/>
    <cellStyle name="Suma 2 26 7 2" xfId="33119" xr:uid="{00000000-0005-0000-0000-00006D810000}"/>
    <cellStyle name="Suma 2 26 7 3" xfId="33120" xr:uid="{00000000-0005-0000-0000-00006E810000}"/>
    <cellStyle name="Suma 2 26 7 4" xfId="33121" xr:uid="{00000000-0005-0000-0000-00006F810000}"/>
    <cellStyle name="Suma 2 26 8" xfId="33122" xr:uid="{00000000-0005-0000-0000-000070810000}"/>
    <cellStyle name="Suma 2 26 8 2" xfId="33123" xr:uid="{00000000-0005-0000-0000-000071810000}"/>
    <cellStyle name="Suma 2 26 8 3" xfId="33124" xr:uid="{00000000-0005-0000-0000-000072810000}"/>
    <cellStyle name="Suma 2 26 8 4" xfId="33125" xr:uid="{00000000-0005-0000-0000-000073810000}"/>
    <cellStyle name="Suma 2 26 9" xfId="33126" xr:uid="{00000000-0005-0000-0000-000074810000}"/>
    <cellStyle name="Suma 2 26 9 2" xfId="33127" xr:uid="{00000000-0005-0000-0000-000075810000}"/>
    <cellStyle name="Suma 2 26 9 3" xfId="33128" xr:uid="{00000000-0005-0000-0000-000076810000}"/>
    <cellStyle name="Suma 2 26 9 4" xfId="33129" xr:uid="{00000000-0005-0000-0000-000077810000}"/>
    <cellStyle name="Suma 2 27" xfId="33130" xr:uid="{00000000-0005-0000-0000-000078810000}"/>
    <cellStyle name="Suma 2 27 10" xfId="33131" xr:uid="{00000000-0005-0000-0000-000079810000}"/>
    <cellStyle name="Suma 2 27 10 2" xfId="33132" xr:uid="{00000000-0005-0000-0000-00007A810000}"/>
    <cellStyle name="Suma 2 27 10 3" xfId="33133" xr:uid="{00000000-0005-0000-0000-00007B810000}"/>
    <cellStyle name="Suma 2 27 10 4" xfId="33134" xr:uid="{00000000-0005-0000-0000-00007C810000}"/>
    <cellStyle name="Suma 2 27 11" xfId="33135" xr:uid="{00000000-0005-0000-0000-00007D810000}"/>
    <cellStyle name="Suma 2 27 11 2" xfId="33136" xr:uid="{00000000-0005-0000-0000-00007E810000}"/>
    <cellStyle name="Suma 2 27 11 3" xfId="33137" xr:uid="{00000000-0005-0000-0000-00007F810000}"/>
    <cellStyle name="Suma 2 27 11 4" xfId="33138" xr:uid="{00000000-0005-0000-0000-000080810000}"/>
    <cellStyle name="Suma 2 27 12" xfId="33139" xr:uid="{00000000-0005-0000-0000-000081810000}"/>
    <cellStyle name="Suma 2 27 12 2" xfId="33140" xr:uid="{00000000-0005-0000-0000-000082810000}"/>
    <cellStyle name="Suma 2 27 12 3" xfId="33141" xr:uid="{00000000-0005-0000-0000-000083810000}"/>
    <cellStyle name="Suma 2 27 12 4" xfId="33142" xr:uid="{00000000-0005-0000-0000-000084810000}"/>
    <cellStyle name="Suma 2 27 13" xfId="33143" xr:uid="{00000000-0005-0000-0000-000085810000}"/>
    <cellStyle name="Suma 2 27 13 2" xfId="33144" xr:uid="{00000000-0005-0000-0000-000086810000}"/>
    <cellStyle name="Suma 2 27 13 3" xfId="33145" xr:uid="{00000000-0005-0000-0000-000087810000}"/>
    <cellStyle name="Suma 2 27 13 4" xfId="33146" xr:uid="{00000000-0005-0000-0000-000088810000}"/>
    <cellStyle name="Suma 2 27 14" xfId="33147" xr:uid="{00000000-0005-0000-0000-000089810000}"/>
    <cellStyle name="Suma 2 27 14 2" xfId="33148" xr:uid="{00000000-0005-0000-0000-00008A810000}"/>
    <cellStyle name="Suma 2 27 14 3" xfId="33149" xr:uid="{00000000-0005-0000-0000-00008B810000}"/>
    <cellStyle name="Suma 2 27 14 4" xfId="33150" xr:uid="{00000000-0005-0000-0000-00008C810000}"/>
    <cellStyle name="Suma 2 27 15" xfId="33151" xr:uid="{00000000-0005-0000-0000-00008D810000}"/>
    <cellStyle name="Suma 2 27 15 2" xfId="33152" xr:uid="{00000000-0005-0000-0000-00008E810000}"/>
    <cellStyle name="Suma 2 27 15 3" xfId="33153" xr:uid="{00000000-0005-0000-0000-00008F810000}"/>
    <cellStyle name="Suma 2 27 15 4" xfId="33154" xr:uid="{00000000-0005-0000-0000-000090810000}"/>
    <cellStyle name="Suma 2 27 16" xfId="33155" xr:uid="{00000000-0005-0000-0000-000091810000}"/>
    <cellStyle name="Suma 2 27 16 2" xfId="33156" xr:uid="{00000000-0005-0000-0000-000092810000}"/>
    <cellStyle name="Suma 2 27 16 3" xfId="33157" xr:uid="{00000000-0005-0000-0000-000093810000}"/>
    <cellStyle name="Suma 2 27 16 4" xfId="33158" xr:uid="{00000000-0005-0000-0000-000094810000}"/>
    <cellStyle name="Suma 2 27 17" xfId="33159" xr:uid="{00000000-0005-0000-0000-000095810000}"/>
    <cellStyle name="Suma 2 27 17 2" xfId="33160" xr:uid="{00000000-0005-0000-0000-000096810000}"/>
    <cellStyle name="Suma 2 27 17 3" xfId="33161" xr:uid="{00000000-0005-0000-0000-000097810000}"/>
    <cellStyle name="Suma 2 27 17 4" xfId="33162" xr:uid="{00000000-0005-0000-0000-000098810000}"/>
    <cellStyle name="Suma 2 27 18" xfId="33163" xr:uid="{00000000-0005-0000-0000-000099810000}"/>
    <cellStyle name="Suma 2 27 18 2" xfId="33164" xr:uid="{00000000-0005-0000-0000-00009A810000}"/>
    <cellStyle name="Suma 2 27 18 3" xfId="33165" xr:uid="{00000000-0005-0000-0000-00009B810000}"/>
    <cellStyle name="Suma 2 27 18 4" xfId="33166" xr:uid="{00000000-0005-0000-0000-00009C810000}"/>
    <cellStyle name="Suma 2 27 19" xfId="33167" xr:uid="{00000000-0005-0000-0000-00009D810000}"/>
    <cellStyle name="Suma 2 27 19 2" xfId="33168" xr:uid="{00000000-0005-0000-0000-00009E810000}"/>
    <cellStyle name="Suma 2 27 19 3" xfId="33169" xr:uid="{00000000-0005-0000-0000-00009F810000}"/>
    <cellStyle name="Suma 2 27 19 4" xfId="33170" xr:uid="{00000000-0005-0000-0000-0000A0810000}"/>
    <cellStyle name="Suma 2 27 2" xfId="33171" xr:uid="{00000000-0005-0000-0000-0000A1810000}"/>
    <cellStyle name="Suma 2 27 2 2" xfId="33172" xr:uid="{00000000-0005-0000-0000-0000A2810000}"/>
    <cellStyle name="Suma 2 27 2 3" xfId="33173" xr:uid="{00000000-0005-0000-0000-0000A3810000}"/>
    <cellStyle name="Suma 2 27 2 4" xfId="33174" xr:uid="{00000000-0005-0000-0000-0000A4810000}"/>
    <cellStyle name="Suma 2 27 20" xfId="33175" xr:uid="{00000000-0005-0000-0000-0000A5810000}"/>
    <cellStyle name="Suma 2 27 20 2" xfId="33176" xr:uid="{00000000-0005-0000-0000-0000A6810000}"/>
    <cellStyle name="Suma 2 27 20 3" xfId="33177" xr:uid="{00000000-0005-0000-0000-0000A7810000}"/>
    <cellStyle name="Suma 2 27 20 4" xfId="33178" xr:uid="{00000000-0005-0000-0000-0000A8810000}"/>
    <cellStyle name="Suma 2 27 21" xfId="33179" xr:uid="{00000000-0005-0000-0000-0000A9810000}"/>
    <cellStyle name="Suma 2 27 21 2" xfId="33180" xr:uid="{00000000-0005-0000-0000-0000AA810000}"/>
    <cellStyle name="Suma 2 27 21 3" xfId="33181" xr:uid="{00000000-0005-0000-0000-0000AB810000}"/>
    <cellStyle name="Suma 2 27 22" xfId="33182" xr:uid="{00000000-0005-0000-0000-0000AC810000}"/>
    <cellStyle name="Suma 2 27 22 2" xfId="33183" xr:uid="{00000000-0005-0000-0000-0000AD810000}"/>
    <cellStyle name="Suma 2 27 22 3" xfId="33184" xr:uid="{00000000-0005-0000-0000-0000AE810000}"/>
    <cellStyle name="Suma 2 27 23" xfId="33185" xr:uid="{00000000-0005-0000-0000-0000AF810000}"/>
    <cellStyle name="Suma 2 27 23 2" xfId="33186" xr:uid="{00000000-0005-0000-0000-0000B0810000}"/>
    <cellStyle name="Suma 2 27 23 3" xfId="33187" xr:uid="{00000000-0005-0000-0000-0000B1810000}"/>
    <cellStyle name="Suma 2 27 24" xfId="33188" xr:uid="{00000000-0005-0000-0000-0000B2810000}"/>
    <cellStyle name="Suma 2 27 24 2" xfId="33189" xr:uid="{00000000-0005-0000-0000-0000B3810000}"/>
    <cellStyle name="Suma 2 27 24 3" xfId="33190" xr:uid="{00000000-0005-0000-0000-0000B4810000}"/>
    <cellStyle name="Suma 2 27 25" xfId="33191" xr:uid="{00000000-0005-0000-0000-0000B5810000}"/>
    <cellStyle name="Suma 2 27 25 2" xfId="33192" xr:uid="{00000000-0005-0000-0000-0000B6810000}"/>
    <cellStyle name="Suma 2 27 25 3" xfId="33193" xr:uid="{00000000-0005-0000-0000-0000B7810000}"/>
    <cellStyle name="Suma 2 27 26" xfId="33194" xr:uid="{00000000-0005-0000-0000-0000B8810000}"/>
    <cellStyle name="Suma 2 27 26 2" xfId="33195" xr:uid="{00000000-0005-0000-0000-0000B9810000}"/>
    <cellStyle name="Suma 2 27 26 3" xfId="33196" xr:uid="{00000000-0005-0000-0000-0000BA810000}"/>
    <cellStyle name="Suma 2 27 27" xfId="33197" xr:uid="{00000000-0005-0000-0000-0000BB810000}"/>
    <cellStyle name="Suma 2 27 27 2" xfId="33198" xr:uid="{00000000-0005-0000-0000-0000BC810000}"/>
    <cellStyle name="Suma 2 27 27 3" xfId="33199" xr:uid="{00000000-0005-0000-0000-0000BD810000}"/>
    <cellStyle name="Suma 2 27 28" xfId="33200" xr:uid="{00000000-0005-0000-0000-0000BE810000}"/>
    <cellStyle name="Suma 2 27 28 2" xfId="33201" xr:uid="{00000000-0005-0000-0000-0000BF810000}"/>
    <cellStyle name="Suma 2 27 28 3" xfId="33202" xr:uid="{00000000-0005-0000-0000-0000C0810000}"/>
    <cellStyle name="Suma 2 27 29" xfId="33203" xr:uid="{00000000-0005-0000-0000-0000C1810000}"/>
    <cellStyle name="Suma 2 27 29 2" xfId="33204" xr:uid="{00000000-0005-0000-0000-0000C2810000}"/>
    <cellStyle name="Suma 2 27 29 3" xfId="33205" xr:uid="{00000000-0005-0000-0000-0000C3810000}"/>
    <cellStyle name="Suma 2 27 3" xfId="33206" xr:uid="{00000000-0005-0000-0000-0000C4810000}"/>
    <cellStyle name="Suma 2 27 3 2" xfId="33207" xr:uid="{00000000-0005-0000-0000-0000C5810000}"/>
    <cellStyle name="Suma 2 27 3 3" xfId="33208" xr:uid="{00000000-0005-0000-0000-0000C6810000}"/>
    <cellStyle name="Suma 2 27 3 4" xfId="33209" xr:uid="{00000000-0005-0000-0000-0000C7810000}"/>
    <cellStyle name="Suma 2 27 30" xfId="33210" xr:uid="{00000000-0005-0000-0000-0000C8810000}"/>
    <cellStyle name="Suma 2 27 30 2" xfId="33211" xr:uid="{00000000-0005-0000-0000-0000C9810000}"/>
    <cellStyle name="Suma 2 27 30 3" xfId="33212" xr:uid="{00000000-0005-0000-0000-0000CA810000}"/>
    <cellStyle name="Suma 2 27 31" xfId="33213" xr:uid="{00000000-0005-0000-0000-0000CB810000}"/>
    <cellStyle name="Suma 2 27 31 2" xfId="33214" xr:uid="{00000000-0005-0000-0000-0000CC810000}"/>
    <cellStyle name="Suma 2 27 31 3" xfId="33215" xr:uid="{00000000-0005-0000-0000-0000CD810000}"/>
    <cellStyle name="Suma 2 27 32" xfId="33216" xr:uid="{00000000-0005-0000-0000-0000CE810000}"/>
    <cellStyle name="Suma 2 27 32 2" xfId="33217" xr:uid="{00000000-0005-0000-0000-0000CF810000}"/>
    <cellStyle name="Suma 2 27 32 3" xfId="33218" xr:uid="{00000000-0005-0000-0000-0000D0810000}"/>
    <cellStyle name="Suma 2 27 33" xfId="33219" xr:uid="{00000000-0005-0000-0000-0000D1810000}"/>
    <cellStyle name="Suma 2 27 33 2" xfId="33220" xr:uid="{00000000-0005-0000-0000-0000D2810000}"/>
    <cellStyle name="Suma 2 27 33 3" xfId="33221" xr:uid="{00000000-0005-0000-0000-0000D3810000}"/>
    <cellStyle name="Suma 2 27 34" xfId="33222" xr:uid="{00000000-0005-0000-0000-0000D4810000}"/>
    <cellStyle name="Suma 2 27 34 2" xfId="33223" xr:uid="{00000000-0005-0000-0000-0000D5810000}"/>
    <cellStyle name="Suma 2 27 34 3" xfId="33224" xr:uid="{00000000-0005-0000-0000-0000D6810000}"/>
    <cellStyle name="Suma 2 27 35" xfId="33225" xr:uid="{00000000-0005-0000-0000-0000D7810000}"/>
    <cellStyle name="Suma 2 27 35 2" xfId="33226" xr:uid="{00000000-0005-0000-0000-0000D8810000}"/>
    <cellStyle name="Suma 2 27 35 3" xfId="33227" xr:uid="{00000000-0005-0000-0000-0000D9810000}"/>
    <cellStyle name="Suma 2 27 36" xfId="33228" xr:uid="{00000000-0005-0000-0000-0000DA810000}"/>
    <cellStyle name="Suma 2 27 36 2" xfId="33229" xr:uid="{00000000-0005-0000-0000-0000DB810000}"/>
    <cellStyle name="Suma 2 27 36 3" xfId="33230" xr:uid="{00000000-0005-0000-0000-0000DC810000}"/>
    <cellStyle name="Suma 2 27 37" xfId="33231" xr:uid="{00000000-0005-0000-0000-0000DD810000}"/>
    <cellStyle name="Suma 2 27 37 2" xfId="33232" xr:uid="{00000000-0005-0000-0000-0000DE810000}"/>
    <cellStyle name="Suma 2 27 37 3" xfId="33233" xr:uid="{00000000-0005-0000-0000-0000DF810000}"/>
    <cellStyle name="Suma 2 27 38" xfId="33234" xr:uid="{00000000-0005-0000-0000-0000E0810000}"/>
    <cellStyle name="Suma 2 27 38 2" xfId="33235" xr:uid="{00000000-0005-0000-0000-0000E1810000}"/>
    <cellStyle name="Suma 2 27 38 3" xfId="33236" xr:uid="{00000000-0005-0000-0000-0000E2810000}"/>
    <cellStyle name="Suma 2 27 39" xfId="33237" xr:uid="{00000000-0005-0000-0000-0000E3810000}"/>
    <cellStyle name="Suma 2 27 39 2" xfId="33238" xr:uid="{00000000-0005-0000-0000-0000E4810000}"/>
    <cellStyle name="Suma 2 27 39 3" xfId="33239" xr:uid="{00000000-0005-0000-0000-0000E5810000}"/>
    <cellStyle name="Suma 2 27 4" xfId="33240" xr:uid="{00000000-0005-0000-0000-0000E6810000}"/>
    <cellStyle name="Suma 2 27 4 2" xfId="33241" xr:uid="{00000000-0005-0000-0000-0000E7810000}"/>
    <cellStyle name="Suma 2 27 4 3" xfId="33242" xr:uid="{00000000-0005-0000-0000-0000E8810000}"/>
    <cellStyle name="Suma 2 27 4 4" xfId="33243" xr:uid="{00000000-0005-0000-0000-0000E9810000}"/>
    <cellStyle name="Suma 2 27 40" xfId="33244" xr:uid="{00000000-0005-0000-0000-0000EA810000}"/>
    <cellStyle name="Suma 2 27 40 2" xfId="33245" xr:uid="{00000000-0005-0000-0000-0000EB810000}"/>
    <cellStyle name="Suma 2 27 40 3" xfId="33246" xr:uid="{00000000-0005-0000-0000-0000EC810000}"/>
    <cellStyle name="Suma 2 27 41" xfId="33247" xr:uid="{00000000-0005-0000-0000-0000ED810000}"/>
    <cellStyle name="Suma 2 27 41 2" xfId="33248" xr:uid="{00000000-0005-0000-0000-0000EE810000}"/>
    <cellStyle name="Suma 2 27 41 3" xfId="33249" xr:uid="{00000000-0005-0000-0000-0000EF810000}"/>
    <cellStyle name="Suma 2 27 42" xfId="33250" xr:uid="{00000000-0005-0000-0000-0000F0810000}"/>
    <cellStyle name="Suma 2 27 42 2" xfId="33251" xr:uid="{00000000-0005-0000-0000-0000F1810000}"/>
    <cellStyle name="Suma 2 27 42 3" xfId="33252" xr:uid="{00000000-0005-0000-0000-0000F2810000}"/>
    <cellStyle name="Suma 2 27 43" xfId="33253" xr:uid="{00000000-0005-0000-0000-0000F3810000}"/>
    <cellStyle name="Suma 2 27 43 2" xfId="33254" xr:uid="{00000000-0005-0000-0000-0000F4810000}"/>
    <cellStyle name="Suma 2 27 43 3" xfId="33255" xr:uid="{00000000-0005-0000-0000-0000F5810000}"/>
    <cellStyle name="Suma 2 27 44" xfId="33256" xr:uid="{00000000-0005-0000-0000-0000F6810000}"/>
    <cellStyle name="Suma 2 27 44 2" xfId="33257" xr:uid="{00000000-0005-0000-0000-0000F7810000}"/>
    <cellStyle name="Suma 2 27 44 3" xfId="33258" xr:uid="{00000000-0005-0000-0000-0000F8810000}"/>
    <cellStyle name="Suma 2 27 45" xfId="33259" xr:uid="{00000000-0005-0000-0000-0000F9810000}"/>
    <cellStyle name="Suma 2 27 45 2" xfId="33260" xr:uid="{00000000-0005-0000-0000-0000FA810000}"/>
    <cellStyle name="Suma 2 27 45 3" xfId="33261" xr:uid="{00000000-0005-0000-0000-0000FB810000}"/>
    <cellStyle name="Suma 2 27 46" xfId="33262" xr:uid="{00000000-0005-0000-0000-0000FC810000}"/>
    <cellStyle name="Suma 2 27 46 2" xfId="33263" xr:uid="{00000000-0005-0000-0000-0000FD810000}"/>
    <cellStyle name="Suma 2 27 46 3" xfId="33264" xr:uid="{00000000-0005-0000-0000-0000FE810000}"/>
    <cellStyle name="Suma 2 27 47" xfId="33265" xr:uid="{00000000-0005-0000-0000-0000FF810000}"/>
    <cellStyle name="Suma 2 27 47 2" xfId="33266" xr:uid="{00000000-0005-0000-0000-000000820000}"/>
    <cellStyle name="Suma 2 27 47 3" xfId="33267" xr:uid="{00000000-0005-0000-0000-000001820000}"/>
    <cellStyle name="Suma 2 27 48" xfId="33268" xr:uid="{00000000-0005-0000-0000-000002820000}"/>
    <cellStyle name="Suma 2 27 48 2" xfId="33269" xr:uid="{00000000-0005-0000-0000-000003820000}"/>
    <cellStyle name="Suma 2 27 48 3" xfId="33270" xr:uid="{00000000-0005-0000-0000-000004820000}"/>
    <cellStyle name="Suma 2 27 49" xfId="33271" xr:uid="{00000000-0005-0000-0000-000005820000}"/>
    <cellStyle name="Suma 2 27 49 2" xfId="33272" xr:uid="{00000000-0005-0000-0000-000006820000}"/>
    <cellStyle name="Suma 2 27 49 3" xfId="33273" xr:uid="{00000000-0005-0000-0000-000007820000}"/>
    <cellStyle name="Suma 2 27 5" xfId="33274" xr:uid="{00000000-0005-0000-0000-000008820000}"/>
    <cellStyle name="Suma 2 27 5 2" xfId="33275" xr:uid="{00000000-0005-0000-0000-000009820000}"/>
    <cellStyle name="Suma 2 27 5 3" xfId="33276" xr:uid="{00000000-0005-0000-0000-00000A820000}"/>
    <cellStyle name="Suma 2 27 5 4" xfId="33277" xr:uid="{00000000-0005-0000-0000-00000B820000}"/>
    <cellStyle name="Suma 2 27 50" xfId="33278" xr:uid="{00000000-0005-0000-0000-00000C820000}"/>
    <cellStyle name="Suma 2 27 50 2" xfId="33279" xr:uid="{00000000-0005-0000-0000-00000D820000}"/>
    <cellStyle name="Suma 2 27 50 3" xfId="33280" xr:uid="{00000000-0005-0000-0000-00000E820000}"/>
    <cellStyle name="Suma 2 27 51" xfId="33281" xr:uid="{00000000-0005-0000-0000-00000F820000}"/>
    <cellStyle name="Suma 2 27 51 2" xfId="33282" xr:uid="{00000000-0005-0000-0000-000010820000}"/>
    <cellStyle name="Suma 2 27 51 3" xfId="33283" xr:uid="{00000000-0005-0000-0000-000011820000}"/>
    <cellStyle name="Suma 2 27 52" xfId="33284" xr:uid="{00000000-0005-0000-0000-000012820000}"/>
    <cellStyle name="Suma 2 27 52 2" xfId="33285" xr:uid="{00000000-0005-0000-0000-000013820000}"/>
    <cellStyle name="Suma 2 27 52 3" xfId="33286" xr:uid="{00000000-0005-0000-0000-000014820000}"/>
    <cellStyle name="Suma 2 27 53" xfId="33287" xr:uid="{00000000-0005-0000-0000-000015820000}"/>
    <cellStyle name="Suma 2 27 53 2" xfId="33288" xr:uid="{00000000-0005-0000-0000-000016820000}"/>
    <cellStyle name="Suma 2 27 53 3" xfId="33289" xr:uid="{00000000-0005-0000-0000-000017820000}"/>
    <cellStyle name="Suma 2 27 54" xfId="33290" xr:uid="{00000000-0005-0000-0000-000018820000}"/>
    <cellStyle name="Suma 2 27 54 2" xfId="33291" xr:uid="{00000000-0005-0000-0000-000019820000}"/>
    <cellStyle name="Suma 2 27 54 3" xfId="33292" xr:uid="{00000000-0005-0000-0000-00001A820000}"/>
    <cellStyle name="Suma 2 27 55" xfId="33293" xr:uid="{00000000-0005-0000-0000-00001B820000}"/>
    <cellStyle name="Suma 2 27 55 2" xfId="33294" xr:uid="{00000000-0005-0000-0000-00001C820000}"/>
    <cellStyle name="Suma 2 27 55 3" xfId="33295" xr:uid="{00000000-0005-0000-0000-00001D820000}"/>
    <cellStyle name="Suma 2 27 56" xfId="33296" xr:uid="{00000000-0005-0000-0000-00001E820000}"/>
    <cellStyle name="Suma 2 27 56 2" xfId="33297" xr:uid="{00000000-0005-0000-0000-00001F820000}"/>
    <cellStyle name="Suma 2 27 56 3" xfId="33298" xr:uid="{00000000-0005-0000-0000-000020820000}"/>
    <cellStyle name="Suma 2 27 57" xfId="33299" xr:uid="{00000000-0005-0000-0000-000021820000}"/>
    <cellStyle name="Suma 2 27 58" xfId="33300" xr:uid="{00000000-0005-0000-0000-000022820000}"/>
    <cellStyle name="Suma 2 27 6" xfId="33301" xr:uid="{00000000-0005-0000-0000-000023820000}"/>
    <cellStyle name="Suma 2 27 6 2" xfId="33302" xr:uid="{00000000-0005-0000-0000-000024820000}"/>
    <cellStyle name="Suma 2 27 6 3" xfId="33303" xr:uid="{00000000-0005-0000-0000-000025820000}"/>
    <cellStyle name="Suma 2 27 6 4" xfId="33304" xr:uid="{00000000-0005-0000-0000-000026820000}"/>
    <cellStyle name="Suma 2 27 7" xfId="33305" xr:uid="{00000000-0005-0000-0000-000027820000}"/>
    <cellStyle name="Suma 2 27 7 2" xfId="33306" xr:uid="{00000000-0005-0000-0000-000028820000}"/>
    <cellStyle name="Suma 2 27 7 3" xfId="33307" xr:uid="{00000000-0005-0000-0000-000029820000}"/>
    <cellStyle name="Suma 2 27 7 4" xfId="33308" xr:uid="{00000000-0005-0000-0000-00002A820000}"/>
    <cellStyle name="Suma 2 27 8" xfId="33309" xr:uid="{00000000-0005-0000-0000-00002B820000}"/>
    <cellStyle name="Suma 2 27 8 2" xfId="33310" xr:uid="{00000000-0005-0000-0000-00002C820000}"/>
    <cellStyle name="Suma 2 27 8 3" xfId="33311" xr:uid="{00000000-0005-0000-0000-00002D820000}"/>
    <cellStyle name="Suma 2 27 8 4" xfId="33312" xr:uid="{00000000-0005-0000-0000-00002E820000}"/>
    <cellStyle name="Suma 2 27 9" xfId="33313" xr:uid="{00000000-0005-0000-0000-00002F820000}"/>
    <cellStyle name="Suma 2 27 9 2" xfId="33314" xr:uid="{00000000-0005-0000-0000-000030820000}"/>
    <cellStyle name="Suma 2 27 9 3" xfId="33315" xr:uid="{00000000-0005-0000-0000-000031820000}"/>
    <cellStyle name="Suma 2 27 9 4" xfId="33316" xr:uid="{00000000-0005-0000-0000-000032820000}"/>
    <cellStyle name="Suma 2 28" xfId="33317" xr:uid="{00000000-0005-0000-0000-000033820000}"/>
    <cellStyle name="Suma 2 28 10" xfId="33318" xr:uid="{00000000-0005-0000-0000-000034820000}"/>
    <cellStyle name="Suma 2 28 10 2" xfId="33319" xr:uid="{00000000-0005-0000-0000-000035820000}"/>
    <cellStyle name="Suma 2 28 10 3" xfId="33320" xr:uid="{00000000-0005-0000-0000-000036820000}"/>
    <cellStyle name="Suma 2 28 10 4" xfId="33321" xr:uid="{00000000-0005-0000-0000-000037820000}"/>
    <cellStyle name="Suma 2 28 11" xfId="33322" xr:uid="{00000000-0005-0000-0000-000038820000}"/>
    <cellStyle name="Suma 2 28 11 2" xfId="33323" xr:uid="{00000000-0005-0000-0000-000039820000}"/>
    <cellStyle name="Suma 2 28 11 3" xfId="33324" xr:uid="{00000000-0005-0000-0000-00003A820000}"/>
    <cellStyle name="Suma 2 28 11 4" xfId="33325" xr:uid="{00000000-0005-0000-0000-00003B820000}"/>
    <cellStyle name="Suma 2 28 12" xfId="33326" xr:uid="{00000000-0005-0000-0000-00003C820000}"/>
    <cellStyle name="Suma 2 28 12 2" xfId="33327" xr:uid="{00000000-0005-0000-0000-00003D820000}"/>
    <cellStyle name="Suma 2 28 12 3" xfId="33328" xr:uid="{00000000-0005-0000-0000-00003E820000}"/>
    <cellStyle name="Suma 2 28 12 4" xfId="33329" xr:uid="{00000000-0005-0000-0000-00003F820000}"/>
    <cellStyle name="Suma 2 28 13" xfId="33330" xr:uid="{00000000-0005-0000-0000-000040820000}"/>
    <cellStyle name="Suma 2 28 13 2" xfId="33331" xr:uid="{00000000-0005-0000-0000-000041820000}"/>
    <cellStyle name="Suma 2 28 13 3" xfId="33332" xr:uid="{00000000-0005-0000-0000-000042820000}"/>
    <cellStyle name="Suma 2 28 13 4" xfId="33333" xr:uid="{00000000-0005-0000-0000-000043820000}"/>
    <cellStyle name="Suma 2 28 14" xfId="33334" xr:uid="{00000000-0005-0000-0000-000044820000}"/>
    <cellStyle name="Suma 2 28 14 2" xfId="33335" xr:uid="{00000000-0005-0000-0000-000045820000}"/>
    <cellStyle name="Suma 2 28 14 3" xfId="33336" xr:uid="{00000000-0005-0000-0000-000046820000}"/>
    <cellStyle name="Suma 2 28 14 4" xfId="33337" xr:uid="{00000000-0005-0000-0000-000047820000}"/>
    <cellStyle name="Suma 2 28 15" xfId="33338" xr:uid="{00000000-0005-0000-0000-000048820000}"/>
    <cellStyle name="Suma 2 28 15 2" xfId="33339" xr:uid="{00000000-0005-0000-0000-000049820000}"/>
    <cellStyle name="Suma 2 28 15 3" xfId="33340" xr:uid="{00000000-0005-0000-0000-00004A820000}"/>
    <cellStyle name="Suma 2 28 15 4" xfId="33341" xr:uid="{00000000-0005-0000-0000-00004B820000}"/>
    <cellStyle name="Suma 2 28 16" xfId="33342" xr:uid="{00000000-0005-0000-0000-00004C820000}"/>
    <cellStyle name="Suma 2 28 16 2" xfId="33343" xr:uid="{00000000-0005-0000-0000-00004D820000}"/>
    <cellStyle name="Suma 2 28 16 3" xfId="33344" xr:uid="{00000000-0005-0000-0000-00004E820000}"/>
    <cellStyle name="Suma 2 28 16 4" xfId="33345" xr:uid="{00000000-0005-0000-0000-00004F820000}"/>
    <cellStyle name="Suma 2 28 17" xfId="33346" xr:uid="{00000000-0005-0000-0000-000050820000}"/>
    <cellStyle name="Suma 2 28 17 2" xfId="33347" xr:uid="{00000000-0005-0000-0000-000051820000}"/>
    <cellStyle name="Suma 2 28 17 3" xfId="33348" xr:uid="{00000000-0005-0000-0000-000052820000}"/>
    <cellStyle name="Suma 2 28 17 4" xfId="33349" xr:uid="{00000000-0005-0000-0000-000053820000}"/>
    <cellStyle name="Suma 2 28 18" xfId="33350" xr:uid="{00000000-0005-0000-0000-000054820000}"/>
    <cellStyle name="Suma 2 28 18 2" xfId="33351" xr:uid="{00000000-0005-0000-0000-000055820000}"/>
    <cellStyle name="Suma 2 28 18 3" xfId="33352" xr:uid="{00000000-0005-0000-0000-000056820000}"/>
    <cellStyle name="Suma 2 28 18 4" xfId="33353" xr:uid="{00000000-0005-0000-0000-000057820000}"/>
    <cellStyle name="Suma 2 28 19" xfId="33354" xr:uid="{00000000-0005-0000-0000-000058820000}"/>
    <cellStyle name="Suma 2 28 19 2" xfId="33355" xr:uid="{00000000-0005-0000-0000-000059820000}"/>
    <cellStyle name="Suma 2 28 19 3" xfId="33356" xr:uid="{00000000-0005-0000-0000-00005A820000}"/>
    <cellStyle name="Suma 2 28 19 4" xfId="33357" xr:uid="{00000000-0005-0000-0000-00005B820000}"/>
    <cellStyle name="Suma 2 28 2" xfId="33358" xr:uid="{00000000-0005-0000-0000-00005C820000}"/>
    <cellStyle name="Suma 2 28 2 2" xfId="33359" xr:uid="{00000000-0005-0000-0000-00005D820000}"/>
    <cellStyle name="Suma 2 28 2 3" xfId="33360" xr:uid="{00000000-0005-0000-0000-00005E820000}"/>
    <cellStyle name="Suma 2 28 2 4" xfId="33361" xr:uid="{00000000-0005-0000-0000-00005F820000}"/>
    <cellStyle name="Suma 2 28 20" xfId="33362" xr:uid="{00000000-0005-0000-0000-000060820000}"/>
    <cellStyle name="Suma 2 28 20 2" xfId="33363" xr:uid="{00000000-0005-0000-0000-000061820000}"/>
    <cellStyle name="Suma 2 28 20 3" xfId="33364" xr:uid="{00000000-0005-0000-0000-000062820000}"/>
    <cellStyle name="Suma 2 28 20 4" xfId="33365" xr:uid="{00000000-0005-0000-0000-000063820000}"/>
    <cellStyle name="Suma 2 28 21" xfId="33366" xr:uid="{00000000-0005-0000-0000-000064820000}"/>
    <cellStyle name="Suma 2 28 21 2" xfId="33367" xr:uid="{00000000-0005-0000-0000-000065820000}"/>
    <cellStyle name="Suma 2 28 21 3" xfId="33368" xr:uid="{00000000-0005-0000-0000-000066820000}"/>
    <cellStyle name="Suma 2 28 22" xfId="33369" xr:uid="{00000000-0005-0000-0000-000067820000}"/>
    <cellStyle name="Suma 2 28 22 2" xfId="33370" xr:uid="{00000000-0005-0000-0000-000068820000}"/>
    <cellStyle name="Suma 2 28 22 3" xfId="33371" xr:uid="{00000000-0005-0000-0000-000069820000}"/>
    <cellStyle name="Suma 2 28 23" xfId="33372" xr:uid="{00000000-0005-0000-0000-00006A820000}"/>
    <cellStyle name="Suma 2 28 23 2" xfId="33373" xr:uid="{00000000-0005-0000-0000-00006B820000}"/>
    <cellStyle name="Suma 2 28 23 3" xfId="33374" xr:uid="{00000000-0005-0000-0000-00006C820000}"/>
    <cellStyle name="Suma 2 28 24" xfId="33375" xr:uid="{00000000-0005-0000-0000-00006D820000}"/>
    <cellStyle name="Suma 2 28 24 2" xfId="33376" xr:uid="{00000000-0005-0000-0000-00006E820000}"/>
    <cellStyle name="Suma 2 28 24 3" xfId="33377" xr:uid="{00000000-0005-0000-0000-00006F820000}"/>
    <cellStyle name="Suma 2 28 25" xfId="33378" xr:uid="{00000000-0005-0000-0000-000070820000}"/>
    <cellStyle name="Suma 2 28 25 2" xfId="33379" xr:uid="{00000000-0005-0000-0000-000071820000}"/>
    <cellStyle name="Suma 2 28 25 3" xfId="33380" xr:uid="{00000000-0005-0000-0000-000072820000}"/>
    <cellStyle name="Suma 2 28 26" xfId="33381" xr:uid="{00000000-0005-0000-0000-000073820000}"/>
    <cellStyle name="Suma 2 28 26 2" xfId="33382" xr:uid="{00000000-0005-0000-0000-000074820000}"/>
    <cellStyle name="Suma 2 28 26 3" xfId="33383" xr:uid="{00000000-0005-0000-0000-000075820000}"/>
    <cellStyle name="Suma 2 28 27" xfId="33384" xr:uid="{00000000-0005-0000-0000-000076820000}"/>
    <cellStyle name="Suma 2 28 27 2" xfId="33385" xr:uid="{00000000-0005-0000-0000-000077820000}"/>
    <cellStyle name="Suma 2 28 27 3" xfId="33386" xr:uid="{00000000-0005-0000-0000-000078820000}"/>
    <cellStyle name="Suma 2 28 28" xfId="33387" xr:uid="{00000000-0005-0000-0000-000079820000}"/>
    <cellStyle name="Suma 2 28 28 2" xfId="33388" xr:uid="{00000000-0005-0000-0000-00007A820000}"/>
    <cellStyle name="Suma 2 28 28 3" xfId="33389" xr:uid="{00000000-0005-0000-0000-00007B820000}"/>
    <cellStyle name="Suma 2 28 29" xfId="33390" xr:uid="{00000000-0005-0000-0000-00007C820000}"/>
    <cellStyle name="Suma 2 28 29 2" xfId="33391" xr:uid="{00000000-0005-0000-0000-00007D820000}"/>
    <cellStyle name="Suma 2 28 29 3" xfId="33392" xr:uid="{00000000-0005-0000-0000-00007E820000}"/>
    <cellStyle name="Suma 2 28 3" xfId="33393" xr:uid="{00000000-0005-0000-0000-00007F820000}"/>
    <cellStyle name="Suma 2 28 3 2" xfId="33394" xr:uid="{00000000-0005-0000-0000-000080820000}"/>
    <cellStyle name="Suma 2 28 3 3" xfId="33395" xr:uid="{00000000-0005-0000-0000-000081820000}"/>
    <cellStyle name="Suma 2 28 3 4" xfId="33396" xr:uid="{00000000-0005-0000-0000-000082820000}"/>
    <cellStyle name="Suma 2 28 30" xfId="33397" xr:uid="{00000000-0005-0000-0000-000083820000}"/>
    <cellStyle name="Suma 2 28 30 2" xfId="33398" xr:uid="{00000000-0005-0000-0000-000084820000}"/>
    <cellStyle name="Suma 2 28 30 3" xfId="33399" xr:uid="{00000000-0005-0000-0000-000085820000}"/>
    <cellStyle name="Suma 2 28 31" xfId="33400" xr:uid="{00000000-0005-0000-0000-000086820000}"/>
    <cellStyle name="Suma 2 28 31 2" xfId="33401" xr:uid="{00000000-0005-0000-0000-000087820000}"/>
    <cellStyle name="Suma 2 28 31 3" xfId="33402" xr:uid="{00000000-0005-0000-0000-000088820000}"/>
    <cellStyle name="Suma 2 28 32" xfId="33403" xr:uid="{00000000-0005-0000-0000-000089820000}"/>
    <cellStyle name="Suma 2 28 32 2" xfId="33404" xr:uid="{00000000-0005-0000-0000-00008A820000}"/>
    <cellStyle name="Suma 2 28 32 3" xfId="33405" xr:uid="{00000000-0005-0000-0000-00008B820000}"/>
    <cellStyle name="Suma 2 28 33" xfId="33406" xr:uid="{00000000-0005-0000-0000-00008C820000}"/>
    <cellStyle name="Suma 2 28 33 2" xfId="33407" xr:uid="{00000000-0005-0000-0000-00008D820000}"/>
    <cellStyle name="Suma 2 28 33 3" xfId="33408" xr:uid="{00000000-0005-0000-0000-00008E820000}"/>
    <cellStyle name="Suma 2 28 34" xfId="33409" xr:uid="{00000000-0005-0000-0000-00008F820000}"/>
    <cellStyle name="Suma 2 28 34 2" xfId="33410" xr:uid="{00000000-0005-0000-0000-000090820000}"/>
    <cellStyle name="Suma 2 28 34 3" xfId="33411" xr:uid="{00000000-0005-0000-0000-000091820000}"/>
    <cellStyle name="Suma 2 28 35" xfId="33412" xr:uid="{00000000-0005-0000-0000-000092820000}"/>
    <cellStyle name="Suma 2 28 35 2" xfId="33413" xr:uid="{00000000-0005-0000-0000-000093820000}"/>
    <cellStyle name="Suma 2 28 35 3" xfId="33414" xr:uid="{00000000-0005-0000-0000-000094820000}"/>
    <cellStyle name="Suma 2 28 36" xfId="33415" xr:uid="{00000000-0005-0000-0000-000095820000}"/>
    <cellStyle name="Suma 2 28 36 2" xfId="33416" xr:uid="{00000000-0005-0000-0000-000096820000}"/>
    <cellStyle name="Suma 2 28 36 3" xfId="33417" xr:uid="{00000000-0005-0000-0000-000097820000}"/>
    <cellStyle name="Suma 2 28 37" xfId="33418" xr:uid="{00000000-0005-0000-0000-000098820000}"/>
    <cellStyle name="Suma 2 28 37 2" xfId="33419" xr:uid="{00000000-0005-0000-0000-000099820000}"/>
    <cellStyle name="Suma 2 28 37 3" xfId="33420" xr:uid="{00000000-0005-0000-0000-00009A820000}"/>
    <cellStyle name="Suma 2 28 38" xfId="33421" xr:uid="{00000000-0005-0000-0000-00009B820000}"/>
    <cellStyle name="Suma 2 28 38 2" xfId="33422" xr:uid="{00000000-0005-0000-0000-00009C820000}"/>
    <cellStyle name="Suma 2 28 38 3" xfId="33423" xr:uid="{00000000-0005-0000-0000-00009D820000}"/>
    <cellStyle name="Suma 2 28 39" xfId="33424" xr:uid="{00000000-0005-0000-0000-00009E820000}"/>
    <cellStyle name="Suma 2 28 39 2" xfId="33425" xr:uid="{00000000-0005-0000-0000-00009F820000}"/>
    <cellStyle name="Suma 2 28 39 3" xfId="33426" xr:uid="{00000000-0005-0000-0000-0000A0820000}"/>
    <cellStyle name="Suma 2 28 4" xfId="33427" xr:uid="{00000000-0005-0000-0000-0000A1820000}"/>
    <cellStyle name="Suma 2 28 4 2" xfId="33428" xr:uid="{00000000-0005-0000-0000-0000A2820000}"/>
    <cellStyle name="Suma 2 28 4 3" xfId="33429" xr:uid="{00000000-0005-0000-0000-0000A3820000}"/>
    <cellStyle name="Suma 2 28 4 4" xfId="33430" xr:uid="{00000000-0005-0000-0000-0000A4820000}"/>
    <cellStyle name="Suma 2 28 40" xfId="33431" xr:uid="{00000000-0005-0000-0000-0000A5820000}"/>
    <cellStyle name="Suma 2 28 40 2" xfId="33432" xr:uid="{00000000-0005-0000-0000-0000A6820000}"/>
    <cellStyle name="Suma 2 28 40 3" xfId="33433" xr:uid="{00000000-0005-0000-0000-0000A7820000}"/>
    <cellStyle name="Suma 2 28 41" xfId="33434" xr:uid="{00000000-0005-0000-0000-0000A8820000}"/>
    <cellStyle name="Suma 2 28 41 2" xfId="33435" xr:uid="{00000000-0005-0000-0000-0000A9820000}"/>
    <cellStyle name="Suma 2 28 41 3" xfId="33436" xr:uid="{00000000-0005-0000-0000-0000AA820000}"/>
    <cellStyle name="Suma 2 28 42" xfId="33437" xr:uid="{00000000-0005-0000-0000-0000AB820000}"/>
    <cellStyle name="Suma 2 28 42 2" xfId="33438" xr:uid="{00000000-0005-0000-0000-0000AC820000}"/>
    <cellStyle name="Suma 2 28 42 3" xfId="33439" xr:uid="{00000000-0005-0000-0000-0000AD820000}"/>
    <cellStyle name="Suma 2 28 43" xfId="33440" xr:uid="{00000000-0005-0000-0000-0000AE820000}"/>
    <cellStyle name="Suma 2 28 43 2" xfId="33441" xr:uid="{00000000-0005-0000-0000-0000AF820000}"/>
    <cellStyle name="Suma 2 28 43 3" xfId="33442" xr:uid="{00000000-0005-0000-0000-0000B0820000}"/>
    <cellStyle name="Suma 2 28 44" xfId="33443" xr:uid="{00000000-0005-0000-0000-0000B1820000}"/>
    <cellStyle name="Suma 2 28 44 2" xfId="33444" xr:uid="{00000000-0005-0000-0000-0000B2820000}"/>
    <cellStyle name="Suma 2 28 44 3" xfId="33445" xr:uid="{00000000-0005-0000-0000-0000B3820000}"/>
    <cellStyle name="Suma 2 28 45" xfId="33446" xr:uid="{00000000-0005-0000-0000-0000B4820000}"/>
    <cellStyle name="Suma 2 28 45 2" xfId="33447" xr:uid="{00000000-0005-0000-0000-0000B5820000}"/>
    <cellStyle name="Suma 2 28 45 3" xfId="33448" xr:uid="{00000000-0005-0000-0000-0000B6820000}"/>
    <cellStyle name="Suma 2 28 46" xfId="33449" xr:uid="{00000000-0005-0000-0000-0000B7820000}"/>
    <cellStyle name="Suma 2 28 46 2" xfId="33450" xr:uid="{00000000-0005-0000-0000-0000B8820000}"/>
    <cellStyle name="Suma 2 28 46 3" xfId="33451" xr:uid="{00000000-0005-0000-0000-0000B9820000}"/>
    <cellStyle name="Suma 2 28 47" xfId="33452" xr:uid="{00000000-0005-0000-0000-0000BA820000}"/>
    <cellStyle name="Suma 2 28 47 2" xfId="33453" xr:uid="{00000000-0005-0000-0000-0000BB820000}"/>
    <cellStyle name="Suma 2 28 47 3" xfId="33454" xr:uid="{00000000-0005-0000-0000-0000BC820000}"/>
    <cellStyle name="Suma 2 28 48" xfId="33455" xr:uid="{00000000-0005-0000-0000-0000BD820000}"/>
    <cellStyle name="Suma 2 28 48 2" xfId="33456" xr:uid="{00000000-0005-0000-0000-0000BE820000}"/>
    <cellStyle name="Suma 2 28 48 3" xfId="33457" xr:uid="{00000000-0005-0000-0000-0000BF820000}"/>
    <cellStyle name="Suma 2 28 49" xfId="33458" xr:uid="{00000000-0005-0000-0000-0000C0820000}"/>
    <cellStyle name="Suma 2 28 49 2" xfId="33459" xr:uid="{00000000-0005-0000-0000-0000C1820000}"/>
    <cellStyle name="Suma 2 28 49 3" xfId="33460" xr:uid="{00000000-0005-0000-0000-0000C2820000}"/>
    <cellStyle name="Suma 2 28 5" xfId="33461" xr:uid="{00000000-0005-0000-0000-0000C3820000}"/>
    <cellStyle name="Suma 2 28 5 2" xfId="33462" xr:uid="{00000000-0005-0000-0000-0000C4820000}"/>
    <cellStyle name="Suma 2 28 5 3" xfId="33463" xr:uid="{00000000-0005-0000-0000-0000C5820000}"/>
    <cellStyle name="Suma 2 28 5 4" xfId="33464" xr:uid="{00000000-0005-0000-0000-0000C6820000}"/>
    <cellStyle name="Suma 2 28 50" xfId="33465" xr:uid="{00000000-0005-0000-0000-0000C7820000}"/>
    <cellStyle name="Suma 2 28 50 2" xfId="33466" xr:uid="{00000000-0005-0000-0000-0000C8820000}"/>
    <cellStyle name="Suma 2 28 50 3" xfId="33467" xr:uid="{00000000-0005-0000-0000-0000C9820000}"/>
    <cellStyle name="Suma 2 28 51" xfId="33468" xr:uid="{00000000-0005-0000-0000-0000CA820000}"/>
    <cellStyle name="Suma 2 28 51 2" xfId="33469" xr:uid="{00000000-0005-0000-0000-0000CB820000}"/>
    <cellStyle name="Suma 2 28 51 3" xfId="33470" xr:uid="{00000000-0005-0000-0000-0000CC820000}"/>
    <cellStyle name="Suma 2 28 52" xfId="33471" xr:uid="{00000000-0005-0000-0000-0000CD820000}"/>
    <cellStyle name="Suma 2 28 52 2" xfId="33472" xr:uid="{00000000-0005-0000-0000-0000CE820000}"/>
    <cellStyle name="Suma 2 28 52 3" xfId="33473" xr:uid="{00000000-0005-0000-0000-0000CF820000}"/>
    <cellStyle name="Suma 2 28 53" xfId="33474" xr:uid="{00000000-0005-0000-0000-0000D0820000}"/>
    <cellStyle name="Suma 2 28 53 2" xfId="33475" xr:uid="{00000000-0005-0000-0000-0000D1820000}"/>
    <cellStyle name="Suma 2 28 53 3" xfId="33476" xr:uid="{00000000-0005-0000-0000-0000D2820000}"/>
    <cellStyle name="Suma 2 28 54" xfId="33477" xr:uid="{00000000-0005-0000-0000-0000D3820000}"/>
    <cellStyle name="Suma 2 28 54 2" xfId="33478" xr:uid="{00000000-0005-0000-0000-0000D4820000}"/>
    <cellStyle name="Suma 2 28 54 3" xfId="33479" xr:uid="{00000000-0005-0000-0000-0000D5820000}"/>
    <cellStyle name="Suma 2 28 55" xfId="33480" xr:uid="{00000000-0005-0000-0000-0000D6820000}"/>
    <cellStyle name="Suma 2 28 55 2" xfId="33481" xr:uid="{00000000-0005-0000-0000-0000D7820000}"/>
    <cellStyle name="Suma 2 28 55 3" xfId="33482" xr:uid="{00000000-0005-0000-0000-0000D8820000}"/>
    <cellStyle name="Suma 2 28 56" xfId="33483" xr:uid="{00000000-0005-0000-0000-0000D9820000}"/>
    <cellStyle name="Suma 2 28 56 2" xfId="33484" xr:uid="{00000000-0005-0000-0000-0000DA820000}"/>
    <cellStyle name="Suma 2 28 56 3" xfId="33485" xr:uid="{00000000-0005-0000-0000-0000DB820000}"/>
    <cellStyle name="Suma 2 28 57" xfId="33486" xr:uid="{00000000-0005-0000-0000-0000DC820000}"/>
    <cellStyle name="Suma 2 28 58" xfId="33487" xr:uid="{00000000-0005-0000-0000-0000DD820000}"/>
    <cellStyle name="Suma 2 28 6" xfId="33488" xr:uid="{00000000-0005-0000-0000-0000DE820000}"/>
    <cellStyle name="Suma 2 28 6 2" xfId="33489" xr:uid="{00000000-0005-0000-0000-0000DF820000}"/>
    <cellStyle name="Suma 2 28 6 3" xfId="33490" xr:uid="{00000000-0005-0000-0000-0000E0820000}"/>
    <cellStyle name="Suma 2 28 6 4" xfId="33491" xr:uid="{00000000-0005-0000-0000-0000E1820000}"/>
    <cellStyle name="Suma 2 28 7" xfId="33492" xr:uid="{00000000-0005-0000-0000-0000E2820000}"/>
    <cellStyle name="Suma 2 28 7 2" xfId="33493" xr:uid="{00000000-0005-0000-0000-0000E3820000}"/>
    <cellStyle name="Suma 2 28 7 3" xfId="33494" xr:uid="{00000000-0005-0000-0000-0000E4820000}"/>
    <cellStyle name="Suma 2 28 7 4" xfId="33495" xr:uid="{00000000-0005-0000-0000-0000E5820000}"/>
    <cellStyle name="Suma 2 28 8" xfId="33496" xr:uid="{00000000-0005-0000-0000-0000E6820000}"/>
    <cellStyle name="Suma 2 28 8 2" xfId="33497" xr:uid="{00000000-0005-0000-0000-0000E7820000}"/>
    <cellStyle name="Suma 2 28 8 3" xfId="33498" xr:uid="{00000000-0005-0000-0000-0000E8820000}"/>
    <cellStyle name="Suma 2 28 8 4" xfId="33499" xr:uid="{00000000-0005-0000-0000-0000E9820000}"/>
    <cellStyle name="Suma 2 28 9" xfId="33500" xr:uid="{00000000-0005-0000-0000-0000EA820000}"/>
    <cellStyle name="Suma 2 28 9 2" xfId="33501" xr:uid="{00000000-0005-0000-0000-0000EB820000}"/>
    <cellStyle name="Suma 2 28 9 3" xfId="33502" xr:uid="{00000000-0005-0000-0000-0000EC820000}"/>
    <cellStyle name="Suma 2 28 9 4" xfId="33503" xr:uid="{00000000-0005-0000-0000-0000ED820000}"/>
    <cellStyle name="Suma 2 29" xfId="33504" xr:uid="{00000000-0005-0000-0000-0000EE820000}"/>
    <cellStyle name="Suma 2 29 2" xfId="33505" xr:uid="{00000000-0005-0000-0000-0000EF820000}"/>
    <cellStyle name="Suma 2 29 3" xfId="33506" xr:uid="{00000000-0005-0000-0000-0000F0820000}"/>
    <cellStyle name="Suma 2 29 4" xfId="33507" xr:uid="{00000000-0005-0000-0000-0000F1820000}"/>
    <cellStyle name="Suma 2 3" xfId="33508" xr:uid="{00000000-0005-0000-0000-0000F2820000}"/>
    <cellStyle name="Suma 2 3 10" xfId="33509" xr:uid="{00000000-0005-0000-0000-0000F3820000}"/>
    <cellStyle name="Suma 2 3 10 2" xfId="33510" xr:uid="{00000000-0005-0000-0000-0000F4820000}"/>
    <cellStyle name="Suma 2 3 10 3" xfId="33511" xr:uid="{00000000-0005-0000-0000-0000F5820000}"/>
    <cellStyle name="Suma 2 3 10 4" xfId="33512" xr:uid="{00000000-0005-0000-0000-0000F6820000}"/>
    <cellStyle name="Suma 2 3 11" xfId="33513" xr:uid="{00000000-0005-0000-0000-0000F7820000}"/>
    <cellStyle name="Suma 2 3 11 2" xfId="33514" xr:uid="{00000000-0005-0000-0000-0000F8820000}"/>
    <cellStyle name="Suma 2 3 11 3" xfId="33515" xr:uid="{00000000-0005-0000-0000-0000F9820000}"/>
    <cellStyle name="Suma 2 3 11 4" xfId="33516" xr:uid="{00000000-0005-0000-0000-0000FA820000}"/>
    <cellStyle name="Suma 2 3 12" xfId="33517" xr:uid="{00000000-0005-0000-0000-0000FB820000}"/>
    <cellStyle name="Suma 2 3 12 2" xfId="33518" xr:uid="{00000000-0005-0000-0000-0000FC820000}"/>
    <cellStyle name="Suma 2 3 12 3" xfId="33519" xr:uid="{00000000-0005-0000-0000-0000FD820000}"/>
    <cellStyle name="Suma 2 3 12 4" xfId="33520" xr:uid="{00000000-0005-0000-0000-0000FE820000}"/>
    <cellStyle name="Suma 2 3 13" xfId="33521" xr:uid="{00000000-0005-0000-0000-0000FF820000}"/>
    <cellStyle name="Suma 2 3 13 2" xfId="33522" xr:uid="{00000000-0005-0000-0000-000000830000}"/>
    <cellStyle name="Suma 2 3 13 3" xfId="33523" xr:uid="{00000000-0005-0000-0000-000001830000}"/>
    <cellStyle name="Suma 2 3 13 4" xfId="33524" xr:uid="{00000000-0005-0000-0000-000002830000}"/>
    <cellStyle name="Suma 2 3 14" xfId="33525" xr:uid="{00000000-0005-0000-0000-000003830000}"/>
    <cellStyle name="Suma 2 3 14 2" xfId="33526" xr:uid="{00000000-0005-0000-0000-000004830000}"/>
    <cellStyle name="Suma 2 3 14 3" xfId="33527" xr:uid="{00000000-0005-0000-0000-000005830000}"/>
    <cellStyle name="Suma 2 3 14 4" xfId="33528" xr:uid="{00000000-0005-0000-0000-000006830000}"/>
    <cellStyle name="Suma 2 3 15" xfId="33529" xr:uid="{00000000-0005-0000-0000-000007830000}"/>
    <cellStyle name="Suma 2 3 15 2" xfId="33530" xr:uid="{00000000-0005-0000-0000-000008830000}"/>
    <cellStyle name="Suma 2 3 15 3" xfId="33531" xr:uid="{00000000-0005-0000-0000-000009830000}"/>
    <cellStyle name="Suma 2 3 15 4" xfId="33532" xr:uid="{00000000-0005-0000-0000-00000A830000}"/>
    <cellStyle name="Suma 2 3 16" xfId="33533" xr:uid="{00000000-0005-0000-0000-00000B830000}"/>
    <cellStyle name="Suma 2 3 16 2" xfId="33534" xr:uid="{00000000-0005-0000-0000-00000C830000}"/>
    <cellStyle name="Suma 2 3 16 3" xfId="33535" xr:uid="{00000000-0005-0000-0000-00000D830000}"/>
    <cellStyle name="Suma 2 3 16 4" xfId="33536" xr:uid="{00000000-0005-0000-0000-00000E830000}"/>
    <cellStyle name="Suma 2 3 17" xfId="33537" xr:uid="{00000000-0005-0000-0000-00000F830000}"/>
    <cellStyle name="Suma 2 3 17 2" xfId="33538" xr:uid="{00000000-0005-0000-0000-000010830000}"/>
    <cellStyle name="Suma 2 3 17 3" xfId="33539" xr:uid="{00000000-0005-0000-0000-000011830000}"/>
    <cellStyle name="Suma 2 3 17 4" xfId="33540" xr:uid="{00000000-0005-0000-0000-000012830000}"/>
    <cellStyle name="Suma 2 3 18" xfId="33541" xr:uid="{00000000-0005-0000-0000-000013830000}"/>
    <cellStyle name="Suma 2 3 18 2" xfId="33542" xr:uid="{00000000-0005-0000-0000-000014830000}"/>
    <cellStyle name="Suma 2 3 18 3" xfId="33543" xr:uid="{00000000-0005-0000-0000-000015830000}"/>
    <cellStyle name="Suma 2 3 18 4" xfId="33544" xr:uid="{00000000-0005-0000-0000-000016830000}"/>
    <cellStyle name="Suma 2 3 19" xfId="33545" xr:uid="{00000000-0005-0000-0000-000017830000}"/>
    <cellStyle name="Suma 2 3 19 2" xfId="33546" xr:uid="{00000000-0005-0000-0000-000018830000}"/>
    <cellStyle name="Suma 2 3 19 3" xfId="33547" xr:uid="{00000000-0005-0000-0000-000019830000}"/>
    <cellStyle name="Suma 2 3 19 4" xfId="33548" xr:uid="{00000000-0005-0000-0000-00001A830000}"/>
    <cellStyle name="Suma 2 3 2" xfId="33549" xr:uid="{00000000-0005-0000-0000-00001B830000}"/>
    <cellStyle name="Suma 2 3 2 2" xfId="33550" xr:uid="{00000000-0005-0000-0000-00001C830000}"/>
    <cellStyle name="Suma 2 3 2 3" xfId="33551" xr:uid="{00000000-0005-0000-0000-00001D830000}"/>
    <cellStyle name="Suma 2 3 2 4" xfId="33552" xr:uid="{00000000-0005-0000-0000-00001E830000}"/>
    <cellStyle name="Suma 2 3 20" xfId="33553" xr:uid="{00000000-0005-0000-0000-00001F830000}"/>
    <cellStyle name="Suma 2 3 20 2" xfId="33554" xr:uid="{00000000-0005-0000-0000-000020830000}"/>
    <cellStyle name="Suma 2 3 20 3" xfId="33555" xr:uid="{00000000-0005-0000-0000-000021830000}"/>
    <cellStyle name="Suma 2 3 20 4" xfId="33556" xr:uid="{00000000-0005-0000-0000-000022830000}"/>
    <cellStyle name="Suma 2 3 21" xfId="33557" xr:uid="{00000000-0005-0000-0000-000023830000}"/>
    <cellStyle name="Suma 2 3 21 2" xfId="33558" xr:uid="{00000000-0005-0000-0000-000024830000}"/>
    <cellStyle name="Suma 2 3 21 3" xfId="33559" xr:uid="{00000000-0005-0000-0000-000025830000}"/>
    <cellStyle name="Suma 2 3 22" xfId="33560" xr:uid="{00000000-0005-0000-0000-000026830000}"/>
    <cellStyle name="Suma 2 3 22 2" xfId="33561" xr:uid="{00000000-0005-0000-0000-000027830000}"/>
    <cellStyle name="Suma 2 3 22 3" xfId="33562" xr:uid="{00000000-0005-0000-0000-000028830000}"/>
    <cellStyle name="Suma 2 3 23" xfId="33563" xr:uid="{00000000-0005-0000-0000-000029830000}"/>
    <cellStyle name="Suma 2 3 23 2" xfId="33564" xr:uid="{00000000-0005-0000-0000-00002A830000}"/>
    <cellStyle name="Suma 2 3 23 3" xfId="33565" xr:uid="{00000000-0005-0000-0000-00002B830000}"/>
    <cellStyle name="Suma 2 3 24" xfId="33566" xr:uid="{00000000-0005-0000-0000-00002C830000}"/>
    <cellStyle name="Suma 2 3 24 2" xfId="33567" xr:uid="{00000000-0005-0000-0000-00002D830000}"/>
    <cellStyle name="Suma 2 3 24 3" xfId="33568" xr:uid="{00000000-0005-0000-0000-00002E830000}"/>
    <cellStyle name="Suma 2 3 25" xfId="33569" xr:uid="{00000000-0005-0000-0000-00002F830000}"/>
    <cellStyle name="Suma 2 3 25 2" xfId="33570" xr:uid="{00000000-0005-0000-0000-000030830000}"/>
    <cellStyle name="Suma 2 3 25 3" xfId="33571" xr:uid="{00000000-0005-0000-0000-000031830000}"/>
    <cellStyle name="Suma 2 3 26" xfId="33572" xr:uid="{00000000-0005-0000-0000-000032830000}"/>
    <cellStyle name="Suma 2 3 26 2" xfId="33573" xr:uid="{00000000-0005-0000-0000-000033830000}"/>
    <cellStyle name="Suma 2 3 26 3" xfId="33574" xr:uid="{00000000-0005-0000-0000-000034830000}"/>
    <cellStyle name="Suma 2 3 27" xfId="33575" xr:uid="{00000000-0005-0000-0000-000035830000}"/>
    <cellStyle name="Suma 2 3 27 2" xfId="33576" xr:uid="{00000000-0005-0000-0000-000036830000}"/>
    <cellStyle name="Suma 2 3 27 3" xfId="33577" xr:uid="{00000000-0005-0000-0000-000037830000}"/>
    <cellStyle name="Suma 2 3 28" xfId="33578" xr:uid="{00000000-0005-0000-0000-000038830000}"/>
    <cellStyle name="Suma 2 3 28 2" xfId="33579" xr:uid="{00000000-0005-0000-0000-000039830000}"/>
    <cellStyle name="Suma 2 3 28 3" xfId="33580" xr:uid="{00000000-0005-0000-0000-00003A830000}"/>
    <cellStyle name="Suma 2 3 29" xfId="33581" xr:uid="{00000000-0005-0000-0000-00003B830000}"/>
    <cellStyle name="Suma 2 3 29 2" xfId="33582" xr:uid="{00000000-0005-0000-0000-00003C830000}"/>
    <cellStyle name="Suma 2 3 29 3" xfId="33583" xr:uid="{00000000-0005-0000-0000-00003D830000}"/>
    <cellStyle name="Suma 2 3 3" xfId="33584" xr:uid="{00000000-0005-0000-0000-00003E830000}"/>
    <cellStyle name="Suma 2 3 3 2" xfId="33585" xr:uid="{00000000-0005-0000-0000-00003F830000}"/>
    <cellStyle name="Suma 2 3 3 3" xfId="33586" xr:uid="{00000000-0005-0000-0000-000040830000}"/>
    <cellStyle name="Suma 2 3 3 4" xfId="33587" xr:uid="{00000000-0005-0000-0000-000041830000}"/>
    <cellStyle name="Suma 2 3 30" xfId="33588" xr:uid="{00000000-0005-0000-0000-000042830000}"/>
    <cellStyle name="Suma 2 3 30 2" xfId="33589" xr:uid="{00000000-0005-0000-0000-000043830000}"/>
    <cellStyle name="Suma 2 3 30 3" xfId="33590" xr:uid="{00000000-0005-0000-0000-000044830000}"/>
    <cellStyle name="Suma 2 3 31" xfId="33591" xr:uid="{00000000-0005-0000-0000-000045830000}"/>
    <cellStyle name="Suma 2 3 31 2" xfId="33592" xr:uid="{00000000-0005-0000-0000-000046830000}"/>
    <cellStyle name="Suma 2 3 31 3" xfId="33593" xr:uid="{00000000-0005-0000-0000-000047830000}"/>
    <cellStyle name="Suma 2 3 32" xfId="33594" xr:uid="{00000000-0005-0000-0000-000048830000}"/>
    <cellStyle name="Suma 2 3 32 2" xfId="33595" xr:uid="{00000000-0005-0000-0000-000049830000}"/>
    <cellStyle name="Suma 2 3 32 3" xfId="33596" xr:uid="{00000000-0005-0000-0000-00004A830000}"/>
    <cellStyle name="Suma 2 3 33" xfId="33597" xr:uid="{00000000-0005-0000-0000-00004B830000}"/>
    <cellStyle name="Suma 2 3 33 2" xfId="33598" xr:uid="{00000000-0005-0000-0000-00004C830000}"/>
    <cellStyle name="Suma 2 3 33 3" xfId="33599" xr:uid="{00000000-0005-0000-0000-00004D830000}"/>
    <cellStyle name="Suma 2 3 34" xfId="33600" xr:uid="{00000000-0005-0000-0000-00004E830000}"/>
    <cellStyle name="Suma 2 3 34 2" xfId="33601" xr:uid="{00000000-0005-0000-0000-00004F830000}"/>
    <cellStyle name="Suma 2 3 34 3" xfId="33602" xr:uid="{00000000-0005-0000-0000-000050830000}"/>
    <cellStyle name="Suma 2 3 35" xfId="33603" xr:uid="{00000000-0005-0000-0000-000051830000}"/>
    <cellStyle name="Suma 2 3 35 2" xfId="33604" xr:uid="{00000000-0005-0000-0000-000052830000}"/>
    <cellStyle name="Suma 2 3 35 3" xfId="33605" xr:uid="{00000000-0005-0000-0000-000053830000}"/>
    <cellStyle name="Suma 2 3 36" xfId="33606" xr:uid="{00000000-0005-0000-0000-000054830000}"/>
    <cellStyle name="Suma 2 3 36 2" xfId="33607" xr:uid="{00000000-0005-0000-0000-000055830000}"/>
    <cellStyle name="Suma 2 3 36 3" xfId="33608" xr:uid="{00000000-0005-0000-0000-000056830000}"/>
    <cellStyle name="Suma 2 3 37" xfId="33609" xr:uid="{00000000-0005-0000-0000-000057830000}"/>
    <cellStyle name="Suma 2 3 37 2" xfId="33610" xr:uid="{00000000-0005-0000-0000-000058830000}"/>
    <cellStyle name="Suma 2 3 37 3" xfId="33611" xr:uid="{00000000-0005-0000-0000-000059830000}"/>
    <cellStyle name="Suma 2 3 38" xfId="33612" xr:uid="{00000000-0005-0000-0000-00005A830000}"/>
    <cellStyle name="Suma 2 3 38 2" xfId="33613" xr:uid="{00000000-0005-0000-0000-00005B830000}"/>
    <cellStyle name="Suma 2 3 38 3" xfId="33614" xr:uid="{00000000-0005-0000-0000-00005C830000}"/>
    <cellStyle name="Suma 2 3 39" xfId="33615" xr:uid="{00000000-0005-0000-0000-00005D830000}"/>
    <cellStyle name="Suma 2 3 39 2" xfId="33616" xr:uid="{00000000-0005-0000-0000-00005E830000}"/>
    <cellStyle name="Suma 2 3 39 3" xfId="33617" xr:uid="{00000000-0005-0000-0000-00005F830000}"/>
    <cellStyle name="Suma 2 3 4" xfId="33618" xr:uid="{00000000-0005-0000-0000-000060830000}"/>
    <cellStyle name="Suma 2 3 4 2" xfId="33619" xr:uid="{00000000-0005-0000-0000-000061830000}"/>
    <cellStyle name="Suma 2 3 4 3" xfId="33620" xr:uid="{00000000-0005-0000-0000-000062830000}"/>
    <cellStyle name="Suma 2 3 4 4" xfId="33621" xr:uid="{00000000-0005-0000-0000-000063830000}"/>
    <cellStyle name="Suma 2 3 40" xfId="33622" xr:uid="{00000000-0005-0000-0000-000064830000}"/>
    <cellStyle name="Suma 2 3 40 2" xfId="33623" xr:uid="{00000000-0005-0000-0000-000065830000}"/>
    <cellStyle name="Suma 2 3 40 3" xfId="33624" xr:uid="{00000000-0005-0000-0000-000066830000}"/>
    <cellStyle name="Suma 2 3 41" xfId="33625" xr:uid="{00000000-0005-0000-0000-000067830000}"/>
    <cellStyle name="Suma 2 3 41 2" xfId="33626" xr:uid="{00000000-0005-0000-0000-000068830000}"/>
    <cellStyle name="Suma 2 3 41 3" xfId="33627" xr:uid="{00000000-0005-0000-0000-000069830000}"/>
    <cellStyle name="Suma 2 3 42" xfId="33628" xr:uid="{00000000-0005-0000-0000-00006A830000}"/>
    <cellStyle name="Suma 2 3 42 2" xfId="33629" xr:uid="{00000000-0005-0000-0000-00006B830000}"/>
    <cellStyle name="Suma 2 3 42 3" xfId="33630" xr:uid="{00000000-0005-0000-0000-00006C830000}"/>
    <cellStyle name="Suma 2 3 43" xfId="33631" xr:uid="{00000000-0005-0000-0000-00006D830000}"/>
    <cellStyle name="Suma 2 3 43 2" xfId="33632" xr:uid="{00000000-0005-0000-0000-00006E830000}"/>
    <cellStyle name="Suma 2 3 43 3" xfId="33633" xr:uid="{00000000-0005-0000-0000-00006F830000}"/>
    <cellStyle name="Suma 2 3 44" xfId="33634" xr:uid="{00000000-0005-0000-0000-000070830000}"/>
    <cellStyle name="Suma 2 3 44 2" xfId="33635" xr:uid="{00000000-0005-0000-0000-000071830000}"/>
    <cellStyle name="Suma 2 3 44 3" xfId="33636" xr:uid="{00000000-0005-0000-0000-000072830000}"/>
    <cellStyle name="Suma 2 3 45" xfId="33637" xr:uid="{00000000-0005-0000-0000-000073830000}"/>
    <cellStyle name="Suma 2 3 45 2" xfId="33638" xr:uid="{00000000-0005-0000-0000-000074830000}"/>
    <cellStyle name="Suma 2 3 45 3" xfId="33639" xr:uid="{00000000-0005-0000-0000-000075830000}"/>
    <cellStyle name="Suma 2 3 46" xfId="33640" xr:uid="{00000000-0005-0000-0000-000076830000}"/>
    <cellStyle name="Suma 2 3 46 2" xfId="33641" xr:uid="{00000000-0005-0000-0000-000077830000}"/>
    <cellStyle name="Suma 2 3 46 3" xfId="33642" xr:uid="{00000000-0005-0000-0000-000078830000}"/>
    <cellStyle name="Suma 2 3 47" xfId="33643" xr:uid="{00000000-0005-0000-0000-000079830000}"/>
    <cellStyle name="Suma 2 3 47 2" xfId="33644" xr:uid="{00000000-0005-0000-0000-00007A830000}"/>
    <cellStyle name="Suma 2 3 47 3" xfId="33645" xr:uid="{00000000-0005-0000-0000-00007B830000}"/>
    <cellStyle name="Suma 2 3 48" xfId="33646" xr:uid="{00000000-0005-0000-0000-00007C830000}"/>
    <cellStyle name="Suma 2 3 48 2" xfId="33647" xr:uid="{00000000-0005-0000-0000-00007D830000}"/>
    <cellStyle name="Suma 2 3 48 3" xfId="33648" xr:uid="{00000000-0005-0000-0000-00007E830000}"/>
    <cellStyle name="Suma 2 3 49" xfId="33649" xr:uid="{00000000-0005-0000-0000-00007F830000}"/>
    <cellStyle name="Suma 2 3 49 2" xfId="33650" xr:uid="{00000000-0005-0000-0000-000080830000}"/>
    <cellStyle name="Suma 2 3 49 3" xfId="33651" xr:uid="{00000000-0005-0000-0000-000081830000}"/>
    <cellStyle name="Suma 2 3 5" xfId="33652" xr:uid="{00000000-0005-0000-0000-000082830000}"/>
    <cellStyle name="Suma 2 3 5 2" xfId="33653" xr:uid="{00000000-0005-0000-0000-000083830000}"/>
    <cellStyle name="Suma 2 3 5 3" xfId="33654" xr:uid="{00000000-0005-0000-0000-000084830000}"/>
    <cellStyle name="Suma 2 3 5 4" xfId="33655" xr:uid="{00000000-0005-0000-0000-000085830000}"/>
    <cellStyle name="Suma 2 3 50" xfId="33656" xr:uid="{00000000-0005-0000-0000-000086830000}"/>
    <cellStyle name="Suma 2 3 50 2" xfId="33657" xr:uid="{00000000-0005-0000-0000-000087830000}"/>
    <cellStyle name="Suma 2 3 50 3" xfId="33658" xr:uid="{00000000-0005-0000-0000-000088830000}"/>
    <cellStyle name="Suma 2 3 51" xfId="33659" xr:uid="{00000000-0005-0000-0000-000089830000}"/>
    <cellStyle name="Suma 2 3 51 2" xfId="33660" xr:uid="{00000000-0005-0000-0000-00008A830000}"/>
    <cellStyle name="Suma 2 3 51 3" xfId="33661" xr:uid="{00000000-0005-0000-0000-00008B830000}"/>
    <cellStyle name="Suma 2 3 52" xfId="33662" xr:uid="{00000000-0005-0000-0000-00008C830000}"/>
    <cellStyle name="Suma 2 3 52 2" xfId="33663" xr:uid="{00000000-0005-0000-0000-00008D830000}"/>
    <cellStyle name="Suma 2 3 52 3" xfId="33664" xr:uid="{00000000-0005-0000-0000-00008E830000}"/>
    <cellStyle name="Suma 2 3 53" xfId="33665" xr:uid="{00000000-0005-0000-0000-00008F830000}"/>
    <cellStyle name="Suma 2 3 53 2" xfId="33666" xr:uid="{00000000-0005-0000-0000-000090830000}"/>
    <cellStyle name="Suma 2 3 53 3" xfId="33667" xr:uid="{00000000-0005-0000-0000-000091830000}"/>
    <cellStyle name="Suma 2 3 54" xfId="33668" xr:uid="{00000000-0005-0000-0000-000092830000}"/>
    <cellStyle name="Suma 2 3 54 2" xfId="33669" xr:uid="{00000000-0005-0000-0000-000093830000}"/>
    <cellStyle name="Suma 2 3 54 3" xfId="33670" xr:uid="{00000000-0005-0000-0000-000094830000}"/>
    <cellStyle name="Suma 2 3 55" xfId="33671" xr:uid="{00000000-0005-0000-0000-000095830000}"/>
    <cellStyle name="Suma 2 3 55 2" xfId="33672" xr:uid="{00000000-0005-0000-0000-000096830000}"/>
    <cellStyle name="Suma 2 3 55 3" xfId="33673" xr:uid="{00000000-0005-0000-0000-000097830000}"/>
    <cellStyle name="Suma 2 3 56" xfId="33674" xr:uid="{00000000-0005-0000-0000-000098830000}"/>
    <cellStyle name="Suma 2 3 56 2" xfId="33675" xr:uid="{00000000-0005-0000-0000-000099830000}"/>
    <cellStyle name="Suma 2 3 56 3" xfId="33676" xr:uid="{00000000-0005-0000-0000-00009A830000}"/>
    <cellStyle name="Suma 2 3 57" xfId="33677" xr:uid="{00000000-0005-0000-0000-00009B830000}"/>
    <cellStyle name="Suma 2 3 58" xfId="33678" xr:uid="{00000000-0005-0000-0000-00009C830000}"/>
    <cellStyle name="Suma 2 3 6" xfId="33679" xr:uid="{00000000-0005-0000-0000-00009D830000}"/>
    <cellStyle name="Suma 2 3 6 2" xfId="33680" xr:uid="{00000000-0005-0000-0000-00009E830000}"/>
    <cellStyle name="Suma 2 3 6 3" xfId="33681" xr:uid="{00000000-0005-0000-0000-00009F830000}"/>
    <cellStyle name="Suma 2 3 6 4" xfId="33682" xr:uid="{00000000-0005-0000-0000-0000A0830000}"/>
    <cellStyle name="Suma 2 3 7" xfId="33683" xr:uid="{00000000-0005-0000-0000-0000A1830000}"/>
    <cellStyle name="Suma 2 3 7 2" xfId="33684" xr:uid="{00000000-0005-0000-0000-0000A2830000}"/>
    <cellStyle name="Suma 2 3 7 3" xfId="33685" xr:uid="{00000000-0005-0000-0000-0000A3830000}"/>
    <cellStyle name="Suma 2 3 7 4" xfId="33686" xr:uid="{00000000-0005-0000-0000-0000A4830000}"/>
    <cellStyle name="Suma 2 3 8" xfId="33687" xr:uid="{00000000-0005-0000-0000-0000A5830000}"/>
    <cellStyle name="Suma 2 3 8 2" xfId="33688" xr:uid="{00000000-0005-0000-0000-0000A6830000}"/>
    <cellStyle name="Suma 2 3 8 3" xfId="33689" xr:uid="{00000000-0005-0000-0000-0000A7830000}"/>
    <cellStyle name="Suma 2 3 8 4" xfId="33690" xr:uid="{00000000-0005-0000-0000-0000A8830000}"/>
    <cellStyle name="Suma 2 3 9" xfId="33691" xr:uid="{00000000-0005-0000-0000-0000A9830000}"/>
    <cellStyle name="Suma 2 3 9 2" xfId="33692" xr:uid="{00000000-0005-0000-0000-0000AA830000}"/>
    <cellStyle name="Suma 2 3 9 3" xfId="33693" xr:uid="{00000000-0005-0000-0000-0000AB830000}"/>
    <cellStyle name="Suma 2 3 9 4" xfId="33694" xr:uid="{00000000-0005-0000-0000-0000AC830000}"/>
    <cellStyle name="Suma 2 30" xfId="33695" xr:uid="{00000000-0005-0000-0000-0000AD830000}"/>
    <cellStyle name="Suma 2 30 2" xfId="33696" xr:uid="{00000000-0005-0000-0000-0000AE830000}"/>
    <cellStyle name="Suma 2 30 3" xfId="33697" xr:uid="{00000000-0005-0000-0000-0000AF830000}"/>
    <cellStyle name="Suma 2 30 4" xfId="33698" xr:uid="{00000000-0005-0000-0000-0000B0830000}"/>
    <cellStyle name="Suma 2 31" xfId="33699" xr:uid="{00000000-0005-0000-0000-0000B1830000}"/>
    <cellStyle name="Suma 2 31 2" xfId="33700" xr:uid="{00000000-0005-0000-0000-0000B2830000}"/>
    <cellStyle name="Suma 2 31 3" xfId="33701" xr:uid="{00000000-0005-0000-0000-0000B3830000}"/>
    <cellStyle name="Suma 2 31 4" xfId="33702" xr:uid="{00000000-0005-0000-0000-0000B4830000}"/>
    <cellStyle name="Suma 2 32" xfId="33703" xr:uid="{00000000-0005-0000-0000-0000B5830000}"/>
    <cellStyle name="Suma 2 32 2" xfId="33704" xr:uid="{00000000-0005-0000-0000-0000B6830000}"/>
    <cellStyle name="Suma 2 32 3" xfId="33705" xr:uid="{00000000-0005-0000-0000-0000B7830000}"/>
    <cellStyle name="Suma 2 32 4" xfId="33706" xr:uid="{00000000-0005-0000-0000-0000B8830000}"/>
    <cellStyle name="Suma 2 33" xfId="33707" xr:uid="{00000000-0005-0000-0000-0000B9830000}"/>
    <cellStyle name="Suma 2 33 2" xfId="33708" xr:uid="{00000000-0005-0000-0000-0000BA830000}"/>
    <cellStyle name="Suma 2 33 3" xfId="33709" xr:uid="{00000000-0005-0000-0000-0000BB830000}"/>
    <cellStyle name="Suma 2 33 4" xfId="33710" xr:uid="{00000000-0005-0000-0000-0000BC830000}"/>
    <cellStyle name="Suma 2 34" xfId="33711" xr:uid="{00000000-0005-0000-0000-0000BD830000}"/>
    <cellStyle name="Suma 2 34 2" xfId="33712" xr:uid="{00000000-0005-0000-0000-0000BE830000}"/>
    <cellStyle name="Suma 2 34 3" xfId="33713" xr:uid="{00000000-0005-0000-0000-0000BF830000}"/>
    <cellStyle name="Suma 2 34 4" xfId="33714" xr:uid="{00000000-0005-0000-0000-0000C0830000}"/>
    <cellStyle name="Suma 2 35" xfId="33715" xr:uid="{00000000-0005-0000-0000-0000C1830000}"/>
    <cellStyle name="Suma 2 35 2" xfId="33716" xr:uid="{00000000-0005-0000-0000-0000C2830000}"/>
    <cellStyle name="Suma 2 35 3" xfId="33717" xr:uid="{00000000-0005-0000-0000-0000C3830000}"/>
    <cellStyle name="Suma 2 35 4" xfId="33718" xr:uid="{00000000-0005-0000-0000-0000C4830000}"/>
    <cellStyle name="Suma 2 36" xfId="33719" xr:uid="{00000000-0005-0000-0000-0000C5830000}"/>
    <cellStyle name="Suma 2 36 2" xfId="33720" xr:uid="{00000000-0005-0000-0000-0000C6830000}"/>
    <cellStyle name="Suma 2 36 3" xfId="33721" xr:uid="{00000000-0005-0000-0000-0000C7830000}"/>
    <cellStyle name="Suma 2 36 4" xfId="33722" xr:uid="{00000000-0005-0000-0000-0000C8830000}"/>
    <cellStyle name="Suma 2 37" xfId="33723" xr:uid="{00000000-0005-0000-0000-0000C9830000}"/>
    <cellStyle name="Suma 2 37 2" xfId="33724" xr:uid="{00000000-0005-0000-0000-0000CA830000}"/>
    <cellStyle name="Suma 2 37 3" xfId="33725" xr:uid="{00000000-0005-0000-0000-0000CB830000}"/>
    <cellStyle name="Suma 2 37 4" xfId="33726" xr:uid="{00000000-0005-0000-0000-0000CC830000}"/>
    <cellStyle name="Suma 2 38" xfId="33727" xr:uid="{00000000-0005-0000-0000-0000CD830000}"/>
    <cellStyle name="Suma 2 38 2" xfId="33728" xr:uid="{00000000-0005-0000-0000-0000CE830000}"/>
    <cellStyle name="Suma 2 38 3" xfId="33729" xr:uid="{00000000-0005-0000-0000-0000CF830000}"/>
    <cellStyle name="Suma 2 38 4" xfId="33730" xr:uid="{00000000-0005-0000-0000-0000D0830000}"/>
    <cellStyle name="Suma 2 39" xfId="33731" xr:uid="{00000000-0005-0000-0000-0000D1830000}"/>
    <cellStyle name="Suma 2 39 2" xfId="33732" xr:uid="{00000000-0005-0000-0000-0000D2830000}"/>
    <cellStyle name="Suma 2 39 3" xfId="33733" xr:uid="{00000000-0005-0000-0000-0000D3830000}"/>
    <cellStyle name="Suma 2 39 4" xfId="33734" xr:uid="{00000000-0005-0000-0000-0000D4830000}"/>
    <cellStyle name="Suma 2 4" xfId="33735" xr:uid="{00000000-0005-0000-0000-0000D5830000}"/>
    <cellStyle name="Suma 2 4 10" xfId="33736" xr:uid="{00000000-0005-0000-0000-0000D6830000}"/>
    <cellStyle name="Suma 2 4 10 2" xfId="33737" xr:uid="{00000000-0005-0000-0000-0000D7830000}"/>
    <cellStyle name="Suma 2 4 10 3" xfId="33738" xr:uid="{00000000-0005-0000-0000-0000D8830000}"/>
    <cellStyle name="Suma 2 4 10 4" xfId="33739" xr:uid="{00000000-0005-0000-0000-0000D9830000}"/>
    <cellStyle name="Suma 2 4 11" xfId="33740" xr:uid="{00000000-0005-0000-0000-0000DA830000}"/>
    <cellStyle name="Suma 2 4 11 2" xfId="33741" xr:uid="{00000000-0005-0000-0000-0000DB830000}"/>
    <cellStyle name="Suma 2 4 11 3" xfId="33742" xr:uid="{00000000-0005-0000-0000-0000DC830000}"/>
    <cellStyle name="Suma 2 4 11 4" xfId="33743" xr:uid="{00000000-0005-0000-0000-0000DD830000}"/>
    <cellStyle name="Suma 2 4 12" xfId="33744" xr:uid="{00000000-0005-0000-0000-0000DE830000}"/>
    <cellStyle name="Suma 2 4 12 2" xfId="33745" xr:uid="{00000000-0005-0000-0000-0000DF830000}"/>
    <cellStyle name="Suma 2 4 12 3" xfId="33746" xr:uid="{00000000-0005-0000-0000-0000E0830000}"/>
    <cellStyle name="Suma 2 4 12 4" xfId="33747" xr:uid="{00000000-0005-0000-0000-0000E1830000}"/>
    <cellStyle name="Suma 2 4 13" xfId="33748" xr:uid="{00000000-0005-0000-0000-0000E2830000}"/>
    <cellStyle name="Suma 2 4 13 2" xfId="33749" xr:uid="{00000000-0005-0000-0000-0000E3830000}"/>
    <cellStyle name="Suma 2 4 13 3" xfId="33750" xr:uid="{00000000-0005-0000-0000-0000E4830000}"/>
    <cellStyle name="Suma 2 4 13 4" xfId="33751" xr:uid="{00000000-0005-0000-0000-0000E5830000}"/>
    <cellStyle name="Suma 2 4 14" xfId="33752" xr:uid="{00000000-0005-0000-0000-0000E6830000}"/>
    <cellStyle name="Suma 2 4 14 2" xfId="33753" xr:uid="{00000000-0005-0000-0000-0000E7830000}"/>
    <cellStyle name="Suma 2 4 14 3" xfId="33754" xr:uid="{00000000-0005-0000-0000-0000E8830000}"/>
    <cellStyle name="Suma 2 4 14 4" xfId="33755" xr:uid="{00000000-0005-0000-0000-0000E9830000}"/>
    <cellStyle name="Suma 2 4 15" xfId="33756" xr:uid="{00000000-0005-0000-0000-0000EA830000}"/>
    <cellStyle name="Suma 2 4 15 2" xfId="33757" xr:uid="{00000000-0005-0000-0000-0000EB830000}"/>
    <cellStyle name="Suma 2 4 15 3" xfId="33758" xr:uid="{00000000-0005-0000-0000-0000EC830000}"/>
    <cellStyle name="Suma 2 4 15 4" xfId="33759" xr:uid="{00000000-0005-0000-0000-0000ED830000}"/>
    <cellStyle name="Suma 2 4 16" xfId="33760" xr:uid="{00000000-0005-0000-0000-0000EE830000}"/>
    <cellStyle name="Suma 2 4 16 2" xfId="33761" xr:uid="{00000000-0005-0000-0000-0000EF830000}"/>
    <cellStyle name="Suma 2 4 16 3" xfId="33762" xr:uid="{00000000-0005-0000-0000-0000F0830000}"/>
    <cellStyle name="Suma 2 4 16 4" xfId="33763" xr:uid="{00000000-0005-0000-0000-0000F1830000}"/>
    <cellStyle name="Suma 2 4 17" xfId="33764" xr:uid="{00000000-0005-0000-0000-0000F2830000}"/>
    <cellStyle name="Suma 2 4 17 2" xfId="33765" xr:uid="{00000000-0005-0000-0000-0000F3830000}"/>
    <cellStyle name="Suma 2 4 17 3" xfId="33766" xr:uid="{00000000-0005-0000-0000-0000F4830000}"/>
    <cellStyle name="Suma 2 4 17 4" xfId="33767" xr:uid="{00000000-0005-0000-0000-0000F5830000}"/>
    <cellStyle name="Suma 2 4 18" xfId="33768" xr:uid="{00000000-0005-0000-0000-0000F6830000}"/>
    <cellStyle name="Suma 2 4 18 2" xfId="33769" xr:uid="{00000000-0005-0000-0000-0000F7830000}"/>
    <cellStyle name="Suma 2 4 18 3" xfId="33770" xr:uid="{00000000-0005-0000-0000-0000F8830000}"/>
    <cellStyle name="Suma 2 4 18 4" xfId="33771" xr:uid="{00000000-0005-0000-0000-0000F9830000}"/>
    <cellStyle name="Suma 2 4 19" xfId="33772" xr:uid="{00000000-0005-0000-0000-0000FA830000}"/>
    <cellStyle name="Suma 2 4 19 2" xfId="33773" xr:uid="{00000000-0005-0000-0000-0000FB830000}"/>
    <cellStyle name="Suma 2 4 19 3" xfId="33774" xr:uid="{00000000-0005-0000-0000-0000FC830000}"/>
    <cellStyle name="Suma 2 4 19 4" xfId="33775" xr:uid="{00000000-0005-0000-0000-0000FD830000}"/>
    <cellStyle name="Suma 2 4 2" xfId="33776" xr:uid="{00000000-0005-0000-0000-0000FE830000}"/>
    <cellStyle name="Suma 2 4 2 2" xfId="33777" xr:uid="{00000000-0005-0000-0000-0000FF830000}"/>
    <cellStyle name="Suma 2 4 2 3" xfId="33778" xr:uid="{00000000-0005-0000-0000-000000840000}"/>
    <cellStyle name="Suma 2 4 2 4" xfId="33779" xr:uid="{00000000-0005-0000-0000-000001840000}"/>
    <cellStyle name="Suma 2 4 20" xfId="33780" xr:uid="{00000000-0005-0000-0000-000002840000}"/>
    <cellStyle name="Suma 2 4 20 2" xfId="33781" xr:uid="{00000000-0005-0000-0000-000003840000}"/>
    <cellStyle name="Suma 2 4 20 3" xfId="33782" xr:uid="{00000000-0005-0000-0000-000004840000}"/>
    <cellStyle name="Suma 2 4 20 4" xfId="33783" xr:uid="{00000000-0005-0000-0000-000005840000}"/>
    <cellStyle name="Suma 2 4 21" xfId="33784" xr:uid="{00000000-0005-0000-0000-000006840000}"/>
    <cellStyle name="Suma 2 4 21 2" xfId="33785" xr:uid="{00000000-0005-0000-0000-000007840000}"/>
    <cellStyle name="Suma 2 4 21 3" xfId="33786" xr:uid="{00000000-0005-0000-0000-000008840000}"/>
    <cellStyle name="Suma 2 4 22" xfId="33787" xr:uid="{00000000-0005-0000-0000-000009840000}"/>
    <cellStyle name="Suma 2 4 22 2" xfId="33788" xr:uid="{00000000-0005-0000-0000-00000A840000}"/>
    <cellStyle name="Suma 2 4 22 3" xfId="33789" xr:uid="{00000000-0005-0000-0000-00000B840000}"/>
    <cellStyle name="Suma 2 4 23" xfId="33790" xr:uid="{00000000-0005-0000-0000-00000C840000}"/>
    <cellStyle name="Suma 2 4 23 2" xfId="33791" xr:uid="{00000000-0005-0000-0000-00000D840000}"/>
    <cellStyle name="Suma 2 4 23 3" xfId="33792" xr:uid="{00000000-0005-0000-0000-00000E840000}"/>
    <cellStyle name="Suma 2 4 24" xfId="33793" xr:uid="{00000000-0005-0000-0000-00000F840000}"/>
    <cellStyle name="Suma 2 4 24 2" xfId="33794" xr:uid="{00000000-0005-0000-0000-000010840000}"/>
    <cellStyle name="Suma 2 4 24 3" xfId="33795" xr:uid="{00000000-0005-0000-0000-000011840000}"/>
    <cellStyle name="Suma 2 4 25" xfId="33796" xr:uid="{00000000-0005-0000-0000-000012840000}"/>
    <cellStyle name="Suma 2 4 25 2" xfId="33797" xr:uid="{00000000-0005-0000-0000-000013840000}"/>
    <cellStyle name="Suma 2 4 25 3" xfId="33798" xr:uid="{00000000-0005-0000-0000-000014840000}"/>
    <cellStyle name="Suma 2 4 26" xfId="33799" xr:uid="{00000000-0005-0000-0000-000015840000}"/>
    <cellStyle name="Suma 2 4 26 2" xfId="33800" xr:uid="{00000000-0005-0000-0000-000016840000}"/>
    <cellStyle name="Suma 2 4 26 3" xfId="33801" xr:uid="{00000000-0005-0000-0000-000017840000}"/>
    <cellStyle name="Suma 2 4 27" xfId="33802" xr:uid="{00000000-0005-0000-0000-000018840000}"/>
    <cellStyle name="Suma 2 4 27 2" xfId="33803" xr:uid="{00000000-0005-0000-0000-000019840000}"/>
    <cellStyle name="Suma 2 4 27 3" xfId="33804" xr:uid="{00000000-0005-0000-0000-00001A840000}"/>
    <cellStyle name="Suma 2 4 28" xfId="33805" xr:uid="{00000000-0005-0000-0000-00001B840000}"/>
    <cellStyle name="Suma 2 4 28 2" xfId="33806" xr:uid="{00000000-0005-0000-0000-00001C840000}"/>
    <cellStyle name="Suma 2 4 28 3" xfId="33807" xr:uid="{00000000-0005-0000-0000-00001D840000}"/>
    <cellStyle name="Suma 2 4 29" xfId="33808" xr:uid="{00000000-0005-0000-0000-00001E840000}"/>
    <cellStyle name="Suma 2 4 29 2" xfId="33809" xr:uid="{00000000-0005-0000-0000-00001F840000}"/>
    <cellStyle name="Suma 2 4 29 3" xfId="33810" xr:uid="{00000000-0005-0000-0000-000020840000}"/>
    <cellStyle name="Suma 2 4 3" xfId="33811" xr:uid="{00000000-0005-0000-0000-000021840000}"/>
    <cellStyle name="Suma 2 4 3 2" xfId="33812" xr:uid="{00000000-0005-0000-0000-000022840000}"/>
    <cellStyle name="Suma 2 4 3 3" xfId="33813" xr:uid="{00000000-0005-0000-0000-000023840000}"/>
    <cellStyle name="Suma 2 4 3 4" xfId="33814" xr:uid="{00000000-0005-0000-0000-000024840000}"/>
    <cellStyle name="Suma 2 4 30" xfId="33815" xr:uid="{00000000-0005-0000-0000-000025840000}"/>
    <cellStyle name="Suma 2 4 30 2" xfId="33816" xr:uid="{00000000-0005-0000-0000-000026840000}"/>
    <cellStyle name="Suma 2 4 30 3" xfId="33817" xr:uid="{00000000-0005-0000-0000-000027840000}"/>
    <cellStyle name="Suma 2 4 31" xfId="33818" xr:uid="{00000000-0005-0000-0000-000028840000}"/>
    <cellStyle name="Suma 2 4 31 2" xfId="33819" xr:uid="{00000000-0005-0000-0000-000029840000}"/>
    <cellStyle name="Suma 2 4 31 3" xfId="33820" xr:uid="{00000000-0005-0000-0000-00002A840000}"/>
    <cellStyle name="Suma 2 4 32" xfId="33821" xr:uid="{00000000-0005-0000-0000-00002B840000}"/>
    <cellStyle name="Suma 2 4 32 2" xfId="33822" xr:uid="{00000000-0005-0000-0000-00002C840000}"/>
    <cellStyle name="Suma 2 4 32 3" xfId="33823" xr:uid="{00000000-0005-0000-0000-00002D840000}"/>
    <cellStyle name="Suma 2 4 33" xfId="33824" xr:uid="{00000000-0005-0000-0000-00002E840000}"/>
    <cellStyle name="Suma 2 4 33 2" xfId="33825" xr:uid="{00000000-0005-0000-0000-00002F840000}"/>
    <cellStyle name="Suma 2 4 33 3" xfId="33826" xr:uid="{00000000-0005-0000-0000-000030840000}"/>
    <cellStyle name="Suma 2 4 34" xfId="33827" xr:uid="{00000000-0005-0000-0000-000031840000}"/>
    <cellStyle name="Suma 2 4 34 2" xfId="33828" xr:uid="{00000000-0005-0000-0000-000032840000}"/>
    <cellStyle name="Suma 2 4 34 3" xfId="33829" xr:uid="{00000000-0005-0000-0000-000033840000}"/>
    <cellStyle name="Suma 2 4 35" xfId="33830" xr:uid="{00000000-0005-0000-0000-000034840000}"/>
    <cellStyle name="Suma 2 4 35 2" xfId="33831" xr:uid="{00000000-0005-0000-0000-000035840000}"/>
    <cellStyle name="Suma 2 4 35 3" xfId="33832" xr:uid="{00000000-0005-0000-0000-000036840000}"/>
    <cellStyle name="Suma 2 4 36" xfId="33833" xr:uid="{00000000-0005-0000-0000-000037840000}"/>
    <cellStyle name="Suma 2 4 36 2" xfId="33834" xr:uid="{00000000-0005-0000-0000-000038840000}"/>
    <cellStyle name="Suma 2 4 36 3" xfId="33835" xr:uid="{00000000-0005-0000-0000-000039840000}"/>
    <cellStyle name="Suma 2 4 37" xfId="33836" xr:uid="{00000000-0005-0000-0000-00003A840000}"/>
    <cellStyle name="Suma 2 4 37 2" xfId="33837" xr:uid="{00000000-0005-0000-0000-00003B840000}"/>
    <cellStyle name="Suma 2 4 37 3" xfId="33838" xr:uid="{00000000-0005-0000-0000-00003C840000}"/>
    <cellStyle name="Suma 2 4 38" xfId="33839" xr:uid="{00000000-0005-0000-0000-00003D840000}"/>
    <cellStyle name="Suma 2 4 38 2" xfId="33840" xr:uid="{00000000-0005-0000-0000-00003E840000}"/>
    <cellStyle name="Suma 2 4 38 3" xfId="33841" xr:uid="{00000000-0005-0000-0000-00003F840000}"/>
    <cellStyle name="Suma 2 4 39" xfId="33842" xr:uid="{00000000-0005-0000-0000-000040840000}"/>
    <cellStyle name="Suma 2 4 39 2" xfId="33843" xr:uid="{00000000-0005-0000-0000-000041840000}"/>
    <cellStyle name="Suma 2 4 39 3" xfId="33844" xr:uid="{00000000-0005-0000-0000-000042840000}"/>
    <cellStyle name="Suma 2 4 4" xfId="33845" xr:uid="{00000000-0005-0000-0000-000043840000}"/>
    <cellStyle name="Suma 2 4 4 2" xfId="33846" xr:uid="{00000000-0005-0000-0000-000044840000}"/>
    <cellStyle name="Suma 2 4 4 3" xfId="33847" xr:uid="{00000000-0005-0000-0000-000045840000}"/>
    <cellStyle name="Suma 2 4 4 4" xfId="33848" xr:uid="{00000000-0005-0000-0000-000046840000}"/>
    <cellStyle name="Suma 2 4 40" xfId="33849" xr:uid="{00000000-0005-0000-0000-000047840000}"/>
    <cellStyle name="Suma 2 4 40 2" xfId="33850" xr:uid="{00000000-0005-0000-0000-000048840000}"/>
    <cellStyle name="Suma 2 4 40 3" xfId="33851" xr:uid="{00000000-0005-0000-0000-000049840000}"/>
    <cellStyle name="Suma 2 4 41" xfId="33852" xr:uid="{00000000-0005-0000-0000-00004A840000}"/>
    <cellStyle name="Suma 2 4 41 2" xfId="33853" xr:uid="{00000000-0005-0000-0000-00004B840000}"/>
    <cellStyle name="Suma 2 4 41 3" xfId="33854" xr:uid="{00000000-0005-0000-0000-00004C840000}"/>
    <cellStyle name="Suma 2 4 42" xfId="33855" xr:uid="{00000000-0005-0000-0000-00004D840000}"/>
    <cellStyle name="Suma 2 4 42 2" xfId="33856" xr:uid="{00000000-0005-0000-0000-00004E840000}"/>
    <cellStyle name="Suma 2 4 42 3" xfId="33857" xr:uid="{00000000-0005-0000-0000-00004F840000}"/>
    <cellStyle name="Suma 2 4 43" xfId="33858" xr:uid="{00000000-0005-0000-0000-000050840000}"/>
    <cellStyle name="Suma 2 4 43 2" xfId="33859" xr:uid="{00000000-0005-0000-0000-000051840000}"/>
    <cellStyle name="Suma 2 4 43 3" xfId="33860" xr:uid="{00000000-0005-0000-0000-000052840000}"/>
    <cellStyle name="Suma 2 4 44" xfId="33861" xr:uid="{00000000-0005-0000-0000-000053840000}"/>
    <cellStyle name="Suma 2 4 44 2" xfId="33862" xr:uid="{00000000-0005-0000-0000-000054840000}"/>
    <cellStyle name="Suma 2 4 44 3" xfId="33863" xr:uid="{00000000-0005-0000-0000-000055840000}"/>
    <cellStyle name="Suma 2 4 45" xfId="33864" xr:uid="{00000000-0005-0000-0000-000056840000}"/>
    <cellStyle name="Suma 2 4 45 2" xfId="33865" xr:uid="{00000000-0005-0000-0000-000057840000}"/>
    <cellStyle name="Suma 2 4 45 3" xfId="33866" xr:uid="{00000000-0005-0000-0000-000058840000}"/>
    <cellStyle name="Suma 2 4 46" xfId="33867" xr:uid="{00000000-0005-0000-0000-000059840000}"/>
    <cellStyle name="Suma 2 4 46 2" xfId="33868" xr:uid="{00000000-0005-0000-0000-00005A840000}"/>
    <cellStyle name="Suma 2 4 46 3" xfId="33869" xr:uid="{00000000-0005-0000-0000-00005B840000}"/>
    <cellStyle name="Suma 2 4 47" xfId="33870" xr:uid="{00000000-0005-0000-0000-00005C840000}"/>
    <cellStyle name="Suma 2 4 47 2" xfId="33871" xr:uid="{00000000-0005-0000-0000-00005D840000}"/>
    <cellStyle name="Suma 2 4 47 3" xfId="33872" xr:uid="{00000000-0005-0000-0000-00005E840000}"/>
    <cellStyle name="Suma 2 4 48" xfId="33873" xr:uid="{00000000-0005-0000-0000-00005F840000}"/>
    <cellStyle name="Suma 2 4 48 2" xfId="33874" xr:uid="{00000000-0005-0000-0000-000060840000}"/>
    <cellStyle name="Suma 2 4 48 3" xfId="33875" xr:uid="{00000000-0005-0000-0000-000061840000}"/>
    <cellStyle name="Suma 2 4 49" xfId="33876" xr:uid="{00000000-0005-0000-0000-000062840000}"/>
    <cellStyle name="Suma 2 4 49 2" xfId="33877" xr:uid="{00000000-0005-0000-0000-000063840000}"/>
    <cellStyle name="Suma 2 4 49 3" xfId="33878" xr:uid="{00000000-0005-0000-0000-000064840000}"/>
    <cellStyle name="Suma 2 4 5" xfId="33879" xr:uid="{00000000-0005-0000-0000-000065840000}"/>
    <cellStyle name="Suma 2 4 5 2" xfId="33880" xr:uid="{00000000-0005-0000-0000-000066840000}"/>
    <cellStyle name="Suma 2 4 5 3" xfId="33881" xr:uid="{00000000-0005-0000-0000-000067840000}"/>
    <cellStyle name="Suma 2 4 5 4" xfId="33882" xr:uid="{00000000-0005-0000-0000-000068840000}"/>
    <cellStyle name="Suma 2 4 50" xfId="33883" xr:uid="{00000000-0005-0000-0000-000069840000}"/>
    <cellStyle name="Suma 2 4 50 2" xfId="33884" xr:uid="{00000000-0005-0000-0000-00006A840000}"/>
    <cellStyle name="Suma 2 4 50 3" xfId="33885" xr:uid="{00000000-0005-0000-0000-00006B840000}"/>
    <cellStyle name="Suma 2 4 51" xfId="33886" xr:uid="{00000000-0005-0000-0000-00006C840000}"/>
    <cellStyle name="Suma 2 4 51 2" xfId="33887" xr:uid="{00000000-0005-0000-0000-00006D840000}"/>
    <cellStyle name="Suma 2 4 51 3" xfId="33888" xr:uid="{00000000-0005-0000-0000-00006E840000}"/>
    <cellStyle name="Suma 2 4 52" xfId="33889" xr:uid="{00000000-0005-0000-0000-00006F840000}"/>
    <cellStyle name="Suma 2 4 52 2" xfId="33890" xr:uid="{00000000-0005-0000-0000-000070840000}"/>
    <cellStyle name="Suma 2 4 52 3" xfId="33891" xr:uid="{00000000-0005-0000-0000-000071840000}"/>
    <cellStyle name="Suma 2 4 53" xfId="33892" xr:uid="{00000000-0005-0000-0000-000072840000}"/>
    <cellStyle name="Suma 2 4 53 2" xfId="33893" xr:uid="{00000000-0005-0000-0000-000073840000}"/>
    <cellStyle name="Suma 2 4 53 3" xfId="33894" xr:uid="{00000000-0005-0000-0000-000074840000}"/>
    <cellStyle name="Suma 2 4 54" xfId="33895" xr:uid="{00000000-0005-0000-0000-000075840000}"/>
    <cellStyle name="Suma 2 4 54 2" xfId="33896" xr:uid="{00000000-0005-0000-0000-000076840000}"/>
    <cellStyle name="Suma 2 4 54 3" xfId="33897" xr:uid="{00000000-0005-0000-0000-000077840000}"/>
    <cellStyle name="Suma 2 4 55" xfId="33898" xr:uid="{00000000-0005-0000-0000-000078840000}"/>
    <cellStyle name="Suma 2 4 55 2" xfId="33899" xr:uid="{00000000-0005-0000-0000-000079840000}"/>
    <cellStyle name="Suma 2 4 55 3" xfId="33900" xr:uid="{00000000-0005-0000-0000-00007A840000}"/>
    <cellStyle name="Suma 2 4 56" xfId="33901" xr:uid="{00000000-0005-0000-0000-00007B840000}"/>
    <cellStyle name="Suma 2 4 56 2" xfId="33902" xr:uid="{00000000-0005-0000-0000-00007C840000}"/>
    <cellStyle name="Suma 2 4 56 3" xfId="33903" xr:uid="{00000000-0005-0000-0000-00007D840000}"/>
    <cellStyle name="Suma 2 4 57" xfId="33904" xr:uid="{00000000-0005-0000-0000-00007E840000}"/>
    <cellStyle name="Suma 2 4 58" xfId="33905" xr:uid="{00000000-0005-0000-0000-00007F840000}"/>
    <cellStyle name="Suma 2 4 6" xfId="33906" xr:uid="{00000000-0005-0000-0000-000080840000}"/>
    <cellStyle name="Suma 2 4 6 2" xfId="33907" xr:uid="{00000000-0005-0000-0000-000081840000}"/>
    <cellStyle name="Suma 2 4 6 3" xfId="33908" xr:uid="{00000000-0005-0000-0000-000082840000}"/>
    <cellStyle name="Suma 2 4 6 4" xfId="33909" xr:uid="{00000000-0005-0000-0000-000083840000}"/>
    <cellStyle name="Suma 2 4 7" xfId="33910" xr:uid="{00000000-0005-0000-0000-000084840000}"/>
    <cellStyle name="Suma 2 4 7 2" xfId="33911" xr:uid="{00000000-0005-0000-0000-000085840000}"/>
    <cellStyle name="Suma 2 4 7 3" xfId="33912" xr:uid="{00000000-0005-0000-0000-000086840000}"/>
    <cellStyle name="Suma 2 4 7 4" xfId="33913" xr:uid="{00000000-0005-0000-0000-000087840000}"/>
    <cellStyle name="Suma 2 4 8" xfId="33914" xr:uid="{00000000-0005-0000-0000-000088840000}"/>
    <cellStyle name="Suma 2 4 8 2" xfId="33915" xr:uid="{00000000-0005-0000-0000-000089840000}"/>
    <cellStyle name="Suma 2 4 8 3" xfId="33916" xr:uid="{00000000-0005-0000-0000-00008A840000}"/>
    <cellStyle name="Suma 2 4 8 4" xfId="33917" xr:uid="{00000000-0005-0000-0000-00008B840000}"/>
    <cellStyle name="Suma 2 4 9" xfId="33918" xr:uid="{00000000-0005-0000-0000-00008C840000}"/>
    <cellStyle name="Suma 2 4 9 2" xfId="33919" xr:uid="{00000000-0005-0000-0000-00008D840000}"/>
    <cellStyle name="Suma 2 4 9 3" xfId="33920" xr:uid="{00000000-0005-0000-0000-00008E840000}"/>
    <cellStyle name="Suma 2 4 9 4" xfId="33921" xr:uid="{00000000-0005-0000-0000-00008F840000}"/>
    <cellStyle name="Suma 2 40" xfId="33922" xr:uid="{00000000-0005-0000-0000-000090840000}"/>
    <cellStyle name="Suma 2 40 2" xfId="33923" xr:uid="{00000000-0005-0000-0000-000091840000}"/>
    <cellStyle name="Suma 2 40 3" xfId="33924" xr:uid="{00000000-0005-0000-0000-000092840000}"/>
    <cellStyle name="Suma 2 40 4" xfId="33925" xr:uid="{00000000-0005-0000-0000-000093840000}"/>
    <cellStyle name="Suma 2 41" xfId="33926" xr:uid="{00000000-0005-0000-0000-000094840000}"/>
    <cellStyle name="Suma 2 41 2" xfId="33927" xr:uid="{00000000-0005-0000-0000-000095840000}"/>
    <cellStyle name="Suma 2 41 3" xfId="33928" xr:uid="{00000000-0005-0000-0000-000096840000}"/>
    <cellStyle name="Suma 2 41 4" xfId="33929" xr:uid="{00000000-0005-0000-0000-000097840000}"/>
    <cellStyle name="Suma 2 42" xfId="33930" xr:uid="{00000000-0005-0000-0000-000098840000}"/>
    <cellStyle name="Suma 2 42 2" xfId="33931" xr:uid="{00000000-0005-0000-0000-000099840000}"/>
    <cellStyle name="Suma 2 42 3" xfId="33932" xr:uid="{00000000-0005-0000-0000-00009A840000}"/>
    <cellStyle name="Suma 2 42 4" xfId="33933" xr:uid="{00000000-0005-0000-0000-00009B840000}"/>
    <cellStyle name="Suma 2 43" xfId="33934" xr:uid="{00000000-0005-0000-0000-00009C840000}"/>
    <cellStyle name="Suma 2 43 2" xfId="33935" xr:uid="{00000000-0005-0000-0000-00009D840000}"/>
    <cellStyle name="Suma 2 43 3" xfId="33936" xr:uid="{00000000-0005-0000-0000-00009E840000}"/>
    <cellStyle name="Suma 2 43 4" xfId="33937" xr:uid="{00000000-0005-0000-0000-00009F840000}"/>
    <cellStyle name="Suma 2 44" xfId="33938" xr:uid="{00000000-0005-0000-0000-0000A0840000}"/>
    <cellStyle name="Suma 2 44 2" xfId="33939" xr:uid="{00000000-0005-0000-0000-0000A1840000}"/>
    <cellStyle name="Suma 2 44 3" xfId="33940" xr:uid="{00000000-0005-0000-0000-0000A2840000}"/>
    <cellStyle name="Suma 2 44 4" xfId="33941" xr:uid="{00000000-0005-0000-0000-0000A3840000}"/>
    <cellStyle name="Suma 2 45" xfId="33942" xr:uid="{00000000-0005-0000-0000-0000A4840000}"/>
    <cellStyle name="Suma 2 45 2" xfId="33943" xr:uid="{00000000-0005-0000-0000-0000A5840000}"/>
    <cellStyle name="Suma 2 45 3" xfId="33944" xr:uid="{00000000-0005-0000-0000-0000A6840000}"/>
    <cellStyle name="Suma 2 45 4" xfId="33945" xr:uid="{00000000-0005-0000-0000-0000A7840000}"/>
    <cellStyle name="Suma 2 46" xfId="33946" xr:uid="{00000000-0005-0000-0000-0000A8840000}"/>
    <cellStyle name="Suma 2 46 2" xfId="33947" xr:uid="{00000000-0005-0000-0000-0000A9840000}"/>
    <cellStyle name="Suma 2 46 3" xfId="33948" xr:uid="{00000000-0005-0000-0000-0000AA840000}"/>
    <cellStyle name="Suma 2 46 4" xfId="33949" xr:uid="{00000000-0005-0000-0000-0000AB840000}"/>
    <cellStyle name="Suma 2 47" xfId="33950" xr:uid="{00000000-0005-0000-0000-0000AC840000}"/>
    <cellStyle name="Suma 2 47 2" xfId="33951" xr:uid="{00000000-0005-0000-0000-0000AD840000}"/>
    <cellStyle name="Suma 2 47 3" xfId="33952" xr:uid="{00000000-0005-0000-0000-0000AE840000}"/>
    <cellStyle name="Suma 2 47 4" xfId="33953" xr:uid="{00000000-0005-0000-0000-0000AF840000}"/>
    <cellStyle name="Suma 2 48" xfId="33954" xr:uid="{00000000-0005-0000-0000-0000B0840000}"/>
    <cellStyle name="Suma 2 48 2" xfId="33955" xr:uid="{00000000-0005-0000-0000-0000B1840000}"/>
    <cellStyle name="Suma 2 48 3" xfId="33956" xr:uid="{00000000-0005-0000-0000-0000B2840000}"/>
    <cellStyle name="Suma 2 48 4" xfId="33957" xr:uid="{00000000-0005-0000-0000-0000B3840000}"/>
    <cellStyle name="Suma 2 49" xfId="33958" xr:uid="{00000000-0005-0000-0000-0000B4840000}"/>
    <cellStyle name="Suma 2 49 2" xfId="33959" xr:uid="{00000000-0005-0000-0000-0000B5840000}"/>
    <cellStyle name="Suma 2 49 3" xfId="33960" xr:uid="{00000000-0005-0000-0000-0000B6840000}"/>
    <cellStyle name="Suma 2 49 4" xfId="33961" xr:uid="{00000000-0005-0000-0000-0000B7840000}"/>
    <cellStyle name="Suma 2 5" xfId="33962" xr:uid="{00000000-0005-0000-0000-0000B8840000}"/>
    <cellStyle name="Suma 2 5 10" xfId="33963" xr:uid="{00000000-0005-0000-0000-0000B9840000}"/>
    <cellStyle name="Suma 2 5 10 2" xfId="33964" xr:uid="{00000000-0005-0000-0000-0000BA840000}"/>
    <cellStyle name="Suma 2 5 10 3" xfId="33965" xr:uid="{00000000-0005-0000-0000-0000BB840000}"/>
    <cellStyle name="Suma 2 5 10 4" xfId="33966" xr:uid="{00000000-0005-0000-0000-0000BC840000}"/>
    <cellStyle name="Suma 2 5 11" xfId="33967" xr:uid="{00000000-0005-0000-0000-0000BD840000}"/>
    <cellStyle name="Suma 2 5 11 2" xfId="33968" xr:uid="{00000000-0005-0000-0000-0000BE840000}"/>
    <cellStyle name="Suma 2 5 11 3" xfId="33969" xr:uid="{00000000-0005-0000-0000-0000BF840000}"/>
    <cellStyle name="Suma 2 5 11 4" xfId="33970" xr:uid="{00000000-0005-0000-0000-0000C0840000}"/>
    <cellStyle name="Suma 2 5 12" xfId="33971" xr:uid="{00000000-0005-0000-0000-0000C1840000}"/>
    <cellStyle name="Suma 2 5 12 2" xfId="33972" xr:uid="{00000000-0005-0000-0000-0000C2840000}"/>
    <cellStyle name="Suma 2 5 12 3" xfId="33973" xr:uid="{00000000-0005-0000-0000-0000C3840000}"/>
    <cellStyle name="Suma 2 5 12 4" xfId="33974" xr:uid="{00000000-0005-0000-0000-0000C4840000}"/>
    <cellStyle name="Suma 2 5 13" xfId="33975" xr:uid="{00000000-0005-0000-0000-0000C5840000}"/>
    <cellStyle name="Suma 2 5 13 2" xfId="33976" xr:uid="{00000000-0005-0000-0000-0000C6840000}"/>
    <cellStyle name="Suma 2 5 13 3" xfId="33977" xr:uid="{00000000-0005-0000-0000-0000C7840000}"/>
    <cellStyle name="Suma 2 5 13 4" xfId="33978" xr:uid="{00000000-0005-0000-0000-0000C8840000}"/>
    <cellStyle name="Suma 2 5 14" xfId="33979" xr:uid="{00000000-0005-0000-0000-0000C9840000}"/>
    <cellStyle name="Suma 2 5 14 2" xfId="33980" xr:uid="{00000000-0005-0000-0000-0000CA840000}"/>
    <cellStyle name="Suma 2 5 14 3" xfId="33981" xr:uid="{00000000-0005-0000-0000-0000CB840000}"/>
    <cellStyle name="Suma 2 5 14 4" xfId="33982" xr:uid="{00000000-0005-0000-0000-0000CC840000}"/>
    <cellStyle name="Suma 2 5 15" xfId="33983" xr:uid="{00000000-0005-0000-0000-0000CD840000}"/>
    <cellStyle name="Suma 2 5 15 2" xfId="33984" xr:uid="{00000000-0005-0000-0000-0000CE840000}"/>
    <cellStyle name="Suma 2 5 15 3" xfId="33985" xr:uid="{00000000-0005-0000-0000-0000CF840000}"/>
    <cellStyle name="Suma 2 5 15 4" xfId="33986" xr:uid="{00000000-0005-0000-0000-0000D0840000}"/>
    <cellStyle name="Suma 2 5 16" xfId="33987" xr:uid="{00000000-0005-0000-0000-0000D1840000}"/>
    <cellStyle name="Suma 2 5 16 2" xfId="33988" xr:uid="{00000000-0005-0000-0000-0000D2840000}"/>
    <cellStyle name="Suma 2 5 16 3" xfId="33989" xr:uid="{00000000-0005-0000-0000-0000D3840000}"/>
    <cellStyle name="Suma 2 5 16 4" xfId="33990" xr:uid="{00000000-0005-0000-0000-0000D4840000}"/>
    <cellStyle name="Suma 2 5 17" xfId="33991" xr:uid="{00000000-0005-0000-0000-0000D5840000}"/>
    <cellStyle name="Suma 2 5 17 2" xfId="33992" xr:uid="{00000000-0005-0000-0000-0000D6840000}"/>
    <cellStyle name="Suma 2 5 17 3" xfId="33993" xr:uid="{00000000-0005-0000-0000-0000D7840000}"/>
    <cellStyle name="Suma 2 5 17 4" xfId="33994" xr:uid="{00000000-0005-0000-0000-0000D8840000}"/>
    <cellStyle name="Suma 2 5 18" xfId="33995" xr:uid="{00000000-0005-0000-0000-0000D9840000}"/>
    <cellStyle name="Suma 2 5 18 2" xfId="33996" xr:uid="{00000000-0005-0000-0000-0000DA840000}"/>
    <cellStyle name="Suma 2 5 18 3" xfId="33997" xr:uid="{00000000-0005-0000-0000-0000DB840000}"/>
    <cellStyle name="Suma 2 5 18 4" xfId="33998" xr:uid="{00000000-0005-0000-0000-0000DC840000}"/>
    <cellStyle name="Suma 2 5 19" xfId="33999" xr:uid="{00000000-0005-0000-0000-0000DD840000}"/>
    <cellStyle name="Suma 2 5 19 2" xfId="34000" xr:uid="{00000000-0005-0000-0000-0000DE840000}"/>
    <cellStyle name="Suma 2 5 19 3" xfId="34001" xr:uid="{00000000-0005-0000-0000-0000DF840000}"/>
    <cellStyle name="Suma 2 5 19 4" xfId="34002" xr:uid="{00000000-0005-0000-0000-0000E0840000}"/>
    <cellStyle name="Suma 2 5 2" xfId="34003" xr:uid="{00000000-0005-0000-0000-0000E1840000}"/>
    <cellStyle name="Suma 2 5 2 2" xfId="34004" xr:uid="{00000000-0005-0000-0000-0000E2840000}"/>
    <cellStyle name="Suma 2 5 2 3" xfId="34005" xr:uid="{00000000-0005-0000-0000-0000E3840000}"/>
    <cellStyle name="Suma 2 5 2 4" xfId="34006" xr:uid="{00000000-0005-0000-0000-0000E4840000}"/>
    <cellStyle name="Suma 2 5 20" xfId="34007" xr:uid="{00000000-0005-0000-0000-0000E5840000}"/>
    <cellStyle name="Suma 2 5 20 2" xfId="34008" xr:uid="{00000000-0005-0000-0000-0000E6840000}"/>
    <cellStyle name="Suma 2 5 20 3" xfId="34009" xr:uid="{00000000-0005-0000-0000-0000E7840000}"/>
    <cellStyle name="Suma 2 5 20 4" xfId="34010" xr:uid="{00000000-0005-0000-0000-0000E8840000}"/>
    <cellStyle name="Suma 2 5 21" xfId="34011" xr:uid="{00000000-0005-0000-0000-0000E9840000}"/>
    <cellStyle name="Suma 2 5 21 2" xfId="34012" xr:uid="{00000000-0005-0000-0000-0000EA840000}"/>
    <cellStyle name="Suma 2 5 21 3" xfId="34013" xr:uid="{00000000-0005-0000-0000-0000EB840000}"/>
    <cellStyle name="Suma 2 5 22" xfId="34014" xr:uid="{00000000-0005-0000-0000-0000EC840000}"/>
    <cellStyle name="Suma 2 5 22 2" xfId="34015" xr:uid="{00000000-0005-0000-0000-0000ED840000}"/>
    <cellStyle name="Suma 2 5 22 3" xfId="34016" xr:uid="{00000000-0005-0000-0000-0000EE840000}"/>
    <cellStyle name="Suma 2 5 23" xfId="34017" xr:uid="{00000000-0005-0000-0000-0000EF840000}"/>
    <cellStyle name="Suma 2 5 23 2" xfId="34018" xr:uid="{00000000-0005-0000-0000-0000F0840000}"/>
    <cellStyle name="Suma 2 5 23 3" xfId="34019" xr:uid="{00000000-0005-0000-0000-0000F1840000}"/>
    <cellStyle name="Suma 2 5 24" xfId="34020" xr:uid="{00000000-0005-0000-0000-0000F2840000}"/>
    <cellStyle name="Suma 2 5 24 2" xfId="34021" xr:uid="{00000000-0005-0000-0000-0000F3840000}"/>
    <cellStyle name="Suma 2 5 24 3" xfId="34022" xr:uid="{00000000-0005-0000-0000-0000F4840000}"/>
    <cellStyle name="Suma 2 5 25" xfId="34023" xr:uid="{00000000-0005-0000-0000-0000F5840000}"/>
    <cellStyle name="Suma 2 5 25 2" xfId="34024" xr:uid="{00000000-0005-0000-0000-0000F6840000}"/>
    <cellStyle name="Suma 2 5 25 3" xfId="34025" xr:uid="{00000000-0005-0000-0000-0000F7840000}"/>
    <cellStyle name="Suma 2 5 26" xfId="34026" xr:uid="{00000000-0005-0000-0000-0000F8840000}"/>
    <cellStyle name="Suma 2 5 26 2" xfId="34027" xr:uid="{00000000-0005-0000-0000-0000F9840000}"/>
    <cellStyle name="Suma 2 5 26 3" xfId="34028" xr:uid="{00000000-0005-0000-0000-0000FA840000}"/>
    <cellStyle name="Suma 2 5 27" xfId="34029" xr:uid="{00000000-0005-0000-0000-0000FB840000}"/>
    <cellStyle name="Suma 2 5 27 2" xfId="34030" xr:uid="{00000000-0005-0000-0000-0000FC840000}"/>
    <cellStyle name="Suma 2 5 27 3" xfId="34031" xr:uid="{00000000-0005-0000-0000-0000FD840000}"/>
    <cellStyle name="Suma 2 5 28" xfId="34032" xr:uid="{00000000-0005-0000-0000-0000FE840000}"/>
    <cellStyle name="Suma 2 5 28 2" xfId="34033" xr:uid="{00000000-0005-0000-0000-0000FF840000}"/>
    <cellStyle name="Suma 2 5 28 3" xfId="34034" xr:uid="{00000000-0005-0000-0000-000000850000}"/>
    <cellStyle name="Suma 2 5 29" xfId="34035" xr:uid="{00000000-0005-0000-0000-000001850000}"/>
    <cellStyle name="Suma 2 5 29 2" xfId="34036" xr:uid="{00000000-0005-0000-0000-000002850000}"/>
    <cellStyle name="Suma 2 5 29 3" xfId="34037" xr:uid="{00000000-0005-0000-0000-000003850000}"/>
    <cellStyle name="Suma 2 5 3" xfId="34038" xr:uid="{00000000-0005-0000-0000-000004850000}"/>
    <cellStyle name="Suma 2 5 3 2" xfId="34039" xr:uid="{00000000-0005-0000-0000-000005850000}"/>
    <cellStyle name="Suma 2 5 3 3" xfId="34040" xr:uid="{00000000-0005-0000-0000-000006850000}"/>
    <cellStyle name="Suma 2 5 3 4" xfId="34041" xr:uid="{00000000-0005-0000-0000-000007850000}"/>
    <cellStyle name="Suma 2 5 30" xfId="34042" xr:uid="{00000000-0005-0000-0000-000008850000}"/>
    <cellStyle name="Suma 2 5 30 2" xfId="34043" xr:uid="{00000000-0005-0000-0000-000009850000}"/>
    <cellStyle name="Suma 2 5 30 3" xfId="34044" xr:uid="{00000000-0005-0000-0000-00000A850000}"/>
    <cellStyle name="Suma 2 5 31" xfId="34045" xr:uid="{00000000-0005-0000-0000-00000B850000}"/>
    <cellStyle name="Suma 2 5 31 2" xfId="34046" xr:uid="{00000000-0005-0000-0000-00000C850000}"/>
    <cellStyle name="Suma 2 5 31 3" xfId="34047" xr:uid="{00000000-0005-0000-0000-00000D850000}"/>
    <cellStyle name="Suma 2 5 32" xfId="34048" xr:uid="{00000000-0005-0000-0000-00000E850000}"/>
    <cellStyle name="Suma 2 5 32 2" xfId="34049" xr:uid="{00000000-0005-0000-0000-00000F850000}"/>
    <cellStyle name="Suma 2 5 32 3" xfId="34050" xr:uid="{00000000-0005-0000-0000-000010850000}"/>
    <cellStyle name="Suma 2 5 33" xfId="34051" xr:uid="{00000000-0005-0000-0000-000011850000}"/>
    <cellStyle name="Suma 2 5 33 2" xfId="34052" xr:uid="{00000000-0005-0000-0000-000012850000}"/>
    <cellStyle name="Suma 2 5 33 3" xfId="34053" xr:uid="{00000000-0005-0000-0000-000013850000}"/>
    <cellStyle name="Suma 2 5 34" xfId="34054" xr:uid="{00000000-0005-0000-0000-000014850000}"/>
    <cellStyle name="Suma 2 5 34 2" xfId="34055" xr:uid="{00000000-0005-0000-0000-000015850000}"/>
    <cellStyle name="Suma 2 5 34 3" xfId="34056" xr:uid="{00000000-0005-0000-0000-000016850000}"/>
    <cellStyle name="Suma 2 5 35" xfId="34057" xr:uid="{00000000-0005-0000-0000-000017850000}"/>
    <cellStyle name="Suma 2 5 35 2" xfId="34058" xr:uid="{00000000-0005-0000-0000-000018850000}"/>
    <cellStyle name="Suma 2 5 35 3" xfId="34059" xr:uid="{00000000-0005-0000-0000-000019850000}"/>
    <cellStyle name="Suma 2 5 36" xfId="34060" xr:uid="{00000000-0005-0000-0000-00001A850000}"/>
    <cellStyle name="Suma 2 5 36 2" xfId="34061" xr:uid="{00000000-0005-0000-0000-00001B850000}"/>
    <cellStyle name="Suma 2 5 36 3" xfId="34062" xr:uid="{00000000-0005-0000-0000-00001C850000}"/>
    <cellStyle name="Suma 2 5 37" xfId="34063" xr:uid="{00000000-0005-0000-0000-00001D850000}"/>
    <cellStyle name="Suma 2 5 37 2" xfId="34064" xr:uid="{00000000-0005-0000-0000-00001E850000}"/>
    <cellStyle name="Suma 2 5 37 3" xfId="34065" xr:uid="{00000000-0005-0000-0000-00001F850000}"/>
    <cellStyle name="Suma 2 5 38" xfId="34066" xr:uid="{00000000-0005-0000-0000-000020850000}"/>
    <cellStyle name="Suma 2 5 38 2" xfId="34067" xr:uid="{00000000-0005-0000-0000-000021850000}"/>
    <cellStyle name="Suma 2 5 38 3" xfId="34068" xr:uid="{00000000-0005-0000-0000-000022850000}"/>
    <cellStyle name="Suma 2 5 39" xfId="34069" xr:uid="{00000000-0005-0000-0000-000023850000}"/>
    <cellStyle name="Suma 2 5 39 2" xfId="34070" xr:uid="{00000000-0005-0000-0000-000024850000}"/>
    <cellStyle name="Suma 2 5 39 3" xfId="34071" xr:uid="{00000000-0005-0000-0000-000025850000}"/>
    <cellStyle name="Suma 2 5 4" xfId="34072" xr:uid="{00000000-0005-0000-0000-000026850000}"/>
    <cellStyle name="Suma 2 5 4 2" xfId="34073" xr:uid="{00000000-0005-0000-0000-000027850000}"/>
    <cellStyle name="Suma 2 5 4 3" xfId="34074" xr:uid="{00000000-0005-0000-0000-000028850000}"/>
    <cellStyle name="Suma 2 5 4 4" xfId="34075" xr:uid="{00000000-0005-0000-0000-000029850000}"/>
    <cellStyle name="Suma 2 5 40" xfId="34076" xr:uid="{00000000-0005-0000-0000-00002A850000}"/>
    <cellStyle name="Suma 2 5 40 2" xfId="34077" xr:uid="{00000000-0005-0000-0000-00002B850000}"/>
    <cellStyle name="Suma 2 5 40 3" xfId="34078" xr:uid="{00000000-0005-0000-0000-00002C850000}"/>
    <cellStyle name="Suma 2 5 41" xfId="34079" xr:uid="{00000000-0005-0000-0000-00002D850000}"/>
    <cellStyle name="Suma 2 5 41 2" xfId="34080" xr:uid="{00000000-0005-0000-0000-00002E850000}"/>
    <cellStyle name="Suma 2 5 41 3" xfId="34081" xr:uid="{00000000-0005-0000-0000-00002F850000}"/>
    <cellStyle name="Suma 2 5 42" xfId="34082" xr:uid="{00000000-0005-0000-0000-000030850000}"/>
    <cellStyle name="Suma 2 5 42 2" xfId="34083" xr:uid="{00000000-0005-0000-0000-000031850000}"/>
    <cellStyle name="Suma 2 5 42 3" xfId="34084" xr:uid="{00000000-0005-0000-0000-000032850000}"/>
    <cellStyle name="Suma 2 5 43" xfId="34085" xr:uid="{00000000-0005-0000-0000-000033850000}"/>
    <cellStyle name="Suma 2 5 43 2" xfId="34086" xr:uid="{00000000-0005-0000-0000-000034850000}"/>
    <cellStyle name="Suma 2 5 43 3" xfId="34087" xr:uid="{00000000-0005-0000-0000-000035850000}"/>
    <cellStyle name="Suma 2 5 44" xfId="34088" xr:uid="{00000000-0005-0000-0000-000036850000}"/>
    <cellStyle name="Suma 2 5 44 2" xfId="34089" xr:uid="{00000000-0005-0000-0000-000037850000}"/>
    <cellStyle name="Suma 2 5 44 3" xfId="34090" xr:uid="{00000000-0005-0000-0000-000038850000}"/>
    <cellStyle name="Suma 2 5 45" xfId="34091" xr:uid="{00000000-0005-0000-0000-000039850000}"/>
    <cellStyle name="Suma 2 5 45 2" xfId="34092" xr:uid="{00000000-0005-0000-0000-00003A850000}"/>
    <cellStyle name="Suma 2 5 45 3" xfId="34093" xr:uid="{00000000-0005-0000-0000-00003B850000}"/>
    <cellStyle name="Suma 2 5 46" xfId="34094" xr:uid="{00000000-0005-0000-0000-00003C850000}"/>
    <cellStyle name="Suma 2 5 46 2" xfId="34095" xr:uid="{00000000-0005-0000-0000-00003D850000}"/>
    <cellStyle name="Suma 2 5 46 3" xfId="34096" xr:uid="{00000000-0005-0000-0000-00003E850000}"/>
    <cellStyle name="Suma 2 5 47" xfId="34097" xr:uid="{00000000-0005-0000-0000-00003F850000}"/>
    <cellStyle name="Suma 2 5 47 2" xfId="34098" xr:uid="{00000000-0005-0000-0000-000040850000}"/>
    <cellStyle name="Suma 2 5 47 3" xfId="34099" xr:uid="{00000000-0005-0000-0000-000041850000}"/>
    <cellStyle name="Suma 2 5 48" xfId="34100" xr:uid="{00000000-0005-0000-0000-000042850000}"/>
    <cellStyle name="Suma 2 5 48 2" xfId="34101" xr:uid="{00000000-0005-0000-0000-000043850000}"/>
    <cellStyle name="Suma 2 5 48 3" xfId="34102" xr:uid="{00000000-0005-0000-0000-000044850000}"/>
    <cellStyle name="Suma 2 5 49" xfId="34103" xr:uid="{00000000-0005-0000-0000-000045850000}"/>
    <cellStyle name="Suma 2 5 49 2" xfId="34104" xr:uid="{00000000-0005-0000-0000-000046850000}"/>
    <cellStyle name="Suma 2 5 49 3" xfId="34105" xr:uid="{00000000-0005-0000-0000-000047850000}"/>
    <cellStyle name="Suma 2 5 5" xfId="34106" xr:uid="{00000000-0005-0000-0000-000048850000}"/>
    <cellStyle name="Suma 2 5 5 2" xfId="34107" xr:uid="{00000000-0005-0000-0000-000049850000}"/>
    <cellStyle name="Suma 2 5 5 3" xfId="34108" xr:uid="{00000000-0005-0000-0000-00004A850000}"/>
    <cellStyle name="Suma 2 5 5 4" xfId="34109" xr:uid="{00000000-0005-0000-0000-00004B850000}"/>
    <cellStyle name="Suma 2 5 50" xfId="34110" xr:uid="{00000000-0005-0000-0000-00004C850000}"/>
    <cellStyle name="Suma 2 5 50 2" xfId="34111" xr:uid="{00000000-0005-0000-0000-00004D850000}"/>
    <cellStyle name="Suma 2 5 50 3" xfId="34112" xr:uid="{00000000-0005-0000-0000-00004E850000}"/>
    <cellStyle name="Suma 2 5 51" xfId="34113" xr:uid="{00000000-0005-0000-0000-00004F850000}"/>
    <cellStyle name="Suma 2 5 51 2" xfId="34114" xr:uid="{00000000-0005-0000-0000-000050850000}"/>
    <cellStyle name="Suma 2 5 51 3" xfId="34115" xr:uid="{00000000-0005-0000-0000-000051850000}"/>
    <cellStyle name="Suma 2 5 52" xfId="34116" xr:uid="{00000000-0005-0000-0000-000052850000}"/>
    <cellStyle name="Suma 2 5 52 2" xfId="34117" xr:uid="{00000000-0005-0000-0000-000053850000}"/>
    <cellStyle name="Suma 2 5 52 3" xfId="34118" xr:uid="{00000000-0005-0000-0000-000054850000}"/>
    <cellStyle name="Suma 2 5 53" xfId="34119" xr:uid="{00000000-0005-0000-0000-000055850000}"/>
    <cellStyle name="Suma 2 5 53 2" xfId="34120" xr:uid="{00000000-0005-0000-0000-000056850000}"/>
    <cellStyle name="Suma 2 5 53 3" xfId="34121" xr:uid="{00000000-0005-0000-0000-000057850000}"/>
    <cellStyle name="Suma 2 5 54" xfId="34122" xr:uid="{00000000-0005-0000-0000-000058850000}"/>
    <cellStyle name="Suma 2 5 54 2" xfId="34123" xr:uid="{00000000-0005-0000-0000-000059850000}"/>
    <cellStyle name="Suma 2 5 54 3" xfId="34124" xr:uid="{00000000-0005-0000-0000-00005A850000}"/>
    <cellStyle name="Suma 2 5 55" xfId="34125" xr:uid="{00000000-0005-0000-0000-00005B850000}"/>
    <cellStyle name="Suma 2 5 55 2" xfId="34126" xr:uid="{00000000-0005-0000-0000-00005C850000}"/>
    <cellStyle name="Suma 2 5 55 3" xfId="34127" xr:uid="{00000000-0005-0000-0000-00005D850000}"/>
    <cellStyle name="Suma 2 5 56" xfId="34128" xr:uid="{00000000-0005-0000-0000-00005E850000}"/>
    <cellStyle name="Suma 2 5 56 2" xfId="34129" xr:uid="{00000000-0005-0000-0000-00005F850000}"/>
    <cellStyle name="Suma 2 5 56 3" xfId="34130" xr:uid="{00000000-0005-0000-0000-000060850000}"/>
    <cellStyle name="Suma 2 5 57" xfId="34131" xr:uid="{00000000-0005-0000-0000-000061850000}"/>
    <cellStyle name="Suma 2 5 58" xfId="34132" xr:uid="{00000000-0005-0000-0000-000062850000}"/>
    <cellStyle name="Suma 2 5 6" xfId="34133" xr:uid="{00000000-0005-0000-0000-000063850000}"/>
    <cellStyle name="Suma 2 5 6 2" xfId="34134" xr:uid="{00000000-0005-0000-0000-000064850000}"/>
    <cellStyle name="Suma 2 5 6 3" xfId="34135" xr:uid="{00000000-0005-0000-0000-000065850000}"/>
    <cellStyle name="Suma 2 5 6 4" xfId="34136" xr:uid="{00000000-0005-0000-0000-000066850000}"/>
    <cellStyle name="Suma 2 5 7" xfId="34137" xr:uid="{00000000-0005-0000-0000-000067850000}"/>
    <cellStyle name="Suma 2 5 7 2" xfId="34138" xr:uid="{00000000-0005-0000-0000-000068850000}"/>
    <cellStyle name="Suma 2 5 7 3" xfId="34139" xr:uid="{00000000-0005-0000-0000-000069850000}"/>
    <cellStyle name="Suma 2 5 7 4" xfId="34140" xr:uid="{00000000-0005-0000-0000-00006A850000}"/>
    <cellStyle name="Suma 2 5 8" xfId="34141" xr:uid="{00000000-0005-0000-0000-00006B850000}"/>
    <cellStyle name="Suma 2 5 8 2" xfId="34142" xr:uid="{00000000-0005-0000-0000-00006C850000}"/>
    <cellStyle name="Suma 2 5 8 3" xfId="34143" xr:uid="{00000000-0005-0000-0000-00006D850000}"/>
    <cellStyle name="Suma 2 5 8 4" xfId="34144" xr:uid="{00000000-0005-0000-0000-00006E850000}"/>
    <cellStyle name="Suma 2 5 9" xfId="34145" xr:uid="{00000000-0005-0000-0000-00006F850000}"/>
    <cellStyle name="Suma 2 5 9 2" xfId="34146" xr:uid="{00000000-0005-0000-0000-000070850000}"/>
    <cellStyle name="Suma 2 5 9 3" xfId="34147" xr:uid="{00000000-0005-0000-0000-000071850000}"/>
    <cellStyle name="Suma 2 5 9 4" xfId="34148" xr:uid="{00000000-0005-0000-0000-000072850000}"/>
    <cellStyle name="Suma 2 50" xfId="34149" xr:uid="{00000000-0005-0000-0000-000073850000}"/>
    <cellStyle name="Suma 2 50 2" xfId="34150" xr:uid="{00000000-0005-0000-0000-000074850000}"/>
    <cellStyle name="Suma 2 50 3" xfId="34151" xr:uid="{00000000-0005-0000-0000-000075850000}"/>
    <cellStyle name="Suma 2 50 4" xfId="34152" xr:uid="{00000000-0005-0000-0000-000076850000}"/>
    <cellStyle name="Suma 2 51" xfId="34153" xr:uid="{00000000-0005-0000-0000-000077850000}"/>
    <cellStyle name="Suma 2 51 2" xfId="34154" xr:uid="{00000000-0005-0000-0000-000078850000}"/>
    <cellStyle name="Suma 2 51 3" xfId="34155" xr:uid="{00000000-0005-0000-0000-000079850000}"/>
    <cellStyle name="Suma 2 51 4" xfId="34156" xr:uid="{00000000-0005-0000-0000-00007A850000}"/>
    <cellStyle name="Suma 2 52" xfId="34157" xr:uid="{00000000-0005-0000-0000-00007B850000}"/>
    <cellStyle name="Suma 2 52 2" xfId="34158" xr:uid="{00000000-0005-0000-0000-00007C850000}"/>
    <cellStyle name="Suma 2 52 3" xfId="34159" xr:uid="{00000000-0005-0000-0000-00007D850000}"/>
    <cellStyle name="Suma 2 52 4" xfId="34160" xr:uid="{00000000-0005-0000-0000-00007E850000}"/>
    <cellStyle name="Suma 2 53" xfId="34161" xr:uid="{00000000-0005-0000-0000-00007F850000}"/>
    <cellStyle name="Suma 2 53 2" xfId="34162" xr:uid="{00000000-0005-0000-0000-000080850000}"/>
    <cellStyle name="Suma 2 53 3" xfId="34163" xr:uid="{00000000-0005-0000-0000-000081850000}"/>
    <cellStyle name="Suma 2 53 4" xfId="34164" xr:uid="{00000000-0005-0000-0000-000082850000}"/>
    <cellStyle name="Suma 2 54" xfId="34165" xr:uid="{00000000-0005-0000-0000-000083850000}"/>
    <cellStyle name="Suma 2 54 2" xfId="34166" xr:uid="{00000000-0005-0000-0000-000084850000}"/>
    <cellStyle name="Suma 2 54 3" xfId="34167" xr:uid="{00000000-0005-0000-0000-000085850000}"/>
    <cellStyle name="Suma 2 54 4" xfId="34168" xr:uid="{00000000-0005-0000-0000-000086850000}"/>
    <cellStyle name="Suma 2 55" xfId="34169" xr:uid="{00000000-0005-0000-0000-000087850000}"/>
    <cellStyle name="Suma 2 55 2" xfId="34170" xr:uid="{00000000-0005-0000-0000-000088850000}"/>
    <cellStyle name="Suma 2 55 3" xfId="34171" xr:uid="{00000000-0005-0000-0000-000089850000}"/>
    <cellStyle name="Suma 2 55 4" xfId="34172" xr:uid="{00000000-0005-0000-0000-00008A850000}"/>
    <cellStyle name="Suma 2 56" xfId="34173" xr:uid="{00000000-0005-0000-0000-00008B850000}"/>
    <cellStyle name="Suma 2 56 2" xfId="34174" xr:uid="{00000000-0005-0000-0000-00008C850000}"/>
    <cellStyle name="Suma 2 56 3" xfId="34175" xr:uid="{00000000-0005-0000-0000-00008D850000}"/>
    <cellStyle name="Suma 2 56 4" xfId="34176" xr:uid="{00000000-0005-0000-0000-00008E850000}"/>
    <cellStyle name="Suma 2 57" xfId="34177" xr:uid="{00000000-0005-0000-0000-00008F850000}"/>
    <cellStyle name="Suma 2 57 2" xfId="34178" xr:uid="{00000000-0005-0000-0000-000090850000}"/>
    <cellStyle name="Suma 2 57 3" xfId="34179" xr:uid="{00000000-0005-0000-0000-000091850000}"/>
    <cellStyle name="Suma 2 57 4" xfId="34180" xr:uid="{00000000-0005-0000-0000-000092850000}"/>
    <cellStyle name="Suma 2 58" xfId="34181" xr:uid="{00000000-0005-0000-0000-000093850000}"/>
    <cellStyle name="Suma 2 58 2" xfId="34182" xr:uid="{00000000-0005-0000-0000-000094850000}"/>
    <cellStyle name="Suma 2 58 3" xfId="34183" xr:uid="{00000000-0005-0000-0000-000095850000}"/>
    <cellStyle name="Suma 2 58 4" xfId="34184" xr:uid="{00000000-0005-0000-0000-000096850000}"/>
    <cellStyle name="Suma 2 59" xfId="34185" xr:uid="{00000000-0005-0000-0000-000097850000}"/>
    <cellStyle name="Suma 2 59 2" xfId="34186" xr:uid="{00000000-0005-0000-0000-000098850000}"/>
    <cellStyle name="Suma 2 59 3" xfId="34187" xr:uid="{00000000-0005-0000-0000-000099850000}"/>
    <cellStyle name="Suma 2 59 4" xfId="34188" xr:uid="{00000000-0005-0000-0000-00009A850000}"/>
    <cellStyle name="Suma 2 6" xfId="34189" xr:uid="{00000000-0005-0000-0000-00009B850000}"/>
    <cellStyle name="Suma 2 6 10" xfId="34190" xr:uid="{00000000-0005-0000-0000-00009C850000}"/>
    <cellStyle name="Suma 2 6 10 2" xfId="34191" xr:uid="{00000000-0005-0000-0000-00009D850000}"/>
    <cellStyle name="Suma 2 6 10 3" xfId="34192" xr:uid="{00000000-0005-0000-0000-00009E850000}"/>
    <cellStyle name="Suma 2 6 10 4" xfId="34193" xr:uid="{00000000-0005-0000-0000-00009F850000}"/>
    <cellStyle name="Suma 2 6 11" xfId="34194" xr:uid="{00000000-0005-0000-0000-0000A0850000}"/>
    <cellStyle name="Suma 2 6 11 2" xfId="34195" xr:uid="{00000000-0005-0000-0000-0000A1850000}"/>
    <cellStyle name="Suma 2 6 11 3" xfId="34196" xr:uid="{00000000-0005-0000-0000-0000A2850000}"/>
    <cellStyle name="Suma 2 6 11 4" xfId="34197" xr:uid="{00000000-0005-0000-0000-0000A3850000}"/>
    <cellStyle name="Suma 2 6 12" xfId="34198" xr:uid="{00000000-0005-0000-0000-0000A4850000}"/>
    <cellStyle name="Suma 2 6 12 2" xfId="34199" xr:uid="{00000000-0005-0000-0000-0000A5850000}"/>
    <cellStyle name="Suma 2 6 12 3" xfId="34200" xr:uid="{00000000-0005-0000-0000-0000A6850000}"/>
    <cellStyle name="Suma 2 6 12 4" xfId="34201" xr:uid="{00000000-0005-0000-0000-0000A7850000}"/>
    <cellStyle name="Suma 2 6 13" xfId="34202" xr:uid="{00000000-0005-0000-0000-0000A8850000}"/>
    <cellStyle name="Suma 2 6 13 2" xfId="34203" xr:uid="{00000000-0005-0000-0000-0000A9850000}"/>
    <cellStyle name="Suma 2 6 13 3" xfId="34204" xr:uid="{00000000-0005-0000-0000-0000AA850000}"/>
    <cellStyle name="Suma 2 6 13 4" xfId="34205" xr:uid="{00000000-0005-0000-0000-0000AB850000}"/>
    <cellStyle name="Suma 2 6 14" xfId="34206" xr:uid="{00000000-0005-0000-0000-0000AC850000}"/>
    <cellStyle name="Suma 2 6 14 2" xfId="34207" xr:uid="{00000000-0005-0000-0000-0000AD850000}"/>
    <cellStyle name="Suma 2 6 14 3" xfId="34208" xr:uid="{00000000-0005-0000-0000-0000AE850000}"/>
    <cellStyle name="Suma 2 6 14 4" xfId="34209" xr:uid="{00000000-0005-0000-0000-0000AF850000}"/>
    <cellStyle name="Suma 2 6 15" xfId="34210" xr:uid="{00000000-0005-0000-0000-0000B0850000}"/>
    <cellStyle name="Suma 2 6 15 2" xfId="34211" xr:uid="{00000000-0005-0000-0000-0000B1850000}"/>
    <cellStyle name="Suma 2 6 15 3" xfId="34212" xr:uid="{00000000-0005-0000-0000-0000B2850000}"/>
    <cellStyle name="Suma 2 6 15 4" xfId="34213" xr:uid="{00000000-0005-0000-0000-0000B3850000}"/>
    <cellStyle name="Suma 2 6 16" xfId="34214" xr:uid="{00000000-0005-0000-0000-0000B4850000}"/>
    <cellStyle name="Suma 2 6 16 2" xfId="34215" xr:uid="{00000000-0005-0000-0000-0000B5850000}"/>
    <cellStyle name="Suma 2 6 16 3" xfId="34216" xr:uid="{00000000-0005-0000-0000-0000B6850000}"/>
    <cellStyle name="Suma 2 6 16 4" xfId="34217" xr:uid="{00000000-0005-0000-0000-0000B7850000}"/>
    <cellStyle name="Suma 2 6 17" xfId="34218" xr:uid="{00000000-0005-0000-0000-0000B8850000}"/>
    <cellStyle name="Suma 2 6 17 2" xfId="34219" xr:uid="{00000000-0005-0000-0000-0000B9850000}"/>
    <cellStyle name="Suma 2 6 17 3" xfId="34220" xr:uid="{00000000-0005-0000-0000-0000BA850000}"/>
    <cellStyle name="Suma 2 6 17 4" xfId="34221" xr:uid="{00000000-0005-0000-0000-0000BB850000}"/>
    <cellStyle name="Suma 2 6 18" xfId="34222" xr:uid="{00000000-0005-0000-0000-0000BC850000}"/>
    <cellStyle name="Suma 2 6 18 2" xfId="34223" xr:uid="{00000000-0005-0000-0000-0000BD850000}"/>
    <cellStyle name="Suma 2 6 18 3" xfId="34224" xr:uid="{00000000-0005-0000-0000-0000BE850000}"/>
    <cellStyle name="Suma 2 6 18 4" xfId="34225" xr:uid="{00000000-0005-0000-0000-0000BF850000}"/>
    <cellStyle name="Suma 2 6 19" xfId="34226" xr:uid="{00000000-0005-0000-0000-0000C0850000}"/>
    <cellStyle name="Suma 2 6 19 2" xfId="34227" xr:uid="{00000000-0005-0000-0000-0000C1850000}"/>
    <cellStyle name="Suma 2 6 19 3" xfId="34228" xr:uid="{00000000-0005-0000-0000-0000C2850000}"/>
    <cellStyle name="Suma 2 6 19 4" xfId="34229" xr:uid="{00000000-0005-0000-0000-0000C3850000}"/>
    <cellStyle name="Suma 2 6 2" xfId="34230" xr:uid="{00000000-0005-0000-0000-0000C4850000}"/>
    <cellStyle name="Suma 2 6 2 2" xfId="34231" xr:uid="{00000000-0005-0000-0000-0000C5850000}"/>
    <cellStyle name="Suma 2 6 2 3" xfId="34232" xr:uid="{00000000-0005-0000-0000-0000C6850000}"/>
    <cellStyle name="Suma 2 6 2 4" xfId="34233" xr:uid="{00000000-0005-0000-0000-0000C7850000}"/>
    <cellStyle name="Suma 2 6 20" xfId="34234" xr:uid="{00000000-0005-0000-0000-0000C8850000}"/>
    <cellStyle name="Suma 2 6 20 2" xfId="34235" xr:uid="{00000000-0005-0000-0000-0000C9850000}"/>
    <cellStyle name="Suma 2 6 20 3" xfId="34236" xr:uid="{00000000-0005-0000-0000-0000CA850000}"/>
    <cellStyle name="Suma 2 6 20 4" xfId="34237" xr:uid="{00000000-0005-0000-0000-0000CB850000}"/>
    <cellStyle name="Suma 2 6 21" xfId="34238" xr:uid="{00000000-0005-0000-0000-0000CC850000}"/>
    <cellStyle name="Suma 2 6 21 2" xfId="34239" xr:uid="{00000000-0005-0000-0000-0000CD850000}"/>
    <cellStyle name="Suma 2 6 21 3" xfId="34240" xr:uid="{00000000-0005-0000-0000-0000CE850000}"/>
    <cellStyle name="Suma 2 6 22" xfId="34241" xr:uid="{00000000-0005-0000-0000-0000CF850000}"/>
    <cellStyle name="Suma 2 6 22 2" xfId="34242" xr:uid="{00000000-0005-0000-0000-0000D0850000}"/>
    <cellStyle name="Suma 2 6 22 3" xfId="34243" xr:uid="{00000000-0005-0000-0000-0000D1850000}"/>
    <cellStyle name="Suma 2 6 23" xfId="34244" xr:uid="{00000000-0005-0000-0000-0000D2850000}"/>
    <cellStyle name="Suma 2 6 23 2" xfId="34245" xr:uid="{00000000-0005-0000-0000-0000D3850000}"/>
    <cellStyle name="Suma 2 6 23 3" xfId="34246" xr:uid="{00000000-0005-0000-0000-0000D4850000}"/>
    <cellStyle name="Suma 2 6 24" xfId="34247" xr:uid="{00000000-0005-0000-0000-0000D5850000}"/>
    <cellStyle name="Suma 2 6 24 2" xfId="34248" xr:uid="{00000000-0005-0000-0000-0000D6850000}"/>
    <cellStyle name="Suma 2 6 24 3" xfId="34249" xr:uid="{00000000-0005-0000-0000-0000D7850000}"/>
    <cellStyle name="Suma 2 6 25" xfId="34250" xr:uid="{00000000-0005-0000-0000-0000D8850000}"/>
    <cellStyle name="Suma 2 6 25 2" xfId="34251" xr:uid="{00000000-0005-0000-0000-0000D9850000}"/>
    <cellStyle name="Suma 2 6 25 3" xfId="34252" xr:uid="{00000000-0005-0000-0000-0000DA850000}"/>
    <cellStyle name="Suma 2 6 26" xfId="34253" xr:uid="{00000000-0005-0000-0000-0000DB850000}"/>
    <cellStyle name="Suma 2 6 26 2" xfId="34254" xr:uid="{00000000-0005-0000-0000-0000DC850000}"/>
    <cellStyle name="Suma 2 6 26 3" xfId="34255" xr:uid="{00000000-0005-0000-0000-0000DD850000}"/>
    <cellStyle name="Suma 2 6 27" xfId="34256" xr:uid="{00000000-0005-0000-0000-0000DE850000}"/>
    <cellStyle name="Suma 2 6 27 2" xfId="34257" xr:uid="{00000000-0005-0000-0000-0000DF850000}"/>
    <cellStyle name="Suma 2 6 27 3" xfId="34258" xr:uid="{00000000-0005-0000-0000-0000E0850000}"/>
    <cellStyle name="Suma 2 6 28" xfId="34259" xr:uid="{00000000-0005-0000-0000-0000E1850000}"/>
    <cellStyle name="Suma 2 6 28 2" xfId="34260" xr:uid="{00000000-0005-0000-0000-0000E2850000}"/>
    <cellStyle name="Suma 2 6 28 3" xfId="34261" xr:uid="{00000000-0005-0000-0000-0000E3850000}"/>
    <cellStyle name="Suma 2 6 29" xfId="34262" xr:uid="{00000000-0005-0000-0000-0000E4850000}"/>
    <cellStyle name="Suma 2 6 29 2" xfId="34263" xr:uid="{00000000-0005-0000-0000-0000E5850000}"/>
    <cellStyle name="Suma 2 6 29 3" xfId="34264" xr:uid="{00000000-0005-0000-0000-0000E6850000}"/>
    <cellStyle name="Suma 2 6 3" xfId="34265" xr:uid="{00000000-0005-0000-0000-0000E7850000}"/>
    <cellStyle name="Suma 2 6 3 2" xfId="34266" xr:uid="{00000000-0005-0000-0000-0000E8850000}"/>
    <cellStyle name="Suma 2 6 3 3" xfId="34267" xr:uid="{00000000-0005-0000-0000-0000E9850000}"/>
    <cellStyle name="Suma 2 6 3 4" xfId="34268" xr:uid="{00000000-0005-0000-0000-0000EA850000}"/>
    <cellStyle name="Suma 2 6 30" xfId="34269" xr:uid="{00000000-0005-0000-0000-0000EB850000}"/>
    <cellStyle name="Suma 2 6 30 2" xfId="34270" xr:uid="{00000000-0005-0000-0000-0000EC850000}"/>
    <cellStyle name="Suma 2 6 30 3" xfId="34271" xr:uid="{00000000-0005-0000-0000-0000ED850000}"/>
    <cellStyle name="Suma 2 6 31" xfId="34272" xr:uid="{00000000-0005-0000-0000-0000EE850000}"/>
    <cellStyle name="Suma 2 6 31 2" xfId="34273" xr:uid="{00000000-0005-0000-0000-0000EF850000}"/>
    <cellStyle name="Suma 2 6 31 3" xfId="34274" xr:uid="{00000000-0005-0000-0000-0000F0850000}"/>
    <cellStyle name="Suma 2 6 32" xfId="34275" xr:uid="{00000000-0005-0000-0000-0000F1850000}"/>
    <cellStyle name="Suma 2 6 32 2" xfId="34276" xr:uid="{00000000-0005-0000-0000-0000F2850000}"/>
    <cellStyle name="Suma 2 6 32 3" xfId="34277" xr:uid="{00000000-0005-0000-0000-0000F3850000}"/>
    <cellStyle name="Suma 2 6 33" xfId="34278" xr:uid="{00000000-0005-0000-0000-0000F4850000}"/>
    <cellStyle name="Suma 2 6 33 2" xfId="34279" xr:uid="{00000000-0005-0000-0000-0000F5850000}"/>
    <cellStyle name="Suma 2 6 33 3" xfId="34280" xr:uid="{00000000-0005-0000-0000-0000F6850000}"/>
    <cellStyle name="Suma 2 6 34" xfId="34281" xr:uid="{00000000-0005-0000-0000-0000F7850000}"/>
    <cellStyle name="Suma 2 6 34 2" xfId="34282" xr:uid="{00000000-0005-0000-0000-0000F8850000}"/>
    <cellStyle name="Suma 2 6 34 3" xfId="34283" xr:uid="{00000000-0005-0000-0000-0000F9850000}"/>
    <cellStyle name="Suma 2 6 35" xfId="34284" xr:uid="{00000000-0005-0000-0000-0000FA850000}"/>
    <cellStyle name="Suma 2 6 35 2" xfId="34285" xr:uid="{00000000-0005-0000-0000-0000FB850000}"/>
    <cellStyle name="Suma 2 6 35 3" xfId="34286" xr:uid="{00000000-0005-0000-0000-0000FC850000}"/>
    <cellStyle name="Suma 2 6 36" xfId="34287" xr:uid="{00000000-0005-0000-0000-0000FD850000}"/>
    <cellStyle name="Suma 2 6 36 2" xfId="34288" xr:uid="{00000000-0005-0000-0000-0000FE850000}"/>
    <cellStyle name="Suma 2 6 36 3" xfId="34289" xr:uid="{00000000-0005-0000-0000-0000FF850000}"/>
    <cellStyle name="Suma 2 6 37" xfId="34290" xr:uid="{00000000-0005-0000-0000-000000860000}"/>
    <cellStyle name="Suma 2 6 37 2" xfId="34291" xr:uid="{00000000-0005-0000-0000-000001860000}"/>
    <cellStyle name="Suma 2 6 37 3" xfId="34292" xr:uid="{00000000-0005-0000-0000-000002860000}"/>
    <cellStyle name="Suma 2 6 38" xfId="34293" xr:uid="{00000000-0005-0000-0000-000003860000}"/>
    <cellStyle name="Suma 2 6 38 2" xfId="34294" xr:uid="{00000000-0005-0000-0000-000004860000}"/>
    <cellStyle name="Suma 2 6 38 3" xfId="34295" xr:uid="{00000000-0005-0000-0000-000005860000}"/>
    <cellStyle name="Suma 2 6 39" xfId="34296" xr:uid="{00000000-0005-0000-0000-000006860000}"/>
    <cellStyle name="Suma 2 6 39 2" xfId="34297" xr:uid="{00000000-0005-0000-0000-000007860000}"/>
    <cellStyle name="Suma 2 6 39 3" xfId="34298" xr:uid="{00000000-0005-0000-0000-000008860000}"/>
    <cellStyle name="Suma 2 6 4" xfId="34299" xr:uid="{00000000-0005-0000-0000-000009860000}"/>
    <cellStyle name="Suma 2 6 4 2" xfId="34300" xr:uid="{00000000-0005-0000-0000-00000A860000}"/>
    <cellStyle name="Suma 2 6 4 3" xfId="34301" xr:uid="{00000000-0005-0000-0000-00000B860000}"/>
    <cellStyle name="Suma 2 6 4 4" xfId="34302" xr:uid="{00000000-0005-0000-0000-00000C860000}"/>
    <cellStyle name="Suma 2 6 40" xfId="34303" xr:uid="{00000000-0005-0000-0000-00000D860000}"/>
    <cellStyle name="Suma 2 6 40 2" xfId="34304" xr:uid="{00000000-0005-0000-0000-00000E860000}"/>
    <cellStyle name="Suma 2 6 40 3" xfId="34305" xr:uid="{00000000-0005-0000-0000-00000F860000}"/>
    <cellStyle name="Suma 2 6 41" xfId="34306" xr:uid="{00000000-0005-0000-0000-000010860000}"/>
    <cellStyle name="Suma 2 6 41 2" xfId="34307" xr:uid="{00000000-0005-0000-0000-000011860000}"/>
    <cellStyle name="Suma 2 6 41 3" xfId="34308" xr:uid="{00000000-0005-0000-0000-000012860000}"/>
    <cellStyle name="Suma 2 6 42" xfId="34309" xr:uid="{00000000-0005-0000-0000-000013860000}"/>
    <cellStyle name="Suma 2 6 42 2" xfId="34310" xr:uid="{00000000-0005-0000-0000-000014860000}"/>
    <cellStyle name="Suma 2 6 42 3" xfId="34311" xr:uid="{00000000-0005-0000-0000-000015860000}"/>
    <cellStyle name="Suma 2 6 43" xfId="34312" xr:uid="{00000000-0005-0000-0000-000016860000}"/>
    <cellStyle name="Suma 2 6 43 2" xfId="34313" xr:uid="{00000000-0005-0000-0000-000017860000}"/>
    <cellStyle name="Suma 2 6 43 3" xfId="34314" xr:uid="{00000000-0005-0000-0000-000018860000}"/>
    <cellStyle name="Suma 2 6 44" xfId="34315" xr:uid="{00000000-0005-0000-0000-000019860000}"/>
    <cellStyle name="Suma 2 6 44 2" xfId="34316" xr:uid="{00000000-0005-0000-0000-00001A860000}"/>
    <cellStyle name="Suma 2 6 44 3" xfId="34317" xr:uid="{00000000-0005-0000-0000-00001B860000}"/>
    <cellStyle name="Suma 2 6 45" xfId="34318" xr:uid="{00000000-0005-0000-0000-00001C860000}"/>
    <cellStyle name="Suma 2 6 45 2" xfId="34319" xr:uid="{00000000-0005-0000-0000-00001D860000}"/>
    <cellStyle name="Suma 2 6 45 3" xfId="34320" xr:uid="{00000000-0005-0000-0000-00001E860000}"/>
    <cellStyle name="Suma 2 6 46" xfId="34321" xr:uid="{00000000-0005-0000-0000-00001F860000}"/>
    <cellStyle name="Suma 2 6 46 2" xfId="34322" xr:uid="{00000000-0005-0000-0000-000020860000}"/>
    <cellStyle name="Suma 2 6 46 3" xfId="34323" xr:uid="{00000000-0005-0000-0000-000021860000}"/>
    <cellStyle name="Suma 2 6 47" xfId="34324" xr:uid="{00000000-0005-0000-0000-000022860000}"/>
    <cellStyle name="Suma 2 6 47 2" xfId="34325" xr:uid="{00000000-0005-0000-0000-000023860000}"/>
    <cellStyle name="Suma 2 6 47 3" xfId="34326" xr:uid="{00000000-0005-0000-0000-000024860000}"/>
    <cellStyle name="Suma 2 6 48" xfId="34327" xr:uid="{00000000-0005-0000-0000-000025860000}"/>
    <cellStyle name="Suma 2 6 48 2" xfId="34328" xr:uid="{00000000-0005-0000-0000-000026860000}"/>
    <cellStyle name="Suma 2 6 48 3" xfId="34329" xr:uid="{00000000-0005-0000-0000-000027860000}"/>
    <cellStyle name="Suma 2 6 49" xfId="34330" xr:uid="{00000000-0005-0000-0000-000028860000}"/>
    <cellStyle name="Suma 2 6 49 2" xfId="34331" xr:uid="{00000000-0005-0000-0000-000029860000}"/>
    <cellStyle name="Suma 2 6 49 3" xfId="34332" xr:uid="{00000000-0005-0000-0000-00002A860000}"/>
    <cellStyle name="Suma 2 6 5" xfId="34333" xr:uid="{00000000-0005-0000-0000-00002B860000}"/>
    <cellStyle name="Suma 2 6 5 2" xfId="34334" xr:uid="{00000000-0005-0000-0000-00002C860000}"/>
    <cellStyle name="Suma 2 6 5 3" xfId="34335" xr:uid="{00000000-0005-0000-0000-00002D860000}"/>
    <cellStyle name="Suma 2 6 5 4" xfId="34336" xr:uid="{00000000-0005-0000-0000-00002E860000}"/>
    <cellStyle name="Suma 2 6 50" xfId="34337" xr:uid="{00000000-0005-0000-0000-00002F860000}"/>
    <cellStyle name="Suma 2 6 50 2" xfId="34338" xr:uid="{00000000-0005-0000-0000-000030860000}"/>
    <cellStyle name="Suma 2 6 50 3" xfId="34339" xr:uid="{00000000-0005-0000-0000-000031860000}"/>
    <cellStyle name="Suma 2 6 51" xfId="34340" xr:uid="{00000000-0005-0000-0000-000032860000}"/>
    <cellStyle name="Suma 2 6 51 2" xfId="34341" xr:uid="{00000000-0005-0000-0000-000033860000}"/>
    <cellStyle name="Suma 2 6 51 3" xfId="34342" xr:uid="{00000000-0005-0000-0000-000034860000}"/>
    <cellStyle name="Suma 2 6 52" xfId="34343" xr:uid="{00000000-0005-0000-0000-000035860000}"/>
    <cellStyle name="Suma 2 6 52 2" xfId="34344" xr:uid="{00000000-0005-0000-0000-000036860000}"/>
    <cellStyle name="Suma 2 6 52 3" xfId="34345" xr:uid="{00000000-0005-0000-0000-000037860000}"/>
    <cellStyle name="Suma 2 6 53" xfId="34346" xr:uid="{00000000-0005-0000-0000-000038860000}"/>
    <cellStyle name="Suma 2 6 53 2" xfId="34347" xr:uid="{00000000-0005-0000-0000-000039860000}"/>
    <cellStyle name="Suma 2 6 53 3" xfId="34348" xr:uid="{00000000-0005-0000-0000-00003A860000}"/>
    <cellStyle name="Suma 2 6 54" xfId="34349" xr:uid="{00000000-0005-0000-0000-00003B860000}"/>
    <cellStyle name="Suma 2 6 54 2" xfId="34350" xr:uid="{00000000-0005-0000-0000-00003C860000}"/>
    <cellStyle name="Suma 2 6 54 3" xfId="34351" xr:uid="{00000000-0005-0000-0000-00003D860000}"/>
    <cellStyle name="Suma 2 6 55" xfId="34352" xr:uid="{00000000-0005-0000-0000-00003E860000}"/>
    <cellStyle name="Suma 2 6 55 2" xfId="34353" xr:uid="{00000000-0005-0000-0000-00003F860000}"/>
    <cellStyle name="Suma 2 6 55 3" xfId="34354" xr:uid="{00000000-0005-0000-0000-000040860000}"/>
    <cellStyle name="Suma 2 6 56" xfId="34355" xr:uid="{00000000-0005-0000-0000-000041860000}"/>
    <cellStyle name="Suma 2 6 56 2" xfId="34356" xr:uid="{00000000-0005-0000-0000-000042860000}"/>
    <cellStyle name="Suma 2 6 56 3" xfId="34357" xr:uid="{00000000-0005-0000-0000-000043860000}"/>
    <cellStyle name="Suma 2 6 57" xfId="34358" xr:uid="{00000000-0005-0000-0000-000044860000}"/>
    <cellStyle name="Suma 2 6 58" xfId="34359" xr:uid="{00000000-0005-0000-0000-000045860000}"/>
    <cellStyle name="Suma 2 6 6" xfId="34360" xr:uid="{00000000-0005-0000-0000-000046860000}"/>
    <cellStyle name="Suma 2 6 6 2" xfId="34361" xr:uid="{00000000-0005-0000-0000-000047860000}"/>
    <cellStyle name="Suma 2 6 6 3" xfId="34362" xr:uid="{00000000-0005-0000-0000-000048860000}"/>
    <cellStyle name="Suma 2 6 6 4" xfId="34363" xr:uid="{00000000-0005-0000-0000-000049860000}"/>
    <cellStyle name="Suma 2 6 7" xfId="34364" xr:uid="{00000000-0005-0000-0000-00004A860000}"/>
    <cellStyle name="Suma 2 6 7 2" xfId="34365" xr:uid="{00000000-0005-0000-0000-00004B860000}"/>
    <cellStyle name="Suma 2 6 7 3" xfId="34366" xr:uid="{00000000-0005-0000-0000-00004C860000}"/>
    <cellStyle name="Suma 2 6 7 4" xfId="34367" xr:uid="{00000000-0005-0000-0000-00004D860000}"/>
    <cellStyle name="Suma 2 6 8" xfId="34368" xr:uid="{00000000-0005-0000-0000-00004E860000}"/>
    <cellStyle name="Suma 2 6 8 2" xfId="34369" xr:uid="{00000000-0005-0000-0000-00004F860000}"/>
    <cellStyle name="Suma 2 6 8 3" xfId="34370" xr:uid="{00000000-0005-0000-0000-000050860000}"/>
    <cellStyle name="Suma 2 6 8 4" xfId="34371" xr:uid="{00000000-0005-0000-0000-000051860000}"/>
    <cellStyle name="Suma 2 6 9" xfId="34372" xr:uid="{00000000-0005-0000-0000-000052860000}"/>
    <cellStyle name="Suma 2 6 9 2" xfId="34373" xr:uid="{00000000-0005-0000-0000-000053860000}"/>
    <cellStyle name="Suma 2 6 9 3" xfId="34374" xr:uid="{00000000-0005-0000-0000-000054860000}"/>
    <cellStyle name="Suma 2 6 9 4" xfId="34375" xr:uid="{00000000-0005-0000-0000-000055860000}"/>
    <cellStyle name="Suma 2 60" xfId="34376" xr:uid="{00000000-0005-0000-0000-000056860000}"/>
    <cellStyle name="Suma 2 60 2" xfId="34377" xr:uid="{00000000-0005-0000-0000-000057860000}"/>
    <cellStyle name="Suma 2 60 3" xfId="34378" xr:uid="{00000000-0005-0000-0000-000058860000}"/>
    <cellStyle name="Suma 2 60 4" xfId="34379" xr:uid="{00000000-0005-0000-0000-000059860000}"/>
    <cellStyle name="Suma 2 61" xfId="34380" xr:uid="{00000000-0005-0000-0000-00005A860000}"/>
    <cellStyle name="Suma 2 61 2" xfId="34381" xr:uid="{00000000-0005-0000-0000-00005B860000}"/>
    <cellStyle name="Suma 2 61 3" xfId="34382" xr:uid="{00000000-0005-0000-0000-00005C860000}"/>
    <cellStyle name="Suma 2 61 4" xfId="34383" xr:uid="{00000000-0005-0000-0000-00005D860000}"/>
    <cellStyle name="Suma 2 62" xfId="34384" xr:uid="{00000000-0005-0000-0000-00005E860000}"/>
    <cellStyle name="Suma 2 62 2" xfId="34385" xr:uid="{00000000-0005-0000-0000-00005F860000}"/>
    <cellStyle name="Suma 2 62 3" xfId="34386" xr:uid="{00000000-0005-0000-0000-000060860000}"/>
    <cellStyle name="Suma 2 62 4" xfId="34387" xr:uid="{00000000-0005-0000-0000-000061860000}"/>
    <cellStyle name="Suma 2 63" xfId="34388" xr:uid="{00000000-0005-0000-0000-000062860000}"/>
    <cellStyle name="Suma 2 63 2" xfId="34389" xr:uid="{00000000-0005-0000-0000-000063860000}"/>
    <cellStyle name="Suma 2 63 3" xfId="34390" xr:uid="{00000000-0005-0000-0000-000064860000}"/>
    <cellStyle name="Suma 2 63 4" xfId="34391" xr:uid="{00000000-0005-0000-0000-000065860000}"/>
    <cellStyle name="Suma 2 64" xfId="34392" xr:uid="{00000000-0005-0000-0000-000066860000}"/>
    <cellStyle name="Suma 2 64 2" xfId="34393" xr:uid="{00000000-0005-0000-0000-000067860000}"/>
    <cellStyle name="Suma 2 64 3" xfId="34394" xr:uid="{00000000-0005-0000-0000-000068860000}"/>
    <cellStyle name="Suma 2 64 4" xfId="34395" xr:uid="{00000000-0005-0000-0000-000069860000}"/>
    <cellStyle name="Suma 2 65" xfId="34396" xr:uid="{00000000-0005-0000-0000-00006A860000}"/>
    <cellStyle name="Suma 2 65 2" xfId="34397" xr:uid="{00000000-0005-0000-0000-00006B860000}"/>
    <cellStyle name="Suma 2 65 3" xfId="34398" xr:uid="{00000000-0005-0000-0000-00006C860000}"/>
    <cellStyle name="Suma 2 65 4" xfId="34399" xr:uid="{00000000-0005-0000-0000-00006D860000}"/>
    <cellStyle name="Suma 2 66" xfId="34400" xr:uid="{00000000-0005-0000-0000-00006E860000}"/>
    <cellStyle name="Suma 2 66 2" xfId="34401" xr:uid="{00000000-0005-0000-0000-00006F860000}"/>
    <cellStyle name="Suma 2 66 3" xfId="34402" xr:uid="{00000000-0005-0000-0000-000070860000}"/>
    <cellStyle name="Suma 2 66 4" xfId="34403" xr:uid="{00000000-0005-0000-0000-000071860000}"/>
    <cellStyle name="Suma 2 67" xfId="34404" xr:uid="{00000000-0005-0000-0000-000072860000}"/>
    <cellStyle name="Suma 2 67 2" xfId="34405" xr:uid="{00000000-0005-0000-0000-000073860000}"/>
    <cellStyle name="Suma 2 67 3" xfId="34406" xr:uid="{00000000-0005-0000-0000-000074860000}"/>
    <cellStyle name="Suma 2 68" xfId="34407" xr:uid="{00000000-0005-0000-0000-000075860000}"/>
    <cellStyle name="Suma 2 68 2" xfId="34408" xr:uid="{00000000-0005-0000-0000-000076860000}"/>
    <cellStyle name="Suma 2 68 3" xfId="34409" xr:uid="{00000000-0005-0000-0000-000077860000}"/>
    <cellStyle name="Suma 2 69" xfId="34410" xr:uid="{00000000-0005-0000-0000-000078860000}"/>
    <cellStyle name="Suma 2 69 2" xfId="34411" xr:uid="{00000000-0005-0000-0000-000079860000}"/>
    <cellStyle name="Suma 2 69 3" xfId="34412" xr:uid="{00000000-0005-0000-0000-00007A860000}"/>
    <cellStyle name="Suma 2 7" xfId="34413" xr:uid="{00000000-0005-0000-0000-00007B860000}"/>
    <cellStyle name="Suma 2 7 10" xfId="34414" xr:uid="{00000000-0005-0000-0000-00007C860000}"/>
    <cellStyle name="Suma 2 7 10 2" xfId="34415" xr:uid="{00000000-0005-0000-0000-00007D860000}"/>
    <cellStyle name="Suma 2 7 10 3" xfId="34416" xr:uid="{00000000-0005-0000-0000-00007E860000}"/>
    <cellStyle name="Suma 2 7 10 4" xfId="34417" xr:uid="{00000000-0005-0000-0000-00007F860000}"/>
    <cellStyle name="Suma 2 7 11" xfId="34418" xr:uid="{00000000-0005-0000-0000-000080860000}"/>
    <cellStyle name="Suma 2 7 11 2" xfId="34419" xr:uid="{00000000-0005-0000-0000-000081860000}"/>
    <cellStyle name="Suma 2 7 11 3" xfId="34420" xr:uid="{00000000-0005-0000-0000-000082860000}"/>
    <cellStyle name="Suma 2 7 11 4" xfId="34421" xr:uid="{00000000-0005-0000-0000-000083860000}"/>
    <cellStyle name="Suma 2 7 12" xfId="34422" xr:uid="{00000000-0005-0000-0000-000084860000}"/>
    <cellStyle name="Suma 2 7 12 2" xfId="34423" xr:uid="{00000000-0005-0000-0000-000085860000}"/>
    <cellStyle name="Suma 2 7 12 3" xfId="34424" xr:uid="{00000000-0005-0000-0000-000086860000}"/>
    <cellStyle name="Suma 2 7 12 4" xfId="34425" xr:uid="{00000000-0005-0000-0000-000087860000}"/>
    <cellStyle name="Suma 2 7 13" xfId="34426" xr:uid="{00000000-0005-0000-0000-000088860000}"/>
    <cellStyle name="Suma 2 7 13 2" xfId="34427" xr:uid="{00000000-0005-0000-0000-000089860000}"/>
    <cellStyle name="Suma 2 7 13 3" xfId="34428" xr:uid="{00000000-0005-0000-0000-00008A860000}"/>
    <cellStyle name="Suma 2 7 13 4" xfId="34429" xr:uid="{00000000-0005-0000-0000-00008B860000}"/>
    <cellStyle name="Suma 2 7 14" xfId="34430" xr:uid="{00000000-0005-0000-0000-00008C860000}"/>
    <cellStyle name="Suma 2 7 14 2" xfId="34431" xr:uid="{00000000-0005-0000-0000-00008D860000}"/>
    <cellStyle name="Suma 2 7 14 3" xfId="34432" xr:uid="{00000000-0005-0000-0000-00008E860000}"/>
    <cellStyle name="Suma 2 7 14 4" xfId="34433" xr:uid="{00000000-0005-0000-0000-00008F860000}"/>
    <cellStyle name="Suma 2 7 15" xfId="34434" xr:uid="{00000000-0005-0000-0000-000090860000}"/>
    <cellStyle name="Suma 2 7 15 2" xfId="34435" xr:uid="{00000000-0005-0000-0000-000091860000}"/>
    <cellStyle name="Suma 2 7 15 3" xfId="34436" xr:uid="{00000000-0005-0000-0000-000092860000}"/>
    <cellStyle name="Suma 2 7 15 4" xfId="34437" xr:uid="{00000000-0005-0000-0000-000093860000}"/>
    <cellStyle name="Suma 2 7 16" xfId="34438" xr:uid="{00000000-0005-0000-0000-000094860000}"/>
    <cellStyle name="Suma 2 7 16 2" xfId="34439" xr:uid="{00000000-0005-0000-0000-000095860000}"/>
    <cellStyle name="Suma 2 7 16 3" xfId="34440" xr:uid="{00000000-0005-0000-0000-000096860000}"/>
    <cellStyle name="Suma 2 7 16 4" xfId="34441" xr:uid="{00000000-0005-0000-0000-000097860000}"/>
    <cellStyle name="Suma 2 7 17" xfId="34442" xr:uid="{00000000-0005-0000-0000-000098860000}"/>
    <cellStyle name="Suma 2 7 17 2" xfId="34443" xr:uid="{00000000-0005-0000-0000-000099860000}"/>
    <cellStyle name="Suma 2 7 17 3" xfId="34444" xr:uid="{00000000-0005-0000-0000-00009A860000}"/>
    <cellStyle name="Suma 2 7 17 4" xfId="34445" xr:uid="{00000000-0005-0000-0000-00009B860000}"/>
    <cellStyle name="Suma 2 7 18" xfId="34446" xr:uid="{00000000-0005-0000-0000-00009C860000}"/>
    <cellStyle name="Suma 2 7 18 2" xfId="34447" xr:uid="{00000000-0005-0000-0000-00009D860000}"/>
    <cellStyle name="Suma 2 7 18 3" xfId="34448" xr:uid="{00000000-0005-0000-0000-00009E860000}"/>
    <cellStyle name="Suma 2 7 18 4" xfId="34449" xr:uid="{00000000-0005-0000-0000-00009F860000}"/>
    <cellStyle name="Suma 2 7 19" xfId="34450" xr:uid="{00000000-0005-0000-0000-0000A0860000}"/>
    <cellStyle name="Suma 2 7 19 2" xfId="34451" xr:uid="{00000000-0005-0000-0000-0000A1860000}"/>
    <cellStyle name="Suma 2 7 19 3" xfId="34452" xr:uid="{00000000-0005-0000-0000-0000A2860000}"/>
    <cellStyle name="Suma 2 7 19 4" xfId="34453" xr:uid="{00000000-0005-0000-0000-0000A3860000}"/>
    <cellStyle name="Suma 2 7 2" xfId="34454" xr:uid="{00000000-0005-0000-0000-0000A4860000}"/>
    <cellStyle name="Suma 2 7 2 2" xfId="34455" xr:uid="{00000000-0005-0000-0000-0000A5860000}"/>
    <cellStyle name="Suma 2 7 2 3" xfId="34456" xr:uid="{00000000-0005-0000-0000-0000A6860000}"/>
    <cellStyle name="Suma 2 7 2 4" xfId="34457" xr:uid="{00000000-0005-0000-0000-0000A7860000}"/>
    <cellStyle name="Suma 2 7 20" xfId="34458" xr:uid="{00000000-0005-0000-0000-0000A8860000}"/>
    <cellStyle name="Suma 2 7 20 2" xfId="34459" xr:uid="{00000000-0005-0000-0000-0000A9860000}"/>
    <cellStyle name="Suma 2 7 20 3" xfId="34460" xr:uid="{00000000-0005-0000-0000-0000AA860000}"/>
    <cellStyle name="Suma 2 7 20 4" xfId="34461" xr:uid="{00000000-0005-0000-0000-0000AB860000}"/>
    <cellStyle name="Suma 2 7 21" xfId="34462" xr:uid="{00000000-0005-0000-0000-0000AC860000}"/>
    <cellStyle name="Suma 2 7 21 2" xfId="34463" xr:uid="{00000000-0005-0000-0000-0000AD860000}"/>
    <cellStyle name="Suma 2 7 21 3" xfId="34464" xr:uid="{00000000-0005-0000-0000-0000AE860000}"/>
    <cellStyle name="Suma 2 7 22" xfId="34465" xr:uid="{00000000-0005-0000-0000-0000AF860000}"/>
    <cellStyle name="Suma 2 7 22 2" xfId="34466" xr:uid="{00000000-0005-0000-0000-0000B0860000}"/>
    <cellStyle name="Suma 2 7 22 3" xfId="34467" xr:uid="{00000000-0005-0000-0000-0000B1860000}"/>
    <cellStyle name="Suma 2 7 23" xfId="34468" xr:uid="{00000000-0005-0000-0000-0000B2860000}"/>
    <cellStyle name="Suma 2 7 23 2" xfId="34469" xr:uid="{00000000-0005-0000-0000-0000B3860000}"/>
    <cellStyle name="Suma 2 7 23 3" xfId="34470" xr:uid="{00000000-0005-0000-0000-0000B4860000}"/>
    <cellStyle name="Suma 2 7 24" xfId="34471" xr:uid="{00000000-0005-0000-0000-0000B5860000}"/>
    <cellStyle name="Suma 2 7 24 2" xfId="34472" xr:uid="{00000000-0005-0000-0000-0000B6860000}"/>
    <cellStyle name="Suma 2 7 24 3" xfId="34473" xr:uid="{00000000-0005-0000-0000-0000B7860000}"/>
    <cellStyle name="Suma 2 7 25" xfId="34474" xr:uid="{00000000-0005-0000-0000-0000B8860000}"/>
    <cellStyle name="Suma 2 7 25 2" xfId="34475" xr:uid="{00000000-0005-0000-0000-0000B9860000}"/>
    <cellStyle name="Suma 2 7 25 3" xfId="34476" xr:uid="{00000000-0005-0000-0000-0000BA860000}"/>
    <cellStyle name="Suma 2 7 26" xfId="34477" xr:uid="{00000000-0005-0000-0000-0000BB860000}"/>
    <cellStyle name="Suma 2 7 26 2" xfId="34478" xr:uid="{00000000-0005-0000-0000-0000BC860000}"/>
    <cellStyle name="Suma 2 7 26 3" xfId="34479" xr:uid="{00000000-0005-0000-0000-0000BD860000}"/>
    <cellStyle name="Suma 2 7 27" xfId="34480" xr:uid="{00000000-0005-0000-0000-0000BE860000}"/>
    <cellStyle name="Suma 2 7 27 2" xfId="34481" xr:uid="{00000000-0005-0000-0000-0000BF860000}"/>
    <cellStyle name="Suma 2 7 27 3" xfId="34482" xr:uid="{00000000-0005-0000-0000-0000C0860000}"/>
    <cellStyle name="Suma 2 7 28" xfId="34483" xr:uid="{00000000-0005-0000-0000-0000C1860000}"/>
    <cellStyle name="Suma 2 7 28 2" xfId="34484" xr:uid="{00000000-0005-0000-0000-0000C2860000}"/>
    <cellStyle name="Suma 2 7 28 3" xfId="34485" xr:uid="{00000000-0005-0000-0000-0000C3860000}"/>
    <cellStyle name="Suma 2 7 29" xfId="34486" xr:uid="{00000000-0005-0000-0000-0000C4860000}"/>
    <cellStyle name="Suma 2 7 29 2" xfId="34487" xr:uid="{00000000-0005-0000-0000-0000C5860000}"/>
    <cellStyle name="Suma 2 7 29 3" xfId="34488" xr:uid="{00000000-0005-0000-0000-0000C6860000}"/>
    <cellStyle name="Suma 2 7 3" xfId="34489" xr:uid="{00000000-0005-0000-0000-0000C7860000}"/>
    <cellStyle name="Suma 2 7 3 2" xfId="34490" xr:uid="{00000000-0005-0000-0000-0000C8860000}"/>
    <cellStyle name="Suma 2 7 3 3" xfId="34491" xr:uid="{00000000-0005-0000-0000-0000C9860000}"/>
    <cellStyle name="Suma 2 7 3 4" xfId="34492" xr:uid="{00000000-0005-0000-0000-0000CA860000}"/>
    <cellStyle name="Suma 2 7 30" xfId="34493" xr:uid="{00000000-0005-0000-0000-0000CB860000}"/>
    <cellStyle name="Suma 2 7 30 2" xfId="34494" xr:uid="{00000000-0005-0000-0000-0000CC860000}"/>
    <cellStyle name="Suma 2 7 30 3" xfId="34495" xr:uid="{00000000-0005-0000-0000-0000CD860000}"/>
    <cellStyle name="Suma 2 7 31" xfId="34496" xr:uid="{00000000-0005-0000-0000-0000CE860000}"/>
    <cellStyle name="Suma 2 7 31 2" xfId="34497" xr:uid="{00000000-0005-0000-0000-0000CF860000}"/>
    <cellStyle name="Suma 2 7 31 3" xfId="34498" xr:uid="{00000000-0005-0000-0000-0000D0860000}"/>
    <cellStyle name="Suma 2 7 32" xfId="34499" xr:uid="{00000000-0005-0000-0000-0000D1860000}"/>
    <cellStyle name="Suma 2 7 32 2" xfId="34500" xr:uid="{00000000-0005-0000-0000-0000D2860000}"/>
    <cellStyle name="Suma 2 7 32 3" xfId="34501" xr:uid="{00000000-0005-0000-0000-0000D3860000}"/>
    <cellStyle name="Suma 2 7 33" xfId="34502" xr:uid="{00000000-0005-0000-0000-0000D4860000}"/>
    <cellStyle name="Suma 2 7 33 2" xfId="34503" xr:uid="{00000000-0005-0000-0000-0000D5860000}"/>
    <cellStyle name="Suma 2 7 33 3" xfId="34504" xr:uid="{00000000-0005-0000-0000-0000D6860000}"/>
    <cellStyle name="Suma 2 7 34" xfId="34505" xr:uid="{00000000-0005-0000-0000-0000D7860000}"/>
    <cellStyle name="Suma 2 7 34 2" xfId="34506" xr:uid="{00000000-0005-0000-0000-0000D8860000}"/>
    <cellStyle name="Suma 2 7 34 3" xfId="34507" xr:uid="{00000000-0005-0000-0000-0000D9860000}"/>
    <cellStyle name="Suma 2 7 35" xfId="34508" xr:uid="{00000000-0005-0000-0000-0000DA860000}"/>
    <cellStyle name="Suma 2 7 35 2" xfId="34509" xr:uid="{00000000-0005-0000-0000-0000DB860000}"/>
    <cellStyle name="Suma 2 7 35 3" xfId="34510" xr:uid="{00000000-0005-0000-0000-0000DC860000}"/>
    <cellStyle name="Suma 2 7 36" xfId="34511" xr:uid="{00000000-0005-0000-0000-0000DD860000}"/>
    <cellStyle name="Suma 2 7 36 2" xfId="34512" xr:uid="{00000000-0005-0000-0000-0000DE860000}"/>
    <cellStyle name="Suma 2 7 36 3" xfId="34513" xr:uid="{00000000-0005-0000-0000-0000DF860000}"/>
    <cellStyle name="Suma 2 7 37" xfId="34514" xr:uid="{00000000-0005-0000-0000-0000E0860000}"/>
    <cellStyle name="Suma 2 7 37 2" xfId="34515" xr:uid="{00000000-0005-0000-0000-0000E1860000}"/>
    <cellStyle name="Suma 2 7 37 3" xfId="34516" xr:uid="{00000000-0005-0000-0000-0000E2860000}"/>
    <cellStyle name="Suma 2 7 38" xfId="34517" xr:uid="{00000000-0005-0000-0000-0000E3860000}"/>
    <cellStyle name="Suma 2 7 38 2" xfId="34518" xr:uid="{00000000-0005-0000-0000-0000E4860000}"/>
    <cellStyle name="Suma 2 7 38 3" xfId="34519" xr:uid="{00000000-0005-0000-0000-0000E5860000}"/>
    <cellStyle name="Suma 2 7 39" xfId="34520" xr:uid="{00000000-0005-0000-0000-0000E6860000}"/>
    <cellStyle name="Suma 2 7 39 2" xfId="34521" xr:uid="{00000000-0005-0000-0000-0000E7860000}"/>
    <cellStyle name="Suma 2 7 39 3" xfId="34522" xr:uid="{00000000-0005-0000-0000-0000E8860000}"/>
    <cellStyle name="Suma 2 7 4" xfId="34523" xr:uid="{00000000-0005-0000-0000-0000E9860000}"/>
    <cellStyle name="Suma 2 7 4 2" xfId="34524" xr:uid="{00000000-0005-0000-0000-0000EA860000}"/>
    <cellStyle name="Suma 2 7 4 3" xfId="34525" xr:uid="{00000000-0005-0000-0000-0000EB860000}"/>
    <cellStyle name="Suma 2 7 4 4" xfId="34526" xr:uid="{00000000-0005-0000-0000-0000EC860000}"/>
    <cellStyle name="Suma 2 7 40" xfId="34527" xr:uid="{00000000-0005-0000-0000-0000ED860000}"/>
    <cellStyle name="Suma 2 7 40 2" xfId="34528" xr:uid="{00000000-0005-0000-0000-0000EE860000}"/>
    <cellStyle name="Suma 2 7 40 3" xfId="34529" xr:uid="{00000000-0005-0000-0000-0000EF860000}"/>
    <cellStyle name="Suma 2 7 41" xfId="34530" xr:uid="{00000000-0005-0000-0000-0000F0860000}"/>
    <cellStyle name="Suma 2 7 41 2" xfId="34531" xr:uid="{00000000-0005-0000-0000-0000F1860000}"/>
    <cellStyle name="Suma 2 7 41 3" xfId="34532" xr:uid="{00000000-0005-0000-0000-0000F2860000}"/>
    <cellStyle name="Suma 2 7 42" xfId="34533" xr:uid="{00000000-0005-0000-0000-0000F3860000}"/>
    <cellStyle name="Suma 2 7 42 2" xfId="34534" xr:uid="{00000000-0005-0000-0000-0000F4860000}"/>
    <cellStyle name="Suma 2 7 42 3" xfId="34535" xr:uid="{00000000-0005-0000-0000-0000F5860000}"/>
    <cellStyle name="Suma 2 7 43" xfId="34536" xr:uid="{00000000-0005-0000-0000-0000F6860000}"/>
    <cellStyle name="Suma 2 7 43 2" xfId="34537" xr:uid="{00000000-0005-0000-0000-0000F7860000}"/>
    <cellStyle name="Suma 2 7 43 3" xfId="34538" xr:uid="{00000000-0005-0000-0000-0000F8860000}"/>
    <cellStyle name="Suma 2 7 44" xfId="34539" xr:uid="{00000000-0005-0000-0000-0000F9860000}"/>
    <cellStyle name="Suma 2 7 44 2" xfId="34540" xr:uid="{00000000-0005-0000-0000-0000FA860000}"/>
    <cellStyle name="Suma 2 7 44 3" xfId="34541" xr:uid="{00000000-0005-0000-0000-0000FB860000}"/>
    <cellStyle name="Suma 2 7 45" xfId="34542" xr:uid="{00000000-0005-0000-0000-0000FC860000}"/>
    <cellStyle name="Suma 2 7 45 2" xfId="34543" xr:uid="{00000000-0005-0000-0000-0000FD860000}"/>
    <cellStyle name="Suma 2 7 45 3" xfId="34544" xr:uid="{00000000-0005-0000-0000-0000FE860000}"/>
    <cellStyle name="Suma 2 7 46" xfId="34545" xr:uid="{00000000-0005-0000-0000-0000FF860000}"/>
    <cellStyle name="Suma 2 7 46 2" xfId="34546" xr:uid="{00000000-0005-0000-0000-000000870000}"/>
    <cellStyle name="Suma 2 7 46 3" xfId="34547" xr:uid="{00000000-0005-0000-0000-000001870000}"/>
    <cellStyle name="Suma 2 7 47" xfId="34548" xr:uid="{00000000-0005-0000-0000-000002870000}"/>
    <cellStyle name="Suma 2 7 47 2" xfId="34549" xr:uid="{00000000-0005-0000-0000-000003870000}"/>
    <cellStyle name="Suma 2 7 47 3" xfId="34550" xr:uid="{00000000-0005-0000-0000-000004870000}"/>
    <cellStyle name="Suma 2 7 48" xfId="34551" xr:uid="{00000000-0005-0000-0000-000005870000}"/>
    <cellStyle name="Suma 2 7 48 2" xfId="34552" xr:uid="{00000000-0005-0000-0000-000006870000}"/>
    <cellStyle name="Suma 2 7 48 3" xfId="34553" xr:uid="{00000000-0005-0000-0000-000007870000}"/>
    <cellStyle name="Suma 2 7 49" xfId="34554" xr:uid="{00000000-0005-0000-0000-000008870000}"/>
    <cellStyle name="Suma 2 7 49 2" xfId="34555" xr:uid="{00000000-0005-0000-0000-000009870000}"/>
    <cellStyle name="Suma 2 7 49 3" xfId="34556" xr:uid="{00000000-0005-0000-0000-00000A870000}"/>
    <cellStyle name="Suma 2 7 5" xfId="34557" xr:uid="{00000000-0005-0000-0000-00000B870000}"/>
    <cellStyle name="Suma 2 7 5 2" xfId="34558" xr:uid="{00000000-0005-0000-0000-00000C870000}"/>
    <cellStyle name="Suma 2 7 5 3" xfId="34559" xr:uid="{00000000-0005-0000-0000-00000D870000}"/>
    <cellStyle name="Suma 2 7 5 4" xfId="34560" xr:uid="{00000000-0005-0000-0000-00000E870000}"/>
    <cellStyle name="Suma 2 7 50" xfId="34561" xr:uid="{00000000-0005-0000-0000-00000F870000}"/>
    <cellStyle name="Suma 2 7 50 2" xfId="34562" xr:uid="{00000000-0005-0000-0000-000010870000}"/>
    <cellStyle name="Suma 2 7 50 3" xfId="34563" xr:uid="{00000000-0005-0000-0000-000011870000}"/>
    <cellStyle name="Suma 2 7 51" xfId="34564" xr:uid="{00000000-0005-0000-0000-000012870000}"/>
    <cellStyle name="Suma 2 7 51 2" xfId="34565" xr:uid="{00000000-0005-0000-0000-000013870000}"/>
    <cellStyle name="Suma 2 7 51 3" xfId="34566" xr:uid="{00000000-0005-0000-0000-000014870000}"/>
    <cellStyle name="Suma 2 7 52" xfId="34567" xr:uid="{00000000-0005-0000-0000-000015870000}"/>
    <cellStyle name="Suma 2 7 52 2" xfId="34568" xr:uid="{00000000-0005-0000-0000-000016870000}"/>
    <cellStyle name="Suma 2 7 52 3" xfId="34569" xr:uid="{00000000-0005-0000-0000-000017870000}"/>
    <cellStyle name="Suma 2 7 53" xfId="34570" xr:uid="{00000000-0005-0000-0000-000018870000}"/>
    <cellStyle name="Suma 2 7 53 2" xfId="34571" xr:uid="{00000000-0005-0000-0000-000019870000}"/>
    <cellStyle name="Suma 2 7 53 3" xfId="34572" xr:uid="{00000000-0005-0000-0000-00001A870000}"/>
    <cellStyle name="Suma 2 7 54" xfId="34573" xr:uid="{00000000-0005-0000-0000-00001B870000}"/>
    <cellStyle name="Suma 2 7 54 2" xfId="34574" xr:uid="{00000000-0005-0000-0000-00001C870000}"/>
    <cellStyle name="Suma 2 7 54 3" xfId="34575" xr:uid="{00000000-0005-0000-0000-00001D870000}"/>
    <cellStyle name="Suma 2 7 55" xfId="34576" xr:uid="{00000000-0005-0000-0000-00001E870000}"/>
    <cellStyle name="Suma 2 7 55 2" xfId="34577" xr:uid="{00000000-0005-0000-0000-00001F870000}"/>
    <cellStyle name="Suma 2 7 55 3" xfId="34578" xr:uid="{00000000-0005-0000-0000-000020870000}"/>
    <cellStyle name="Suma 2 7 56" xfId="34579" xr:uid="{00000000-0005-0000-0000-000021870000}"/>
    <cellStyle name="Suma 2 7 56 2" xfId="34580" xr:uid="{00000000-0005-0000-0000-000022870000}"/>
    <cellStyle name="Suma 2 7 56 3" xfId="34581" xr:uid="{00000000-0005-0000-0000-000023870000}"/>
    <cellStyle name="Suma 2 7 57" xfId="34582" xr:uid="{00000000-0005-0000-0000-000024870000}"/>
    <cellStyle name="Suma 2 7 58" xfId="34583" xr:uid="{00000000-0005-0000-0000-000025870000}"/>
    <cellStyle name="Suma 2 7 6" xfId="34584" xr:uid="{00000000-0005-0000-0000-000026870000}"/>
    <cellStyle name="Suma 2 7 6 2" xfId="34585" xr:uid="{00000000-0005-0000-0000-000027870000}"/>
    <cellStyle name="Suma 2 7 6 3" xfId="34586" xr:uid="{00000000-0005-0000-0000-000028870000}"/>
    <cellStyle name="Suma 2 7 6 4" xfId="34587" xr:uid="{00000000-0005-0000-0000-000029870000}"/>
    <cellStyle name="Suma 2 7 7" xfId="34588" xr:uid="{00000000-0005-0000-0000-00002A870000}"/>
    <cellStyle name="Suma 2 7 7 2" xfId="34589" xr:uid="{00000000-0005-0000-0000-00002B870000}"/>
    <cellStyle name="Suma 2 7 7 3" xfId="34590" xr:uid="{00000000-0005-0000-0000-00002C870000}"/>
    <cellStyle name="Suma 2 7 7 4" xfId="34591" xr:uid="{00000000-0005-0000-0000-00002D870000}"/>
    <cellStyle name="Suma 2 7 8" xfId="34592" xr:uid="{00000000-0005-0000-0000-00002E870000}"/>
    <cellStyle name="Suma 2 7 8 2" xfId="34593" xr:uid="{00000000-0005-0000-0000-00002F870000}"/>
    <cellStyle name="Suma 2 7 8 3" xfId="34594" xr:uid="{00000000-0005-0000-0000-000030870000}"/>
    <cellStyle name="Suma 2 7 8 4" xfId="34595" xr:uid="{00000000-0005-0000-0000-000031870000}"/>
    <cellStyle name="Suma 2 7 9" xfId="34596" xr:uid="{00000000-0005-0000-0000-000032870000}"/>
    <cellStyle name="Suma 2 7 9 2" xfId="34597" xr:uid="{00000000-0005-0000-0000-000033870000}"/>
    <cellStyle name="Suma 2 7 9 3" xfId="34598" xr:uid="{00000000-0005-0000-0000-000034870000}"/>
    <cellStyle name="Suma 2 7 9 4" xfId="34599" xr:uid="{00000000-0005-0000-0000-000035870000}"/>
    <cellStyle name="Suma 2 70" xfId="34600" xr:uid="{00000000-0005-0000-0000-000036870000}"/>
    <cellStyle name="Suma 2 70 2" xfId="34601" xr:uid="{00000000-0005-0000-0000-000037870000}"/>
    <cellStyle name="Suma 2 70 3" xfId="34602" xr:uid="{00000000-0005-0000-0000-000038870000}"/>
    <cellStyle name="Suma 2 71" xfId="34603" xr:uid="{00000000-0005-0000-0000-000039870000}"/>
    <cellStyle name="Suma 2 71 2" xfId="34604" xr:uid="{00000000-0005-0000-0000-00003A870000}"/>
    <cellStyle name="Suma 2 71 3" xfId="34605" xr:uid="{00000000-0005-0000-0000-00003B870000}"/>
    <cellStyle name="Suma 2 72" xfId="34606" xr:uid="{00000000-0005-0000-0000-00003C870000}"/>
    <cellStyle name="Suma 2 72 2" xfId="34607" xr:uid="{00000000-0005-0000-0000-00003D870000}"/>
    <cellStyle name="Suma 2 72 3" xfId="34608" xr:uid="{00000000-0005-0000-0000-00003E870000}"/>
    <cellStyle name="Suma 2 73" xfId="34609" xr:uid="{00000000-0005-0000-0000-00003F870000}"/>
    <cellStyle name="Suma 2 73 2" xfId="34610" xr:uid="{00000000-0005-0000-0000-000040870000}"/>
    <cellStyle name="Suma 2 73 3" xfId="34611" xr:uid="{00000000-0005-0000-0000-000041870000}"/>
    <cellStyle name="Suma 2 74" xfId="34612" xr:uid="{00000000-0005-0000-0000-000042870000}"/>
    <cellStyle name="Suma 2 74 2" xfId="34613" xr:uid="{00000000-0005-0000-0000-000043870000}"/>
    <cellStyle name="Suma 2 74 3" xfId="34614" xr:uid="{00000000-0005-0000-0000-000044870000}"/>
    <cellStyle name="Suma 2 75" xfId="34615" xr:uid="{00000000-0005-0000-0000-000045870000}"/>
    <cellStyle name="Suma 2 75 2" xfId="34616" xr:uid="{00000000-0005-0000-0000-000046870000}"/>
    <cellStyle name="Suma 2 75 3" xfId="34617" xr:uid="{00000000-0005-0000-0000-000047870000}"/>
    <cellStyle name="Suma 2 76" xfId="34618" xr:uid="{00000000-0005-0000-0000-000048870000}"/>
    <cellStyle name="Suma 2 76 2" xfId="34619" xr:uid="{00000000-0005-0000-0000-000049870000}"/>
    <cellStyle name="Suma 2 76 3" xfId="34620" xr:uid="{00000000-0005-0000-0000-00004A870000}"/>
    <cellStyle name="Suma 2 77" xfId="34621" xr:uid="{00000000-0005-0000-0000-00004B870000}"/>
    <cellStyle name="Suma 2 77 2" xfId="34622" xr:uid="{00000000-0005-0000-0000-00004C870000}"/>
    <cellStyle name="Suma 2 77 3" xfId="34623" xr:uid="{00000000-0005-0000-0000-00004D870000}"/>
    <cellStyle name="Suma 2 78" xfId="34624" xr:uid="{00000000-0005-0000-0000-00004E870000}"/>
    <cellStyle name="Suma 2 78 2" xfId="34625" xr:uid="{00000000-0005-0000-0000-00004F870000}"/>
    <cellStyle name="Suma 2 78 3" xfId="34626" xr:uid="{00000000-0005-0000-0000-000050870000}"/>
    <cellStyle name="Suma 2 79" xfId="34627" xr:uid="{00000000-0005-0000-0000-000051870000}"/>
    <cellStyle name="Suma 2 79 2" xfId="34628" xr:uid="{00000000-0005-0000-0000-000052870000}"/>
    <cellStyle name="Suma 2 79 3" xfId="34629" xr:uid="{00000000-0005-0000-0000-000053870000}"/>
    <cellStyle name="Suma 2 8" xfId="34630" xr:uid="{00000000-0005-0000-0000-000054870000}"/>
    <cellStyle name="Suma 2 8 10" xfId="34631" xr:uid="{00000000-0005-0000-0000-000055870000}"/>
    <cellStyle name="Suma 2 8 10 2" xfId="34632" xr:uid="{00000000-0005-0000-0000-000056870000}"/>
    <cellStyle name="Suma 2 8 10 3" xfId="34633" xr:uid="{00000000-0005-0000-0000-000057870000}"/>
    <cellStyle name="Suma 2 8 10 4" xfId="34634" xr:uid="{00000000-0005-0000-0000-000058870000}"/>
    <cellStyle name="Suma 2 8 11" xfId="34635" xr:uid="{00000000-0005-0000-0000-000059870000}"/>
    <cellStyle name="Suma 2 8 11 2" xfId="34636" xr:uid="{00000000-0005-0000-0000-00005A870000}"/>
    <cellStyle name="Suma 2 8 11 3" xfId="34637" xr:uid="{00000000-0005-0000-0000-00005B870000}"/>
    <cellStyle name="Suma 2 8 11 4" xfId="34638" xr:uid="{00000000-0005-0000-0000-00005C870000}"/>
    <cellStyle name="Suma 2 8 12" xfId="34639" xr:uid="{00000000-0005-0000-0000-00005D870000}"/>
    <cellStyle name="Suma 2 8 12 2" xfId="34640" xr:uid="{00000000-0005-0000-0000-00005E870000}"/>
    <cellStyle name="Suma 2 8 12 3" xfId="34641" xr:uid="{00000000-0005-0000-0000-00005F870000}"/>
    <cellStyle name="Suma 2 8 12 4" xfId="34642" xr:uid="{00000000-0005-0000-0000-000060870000}"/>
    <cellStyle name="Suma 2 8 13" xfId="34643" xr:uid="{00000000-0005-0000-0000-000061870000}"/>
    <cellStyle name="Suma 2 8 13 2" xfId="34644" xr:uid="{00000000-0005-0000-0000-000062870000}"/>
    <cellStyle name="Suma 2 8 13 3" xfId="34645" xr:uid="{00000000-0005-0000-0000-000063870000}"/>
    <cellStyle name="Suma 2 8 13 4" xfId="34646" xr:uid="{00000000-0005-0000-0000-000064870000}"/>
    <cellStyle name="Suma 2 8 14" xfId="34647" xr:uid="{00000000-0005-0000-0000-000065870000}"/>
    <cellStyle name="Suma 2 8 14 2" xfId="34648" xr:uid="{00000000-0005-0000-0000-000066870000}"/>
    <cellStyle name="Suma 2 8 14 3" xfId="34649" xr:uid="{00000000-0005-0000-0000-000067870000}"/>
    <cellStyle name="Suma 2 8 14 4" xfId="34650" xr:uid="{00000000-0005-0000-0000-000068870000}"/>
    <cellStyle name="Suma 2 8 15" xfId="34651" xr:uid="{00000000-0005-0000-0000-000069870000}"/>
    <cellStyle name="Suma 2 8 15 2" xfId="34652" xr:uid="{00000000-0005-0000-0000-00006A870000}"/>
    <cellStyle name="Suma 2 8 15 3" xfId="34653" xr:uid="{00000000-0005-0000-0000-00006B870000}"/>
    <cellStyle name="Suma 2 8 15 4" xfId="34654" xr:uid="{00000000-0005-0000-0000-00006C870000}"/>
    <cellStyle name="Suma 2 8 16" xfId="34655" xr:uid="{00000000-0005-0000-0000-00006D870000}"/>
    <cellStyle name="Suma 2 8 16 2" xfId="34656" xr:uid="{00000000-0005-0000-0000-00006E870000}"/>
    <cellStyle name="Suma 2 8 16 3" xfId="34657" xr:uid="{00000000-0005-0000-0000-00006F870000}"/>
    <cellStyle name="Suma 2 8 16 4" xfId="34658" xr:uid="{00000000-0005-0000-0000-000070870000}"/>
    <cellStyle name="Suma 2 8 17" xfId="34659" xr:uid="{00000000-0005-0000-0000-000071870000}"/>
    <cellStyle name="Suma 2 8 17 2" xfId="34660" xr:uid="{00000000-0005-0000-0000-000072870000}"/>
    <cellStyle name="Suma 2 8 17 3" xfId="34661" xr:uid="{00000000-0005-0000-0000-000073870000}"/>
    <cellStyle name="Suma 2 8 17 4" xfId="34662" xr:uid="{00000000-0005-0000-0000-000074870000}"/>
    <cellStyle name="Suma 2 8 18" xfId="34663" xr:uid="{00000000-0005-0000-0000-000075870000}"/>
    <cellStyle name="Suma 2 8 18 2" xfId="34664" xr:uid="{00000000-0005-0000-0000-000076870000}"/>
    <cellStyle name="Suma 2 8 18 3" xfId="34665" xr:uid="{00000000-0005-0000-0000-000077870000}"/>
    <cellStyle name="Suma 2 8 18 4" xfId="34666" xr:uid="{00000000-0005-0000-0000-000078870000}"/>
    <cellStyle name="Suma 2 8 19" xfId="34667" xr:uid="{00000000-0005-0000-0000-000079870000}"/>
    <cellStyle name="Suma 2 8 19 2" xfId="34668" xr:uid="{00000000-0005-0000-0000-00007A870000}"/>
    <cellStyle name="Suma 2 8 19 3" xfId="34669" xr:uid="{00000000-0005-0000-0000-00007B870000}"/>
    <cellStyle name="Suma 2 8 19 4" xfId="34670" xr:uid="{00000000-0005-0000-0000-00007C870000}"/>
    <cellStyle name="Suma 2 8 2" xfId="34671" xr:uid="{00000000-0005-0000-0000-00007D870000}"/>
    <cellStyle name="Suma 2 8 2 2" xfId="34672" xr:uid="{00000000-0005-0000-0000-00007E870000}"/>
    <cellStyle name="Suma 2 8 2 3" xfId="34673" xr:uid="{00000000-0005-0000-0000-00007F870000}"/>
    <cellStyle name="Suma 2 8 2 4" xfId="34674" xr:uid="{00000000-0005-0000-0000-000080870000}"/>
    <cellStyle name="Suma 2 8 20" xfId="34675" xr:uid="{00000000-0005-0000-0000-000081870000}"/>
    <cellStyle name="Suma 2 8 20 2" xfId="34676" xr:uid="{00000000-0005-0000-0000-000082870000}"/>
    <cellStyle name="Suma 2 8 20 3" xfId="34677" xr:uid="{00000000-0005-0000-0000-000083870000}"/>
    <cellStyle name="Suma 2 8 20 4" xfId="34678" xr:uid="{00000000-0005-0000-0000-000084870000}"/>
    <cellStyle name="Suma 2 8 21" xfId="34679" xr:uid="{00000000-0005-0000-0000-000085870000}"/>
    <cellStyle name="Suma 2 8 21 2" xfId="34680" xr:uid="{00000000-0005-0000-0000-000086870000}"/>
    <cellStyle name="Suma 2 8 21 3" xfId="34681" xr:uid="{00000000-0005-0000-0000-000087870000}"/>
    <cellStyle name="Suma 2 8 22" xfId="34682" xr:uid="{00000000-0005-0000-0000-000088870000}"/>
    <cellStyle name="Suma 2 8 22 2" xfId="34683" xr:uid="{00000000-0005-0000-0000-000089870000}"/>
    <cellStyle name="Suma 2 8 22 3" xfId="34684" xr:uid="{00000000-0005-0000-0000-00008A870000}"/>
    <cellStyle name="Suma 2 8 23" xfId="34685" xr:uid="{00000000-0005-0000-0000-00008B870000}"/>
    <cellStyle name="Suma 2 8 23 2" xfId="34686" xr:uid="{00000000-0005-0000-0000-00008C870000}"/>
    <cellStyle name="Suma 2 8 23 3" xfId="34687" xr:uid="{00000000-0005-0000-0000-00008D870000}"/>
    <cellStyle name="Suma 2 8 24" xfId="34688" xr:uid="{00000000-0005-0000-0000-00008E870000}"/>
    <cellStyle name="Suma 2 8 24 2" xfId="34689" xr:uid="{00000000-0005-0000-0000-00008F870000}"/>
    <cellStyle name="Suma 2 8 24 3" xfId="34690" xr:uid="{00000000-0005-0000-0000-000090870000}"/>
    <cellStyle name="Suma 2 8 25" xfId="34691" xr:uid="{00000000-0005-0000-0000-000091870000}"/>
    <cellStyle name="Suma 2 8 25 2" xfId="34692" xr:uid="{00000000-0005-0000-0000-000092870000}"/>
    <cellStyle name="Suma 2 8 25 3" xfId="34693" xr:uid="{00000000-0005-0000-0000-000093870000}"/>
    <cellStyle name="Suma 2 8 26" xfId="34694" xr:uid="{00000000-0005-0000-0000-000094870000}"/>
    <cellStyle name="Suma 2 8 26 2" xfId="34695" xr:uid="{00000000-0005-0000-0000-000095870000}"/>
    <cellStyle name="Suma 2 8 26 3" xfId="34696" xr:uid="{00000000-0005-0000-0000-000096870000}"/>
    <cellStyle name="Suma 2 8 27" xfId="34697" xr:uid="{00000000-0005-0000-0000-000097870000}"/>
    <cellStyle name="Suma 2 8 27 2" xfId="34698" xr:uid="{00000000-0005-0000-0000-000098870000}"/>
    <cellStyle name="Suma 2 8 27 3" xfId="34699" xr:uid="{00000000-0005-0000-0000-000099870000}"/>
    <cellStyle name="Suma 2 8 28" xfId="34700" xr:uid="{00000000-0005-0000-0000-00009A870000}"/>
    <cellStyle name="Suma 2 8 28 2" xfId="34701" xr:uid="{00000000-0005-0000-0000-00009B870000}"/>
    <cellStyle name="Suma 2 8 28 3" xfId="34702" xr:uid="{00000000-0005-0000-0000-00009C870000}"/>
    <cellStyle name="Suma 2 8 29" xfId="34703" xr:uid="{00000000-0005-0000-0000-00009D870000}"/>
    <cellStyle name="Suma 2 8 29 2" xfId="34704" xr:uid="{00000000-0005-0000-0000-00009E870000}"/>
    <cellStyle name="Suma 2 8 29 3" xfId="34705" xr:uid="{00000000-0005-0000-0000-00009F870000}"/>
    <cellStyle name="Suma 2 8 3" xfId="34706" xr:uid="{00000000-0005-0000-0000-0000A0870000}"/>
    <cellStyle name="Suma 2 8 3 2" xfId="34707" xr:uid="{00000000-0005-0000-0000-0000A1870000}"/>
    <cellStyle name="Suma 2 8 3 3" xfId="34708" xr:uid="{00000000-0005-0000-0000-0000A2870000}"/>
    <cellStyle name="Suma 2 8 3 4" xfId="34709" xr:uid="{00000000-0005-0000-0000-0000A3870000}"/>
    <cellStyle name="Suma 2 8 30" xfId="34710" xr:uid="{00000000-0005-0000-0000-0000A4870000}"/>
    <cellStyle name="Suma 2 8 30 2" xfId="34711" xr:uid="{00000000-0005-0000-0000-0000A5870000}"/>
    <cellStyle name="Suma 2 8 30 3" xfId="34712" xr:uid="{00000000-0005-0000-0000-0000A6870000}"/>
    <cellStyle name="Suma 2 8 31" xfId="34713" xr:uid="{00000000-0005-0000-0000-0000A7870000}"/>
    <cellStyle name="Suma 2 8 31 2" xfId="34714" xr:uid="{00000000-0005-0000-0000-0000A8870000}"/>
    <cellStyle name="Suma 2 8 31 3" xfId="34715" xr:uid="{00000000-0005-0000-0000-0000A9870000}"/>
    <cellStyle name="Suma 2 8 32" xfId="34716" xr:uid="{00000000-0005-0000-0000-0000AA870000}"/>
    <cellStyle name="Suma 2 8 32 2" xfId="34717" xr:uid="{00000000-0005-0000-0000-0000AB870000}"/>
    <cellStyle name="Suma 2 8 32 3" xfId="34718" xr:uid="{00000000-0005-0000-0000-0000AC870000}"/>
    <cellStyle name="Suma 2 8 33" xfId="34719" xr:uid="{00000000-0005-0000-0000-0000AD870000}"/>
    <cellStyle name="Suma 2 8 33 2" xfId="34720" xr:uid="{00000000-0005-0000-0000-0000AE870000}"/>
    <cellStyle name="Suma 2 8 33 3" xfId="34721" xr:uid="{00000000-0005-0000-0000-0000AF870000}"/>
    <cellStyle name="Suma 2 8 34" xfId="34722" xr:uid="{00000000-0005-0000-0000-0000B0870000}"/>
    <cellStyle name="Suma 2 8 34 2" xfId="34723" xr:uid="{00000000-0005-0000-0000-0000B1870000}"/>
    <cellStyle name="Suma 2 8 34 3" xfId="34724" xr:uid="{00000000-0005-0000-0000-0000B2870000}"/>
    <cellStyle name="Suma 2 8 35" xfId="34725" xr:uid="{00000000-0005-0000-0000-0000B3870000}"/>
    <cellStyle name="Suma 2 8 35 2" xfId="34726" xr:uid="{00000000-0005-0000-0000-0000B4870000}"/>
    <cellStyle name="Suma 2 8 35 3" xfId="34727" xr:uid="{00000000-0005-0000-0000-0000B5870000}"/>
    <cellStyle name="Suma 2 8 36" xfId="34728" xr:uid="{00000000-0005-0000-0000-0000B6870000}"/>
    <cellStyle name="Suma 2 8 36 2" xfId="34729" xr:uid="{00000000-0005-0000-0000-0000B7870000}"/>
    <cellStyle name="Suma 2 8 36 3" xfId="34730" xr:uid="{00000000-0005-0000-0000-0000B8870000}"/>
    <cellStyle name="Suma 2 8 37" xfId="34731" xr:uid="{00000000-0005-0000-0000-0000B9870000}"/>
    <cellStyle name="Suma 2 8 37 2" xfId="34732" xr:uid="{00000000-0005-0000-0000-0000BA870000}"/>
    <cellStyle name="Suma 2 8 37 3" xfId="34733" xr:uid="{00000000-0005-0000-0000-0000BB870000}"/>
    <cellStyle name="Suma 2 8 38" xfId="34734" xr:uid="{00000000-0005-0000-0000-0000BC870000}"/>
    <cellStyle name="Suma 2 8 38 2" xfId="34735" xr:uid="{00000000-0005-0000-0000-0000BD870000}"/>
    <cellStyle name="Suma 2 8 38 3" xfId="34736" xr:uid="{00000000-0005-0000-0000-0000BE870000}"/>
    <cellStyle name="Suma 2 8 39" xfId="34737" xr:uid="{00000000-0005-0000-0000-0000BF870000}"/>
    <cellStyle name="Suma 2 8 39 2" xfId="34738" xr:uid="{00000000-0005-0000-0000-0000C0870000}"/>
    <cellStyle name="Suma 2 8 39 3" xfId="34739" xr:uid="{00000000-0005-0000-0000-0000C1870000}"/>
    <cellStyle name="Suma 2 8 4" xfId="34740" xr:uid="{00000000-0005-0000-0000-0000C2870000}"/>
    <cellStyle name="Suma 2 8 4 2" xfId="34741" xr:uid="{00000000-0005-0000-0000-0000C3870000}"/>
    <cellStyle name="Suma 2 8 4 3" xfId="34742" xr:uid="{00000000-0005-0000-0000-0000C4870000}"/>
    <cellStyle name="Suma 2 8 4 4" xfId="34743" xr:uid="{00000000-0005-0000-0000-0000C5870000}"/>
    <cellStyle name="Suma 2 8 40" xfId="34744" xr:uid="{00000000-0005-0000-0000-0000C6870000}"/>
    <cellStyle name="Suma 2 8 40 2" xfId="34745" xr:uid="{00000000-0005-0000-0000-0000C7870000}"/>
    <cellStyle name="Suma 2 8 40 3" xfId="34746" xr:uid="{00000000-0005-0000-0000-0000C8870000}"/>
    <cellStyle name="Suma 2 8 41" xfId="34747" xr:uid="{00000000-0005-0000-0000-0000C9870000}"/>
    <cellStyle name="Suma 2 8 41 2" xfId="34748" xr:uid="{00000000-0005-0000-0000-0000CA870000}"/>
    <cellStyle name="Suma 2 8 41 3" xfId="34749" xr:uid="{00000000-0005-0000-0000-0000CB870000}"/>
    <cellStyle name="Suma 2 8 42" xfId="34750" xr:uid="{00000000-0005-0000-0000-0000CC870000}"/>
    <cellStyle name="Suma 2 8 42 2" xfId="34751" xr:uid="{00000000-0005-0000-0000-0000CD870000}"/>
    <cellStyle name="Suma 2 8 42 3" xfId="34752" xr:uid="{00000000-0005-0000-0000-0000CE870000}"/>
    <cellStyle name="Suma 2 8 43" xfId="34753" xr:uid="{00000000-0005-0000-0000-0000CF870000}"/>
    <cellStyle name="Suma 2 8 43 2" xfId="34754" xr:uid="{00000000-0005-0000-0000-0000D0870000}"/>
    <cellStyle name="Suma 2 8 43 3" xfId="34755" xr:uid="{00000000-0005-0000-0000-0000D1870000}"/>
    <cellStyle name="Suma 2 8 44" xfId="34756" xr:uid="{00000000-0005-0000-0000-0000D2870000}"/>
    <cellStyle name="Suma 2 8 44 2" xfId="34757" xr:uid="{00000000-0005-0000-0000-0000D3870000}"/>
    <cellStyle name="Suma 2 8 44 3" xfId="34758" xr:uid="{00000000-0005-0000-0000-0000D4870000}"/>
    <cellStyle name="Suma 2 8 45" xfId="34759" xr:uid="{00000000-0005-0000-0000-0000D5870000}"/>
    <cellStyle name="Suma 2 8 45 2" xfId="34760" xr:uid="{00000000-0005-0000-0000-0000D6870000}"/>
    <cellStyle name="Suma 2 8 45 3" xfId="34761" xr:uid="{00000000-0005-0000-0000-0000D7870000}"/>
    <cellStyle name="Suma 2 8 46" xfId="34762" xr:uid="{00000000-0005-0000-0000-0000D8870000}"/>
    <cellStyle name="Suma 2 8 46 2" xfId="34763" xr:uid="{00000000-0005-0000-0000-0000D9870000}"/>
    <cellStyle name="Suma 2 8 46 3" xfId="34764" xr:uid="{00000000-0005-0000-0000-0000DA870000}"/>
    <cellStyle name="Suma 2 8 47" xfId="34765" xr:uid="{00000000-0005-0000-0000-0000DB870000}"/>
    <cellStyle name="Suma 2 8 47 2" xfId="34766" xr:uid="{00000000-0005-0000-0000-0000DC870000}"/>
    <cellStyle name="Suma 2 8 47 3" xfId="34767" xr:uid="{00000000-0005-0000-0000-0000DD870000}"/>
    <cellStyle name="Suma 2 8 48" xfId="34768" xr:uid="{00000000-0005-0000-0000-0000DE870000}"/>
    <cellStyle name="Suma 2 8 48 2" xfId="34769" xr:uid="{00000000-0005-0000-0000-0000DF870000}"/>
    <cellStyle name="Suma 2 8 48 3" xfId="34770" xr:uid="{00000000-0005-0000-0000-0000E0870000}"/>
    <cellStyle name="Suma 2 8 49" xfId="34771" xr:uid="{00000000-0005-0000-0000-0000E1870000}"/>
    <cellStyle name="Suma 2 8 49 2" xfId="34772" xr:uid="{00000000-0005-0000-0000-0000E2870000}"/>
    <cellStyle name="Suma 2 8 49 3" xfId="34773" xr:uid="{00000000-0005-0000-0000-0000E3870000}"/>
    <cellStyle name="Suma 2 8 5" xfId="34774" xr:uid="{00000000-0005-0000-0000-0000E4870000}"/>
    <cellStyle name="Suma 2 8 5 2" xfId="34775" xr:uid="{00000000-0005-0000-0000-0000E5870000}"/>
    <cellStyle name="Suma 2 8 5 3" xfId="34776" xr:uid="{00000000-0005-0000-0000-0000E6870000}"/>
    <cellStyle name="Suma 2 8 5 4" xfId="34777" xr:uid="{00000000-0005-0000-0000-0000E7870000}"/>
    <cellStyle name="Suma 2 8 50" xfId="34778" xr:uid="{00000000-0005-0000-0000-0000E8870000}"/>
    <cellStyle name="Suma 2 8 50 2" xfId="34779" xr:uid="{00000000-0005-0000-0000-0000E9870000}"/>
    <cellStyle name="Suma 2 8 50 3" xfId="34780" xr:uid="{00000000-0005-0000-0000-0000EA870000}"/>
    <cellStyle name="Suma 2 8 51" xfId="34781" xr:uid="{00000000-0005-0000-0000-0000EB870000}"/>
    <cellStyle name="Suma 2 8 51 2" xfId="34782" xr:uid="{00000000-0005-0000-0000-0000EC870000}"/>
    <cellStyle name="Suma 2 8 51 3" xfId="34783" xr:uid="{00000000-0005-0000-0000-0000ED870000}"/>
    <cellStyle name="Suma 2 8 52" xfId="34784" xr:uid="{00000000-0005-0000-0000-0000EE870000}"/>
    <cellStyle name="Suma 2 8 52 2" xfId="34785" xr:uid="{00000000-0005-0000-0000-0000EF870000}"/>
    <cellStyle name="Suma 2 8 52 3" xfId="34786" xr:uid="{00000000-0005-0000-0000-0000F0870000}"/>
    <cellStyle name="Suma 2 8 53" xfId="34787" xr:uid="{00000000-0005-0000-0000-0000F1870000}"/>
    <cellStyle name="Suma 2 8 53 2" xfId="34788" xr:uid="{00000000-0005-0000-0000-0000F2870000}"/>
    <cellStyle name="Suma 2 8 53 3" xfId="34789" xr:uid="{00000000-0005-0000-0000-0000F3870000}"/>
    <cellStyle name="Suma 2 8 54" xfId="34790" xr:uid="{00000000-0005-0000-0000-0000F4870000}"/>
    <cellStyle name="Suma 2 8 54 2" xfId="34791" xr:uid="{00000000-0005-0000-0000-0000F5870000}"/>
    <cellStyle name="Suma 2 8 54 3" xfId="34792" xr:uid="{00000000-0005-0000-0000-0000F6870000}"/>
    <cellStyle name="Suma 2 8 55" xfId="34793" xr:uid="{00000000-0005-0000-0000-0000F7870000}"/>
    <cellStyle name="Suma 2 8 55 2" xfId="34794" xr:uid="{00000000-0005-0000-0000-0000F8870000}"/>
    <cellStyle name="Suma 2 8 55 3" xfId="34795" xr:uid="{00000000-0005-0000-0000-0000F9870000}"/>
    <cellStyle name="Suma 2 8 56" xfId="34796" xr:uid="{00000000-0005-0000-0000-0000FA870000}"/>
    <cellStyle name="Suma 2 8 56 2" xfId="34797" xr:uid="{00000000-0005-0000-0000-0000FB870000}"/>
    <cellStyle name="Suma 2 8 56 3" xfId="34798" xr:uid="{00000000-0005-0000-0000-0000FC870000}"/>
    <cellStyle name="Suma 2 8 57" xfId="34799" xr:uid="{00000000-0005-0000-0000-0000FD870000}"/>
    <cellStyle name="Suma 2 8 58" xfId="34800" xr:uid="{00000000-0005-0000-0000-0000FE870000}"/>
    <cellStyle name="Suma 2 8 6" xfId="34801" xr:uid="{00000000-0005-0000-0000-0000FF870000}"/>
    <cellStyle name="Suma 2 8 6 2" xfId="34802" xr:uid="{00000000-0005-0000-0000-000000880000}"/>
    <cellStyle name="Suma 2 8 6 3" xfId="34803" xr:uid="{00000000-0005-0000-0000-000001880000}"/>
    <cellStyle name="Suma 2 8 6 4" xfId="34804" xr:uid="{00000000-0005-0000-0000-000002880000}"/>
    <cellStyle name="Suma 2 8 7" xfId="34805" xr:uid="{00000000-0005-0000-0000-000003880000}"/>
    <cellStyle name="Suma 2 8 7 2" xfId="34806" xr:uid="{00000000-0005-0000-0000-000004880000}"/>
    <cellStyle name="Suma 2 8 7 3" xfId="34807" xr:uid="{00000000-0005-0000-0000-000005880000}"/>
    <cellStyle name="Suma 2 8 7 4" xfId="34808" xr:uid="{00000000-0005-0000-0000-000006880000}"/>
    <cellStyle name="Suma 2 8 8" xfId="34809" xr:uid="{00000000-0005-0000-0000-000007880000}"/>
    <cellStyle name="Suma 2 8 8 2" xfId="34810" xr:uid="{00000000-0005-0000-0000-000008880000}"/>
    <cellStyle name="Suma 2 8 8 3" xfId="34811" xr:uid="{00000000-0005-0000-0000-000009880000}"/>
    <cellStyle name="Suma 2 8 8 4" xfId="34812" xr:uid="{00000000-0005-0000-0000-00000A880000}"/>
    <cellStyle name="Suma 2 8 9" xfId="34813" xr:uid="{00000000-0005-0000-0000-00000B880000}"/>
    <cellStyle name="Suma 2 8 9 2" xfId="34814" xr:uid="{00000000-0005-0000-0000-00000C880000}"/>
    <cellStyle name="Suma 2 8 9 3" xfId="34815" xr:uid="{00000000-0005-0000-0000-00000D880000}"/>
    <cellStyle name="Suma 2 8 9 4" xfId="34816" xr:uid="{00000000-0005-0000-0000-00000E880000}"/>
    <cellStyle name="Suma 2 80" xfId="34817" xr:uid="{00000000-0005-0000-0000-00000F880000}"/>
    <cellStyle name="Suma 2 80 2" xfId="34818" xr:uid="{00000000-0005-0000-0000-000010880000}"/>
    <cellStyle name="Suma 2 80 3" xfId="34819" xr:uid="{00000000-0005-0000-0000-000011880000}"/>
    <cellStyle name="Suma 2 81" xfId="34820" xr:uid="{00000000-0005-0000-0000-000012880000}"/>
    <cellStyle name="Suma 2 81 2" xfId="34821" xr:uid="{00000000-0005-0000-0000-000013880000}"/>
    <cellStyle name="Suma 2 81 3" xfId="34822" xr:uid="{00000000-0005-0000-0000-000014880000}"/>
    <cellStyle name="Suma 2 82" xfId="34823" xr:uid="{00000000-0005-0000-0000-000015880000}"/>
    <cellStyle name="Suma 2 82 2" xfId="34824" xr:uid="{00000000-0005-0000-0000-000016880000}"/>
    <cellStyle name="Suma 2 82 3" xfId="34825" xr:uid="{00000000-0005-0000-0000-000017880000}"/>
    <cellStyle name="Suma 2 83" xfId="34826" xr:uid="{00000000-0005-0000-0000-000018880000}"/>
    <cellStyle name="Suma 2 83 2" xfId="34827" xr:uid="{00000000-0005-0000-0000-000019880000}"/>
    <cellStyle name="Suma 2 83 3" xfId="34828" xr:uid="{00000000-0005-0000-0000-00001A880000}"/>
    <cellStyle name="Suma 2 84" xfId="34829" xr:uid="{00000000-0005-0000-0000-00001B880000}"/>
    <cellStyle name="Suma 2 84 2" xfId="34830" xr:uid="{00000000-0005-0000-0000-00001C880000}"/>
    <cellStyle name="Suma 2 84 3" xfId="34831" xr:uid="{00000000-0005-0000-0000-00001D880000}"/>
    <cellStyle name="Suma 2 85" xfId="34832" xr:uid="{00000000-0005-0000-0000-00001E880000}"/>
    <cellStyle name="Suma 2 85 2" xfId="34833" xr:uid="{00000000-0005-0000-0000-00001F880000}"/>
    <cellStyle name="Suma 2 85 3" xfId="34834" xr:uid="{00000000-0005-0000-0000-000020880000}"/>
    <cellStyle name="Suma 2 86" xfId="34835" xr:uid="{00000000-0005-0000-0000-000021880000}"/>
    <cellStyle name="Suma 2 86 2" xfId="34836" xr:uid="{00000000-0005-0000-0000-000022880000}"/>
    <cellStyle name="Suma 2 86 3" xfId="34837" xr:uid="{00000000-0005-0000-0000-000023880000}"/>
    <cellStyle name="Suma 2 87" xfId="34838" xr:uid="{00000000-0005-0000-0000-000024880000}"/>
    <cellStyle name="Suma 2 87 2" xfId="34839" xr:uid="{00000000-0005-0000-0000-000025880000}"/>
    <cellStyle name="Suma 2 87 3" xfId="34840" xr:uid="{00000000-0005-0000-0000-000026880000}"/>
    <cellStyle name="Suma 2 88" xfId="34841" xr:uid="{00000000-0005-0000-0000-000027880000}"/>
    <cellStyle name="Suma 2 89" xfId="34842" xr:uid="{00000000-0005-0000-0000-000028880000}"/>
    <cellStyle name="Suma 2 9" xfId="34843" xr:uid="{00000000-0005-0000-0000-000029880000}"/>
    <cellStyle name="Suma 2 9 10" xfId="34844" xr:uid="{00000000-0005-0000-0000-00002A880000}"/>
    <cellStyle name="Suma 2 9 10 2" xfId="34845" xr:uid="{00000000-0005-0000-0000-00002B880000}"/>
    <cellStyle name="Suma 2 9 10 3" xfId="34846" xr:uid="{00000000-0005-0000-0000-00002C880000}"/>
    <cellStyle name="Suma 2 9 10 4" xfId="34847" xr:uid="{00000000-0005-0000-0000-00002D880000}"/>
    <cellStyle name="Suma 2 9 11" xfId="34848" xr:uid="{00000000-0005-0000-0000-00002E880000}"/>
    <cellStyle name="Suma 2 9 11 2" xfId="34849" xr:uid="{00000000-0005-0000-0000-00002F880000}"/>
    <cellStyle name="Suma 2 9 11 3" xfId="34850" xr:uid="{00000000-0005-0000-0000-000030880000}"/>
    <cellStyle name="Suma 2 9 11 4" xfId="34851" xr:uid="{00000000-0005-0000-0000-000031880000}"/>
    <cellStyle name="Suma 2 9 12" xfId="34852" xr:uid="{00000000-0005-0000-0000-000032880000}"/>
    <cellStyle name="Suma 2 9 12 2" xfId="34853" xr:uid="{00000000-0005-0000-0000-000033880000}"/>
    <cellStyle name="Suma 2 9 12 3" xfId="34854" xr:uid="{00000000-0005-0000-0000-000034880000}"/>
    <cellStyle name="Suma 2 9 12 4" xfId="34855" xr:uid="{00000000-0005-0000-0000-000035880000}"/>
    <cellStyle name="Suma 2 9 13" xfId="34856" xr:uid="{00000000-0005-0000-0000-000036880000}"/>
    <cellStyle name="Suma 2 9 13 2" xfId="34857" xr:uid="{00000000-0005-0000-0000-000037880000}"/>
    <cellStyle name="Suma 2 9 13 3" xfId="34858" xr:uid="{00000000-0005-0000-0000-000038880000}"/>
    <cellStyle name="Suma 2 9 13 4" xfId="34859" xr:uid="{00000000-0005-0000-0000-000039880000}"/>
    <cellStyle name="Suma 2 9 14" xfId="34860" xr:uid="{00000000-0005-0000-0000-00003A880000}"/>
    <cellStyle name="Suma 2 9 14 2" xfId="34861" xr:uid="{00000000-0005-0000-0000-00003B880000}"/>
    <cellStyle name="Suma 2 9 14 3" xfId="34862" xr:uid="{00000000-0005-0000-0000-00003C880000}"/>
    <cellStyle name="Suma 2 9 14 4" xfId="34863" xr:uid="{00000000-0005-0000-0000-00003D880000}"/>
    <cellStyle name="Suma 2 9 15" xfId="34864" xr:uid="{00000000-0005-0000-0000-00003E880000}"/>
    <cellStyle name="Suma 2 9 15 2" xfId="34865" xr:uid="{00000000-0005-0000-0000-00003F880000}"/>
    <cellStyle name="Suma 2 9 15 3" xfId="34866" xr:uid="{00000000-0005-0000-0000-000040880000}"/>
    <cellStyle name="Suma 2 9 15 4" xfId="34867" xr:uid="{00000000-0005-0000-0000-000041880000}"/>
    <cellStyle name="Suma 2 9 16" xfId="34868" xr:uid="{00000000-0005-0000-0000-000042880000}"/>
    <cellStyle name="Suma 2 9 16 2" xfId="34869" xr:uid="{00000000-0005-0000-0000-000043880000}"/>
    <cellStyle name="Suma 2 9 16 3" xfId="34870" xr:uid="{00000000-0005-0000-0000-000044880000}"/>
    <cellStyle name="Suma 2 9 16 4" xfId="34871" xr:uid="{00000000-0005-0000-0000-000045880000}"/>
    <cellStyle name="Suma 2 9 17" xfId="34872" xr:uid="{00000000-0005-0000-0000-000046880000}"/>
    <cellStyle name="Suma 2 9 17 2" xfId="34873" xr:uid="{00000000-0005-0000-0000-000047880000}"/>
    <cellStyle name="Suma 2 9 17 3" xfId="34874" xr:uid="{00000000-0005-0000-0000-000048880000}"/>
    <cellStyle name="Suma 2 9 17 4" xfId="34875" xr:uid="{00000000-0005-0000-0000-000049880000}"/>
    <cellStyle name="Suma 2 9 18" xfId="34876" xr:uid="{00000000-0005-0000-0000-00004A880000}"/>
    <cellStyle name="Suma 2 9 18 2" xfId="34877" xr:uid="{00000000-0005-0000-0000-00004B880000}"/>
    <cellStyle name="Suma 2 9 18 3" xfId="34878" xr:uid="{00000000-0005-0000-0000-00004C880000}"/>
    <cellStyle name="Suma 2 9 18 4" xfId="34879" xr:uid="{00000000-0005-0000-0000-00004D880000}"/>
    <cellStyle name="Suma 2 9 19" xfId="34880" xr:uid="{00000000-0005-0000-0000-00004E880000}"/>
    <cellStyle name="Suma 2 9 19 2" xfId="34881" xr:uid="{00000000-0005-0000-0000-00004F880000}"/>
    <cellStyle name="Suma 2 9 19 3" xfId="34882" xr:uid="{00000000-0005-0000-0000-000050880000}"/>
    <cellStyle name="Suma 2 9 19 4" xfId="34883" xr:uid="{00000000-0005-0000-0000-000051880000}"/>
    <cellStyle name="Suma 2 9 2" xfId="34884" xr:uid="{00000000-0005-0000-0000-000052880000}"/>
    <cellStyle name="Suma 2 9 2 2" xfId="34885" xr:uid="{00000000-0005-0000-0000-000053880000}"/>
    <cellStyle name="Suma 2 9 2 3" xfId="34886" xr:uid="{00000000-0005-0000-0000-000054880000}"/>
    <cellStyle name="Suma 2 9 2 4" xfId="34887" xr:uid="{00000000-0005-0000-0000-000055880000}"/>
    <cellStyle name="Suma 2 9 20" xfId="34888" xr:uid="{00000000-0005-0000-0000-000056880000}"/>
    <cellStyle name="Suma 2 9 20 2" xfId="34889" xr:uid="{00000000-0005-0000-0000-000057880000}"/>
    <cellStyle name="Suma 2 9 20 3" xfId="34890" xr:uid="{00000000-0005-0000-0000-000058880000}"/>
    <cellStyle name="Suma 2 9 20 4" xfId="34891" xr:uid="{00000000-0005-0000-0000-000059880000}"/>
    <cellStyle name="Suma 2 9 21" xfId="34892" xr:uid="{00000000-0005-0000-0000-00005A880000}"/>
    <cellStyle name="Suma 2 9 21 2" xfId="34893" xr:uid="{00000000-0005-0000-0000-00005B880000}"/>
    <cellStyle name="Suma 2 9 21 3" xfId="34894" xr:uid="{00000000-0005-0000-0000-00005C880000}"/>
    <cellStyle name="Suma 2 9 22" xfId="34895" xr:uid="{00000000-0005-0000-0000-00005D880000}"/>
    <cellStyle name="Suma 2 9 22 2" xfId="34896" xr:uid="{00000000-0005-0000-0000-00005E880000}"/>
    <cellStyle name="Suma 2 9 22 3" xfId="34897" xr:uid="{00000000-0005-0000-0000-00005F880000}"/>
    <cellStyle name="Suma 2 9 23" xfId="34898" xr:uid="{00000000-0005-0000-0000-000060880000}"/>
    <cellStyle name="Suma 2 9 23 2" xfId="34899" xr:uid="{00000000-0005-0000-0000-000061880000}"/>
    <cellStyle name="Suma 2 9 23 3" xfId="34900" xr:uid="{00000000-0005-0000-0000-000062880000}"/>
    <cellStyle name="Suma 2 9 24" xfId="34901" xr:uid="{00000000-0005-0000-0000-000063880000}"/>
    <cellStyle name="Suma 2 9 24 2" xfId="34902" xr:uid="{00000000-0005-0000-0000-000064880000}"/>
    <cellStyle name="Suma 2 9 24 3" xfId="34903" xr:uid="{00000000-0005-0000-0000-000065880000}"/>
    <cellStyle name="Suma 2 9 25" xfId="34904" xr:uid="{00000000-0005-0000-0000-000066880000}"/>
    <cellStyle name="Suma 2 9 25 2" xfId="34905" xr:uid="{00000000-0005-0000-0000-000067880000}"/>
    <cellStyle name="Suma 2 9 25 3" xfId="34906" xr:uid="{00000000-0005-0000-0000-000068880000}"/>
    <cellStyle name="Suma 2 9 26" xfId="34907" xr:uid="{00000000-0005-0000-0000-000069880000}"/>
    <cellStyle name="Suma 2 9 26 2" xfId="34908" xr:uid="{00000000-0005-0000-0000-00006A880000}"/>
    <cellStyle name="Suma 2 9 26 3" xfId="34909" xr:uid="{00000000-0005-0000-0000-00006B880000}"/>
    <cellStyle name="Suma 2 9 27" xfId="34910" xr:uid="{00000000-0005-0000-0000-00006C880000}"/>
    <cellStyle name="Suma 2 9 27 2" xfId="34911" xr:uid="{00000000-0005-0000-0000-00006D880000}"/>
    <cellStyle name="Suma 2 9 27 3" xfId="34912" xr:uid="{00000000-0005-0000-0000-00006E880000}"/>
    <cellStyle name="Suma 2 9 28" xfId="34913" xr:uid="{00000000-0005-0000-0000-00006F880000}"/>
    <cellStyle name="Suma 2 9 28 2" xfId="34914" xr:uid="{00000000-0005-0000-0000-000070880000}"/>
    <cellStyle name="Suma 2 9 28 3" xfId="34915" xr:uid="{00000000-0005-0000-0000-000071880000}"/>
    <cellStyle name="Suma 2 9 29" xfId="34916" xr:uid="{00000000-0005-0000-0000-000072880000}"/>
    <cellStyle name="Suma 2 9 29 2" xfId="34917" xr:uid="{00000000-0005-0000-0000-000073880000}"/>
    <cellStyle name="Suma 2 9 29 3" xfId="34918" xr:uid="{00000000-0005-0000-0000-000074880000}"/>
    <cellStyle name="Suma 2 9 3" xfId="34919" xr:uid="{00000000-0005-0000-0000-000075880000}"/>
    <cellStyle name="Suma 2 9 3 2" xfId="34920" xr:uid="{00000000-0005-0000-0000-000076880000}"/>
    <cellStyle name="Suma 2 9 3 3" xfId="34921" xr:uid="{00000000-0005-0000-0000-000077880000}"/>
    <cellStyle name="Suma 2 9 3 4" xfId="34922" xr:uid="{00000000-0005-0000-0000-000078880000}"/>
    <cellStyle name="Suma 2 9 30" xfId="34923" xr:uid="{00000000-0005-0000-0000-000079880000}"/>
    <cellStyle name="Suma 2 9 30 2" xfId="34924" xr:uid="{00000000-0005-0000-0000-00007A880000}"/>
    <cellStyle name="Suma 2 9 30 3" xfId="34925" xr:uid="{00000000-0005-0000-0000-00007B880000}"/>
    <cellStyle name="Suma 2 9 31" xfId="34926" xr:uid="{00000000-0005-0000-0000-00007C880000}"/>
    <cellStyle name="Suma 2 9 31 2" xfId="34927" xr:uid="{00000000-0005-0000-0000-00007D880000}"/>
    <cellStyle name="Suma 2 9 31 3" xfId="34928" xr:uid="{00000000-0005-0000-0000-00007E880000}"/>
    <cellStyle name="Suma 2 9 32" xfId="34929" xr:uid="{00000000-0005-0000-0000-00007F880000}"/>
    <cellStyle name="Suma 2 9 32 2" xfId="34930" xr:uid="{00000000-0005-0000-0000-000080880000}"/>
    <cellStyle name="Suma 2 9 32 3" xfId="34931" xr:uid="{00000000-0005-0000-0000-000081880000}"/>
    <cellStyle name="Suma 2 9 33" xfId="34932" xr:uid="{00000000-0005-0000-0000-000082880000}"/>
    <cellStyle name="Suma 2 9 33 2" xfId="34933" xr:uid="{00000000-0005-0000-0000-000083880000}"/>
    <cellStyle name="Suma 2 9 33 3" xfId="34934" xr:uid="{00000000-0005-0000-0000-000084880000}"/>
    <cellStyle name="Suma 2 9 34" xfId="34935" xr:uid="{00000000-0005-0000-0000-000085880000}"/>
    <cellStyle name="Suma 2 9 34 2" xfId="34936" xr:uid="{00000000-0005-0000-0000-000086880000}"/>
    <cellStyle name="Suma 2 9 34 3" xfId="34937" xr:uid="{00000000-0005-0000-0000-000087880000}"/>
    <cellStyle name="Suma 2 9 35" xfId="34938" xr:uid="{00000000-0005-0000-0000-000088880000}"/>
    <cellStyle name="Suma 2 9 35 2" xfId="34939" xr:uid="{00000000-0005-0000-0000-000089880000}"/>
    <cellStyle name="Suma 2 9 35 3" xfId="34940" xr:uid="{00000000-0005-0000-0000-00008A880000}"/>
    <cellStyle name="Suma 2 9 36" xfId="34941" xr:uid="{00000000-0005-0000-0000-00008B880000}"/>
    <cellStyle name="Suma 2 9 36 2" xfId="34942" xr:uid="{00000000-0005-0000-0000-00008C880000}"/>
    <cellStyle name="Suma 2 9 36 3" xfId="34943" xr:uid="{00000000-0005-0000-0000-00008D880000}"/>
    <cellStyle name="Suma 2 9 37" xfId="34944" xr:uid="{00000000-0005-0000-0000-00008E880000}"/>
    <cellStyle name="Suma 2 9 37 2" xfId="34945" xr:uid="{00000000-0005-0000-0000-00008F880000}"/>
    <cellStyle name="Suma 2 9 37 3" xfId="34946" xr:uid="{00000000-0005-0000-0000-000090880000}"/>
    <cellStyle name="Suma 2 9 38" xfId="34947" xr:uid="{00000000-0005-0000-0000-000091880000}"/>
    <cellStyle name="Suma 2 9 38 2" xfId="34948" xr:uid="{00000000-0005-0000-0000-000092880000}"/>
    <cellStyle name="Suma 2 9 38 3" xfId="34949" xr:uid="{00000000-0005-0000-0000-000093880000}"/>
    <cellStyle name="Suma 2 9 39" xfId="34950" xr:uid="{00000000-0005-0000-0000-000094880000}"/>
    <cellStyle name="Suma 2 9 39 2" xfId="34951" xr:uid="{00000000-0005-0000-0000-000095880000}"/>
    <cellStyle name="Suma 2 9 39 3" xfId="34952" xr:uid="{00000000-0005-0000-0000-000096880000}"/>
    <cellStyle name="Suma 2 9 4" xfId="34953" xr:uid="{00000000-0005-0000-0000-000097880000}"/>
    <cellStyle name="Suma 2 9 4 2" xfId="34954" xr:uid="{00000000-0005-0000-0000-000098880000}"/>
    <cellStyle name="Suma 2 9 4 3" xfId="34955" xr:uid="{00000000-0005-0000-0000-000099880000}"/>
    <cellStyle name="Suma 2 9 4 4" xfId="34956" xr:uid="{00000000-0005-0000-0000-00009A880000}"/>
    <cellStyle name="Suma 2 9 40" xfId="34957" xr:uid="{00000000-0005-0000-0000-00009B880000}"/>
    <cellStyle name="Suma 2 9 40 2" xfId="34958" xr:uid="{00000000-0005-0000-0000-00009C880000}"/>
    <cellStyle name="Suma 2 9 40 3" xfId="34959" xr:uid="{00000000-0005-0000-0000-00009D880000}"/>
    <cellStyle name="Suma 2 9 41" xfId="34960" xr:uid="{00000000-0005-0000-0000-00009E880000}"/>
    <cellStyle name="Suma 2 9 41 2" xfId="34961" xr:uid="{00000000-0005-0000-0000-00009F880000}"/>
    <cellStyle name="Suma 2 9 41 3" xfId="34962" xr:uid="{00000000-0005-0000-0000-0000A0880000}"/>
    <cellStyle name="Suma 2 9 42" xfId="34963" xr:uid="{00000000-0005-0000-0000-0000A1880000}"/>
    <cellStyle name="Suma 2 9 42 2" xfId="34964" xr:uid="{00000000-0005-0000-0000-0000A2880000}"/>
    <cellStyle name="Suma 2 9 42 3" xfId="34965" xr:uid="{00000000-0005-0000-0000-0000A3880000}"/>
    <cellStyle name="Suma 2 9 43" xfId="34966" xr:uid="{00000000-0005-0000-0000-0000A4880000}"/>
    <cellStyle name="Suma 2 9 43 2" xfId="34967" xr:uid="{00000000-0005-0000-0000-0000A5880000}"/>
    <cellStyle name="Suma 2 9 43 3" xfId="34968" xr:uid="{00000000-0005-0000-0000-0000A6880000}"/>
    <cellStyle name="Suma 2 9 44" xfId="34969" xr:uid="{00000000-0005-0000-0000-0000A7880000}"/>
    <cellStyle name="Suma 2 9 44 2" xfId="34970" xr:uid="{00000000-0005-0000-0000-0000A8880000}"/>
    <cellStyle name="Suma 2 9 44 3" xfId="34971" xr:uid="{00000000-0005-0000-0000-0000A9880000}"/>
    <cellStyle name="Suma 2 9 45" xfId="34972" xr:uid="{00000000-0005-0000-0000-0000AA880000}"/>
    <cellStyle name="Suma 2 9 45 2" xfId="34973" xr:uid="{00000000-0005-0000-0000-0000AB880000}"/>
    <cellStyle name="Suma 2 9 45 3" xfId="34974" xr:uid="{00000000-0005-0000-0000-0000AC880000}"/>
    <cellStyle name="Suma 2 9 46" xfId="34975" xr:uid="{00000000-0005-0000-0000-0000AD880000}"/>
    <cellStyle name="Suma 2 9 46 2" xfId="34976" xr:uid="{00000000-0005-0000-0000-0000AE880000}"/>
    <cellStyle name="Suma 2 9 46 3" xfId="34977" xr:uid="{00000000-0005-0000-0000-0000AF880000}"/>
    <cellStyle name="Suma 2 9 47" xfId="34978" xr:uid="{00000000-0005-0000-0000-0000B0880000}"/>
    <cellStyle name="Suma 2 9 47 2" xfId="34979" xr:uid="{00000000-0005-0000-0000-0000B1880000}"/>
    <cellStyle name="Suma 2 9 47 3" xfId="34980" xr:uid="{00000000-0005-0000-0000-0000B2880000}"/>
    <cellStyle name="Suma 2 9 48" xfId="34981" xr:uid="{00000000-0005-0000-0000-0000B3880000}"/>
    <cellStyle name="Suma 2 9 48 2" xfId="34982" xr:uid="{00000000-0005-0000-0000-0000B4880000}"/>
    <cellStyle name="Suma 2 9 48 3" xfId="34983" xr:uid="{00000000-0005-0000-0000-0000B5880000}"/>
    <cellStyle name="Suma 2 9 49" xfId="34984" xr:uid="{00000000-0005-0000-0000-0000B6880000}"/>
    <cellStyle name="Suma 2 9 49 2" xfId="34985" xr:uid="{00000000-0005-0000-0000-0000B7880000}"/>
    <cellStyle name="Suma 2 9 49 3" xfId="34986" xr:uid="{00000000-0005-0000-0000-0000B8880000}"/>
    <cellStyle name="Suma 2 9 5" xfId="34987" xr:uid="{00000000-0005-0000-0000-0000B9880000}"/>
    <cellStyle name="Suma 2 9 5 2" xfId="34988" xr:uid="{00000000-0005-0000-0000-0000BA880000}"/>
    <cellStyle name="Suma 2 9 5 3" xfId="34989" xr:uid="{00000000-0005-0000-0000-0000BB880000}"/>
    <cellStyle name="Suma 2 9 5 4" xfId="34990" xr:uid="{00000000-0005-0000-0000-0000BC880000}"/>
    <cellStyle name="Suma 2 9 50" xfId="34991" xr:uid="{00000000-0005-0000-0000-0000BD880000}"/>
    <cellStyle name="Suma 2 9 50 2" xfId="34992" xr:uid="{00000000-0005-0000-0000-0000BE880000}"/>
    <cellStyle name="Suma 2 9 50 3" xfId="34993" xr:uid="{00000000-0005-0000-0000-0000BF880000}"/>
    <cellStyle name="Suma 2 9 51" xfId="34994" xr:uid="{00000000-0005-0000-0000-0000C0880000}"/>
    <cellStyle name="Suma 2 9 51 2" xfId="34995" xr:uid="{00000000-0005-0000-0000-0000C1880000}"/>
    <cellStyle name="Suma 2 9 51 3" xfId="34996" xr:uid="{00000000-0005-0000-0000-0000C2880000}"/>
    <cellStyle name="Suma 2 9 52" xfId="34997" xr:uid="{00000000-0005-0000-0000-0000C3880000}"/>
    <cellStyle name="Suma 2 9 52 2" xfId="34998" xr:uid="{00000000-0005-0000-0000-0000C4880000}"/>
    <cellStyle name="Suma 2 9 52 3" xfId="34999" xr:uid="{00000000-0005-0000-0000-0000C5880000}"/>
    <cellStyle name="Suma 2 9 53" xfId="35000" xr:uid="{00000000-0005-0000-0000-0000C6880000}"/>
    <cellStyle name="Suma 2 9 53 2" xfId="35001" xr:uid="{00000000-0005-0000-0000-0000C7880000}"/>
    <cellStyle name="Suma 2 9 53 3" xfId="35002" xr:uid="{00000000-0005-0000-0000-0000C8880000}"/>
    <cellStyle name="Suma 2 9 54" xfId="35003" xr:uid="{00000000-0005-0000-0000-0000C9880000}"/>
    <cellStyle name="Suma 2 9 54 2" xfId="35004" xr:uid="{00000000-0005-0000-0000-0000CA880000}"/>
    <cellStyle name="Suma 2 9 54 3" xfId="35005" xr:uid="{00000000-0005-0000-0000-0000CB880000}"/>
    <cellStyle name="Suma 2 9 55" xfId="35006" xr:uid="{00000000-0005-0000-0000-0000CC880000}"/>
    <cellStyle name="Suma 2 9 55 2" xfId="35007" xr:uid="{00000000-0005-0000-0000-0000CD880000}"/>
    <cellStyle name="Suma 2 9 55 3" xfId="35008" xr:uid="{00000000-0005-0000-0000-0000CE880000}"/>
    <cellStyle name="Suma 2 9 56" xfId="35009" xr:uid="{00000000-0005-0000-0000-0000CF880000}"/>
    <cellStyle name="Suma 2 9 56 2" xfId="35010" xr:uid="{00000000-0005-0000-0000-0000D0880000}"/>
    <cellStyle name="Suma 2 9 56 3" xfId="35011" xr:uid="{00000000-0005-0000-0000-0000D1880000}"/>
    <cellStyle name="Suma 2 9 57" xfId="35012" xr:uid="{00000000-0005-0000-0000-0000D2880000}"/>
    <cellStyle name="Suma 2 9 58" xfId="35013" xr:uid="{00000000-0005-0000-0000-0000D3880000}"/>
    <cellStyle name="Suma 2 9 6" xfId="35014" xr:uid="{00000000-0005-0000-0000-0000D4880000}"/>
    <cellStyle name="Suma 2 9 6 2" xfId="35015" xr:uid="{00000000-0005-0000-0000-0000D5880000}"/>
    <cellStyle name="Suma 2 9 6 3" xfId="35016" xr:uid="{00000000-0005-0000-0000-0000D6880000}"/>
    <cellStyle name="Suma 2 9 6 4" xfId="35017" xr:uid="{00000000-0005-0000-0000-0000D7880000}"/>
    <cellStyle name="Suma 2 9 7" xfId="35018" xr:uid="{00000000-0005-0000-0000-0000D8880000}"/>
    <cellStyle name="Suma 2 9 7 2" xfId="35019" xr:uid="{00000000-0005-0000-0000-0000D9880000}"/>
    <cellStyle name="Suma 2 9 7 3" xfId="35020" xr:uid="{00000000-0005-0000-0000-0000DA880000}"/>
    <cellStyle name="Suma 2 9 7 4" xfId="35021" xr:uid="{00000000-0005-0000-0000-0000DB880000}"/>
    <cellStyle name="Suma 2 9 8" xfId="35022" xr:uid="{00000000-0005-0000-0000-0000DC880000}"/>
    <cellStyle name="Suma 2 9 8 2" xfId="35023" xr:uid="{00000000-0005-0000-0000-0000DD880000}"/>
    <cellStyle name="Suma 2 9 8 3" xfId="35024" xr:uid="{00000000-0005-0000-0000-0000DE880000}"/>
    <cellStyle name="Suma 2 9 8 4" xfId="35025" xr:uid="{00000000-0005-0000-0000-0000DF880000}"/>
    <cellStyle name="Suma 2 9 9" xfId="35026" xr:uid="{00000000-0005-0000-0000-0000E0880000}"/>
    <cellStyle name="Suma 2 9 9 2" xfId="35027" xr:uid="{00000000-0005-0000-0000-0000E1880000}"/>
    <cellStyle name="Suma 2 9 9 3" xfId="35028" xr:uid="{00000000-0005-0000-0000-0000E2880000}"/>
    <cellStyle name="Suma 2 9 9 4" xfId="35029" xr:uid="{00000000-0005-0000-0000-0000E3880000}"/>
    <cellStyle name="Suma 3" xfId="35030" xr:uid="{00000000-0005-0000-0000-0000E4880000}"/>
    <cellStyle name="Suma 3 2" xfId="35031" xr:uid="{00000000-0005-0000-0000-0000E5880000}"/>
    <cellStyle name="Suma 3 2 2" xfId="35032" xr:uid="{00000000-0005-0000-0000-0000E6880000}"/>
    <cellStyle name="Suma 3 3" xfId="35033" xr:uid="{00000000-0005-0000-0000-0000E7880000}"/>
    <cellStyle name="Suma 3 4" xfId="35034" xr:uid="{00000000-0005-0000-0000-0000E8880000}"/>
    <cellStyle name="Suma 3 5" xfId="35035" xr:uid="{00000000-0005-0000-0000-0000E9880000}"/>
    <cellStyle name="Suma 3 6" xfId="35036" xr:uid="{00000000-0005-0000-0000-0000EA880000}"/>
    <cellStyle name="Suma 3 7" xfId="35037" xr:uid="{00000000-0005-0000-0000-0000EB880000}"/>
    <cellStyle name="Suma 3 8" xfId="35038" xr:uid="{00000000-0005-0000-0000-0000EC880000}"/>
    <cellStyle name="Suma 3 9" xfId="35039" xr:uid="{00000000-0005-0000-0000-0000ED880000}"/>
    <cellStyle name="Suma 4" xfId="35040" xr:uid="{00000000-0005-0000-0000-0000EE880000}"/>
    <cellStyle name="Suma 4 2" xfId="35041" xr:uid="{00000000-0005-0000-0000-0000EF880000}"/>
    <cellStyle name="Suma 4 3" xfId="35042" xr:uid="{00000000-0005-0000-0000-0000F0880000}"/>
    <cellStyle name="Suma 4 4" xfId="35043" xr:uid="{00000000-0005-0000-0000-0000F1880000}"/>
    <cellStyle name="Suma 4 5" xfId="35044" xr:uid="{00000000-0005-0000-0000-0000F2880000}"/>
    <cellStyle name="Suma 4 6" xfId="35045" xr:uid="{00000000-0005-0000-0000-0000F3880000}"/>
    <cellStyle name="Suma 4 7" xfId="35046" xr:uid="{00000000-0005-0000-0000-0000F4880000}"/>
    <cellStyle name="Suma 4 8" xfId="35047" xr:uid="{00000000-0005-0000-0000-0000F5880000}"/>
    <cellStyle name="Suma 4 9" xfId="35048" xr:uid="{00000000-0005-0000-0000-0000F6880000}"/>
    <cellStyle name="Suma 5" xfId="35049" xr:uid="{00000000-0005-0000-0000-0000F7880000}"/>
    <cellStyle name="Suma 5 2" xfId="35050" xr:uid="{00000000-0005-0000-0000-0000F8880000}"/>
    <cellStyle name="Suma 5 3" xfId="35051" xr:uid="{00000000-0005-0000-0000-0000F9880000}"/>
    <cellStyle name="Suma 6" xfId="35052" xr:uid="{00000000-0005-0000-0000-0000FA880000}"/>
    <cellStyle name="Suma 6 2" xfId="35053" xr:uid="{00000000-0005-0000-0000-0000FB880000}"/>
    <cellStyle name="Suma 7" xfId="35054" xr:uid="{00000000-0005-0000-0000-0000FC880000}"/>
    <cellStyle name="Tekst objaśnienia 2" xfId="35055" xr:uid="{00000000-0005-0000-0000-0000FD880000}"/>
    <cellStyle name="Tekst objaśnienia 2 10" xfId="35056" xr:uid="{00000000-0005-0000-0000-0000FE880000}"/>
    <cellStyle name="Tekst objaśnienia 2 10 2" xfId="35057" xr:uid="{00000000-0005-0000-0000-0000FF880000}"/>
    <cellStyle name="Tekst objaśnienia 2 10 3" xfId="35058" xr:uid="{00000000-0005-0000-0000-000000890000}"/>
    <cellStyle name="Tekst objaśnienia 2 10 4" xfId="35059" xr:uid="{00000000-0005-0000-0000-000001890000}"/>
    <cellStyle name="Tekst objaśnienia 2 10 5" xfId="35060" xr:uid="{00000000-0005-0000-0000-000002890000}"/>
    <cellStyle name="Tekst objaśnienia 2 10 6" xfId="35061" xr:uid="{00000000-0005-0000-0000-000003890000}"/>
    <cellStyle name="Tekst objaśnienia 2 10 7" xfId="35062" xr:uid="{00000000-0005-0000-0000-000004890000}"/>
    <cellStyle name="Tekst objaśnienia 2 11" xfId="35063" xr:uid="{00000000-0005-0000-0000-000005890000}"/>
    <cellStyle name="Tekst objaśnienia 2 11 2" xfId="35064" xr:uid="{00000000-0005-0000-0000-000006890000}"/>
    <cellStyle name="Tekst objaśnienia 2 11 3" xfId="35065" xr:uid="{00000000-0005-0000-0000-000007890000}"/>
    <cellStyle name="Tekst objaśnienia 2 11 4" xfId="35066" xr:uid="{00000000-0005-0000-0000-000008890000}"/>
    <cellStyle name="Tekst objaśnienia 2 11 5" xfId="35067" xr:uid="{00000000-0005-0000-0000-000009890000}"/>
    <cellStyle name="Tekst objaśnienia 2 11 6" xfId="35068" xr:uid="{00000000-0005-0000-0000-00000A890000}"/>
    <cellStyle name="Tekst objaśnienia 2 11 7" xfId="35069" xr:uid="{00000000-0005-0000-0000-00000B890000}"/>
    <cellStyle name="Tekst objaśnienia 2 12" xfId="35070" xr:uid="{00000000-0005-0000-0000-00000C890000}"/>
    <cellStyle name="Tekst objaśnienia 2 12 2" xfId="35071" xr:uid="{00000000-0005-0000-0000-00000D890000}"/>
    <cellStyle name="Tekst objaśnienia 2 12 3" xfId="35072" xr:uid="{00000000-0005-0000-0000-00000E890000}"/>
    <cellStyle name="Tekst objaśnienia 2 12 4" xfId="35073" xr:uid="{00000000-0005-0000-0000-00000F890000}"/>
    <cellStyle name="Tekst objaśnienia 2 12 5" xfId="35074" xr:uid="{00000000-0005-0000-0000-000010890000}"/>
    <cellStyle name="Tekst objaśnienia 2 12 6" xfId="35075" xr:uid="{00000000-0005-0000-0000-000011890000}"/>
    <cellStyle name="Tekst objaśnienia 2 12 7" xfId="35076" xr:uid="{00000000-0005-0000-0000-000012890000}"/>
    <cellStyle name="Tekst objaśnienia 2 13" xfId="35077" xr:uid="{00000000-0005-0000-0000-000013890000}"/>
    <cellStyle name="Tekst objaśnienia 2 13 2" xfId="35078" xr:uid="{00000000-0005-0000-0000-000014890000}"/>
    <cellStyle name="Tekst objaśnienia 2 13 3" xfId="35079" xr:uid="{00000000-0005-0000-0000-000015890000}"/>
    <cellStyle name="Tekst objaśnienia 2 13 4" xfId="35080" xr:uid="{00000000-0005-0000-0000-000016890000}"/>
    <cellStyle name="Tekst objaśnienia 2 13 5" xfId="35081" xr:uid="{00000000-0005-0000-0000-000017890000}"/>
    <cellStyle name="Tekst objaśnienia 2 13 6" xfId="35082" xr:uid="{00000000-0005-0000-0000-000018890000}"/>
    <cellStyle name="Tekst objaśnienia 2 13 7" xfId="35083" xr:uid="{00000000-0005-0000-0000-000019890000}"/>
    <cellStyle name="Tekst objaśnienia 2 14" xfId="35084" xr:uid="{00000000-0005-0000-0000-00001A890000}"/>
    <cellStyle name="Tekst objaśnienia 2 14 2" xfId="35085" xr:uid="{00000000-0005-0000-0000-00001B890000}"/>
    <cellStyle name="Tekst objaśnienia 2 14 3" xfId="35086" xr:uid="{00000000-0005-0000-0000-00001C890000}"/>
    <cellStyle name="Tekst objaśnienia 2 14 4" xfId="35087" xr:uid="{00000000-0005-0000-0000-00001D890000}"/>
    <cellStyle name="Tekst objaśnienia 2 14 5" xfId="35088" xr:uid="{00000000-0005-0000-0000-00001E890000}"/>
    <cellStyle name="Tekst objaśnienia 2 14 6" xfId="35089" xr:uid="{00000000-0005-0000-0000-00001F890000}"/>
    <cellStyle name="Tekst objaśnienia 2 14 7" xfId="35090" xr:uid="{00000000-0005-0000-0000-000020890000}"/>
    <cellStyle name="Tekst objaśnienia 2 15" xfId="35091" xr:uid="{00000000-0005-0000-0000-000021890000}"/>
    <cellStyle name="Tekst objaśnienia 2 15 2" xfId="35092" xr:uid="{00000000-0005-0000-0000-000022890000}"/>
    <cellStyle name="Tekst objaśnienia 2 15 3" xfId="35093" xr:uid="{00000000-0005-0000-0000-000023890000}"/>
    <cellStyle name="Tekst objaśnienia 2 15 4" xfId="35094" xr:uid="{00000000-0005-0000-0000-000024890000}"/>
    <cellStyle name="Tekst objaśnienia 2 15 5" xfId="35095" xr:uid="{00000000-0005-0000-0000-000025890000}"/>
    <cellStyle name="Tekst objaśnienia 2 15 6" xfId="35096" xr:uid="{00000000-0005-0000-0000-000026890000}"/>
    <cellStyle name="Tekst objaśnienia 2 15 7" xfId="35097" xr:uid="{00000000-0005-0000-0000-000027890000}"/>
    <cellStyle name="Tekst objaśnienia 2 16" xfId="35098" xr:uid="{00000000-0005-0000-0000-000028890000}"/>
    <cellStyle name="Tekst objaśnienia 2 16 2" xfId="35099" xr:uid="{00000000-0005-0000-0000-000029890000}"/>
    <cellStyle name="Tekst objaśnienia 2 16 3" xfId="35100" xr:uid="{00000000-0005-0000-0000-00002A890000}"/>
    <cellStyle name="Tekst objaśnienia 2 16 4" xfId="35101" xr:uid="{00000000-0005-0000-0000-00002B890000}"/>
    <cellStyle name="Tekst objaśnienia 2 16 5" xfId="35102" xr:uid="{00000000-0005-0000-0000-00002C890000}"/>
    <cellStyle name="Tekst objaśnienia 2 16 6" xfId="35103" xr:uid="{00000000-0005-0000-0000-00002D890000}"/>
    <cellStyle name="Tekst objaśnienia 2 16 7" xfId="35104" xr:uid="{00000000-0005-0000-0000-00002E890000}"/>
    <cellStyle name="Tekst objaśnienia 2 17" xfId="35105" xr:uid="{00000000-0005-0000-0000-00002F890000}"/>
    <cellStyle name="Tekst objaśnienia 2 17 2" xfId="35106" xr:uid="{00000000-0005-0000-0000-000030890000}"/>
    <cellStyle name="Tekst objaśnienia 2 17 3" xfId="35107" xr:uid="{00000000-0005-0000-0000-000031890000}"/>
    <cellStyle name="Tekst objaśnienia 2 17 4" xfId="35108" xr:uid="{00000000-0005-0000-0000-000032890000}"/>
    <cellStyle name="Tekst objaśnienia 2 17 5" xfId="35109" xr:uid="{00000000-0005-0000-0000-000033890000}"/>
    <cellStyle name="Tekst objaśnienia 2 17 6" xfId="35110" xr:uid="{00000000-0005-0000-0000-000034890000}"/>
    <cellStyle name="Tekst objaśnienia 2 17 7" xfId="35111" xr:uid="{00000000-0005-0000-0000-000035890000}"/>
    <cellStyle name="Tekst objaśnienia 2 18" xfId="35112" xr:uid="{00000000-0005-0000-0000-000036890000}"/>
    <cellStyle name="Tekst objaśnienia 2 18 2" xfId="35113" xr:uid="{00000000-0005-0000-0000-000037890000}"/>
    <cellStyle name="Tekst objaśnienia 2 18 3" xfId="35114" xr:uid="{00000000-0005-0000-0000-000038890000}"/>
    <cellStyle name="Tekst objaśnienia 2 18 4" xfId="35115" xr:uid="{00000000-0005-0000-0000-000039890000}"/>
    <cellStyle name="Tekst objaśnienia 2 18 5" xfId="35116" xr:uid="{00000000-0005-0000-0000-00003A890000}"/>
    <cellStyle name="Tekst objaśnienia 2 18 6" xfId="35117" xr:uid="{00000000-0005-0000-0000-00003B890000}"/>
    <cellStyle name="Tekst objaśnienia 2 18 7" xfId="35118" xr:uid="{00000000-0005-0000-0000-00003C890000}"/>
    <cellStyle name="Tekst objaśnienia 2 19" xfId="35119" xr:uid="{00000000-0005-0000-0000-00003D890000}"/>
    <cellStyle name="Tekst objaśnienia 2 19 2" xfId="35120" xr:uid="{00000000-0005-0000-0000-00003E890000}"/>
    <cellStyle name="Tekst objaśnienia 2 19 3" xfId="35121" xr:uid="{00000000-0005-0000-0000-00003F890000}"/>
    <cellStyle name="Tekst objaśnienia 2 19 4" xfId="35122" xr:uid="{00000000-0005-0000-0000-000040890000}"/>
    <cellStyle name="Tekst objaśnienia 2 19 5" xfId="35123" xr:uid="{00000000-0005-0000-0000-000041890000}"/>
    <cellStyle name="Tekst objaśnienia 2 19 6" xfId="35124" xr:uid="{00000000-0005-0000-0000-000042890000}"/>
    <cellStyle name="Tekst objaśnienia 2 19 7" xfId="35125" xr:uid="{00000000-0005-0000-0000-000043890000}"/>
    <cellStyle name="Tekst objaśnienia 2 2" xfId="35126" xr:uid="{00000000-0005-0000-0000-000044890000}"/>
    <cellStyle name="Tekst objaśnienia 2 2 2" xfId="35127" xr:uid="{00000000-0005-0000-0000-000045890000}"/>
    <cellStyle name="Tekst objaśnienia 2 2 3" xfId="35128" xr:uid="{00000000-0005-0000-0000-000046890000}"/>
    <cellStyle name="Tekst objaśnienia 2 2 4" xfId="35129" xr:uid="{00000000-0005-0000-0000-000047890000}"/>
    <cellStyle name="Tekst objaśnienia 2 2 5" xfId="35130" xr:uid="{00000000-0005-0000-0000-000048890000}"/>
    <cellStyle name="Tekst objaśnienia 2 2 6" xfId="35131" xr:uid="{00000000-0005-0000-0000-000049890000}"/>
    <cellStyle name="Tekst objaśnienia 2 2 7" xfId="35132" xr:uid="{00000000-0005-0000-0000-00004A890000}"/>
    <cellStyle name="Tekst objaśnienia 2 2 8" xfId="35133" xr:uid="{00000000-0005-0000-0000-00004B890000}"/>
    <cellStyle name="Tekst objaśnienia 2 20" xfId="35134" xr:uid="{00000000-0005-0000-0000-00004C890000}"/>
    <cellStyle name="Tekst objaśnienia 2 20 2" xfId="35135" xr:uid="{00000000-0005-0000-0000-00004D890000}"/>
    <cellStyle name="Tekst objaśnienia 2 20 3" xfId="35136" xr:uid="{00000000-0005-0000-0000-00004E890000}"/>
    <cellStyle name="Tekst objaśnienia 2 20 4" xfId="35137" xr:uid="{00000000-0005-0000-0000-00004F890000}"/>
    <cellStyle name="Tekst objaśnienia 2 20 5" xfId="35138" xr:uid="{00000000-0005-0000-0000-000050890000}"/>
    <cellStyle name="Tekst objaśnienia 2 20 6" xfId="35139" xr:uid="{00000000-0005-0000-0000-000051890000}"/>
    <cellStyle name="Tekst objaśnienia 2 20 7" xfId="35140" xr:uid="{00000000-0005-0000-0000-000052890000}"/>
    <cellStyle name="Tekst objaśnienia 2 21" xfId="35141" xr:uid="{00000000-0005-0000-0000-000053890000}"/>
    <cellStyle name="Tekst objaśnienia 2 21 2" xfId="35142" xr:uid="{00000000-0005-0000-0000-000054890000}"/>
    <cellStyle name="Tekst objaśnienia 2 21 3" xfId="35143" xr:uid="{00000000-0005-0000-0000-000055890000}"/>
    <cellStyle name="Tekst objaśnienia 2 21 4" xfId="35144" xr:uid="{00000000-0005-0000-0000-000056890000}"/>
    <cellStyle name="Tekst objaśnienia 2 21 5" xfId="35145" xr:uid="{00000000-0005-0000-0000-000057890000}"/>
    <cellStyle name="Tekst objaśnienia 2 21 6" xfId="35146" xr:uid="{00000000-0005-0000-0000-000058890000}"/>
    <cellStyle name="Tekst objaśnienia 2 21 7" xfId="35147" xr:uid="{00000000-0005-0000-0000-000059890000}"/>
    <cellStyle name="Tekst objaśnienia 2 22" xfId="35148" xr:uid="{00000000-0005-0000-0000-00005A890000}"/>
    <cellStyle name="Tekst objaśnienia 2 22 2" xfId="35149" xr:uid="{00000000-0005-0000-0000-00005B890000}"/>
    <cellStyle name="Tekst objaśnienia 2 22 3" xfId="35150" xr:uid="{00000000-0005-0000-0000-00005C890000}"/>
    <cellStyle name="Tekst objaśnienia 2 22 4" xfId="35151" xr:uid="{00000000-0005-0000-0000-00005D890000}"/>
    <cellStyle name="Tekst objaśnienia 2 22 5" xfId="35152" xr:uid="{00000000-0005-0000-0000-00005E890000}"/>
    <cellStyle name="Tekst objaśnienia 2 22 6" xfId="35153" xr:uid="{00000000-0005-0000-0000-00005F890000}"/>
    <cellStyle name="Tekst objaśnienia 2 22 7" xfId="35154" xr:uid="{00000000-0005-0000-0000-000060890000}"/>
    <cellStyle name="Tekst objaśnienia 2 23" xfId="35155" xr:uid="{00000000-0005-0000-0000-000061890000}"/>
    <cellStyle name="Tekst objaśnienia 2 23 2" xfId="35156" xr:uid="{00000000-0005-0000-0000-000062890000}"/>
    <cellStyle name="Tekst objaśnienia 2 23 3" xfId="35157" xr:uid="{00000000-0005-0000-0000-000063890000}"/>
    <cellStyle name="Tekst objaśnienia 2 23 4" xfId="35158" xr:uid="{00000000-0005-0000-0000-000064890000}"/>
    <cellStyle name="Tekst objaśnienia 2 23 5" xfId="35159" xr:uid="{00000000-0005-0000-0000-000065890000}"/>
    <cellStyle name="Tekst objaśnienia 2 23 6" xfId="35160" xr:uid="{00000000-0005-0000-0000-000066890000}"/>
    <cellStyle name="Tekst objaśnienia 2 23 7" xfId="35161" xr:uid="{00000000-0005-0000-0000-000067890000}"/>
    <cellStyle name="Tekst objaśnienia 2 24" xfId="35162" xr:uid="{00000000-0005-0000-0000-000068890000}"/>
    <cellStyle name="Tekst objaśnienia 2 24 2" xfId="35163" xr:uid="{00000000-0005-0000-0000-000069890000}"/>
    <cellStyle name="Tekst objaśnienia 2 24 3" xfId="35164" xr:uid="{00000000-0005-0000-0000-00006A890000}"/>
    <cellStyle name="Tekst objaśnienia 2 24 4" xfId="35165" xr:uid="{00000000-0005-0000-0000-00006B890000}"/>
    <cellStyle name="Tekst objaśnienia 2 24 5" xfId="35166" xr:uid="{00000000-0005-0000-0000-00006C890000}"/>
    <cellStyle name="Tekst objaśnienia 2 24 6" xfId="35167" xr:uid="{00000000-0005-0000-0000-00006D890000}"/>
    <cellStyle name="Tekst objaśnienia 2 24 7" xfId="35168" xr:uid="{00000000-0005-0000-0000-00006E890000}"/>
    <cellStyle name="Tekst objaśnienia 2 25" xfId="35169" xr:uid="{00000000-0005-0000-0000-00006F890000}"/>
    <cellStyle name="Tekst objaśnienia 2 25 2" xfId="35170" xr:uid="{00000000-0005-0000-0000-000070890000}"/>
    <cellStyle name="Tekst objaśnienia 2 25 3" xfId="35171" xr:uid="{00000000-0005-0000-0000-000071890000}"/>
    <cellStyle name="Tekst objaśnienia 2 25 4" xfId="35172" xr:uid="{00000000-0005-0000-0000-000072890000}"/>
    <cellStyle name="Tekst objaśnienia 2 25 5" xfId="35173" xr:uid="{00000000-0005-0000-0000-000073890000}"/>
    <cellStyle name="Tekst objaśnienia 2 25 6" xfId="35174" xr:uid="{00000000-0005-0000-0000-000074890000}"/>
    <cellStyle name="Tekst objaśnienia 2 25 7" xfId="35175" xr:uid="{00000000-0005-0000-0000-000075890000}"/>
    <cellStyle name="Tekst objaśnienia 2 26" xfId="35176" xr:uid="{00000000-0005-0000-0000-000076890000}"/>
    <cellStyle name="Tekst objaśnienia 2 26 2" xfId="35177" xr:uid="{00000000-0005-0000-0000-000077890000}"/>
    <cellStyle name="Tekst objaśnienia 2 26 3" xfId="35178" xr:uid="{00000000-0005-0000-0000-000078890000}"/>
    <cellStyle name="Tekst objaśnienia 2 26 4" xfId="35179" xr:uid="{00000000-0005-0000-0000-000079890000}"/>
    <cellStyle name="Tekst objaśnienia 2 26 5" xfId="35180" xr:uid="{00000000-0005-0000-0000-00007A890000}"/>
    <cellStyle name="Tekst objaśnienia 2 26 6" xfId="35181" xr:uid="{00000000-0005-0000-0000-00007B890000}"/>
    <cellStyle name="Tekst objaśnienia 2 26 7" xfId="35182" xr:uid="{00000000-0005-0000-0000-00007C890000}"/>
    <cellStyle name="Tekst objaśnienia 2 27" xfId="35183" xr:uid="{00000000-0005-0000-0000-00007D890000}"/>
    <cellStyle name="Tekst objaśnienia 2 27 2" xfId="35184" xr:uid="{00000000-0005-0000-0000-00007E890000}"/>
    <cellStyle name="Tekst objaśnienia 2 27 3" xfId="35185" xr:uid="{00000000-0005-0000-0000-00007F890000}"/>
    <cellStyle name="Tekst objaśnienia 2 27 4" xfId="35186" xr:uid="{00000000-0005-0000-0000-000080890000}"/>
    <cellStyle name="Tekst objaśnienia 2 27 5" xfId="35187" xr:uid="{00000000-0005-0000-0000-000081890000}"/>
    <cellStyle name="Tekst objaśnienia 2 27 6" xfId="35188" xr:uid="{00000000-0005-0000-0000-000082890000}"/>
    <cellStyle name="Tekst objaśnienia 2 27 7" xfId="35189" xr:uid="{00000000-0005-0000-0000-000083890000}"/>
    <cellStyle name="Tekst objaśnienia 2 28" xfId="35190" xr:uid="{00000000-0005-0000-0000-000084890000}"/>
    <cellStyle name="Tekst objaśnienia 2 28 2" xfId="35191" xr:uid="{00000000-0005-0000-0000-000085890000}"/>
    <cellStyle name="Tekst objaśnienia 2 28 3" xfId="35192" xr:uid="{00000000-0005-0000-0000-000086890000}"/>
    <cellStyle name="Tekst objaśnienia 2 28 4" xfId="35193" xr:uid="{00000000-0005-0000-0000-000087890000}"/>
    <cellStyle name="Tekst objaśnienia 2 28 5" xfId="35194" xr:uid="{00000000-0005-0000-0000-000088890000}"/>
    <cellStyle name="Tekst objaśnienia 2 28 6" xfId="35195" xr:uid="{00000000-0005-0000-0000-000089890000}"/>
    <cellStyle name="Tekst objaśnienia 2 28 7" xfId="35196" xr:uid="{00000000-0005-0000-0000-00008A890000}"/>
    <cellStyle name="Tekst objaśnienia 2 29" xfId="35197" xr:uid="{00000000-0005-0000-0000-00008B890000}"/>
    <cellStyle name="Tekst objaśnienia 2 29 2" xfId="35198" xr:uid="{00000000-0005-0000-0000-00008C890000}"/>
    <cellStyle name="Tekst objaśnienia 2 3" xfId="35199" xr:uid="{00000000-0005-0000-0000-00008D890000}"/>
    <cellStyle name="Tekst objaśnienia 2 3 2" xfId="35200" xr:uid="{00000000-0005-0000-0000-00008E890000}"/>
    <cellStyle name="Tekst objaśnienia 2 3 3" xfId="35201" xr:uid="{00000000-0005-0000-0000-00008F890000}"/>
    <cellStyle name="Tekst objaśnienia 2 3 4" xfId="35202" xr:uid="{00000000-0005-0000-0000-000090890000}"/>
    <cellStyle name="Tekst objaśnienia 2 3 5" xfId="35203" xr:uid="{00000000-0005-0000-0000-000091890000}"/>
    <cellStyle name="Tekst objaśnienia 2 3 6" xfId="35204" xr:uid="{00000000-0005-0000-0000-000092890000}"/>
    <cellStyle name="Tekst objaśnienia 2 3 7" xfId="35205" xr:uid="{00000000-0005-0000-0000-000093890000}"/>
    <cellStyle name="Tekst objaśnienia 2 30" xfId="35206" xr:uid="{00000000-0005-0000-0000-000094890000}"/>
    <cellStyle name="Tekst objaśnienia 2 30 2" xfId="35207" xr:uid="{00000000-0005-0000-0000-000095890000}"/>
    <cellStyle name="Tekst objaśnienia 2 31" xfId="35208" xr:uid="{00000000-0005-0000-0000-000096890000}"/>
    <cellStyle name="Tekst objaśnienia 2 31 2" xfId="35209" xr:uid="{00000000-0005-0000-0000-000097890000}"/>
    <cellStyle name="Tekst objaśnienia 2 32" xfId="35210" xr:uid="{00000000-0005-0000-0000-000098890000}"/>
    <cellStyle name="Tekst objaśnienia 2 32 2" xfId="35211" xr:uid="{00000000-0005-0000-0000-000099890000}"/>
    <cellStyle name="Tekst objaśnienia 2 33" xfId="35212" xr:uid="{00000000-0005-0000-0000-00009A890000}"/>
    <cellStyle name="Tekst objaśnienia 2 34" xfId="35213" xr:uid="{00000000-0005-0000-0000-00009B890000}"/>
    <cellStyle name="Tekst objaśnienia 2 35" xfId="35214" xr:uid="{00000000-0005-0000-0000-00009C890000}"/>
    <cellStyle name="Tekst objaśnienia 2 36" xfId="35215" xr:uid="{00000000-0005-0000-0000-00009D890000}"/>
    <cellStyle name="Tekst objaśnienia 2 37" xfId="35216" xr:uid="{00000000-0005-0000-0000-00009E890000}"/>
    <cellStyle name="Tekst objaśnienia 2 38" xfId="35217" xr:uid="{00000000-0005-0000-0000-00009F890000}"/>
    <cellStyle name="Tekst objaśnienia 2 39" xfId="35218" xr:uid="{00000000-0005-0000-0000-0000A0890000}"/>
    <cellStyle name="Tekst objaśnienia 2 4" xfId="35219" xr:uid="{00000000-0005-0000-0000-0000A1890000}"/>
    <cellStyle name="Tekst objaśnienia 2 4 2" xfId="35220" xr:uid="{00000000-0005-0000-0000-0000A2890000}"/>
    <cellStyle name="Tekst objaśnienia 2 4 3" xfId="35221" xr:uid="{00000000-0005-0000-0000-0000A3890000}"/>
    <cellStyle name="Tekst objaśnienia 2 4 4" xfId="35222" xr:uid="{00000000-0005-0000-0000-0000A4890000}"/>
    <cellStyle name="Tekst objaśnienia 2 4 5" xfId="35223" xr:uid="{00000000-0005-0000-0000-0000A5890000}"/>
    <cellStyle name="Tekst objaśnienia 2 4 6" xfId="35224" xr:uid="{00000000-0005-0000-0000-0000A6890000}"/>
    <cellStyle name="Tekst objaśnienia 2 4 7" xfId="35225" xr:uid="{00000000-0005-0000-0000-0000A7890000}"/>
    <cellStyle name="Tekst objaśnienia 2 5" xfId="35226" xr:uid="{00000000-0005-0000-0000-0000A8890000}"/>
    <cellStyle name="Tekst objaśnienia 2 5 2" xfId="35227" xr:uid="{00000000-0005-0000-0000-0000A9890000}"/>
    <cellStyle name="Tekst objaśnienia 2 5 3" xfId="35228" xr:uid="{00000000-0005-0000-0000-0000AA890000}"/>
    <cellStyle name="Tekst objaśnienia 2 5 4" xfId="35229" xr:uid="{00000000-0005-0000-0000-0000AB890000}"/>
    <cellStyle name="Tekst objaśnienia 2 5 5" xfId="35230" xr:uid="{00000000-0005-0000-0000-0000AC890000}"/>
    <cellStyle name="Tekst objaśnienia 2 5 6" xfId="35231" xr:uid="{00000000-0005-0000-0000-0000AD890000}"/>
    <cellStyle name="Tekst objaśnienia 2 5 7" xfId="35232" xr:uid="{00000000-0005-0000-0000-0000AE890000}"/>
    <cellStyle name="Tekst objaśnienia 2 6" xfId="35233" xr:uid="{00000000-0005-0000-0000-0000AF890000}"/>
    <cellStyle name="Tekst objaśnienia 2 6 2" xfId="35234" xr:uid="{00000000-0005-0000-0000-0000B0890000}"/>
    <cellStyle name="Tekst objaśnienia 2 6 3" xfId="35235" xr:uid="{00000000-0005-0000-0000-0000B1890000}"/>
    <cellStyle name="Tekst objaśnienia 2 6 4" xfId="35236" xr:uid="{00000000-0005-0000-0000-0000B2890000}"/>
    <cellStyle name="Tekst objaśnienia 2 6 5" xfId="35237" xr:uid="{00000000-0005-0000-0000-0000B3890000}"/>
    <cellStyle name="Tekst objaśnienia 2 6 6" xfId="35238" xr:uid="{00000000-0005-0000-0000-0000B4890000}"/>
    <cellStyle name="Tekst objaśnienia 2 6 7" xfId="35239" xr:uid="{00000000-0005-0000-0000-0000B5890000}"/>
    <cellStyle name="Tekst objaśnienia 2 7" xfId="35240" xr:uid="{00000000-0005-0000-0000-0000B6890000}"/>
    <cellStyle name="Tekst objaśnienia 2 7 2" xfId="35241" xr:uid="{00000000-0005-0000-0000-0000B7890000}"/>
    <cellStyle name="Tekst objaśnienia 2 7 3" xfId="35242" xr:uid="{00000000-0005-0000-0000-0000B8890000}"/>
    <cellStyle name="Tekst objaśnienia 2 7 4" xfId="35243" xr:uid="{00000000-0005-0000-0000-0000B9890000}"/>
    <cellStyle name="Tekst objaśnienia 2 7 5" xfId="35244" xr:uid="{00000000-0005-0000-0000-0000BA890000}"/>
    <cellStyle name="Tekst objaśnienia 2 7 6" xfId="35245" xr:uid="{00000000-0005-0000-0000-0000BB890000}"/>
    <cellStyle name="Tekst objaśnienia 2 7 7" xfId="35246" xr:uid="{00000000-0005-0000-0000-0000BC890000}"/>
    <cellStyle name="Tekst objaśnienia 2 8" xfId="35247" xr:uid="{00000000-0005-0000-0000-0000BD890000}"/>
    <cellStyle name="Tekst objaśnienia 2 8 2" xfId="35248" xr:uid="{00000000-0005-0000-0000-0000BE890000}"/>
    <cellStyle name="Tekst objaśnienia 2 8 3" xfId="35249" xr:uid="{00000000-0005-0000-0000-0000BF890000}"/>
    <cellStyle name="Tekst objaśnienia 2 8 4" xfId="35250" xr:uid="{00000000-0005-0000-0000-0000C0890000}"/>
    <cellStyle name="Tekst objaśnienia 2 8 5" xfId="35251" xr:uid="{00000000-0005-0000-0000-0000C1890000}"/>
    <cellStyle name="Tekst objaśnienia 2 8 6" xfId="35252" xr:uid="{00000000-0005-0000-0000-0000C2890000}"/>
    <cellStyle name="Tekst objaśnienia 2 8 7" xfId="35253" xr:uid="{00000000-0005-0000-0000-0000C3890000}"/>
    <cellStyle name="Tekst objaśnienia 2 9" xfId="35254" xr:uid="{00000000-0005-0000-0000-0000C4890000}"/>
    <cellStyle name="Tekst objaśnienia 2 9 2" xfId="35255" xr:uid="{00000000-0005-0000-0000-0000C5890000}"/>
    <cellStyle name="Tekst objaśnienia 2 9 3" xfId="35256" xr:uid="{00000000-0005-0000-0000-0000C6890000}"/>
    <cellStyle name="Tekst objaśnienia 2 9 4" xfId="35257" xr:uid="{00000000-0005-0000-0000-0000C7890000}"/>
    <cellStyle name="Tekst objaśnienia 2 9 5" xfId="35258" xr:uid="{00000000-0005-0000-0000-0000C8890000}"/>
    <cellStyle name="Tekst objaśnienia 2 9 6" xfId="35259" xr:uid="{00000000-0005-0000-0000-0000C9890000}"/>
    <cellStyle name="Tekst objaśnienia 2 9 7" xfId="35260" xr:uid="{00000000-0005-0000-0000-0000CA890000}"/>
    <cellStyle name="Tekst objaśnienia 3" xfId="35261" xr:uid="{00000000-0005-0000-0000-0000CB890000}"/>
    <cellStyle name="Tekst objaśnienia 3 2" xfId="35262" xr:uid="{00000000-0005-0000-0000-0000CC890000}"/>
    <cellStyle name="Tekst objaśnienia 3 2 2" xfId="35263" xr:uid="{00000000-0005-0000-0000-0000CD890000}"/>
    <cellStyle name="Tekst objaśnienia 3 3" xfId="35264" xr:uid="{00000000-0005-0000-0000-0000CE890000}"/>
    <cellStyle name="Tekst objaśnienia 3 4" xfId="35265" xr:uid="{00000000-0005-0000-0000-0000CF890000}"/>
    <cellStyle name="Tekst objaśnienia 3 5" xfId="35266" xr:uid="{00000000-0005-0000-0000-0000D0890000}"/>
    <cellStyle name="Tekst objaśnienia 3 6" xfId="35267" xr:uid="{00000000-0005-0000-0000-0000D1890000}"/>
    <cellStyle name="Tekst objaśnienia 3 7" xfId="35268" xr:uid="{00000000-0005-0000-0000-0000D2890000}"/>
    <cellStyle name="Tekst objaśnienia 3 8" xfId="35269" xr:uid="{00000000-0005-0000-0000-0000D3890000}"/>
    <cellStyle name="Tekst objaśnienia 3 9" xfId="35270" xr:uid="{00000000-0005-0000-0000-0000D4890000}"/>
    <cellStyle name="Tekst objaśnienia 4" xfId="35271" xr:uid="{00000000-0005-0000-0000-0000D5890000}"/>
    <cellStyle name="Tekst objaśnienia 4 2" xfId="35272" xr:uid="{00000000-0005-0000-0000-0000D6890000}"/>
    <cellStyle name="Tekst objaśnienia 4 3" xfId="35273" xr:uid="{00000000-0005-0000-0000-0000D7890000}"/>
    <cellStyle name="Tekst objaśnienia 4 4" xfId="35274" xr:uid="{00000000-0005-0000-0000-0000D8890000}"/>
    <cellStyle name="Tekst objaśnienia 4 5" xfId="35275" xr:uid="{00000000-0005-0000-0000-0000D9890000}"/>
    <cellStyle name="Tekst objaśnienia 4 6" xfId="35276" xr:uid="{00000000-0005-0000-0000-0000DA890000}"/>
    <cellStyle name="Tekst objaśnienia 4 7" xfId="35277" xr:uid="{00000000-0005-0000-0000-0000DB890000}"/>
    <cellStyle name="Tekst objaśnienia 4 8" xfId="35278" xr:uid="{00000000-0005-0000-0000-0000DC890000}"/>
    <cellStyle name="Tekst objaśnienia 4 9" xfId="35279" xr:uid="{00000000-0005-0000-0000-0000DD890000}"/>
    <cellStyle name="Tekst objaśnienia 5" xfId="35280" xr:uid="{00000000-0005-0000-0000-0000DE890000}"/>
    <cellStyle name="Tekst objaśnienia 5 2" xfId="35281" xr:uid="{00000000-0005-0000-0000-0000DF890000}"/>
    <cellStyle name="Tekst objaśnienia 5 3" xfId="35282" xr:uid="{00000000-0005-0000-0000-0000E0890000}"/>
    <cellStyle name="Tekst objaśnienia 6" xfId="35283" xr:uid="{00000000-0005-0000-0000-0000E1890000}"/>
    <cellStyle name="Tekst objaśnienia 6 2" xfId="35284" xr:uid="{00000000-0005-0000-0000-0000E2890000}"/>
    <cellStyle name="Tekst objaśnienia 7" xfId="35285" xr:uid="{00000000-0005-0000-0000-0000E3890000}"/>
    <cellStyle name="Tekst ostrzeżenia 2" xfId="35286" xr:uid="{00000000-0005-0000-0000-0000E4890000}"/>
    <cellStyle name="Tekst ostrzeżenia 2 10" xfId="35287" xr:uid="{00000000-0005-0000-0000-0000E5890000}"/>
    <cellStyle name="Tekst ostrzeżenia 2 10 2" xfId="35288" xr:uid="{00000000-0005-0000-0000-0000E6890000}"/>
    <cellStyle name="Tekst ostrzeżenia 2 10 3" xfId="35289" xr:uid="{00000000-0005-0000-0000-0000E7890000}"/>
    <cellStyle name="Tekst ostrzeżenia 2 10 4" xfId="35290" xr:uid="{00000000-0005-0000-0000-0000E8890000}"/>
    <cellStyle name="Tekst ostrzeżenia 2 10 5" xfId="35291" xr:uid="{00000000-0005-0000-0000-0000E9890000}"/>
    <cellStyle name="Tekst ostrzeżenia 2 10 6" xfId="35292" xr:uid="{00000000-0005-0000-0000-0000EA890000}"/>
    <cellStyle name="Tekst ostrzeżenia 2 10 7" xfId="35293" xr:uid="{00000000-0005-0000-0000-0000EB890000}"/>
    <cellStyle name="Tekst ostrzeżenia 2 11" xfId="35294" xr:uid="{00000000-0005-0000-0000-0000EC890000}"/>
    <cellStyle name="Tekst ostrzeżenia 2 11 2" xfId="35295" xr:uid="{00000000-0005-0000-0000-0000ED890000}"/>
    <cellStyle name="Tekst ostrzeżenia 2 11 3" xfId="35296" xr:uid="{00000000-0005-0000-0000-0000EE890000}"/>
    <cellStyle name="Tekst ostrzeżenia 2 11 4" xfId="35297" xr:uid="{00000000-0005-0000-0000-0000EF890000}"/>
    <cellStyle name="Tekst ostrzeżenia 2 11 5" xfId="35298" xr:uid="{00000000-0005-0000-0000-0000F0890000}"/>
    <cellStyle name="Tekst ostrzeżenia 2 11 6" xfId="35299" xr:uid="{00000000-0005-0000-0000-0000F1890000}"/>
    <cellStyle name="Tekst ostrzeżenia 2 11 7" xfId="35300" xr:uid="{00000000-0005-0000-0000-0000F2890000}"/>
    <cellStyle name="Tekst ostrzeżenia 2 12" xfId="35301" xr:uid="{00000000-0005-0000-0000-0000F3890000}"/>
    <cellStyle name="Tekst ostrzeżenia 2 12 2" xfId="35302" xr:uid="{00000000-0005-0000-0000-0000F4890000}"/>
    <cellStyle name="Tekst ostrzeżenia 2 12 3" xfId="35303" xr:uid="{00000000-0005-0000-0000-0000F5890000}"/>
    <cellStyle name="Tekst ostrzeżenia 2 12 4" xfId="35304" xr:uid="{00000000-0005-0000-0000-0000F6890000}"/>
    <cellStyle name="Tekst ostrzeżenia 2 12 5" xfId="35305" xr:uid="{00000000-0005-0000-0000-0000F7890000}"/>
    <cellStyle name="Tekst ostrzeżenia 2 12 6" xfId="35306" xr:uid="{00000000-0005-0000-0000-0000F8890000}"/>
    <cellStyle name="Tekst ostrzeżenia 2 12 7" xfId="35307" xr:uid="{00000000-0005-0000-0000-0000F9890000}"/>
    <cellStyle name="Tekst ostrzeżenia 2 13" xfId="35308" xr:uid="{00000000-0005-0000-0000-0000FA890000}"/>
    <cellStyle name="Tekst ostrzeżenia 2 13 2" xfId="35309" xr:uid="{00000000-0005-0000-0000-0000FB890000}"/>
    <cellStyle name="Tekst ostrzeżenia 2 13 3" xfId="35310" xr:uid="{00000000-0005-0000-0000-0000FC890000}"/>
    <cellStyle name="Tekst ostrzeżenia 2 13 4" xfId="35311" xr:uid="{00000000-0005-0000-0000-0000FD890000}"/>
    <cellStyle name="Tekst ostrzeżenia 2 13 5" xfId="35312" xr:uid="{00000000-0005-0000-0000-0000FE890000}"/>
    <cellStyle name="Tekst ostrzeżenia 2 13 6" xfId="35313" xr:uid="{00000000-0005-0000-0000-0000FF890000}"/>
    <cellStyle name="Tekst ostrzeżenia 2 13 7" xfId="35314" xr:uid="{00000000-0005-0000-0000-0000008A0000}"/>
    <cellStyle name="Tekst ostrzeżenia 2 14" xfId="35315" xr:uid="{00000000-0005-0000-0000-0000018A0000}"/>
    <cellStyle name="Tekst ostrzeżenia 2 14 2" xfId="35316" xr:uid="{00000000-0005-0000-0000-0000028A0000}"/>
    <cellStyle name="Tekst ostrzeżenia 2 14 3" xfId="35317" xr:uid="{00000000-0005-0000-0000-0000038A0000}"/>
    <cellStyle name="Tekst ostrzeżenia 2 14 4" xfId="35318" xr:uid="{00000000-0005-0000-0000-0000048A0000}"/>
    <cellStyle name="Tekst ostrzeżenia 2 14 5" xfId="35319" xr:uid="{00000000-0005-0000-0000-0000058A0000}"/>
    <cellStyle name="Tekst ostrzeżenia 2 14 6" xfId="35320" xr:uid="{00000000-0005-0000-0000-0000068A0000}"/>
    <cellStyle name="Tekst ostrzeżenia 2 14 7" xfId="35321" xr:uid="{00000000-0005-0000-0000-0000078A0000}"/>
    <cellStyle name="Tekst ostrzeżenia 2 15" xfId="35322" xr:uid="{00000000-0005-0000-0000-0000088A0000}"/>
    <cellStyle name="Tekst ostrzeżenia 2 15 2" xfId="35323" xr:uid="{00000000-0005-0000-0000-0000098A0000}"/>
    <cellStyle name="Tekst ostrzeżenia 2 15 3" xfId="35324" xr:uid="{00000000-0005-0000-0000-00000A8A0000}"/>
    <cellStyle name="Tekst ostrzeżenia 2 15 4" xfId="35325" xr:uid="{00000000-0005-0000-0000-00000B8A0000}"/>
    <cellStyle name="Tekst ostrzeżenia 2 15 5" xfId="35326" xr:uid="{00000000-0005-0000-0000-00000C8A0000}"/>
    <cellStyle name="Tekst ostrzeżenia 2 15 6" xfId="35327" xr:uid="{00000000-0005-0000-0000-00000D8A0000}"/>
    <cellStyle name="Tekst ostrzeżenia 2 15 7" xfId="35328" xr:uid="{00000000-0005-0000-0000-00000E8A0000}"/>
    <cellStyle name="Tekst ostrzeżenia 2 16" xfId="35329" xr:uid="{00000000-0005-0000-0000-00000F8A0000}"/>
    <cellStyle name="Tekst ostrzeżenia 2 16 2" xfId="35330" xr:uid="{00000000-0005-0000-0000-0000108A0000}"/>
    <cellStyle name="Tekst ostrzeżenia 2 16 3" xfId="35331" xr:uid="{00000000-0005-0000-0000-0000118A0000}"/>
    <cellStyle name="Tekst ostrzeżenia 2 16 4" xfId="35332" xr:uid="{00000000-0005-0000-0000-0000128A0000}"/>
    <cellStyle name="Tekst ostrzeżenia 2 16 5" xfId="35333" xr:uid="{00000000-0005-0000-0000-0000138A0000}"/>
    <cellStyle name="Tekst ostrzeżenia 2 16 6" xfId="35334" xr:uid="{00000000-0005-0000-0000-0000148A0000}"/>
    <cellStyle name="Tekst ostrzeżenia 2 16 7" xfId="35335" xr:uid="{00000000-0005-0000-0000-0000158A0000}"/>
    <cellStyle name="Tekst ostrzeżenia 2 17" xfId="35336" xr:uid="{00000000-0005-0000-0000-0000168A0000}"/>
    <cellStyle name="Tekst ostrzeżenia 2 17 2" xfId="35337" xr:uid="{00000000-0005-0000-0000-0000178A0000}"/>
    <cellStyle name="Tekst ostrzeżenia 2 17 3" xfId="35338" xr:uid="{00000000-0005-0000-0000-0000188A0000}"/>
    <cellStyle name="Tekst ostrzeżenia 2 17 4" xfId="35339" xr:uid="{00000000-0005-0000-0000-0000198A0000}"/>
    <cellStyle name="Tekst ostrzeżenia 2 17 5" xfId="35340" xr:uid="{00000000-0005-0000-0000-00001A8A0000}"/>
    <cellStyle name="Tekst ostrzeżenia 2 17 6" xfId="35341" xr:uid="{00000000-0005-0000-0000-00001B8A0000}"/>
    <cellStyle name="Tekst ostrzeżenia 2 17 7" xfId="35342" xr:uid="{00000000-0005-0000-0000-00001C8A0000}"/>
    <cellStyle name="Tekst ostrzeżenia 2 18" xfId="35343" xr:uid="{00000000-0005-0000-0000-00001D8A0000}"/>
    <cellStyle name="Tekst ostrzeżenia 2 18 2" xfId="35344" xr:uid="{00000000-0005-0000-0000-00001E8A0000}"/>
    <cellStyle name="Tekst ostrzeżenia 2 18 3" xfId="35345" xr:uid="{00000000-0005-0000-0000-00001F8A0000}"/>
    <cellStyle name="Tekst ostrzeżenia 2 18 4" xfId="35346" xr:uid="{00000000-0005-0000-0000-0000208A0000}"/>
    <cellStyle name="Tekst ostrzeżenia 2 18 5" xfId="35347" xr:uid="{00000000-0005-0000-0000-0000218A0000}"/>
    <cellStyle name="Tekst ostrzeżenia 2 18 6" xfId="35348" xr:uid="{00000000-0005-0000-0000-0000228A0000}"/>
    <cellStyle name="Tekst ostrzeżenia 2 18 7" xfId="35349" xr:uid="{00000000-0005-0000-0000-0000238A0000}"/>
    <cellStyle name="Tekst ostrzeżenia 2 19" xfId="35350" xr:uid="{00000000-0005-0000-0000-0000248A0000}"/>
    <cellStyle name="Tekst ostrzeżenia 2 19 2" xfId="35351" xr:uid="{00000000-0005-0000-0000-0000258A0000}"/>
    <cellStyle name="Tekst ostrzeżenia 2 19 3" xfId="35352" xr:uid="{00000000-0005-0000-0000-0000268A0000}"/>
    <cellStyle name="Tekst ostrzeżenia 2 19 4" xfId="35353" xr:uid="{00000000-0005-0000-0000-0000278A0000}"/>
    <cellStyle name="Tekst ostrzeżenia 2 19 5" xfId="35354" xr:uid="{00000000-0005-0000-0000-0000288A0000}"/>
    <cellStyle name="Tekst ostrzeżenia 2 19 6" xfId="35355" xr:uid="{00000000-0005-0000-0000-0000298A0000}"/>
    <cellStyle name="Tekst ostrzeżenia 2 19 7" xfId="35356" xr:uid="{00000000-0005-0000-0000-00002A8A0000}"/>
    <cellStyle name="Tekst ostrzeżenia 2 2" xfId="35357" xr:uid="{00000000-0005-0000-0000-00002B8A0000}"/>
    <cellStyle name="Tekst ostrzeżenia 2 2 2" xfId="35358" xr:uid="{00000000-0005-0000-0000-00002C8A0000}"/>
    <cellStyle name="Tekst ostrzeżenia 2 2 3" xfId="35359" xr:uid="{00000000-0005-0000-0000-00002D8A0000}"/>
    <cellStyle name="Tekst ostrzeżenia 2 2 4" xfId="35360" xr:uid="{00000000-0005-0000-0000-00002E8A0000}"/>
    <cellStyle name="Tekst ostrzeżenia 2 2 5" xfId="35361" xr:uid="{00000000-0005-0000-0000-00002F8A0000}"/>
    <cellStyle name="Tekst ostrzeżenia 2 2 6" xfId="35362" xr:uid="{00000000-0005-0000-0000-0000308A0000}"/>
    <cellStyle name="Tekst ostrzeżenia 2 2 7" xfId="35363" xr:uid="{00000000-0005-0000-0000-0000318A0000}"/>
    <cellStyle name="Tekst ostrzeżenia 2 2 8" xfId="35364" xr:uid="{00000000-0005-0000-0000-0000328A0000}"/>
    <cellStyle name="Tekst ostrzeżenia 2 20" xfId="35365" xr:uid="{00000000-0005-0000-0000-0000338A0000}"/>
    <cellStyle name="Tekst ostrzeżenia 2 20 2" xfId="35366" xr:uid="{00000000-0005-0000-0000-0000348A0000}"/>
    <cellStyle name="Tekst ostrzeżenia 2 20 3" xfId="35367" xr:uid="{00000000-0005-0000-0000-0000358A0000}"/>
    <cellStyle name="Tekst ostrzeżenia 2 20 4" xfId="35368" xr:uid="{00000000-0005-0000-0000-0000368A0000}"/>
    <cellStyle name="Tekst ostrzeżenia 2 20 5" xfId="35369" xr:uid="{00000000-0005-0000-0000-0000378A0000}"/>
    <cellStyle name="Tekst ostrzeżenia 2 20 6" xfId="35370" xr:uid="{00000000-0005-0000-0000-0000388A0000}"/>
    <cellStyle name="Tekst ostrzeżenia 2 20 7" xfId="35371" xr:uid="{00000000-0005-0000-0000-0000398A0000}"/>
    <cellStyle name="Tekst ostrzeżenia 2 21" xfId="35372" xr:uid="{00000000-0005-0000-0000-00003A8A0000}"/>
    <cellStyle name="Tekst ostrzeżenia 2 21 2" xfId="35373" xr:uid="{00000000-0005-0000-0000-00003B8A0000}"/>
    <cellStyle name="Tekst ostrzeżenia 2 21 3" xfId="35374" xr:uid="{00000000-0005-0000-0000-00003C8A0000}"/>
    <cellStyle name="Tekst ostrzeżenia 2 21 4" xfId="35375" xr:uid="{00000000-0005-0000-0000-00003D8A0000}"/>
    <cellStyle name="Tekst ostrzeżenia 2 21 5" xfId="35376" xr:uid="{00000000-0005-0000-0000-00003E8A0000}"/>
    <cellStyle name="Tekst ostrzeżenia 2 21 6" xfId="35377" xr:uid="{00000000-0005-0000-0000-00003F8A0000}"/>
    <cellStyle name="Tekst ostrzeżenia 2 21 7" xfId="35378" xr:uid="{00000000-0005-0000-0000-0000408A0000}"/>
    <cellStyle name="Tekst ostrzeżenia 2 22" xfId="35379" xr:uid="{00000000-0005-0000-0000-0000418A0000}"/>
    <cellStyle name="Tekst ostrzeżenia 2 22 2" xfId="35380" xr:uid="{00000000-0005-0000-0000-0000428A0000}"/>
    <cellStyle name="Tekst ostrzeżenia 2 22 3" xfId="35381" xr:uid="{00000000-0005-0000-0000-0000438A0000}"/>
    <cellStyle name="Tekst ostrzeżenia 2 22 4" xfId="35382" xr:uid="{00000000-0005-0000-0000-0000448A0000}"/>
    <cellStyle name="Tekst ostrzeżenia 2 22 5" xfId="35383" xr:uid="{00000000-0005-0000-0000-0000458A0000}"/>
    <cellStyle name="Tekst ostrzeżenia 2 22 6" xfId="35384" xr:uid="{00000000-0005-0000-0000-0000468A0000}"/>
    <cellStyle name="Tekst ostrzeżenia 2 22 7" xfId="35385" xr:uid="{00000000-0005-0000-0000-0000478A0000}"/>
    <cellStyle name="Tekst ostrzeżenia 2 23" xfId="35386" xr:uid="{00000000-0005-0000-0000-0000488A0000}"/>
    <cellStyle name="Tekst ostrzeżenia 2 23 2" xfId="35387" xr:uid="{00000000-0005-0000-0000-0000498A0000}"/>
    <cellStyle name="Tekst ostrzeżenia 2 23 3" xfId="35388" xr:uid="{00000000-0005-0000-0000-00004A8A0000}"/>
    <cellStyle name="Tekst ostrzeżenia 2 23 4" xfId="35389" xr:uid="{00000000-0005-0000-0000-00004B8A0000}"/>
    <cellStyle name="Tekst ostrzeżenia 2 23 5" xfId="35390" xr:uid="{00000000-0005-0000-0000-00004C8A0000}"/>
    <cellStyle name="Tekst ostrzeżenia 2 23 6" xfId="35391" xr:uid="{00000000-0005-0000-0000-00004D8A0000}"/>
    <cellStyle name="Tekst ostrzeżenia 2 23 7" xfId="35392" xr:uid="{00000000-0005-0000-0000-00004E8A0000}"/>
    <cellStyle name="Tekst ostrzeżenia 2 24" xfId="35393" xr:uid="{00000000-0005-0000-0000-00004F8A0000}"/>
    <cellStyle name="Tekst ostrzeżenia 2 24 2" xfId="35394" xr:uid="{00000000-0005-0000-0000-0000508A0000}"/>
    <cellStyle name="Tekst ostrzeżenia 2 24 3" xfId="35395" xr:uid="{00000000-0005-0000-0000-0000518A0000}"/>
    <cellStyle name="Tekst ostrzeżenia 2 24 4" xfId="35396" xr:uid="{00000000-0005-0000-0000-0000528A0000}"/>
    <cellStyle name="Tekst ostrzeżenia 2 24 5" xfId="35397" xr:uid="{00000000-0005-0000-0000-0000538A0000}"/>
    <cellStyle name="Tekst ostrzeżenia 2 24 6" xfId="35398" xr:uid="{00000000-0005-0000-0000-0000548A0000}"/>
    <cellStyle name="Tekst ostrzeżenia 2 24 7" xfId="35399" xr:uid="{00000000-0005-0000-0000-0000558A0000}"/>
    <cellStyle name="Tekst ostrzeżenia 2 25" xfId="35400" xr:uid="{00000000-0005-0000-0000-0000568A0000}"/>
    <cellStyle name="Tekst ostrzeżenia 2 25 2" xfId="35401" xr:uid="{00000000-0005-0000-0000-0000578A0000}"/>
    <cellStyle name="Tekst ostrzeżenia 2 25 3" xfId="35402" xr:uid="{00000000-0005-0000-0000-0000588A0000}"/>
    <cellStyle name="Tekst ostrzeżenia 2 25 4" xfId="35403" xr:uid="{00000000-0005-0000-0000-0000598A0000}"/>
    <cellStyle name="Tekst ostrzeżenia 2 25 5" xfId="35404" xr:uid="{00000000-0005-0000-0000-00005A8A0000}"/>
    <cellStyle name="Tekst ostrzeżenia 2 25 6" xfId="35405" xr:uid="{00000000-0005-0000-0000-00005B8A0000}"/>
    <cellStyle name="Tekst ostrzeżenia 2 25 7" xfId="35406" xr:uid="{00000000-0005-0000-0000-00005C8A0000}"/>
    <cellStyle name="Tekst ostrzeżenia 2 26" xfId="35407" xr:uid="{00000000-0005-0000-0000-00005D8A0000}"/>
    <cellStyle name="Tekst ostrzeżenia 2 26 2" xfId="35408" xr:uid="{00000000-0005-0000-0000-00005E8A0000}"/>
    <cellStyle name="Tekst ostrzeżenia 2 26 3" xfId="35409" xr:uid="{00000000-0005-0000-0000-00005F8A0000}"/>
    <cellStyle name="Tekst ostrzeżenia 2 26 4" xfId="35410" xr:uid="{00000000-0005-0000-0000-0000608A0000}"/>
    <cellStyle name="Tekst ostrzeżenia 2 26 5" xfId="35411" xr:uid="{00000000-0005-0000-0000-0000618A0000}"/>
    <cellStyle name="Tekst ostrzeżenia 2 26 6" xfId="35412" xr:uid="{00000000-0005-0000-0000-0000628A0000}"/>
    <cellStyle name="Tekst ostrzeżenia 2 26 7" xfId="35413" xr:uid="{00000000-0005-0000-0000-0000638A0000}"/>
    <cellStyle name="Tekst ostrzeżenia 2 27" xfId="35414" xr:uid="{00000000-0005-0000-0000-0000648A0000}"/>
    <cellStyle name="Tekst ostrzeżenia 2 27 2" xfId="35415" xr:uid="{00000000-0005-0000-0000-0000658A0000}"/>
    <cellStyle name="Tekst ostrzeżenia 2 27 3" xfId="35416" xr:uid="{00000000-0005-0000-0000-0000668A0000}"/>
    <cellStyle name="Tekst ostrzeżenia 2 27 4" xfId="35417" xr:uid="{00000000-0005-0000-0000-0000678A0000}"/>
    <cellStyle name="Tekst ostrzeżenia 2 27 5" xfId="35418" xr:uid="{00000000-0005-0000-0000-0000688A0000}"/>
    <cellStyle name="Tekst ostrzeżenia 2 27 6" xfId="35419" xr:uid="{00000000-0005-0000-0000-0000698A0000}"/>
    <cellStyle name="Tekst ostrzeżenia 2 27 7" xfId="35420" xr:uid="{00000000-0005-0000-0000-00006A8A0000}"/>
    <cellStyle name="Tekst ostrzeżenia 2 28" xfId="35421" xr:uid="{00000000-0005-0000-0000-00006B8A0000}"/>
    <cellStyle name="Tekst ostrzeżenia 2 28 2" xfId="35422" xr:uid="{00000000-0005-0000-0000-00006C8A0000}"/>
    <cellStyle name="Tekst ostrzeżenia 2 28 3" xfId="35423" xr:uid="{00000000-0005-0000-0000-00006D8A0000}"/>
    <cellStyle name="Tekst ostrzeżenia 2 28 4" xfId="35424" xr:uid="{00000000-0005-0000-0000-00006E8A0000}"/>
    <cellStyle name="Tekst ostrzeżenia 2 28 5" xfId="35425" xr:uid="{00000000-0005-0000-0000-00006F8A0000}"/>
    <cellStyle name="Tekst ostrzeżenia 2 28 6" xfId="35426" xr:uid="{00000000-0005-0000-0000-0000708A0000}"/>
    <cellStyle name="Tekst ostrzeżenia 2 28 7" xfId="35427" xr:uid="{00000000-0005-0000-0000-0000718A0000}"/>
    <cellStyle name="Tekst ostrzeżenia 2 29" xfId="35428" xr:uid="{00000000-0005-0000-0000-0000728A0000}"/>
    <cellStyle name="Tekst ostrzeżenia 2 29 2" xfId="35429" xr:uid="{00000000-0005-0000-0000-0000738A0000}"/>
    <cellStyle name="Tekst ostrzeżenia 2 3" xfId="35430" xr:uid="{00000000-0005-0000-0000-0000748A0000}"/>
    <cellStyle name="Tekst ostrzeżenia 2 3 2" xfId="35431" xr:uid="{00000000-0005-0000-0000-0000758A0000}"/>
    <cellStyle name="Tekst ostrzeżenia 2 3 3" xfId="35432" xr:uid="{00000000-0005-0000-0000-0000768A0000}"/>
    <cellStyle name="Tekst ostrzeżenia 2 3 4" xfId="35433" xr:uid="{00000000-0005-0000-0000-0000778A0000}"/>
    <cellStyle name="Tekst ostrzeżenia 2 3 5" xfId="35434" xr:uid="{00000000-0005-0000-0000-0000788A0000}"/>
    <cellStyle name="Tekst ostrzeżenia 2 3 6" xfId="35435" xr:uid="{00000000-0005-0000-0000-0000798A0000}"/>
    <cellStyle name="Tekst ostrzeżenia 2 3 7" xfId="35436" xr:uid="{00000000-0005-0000-0000-00007A8A0000}"/>
    <cellStyle name="Tekst ostrzeżenia 2 30" xfId="35437" xr:uid="{00000000-0005-0000-0000-00007B8A0000}"/>
    <cellStyle name="Tekst ostrzeżenia 2 30 2" xfId="35438" xr:uid="{00000000-0005-0000-0000-00007C8A0000}"/>
    <cellStyle name="Tekst ostrzeżenia 2 31" xfId="35439" xr:uid="{00000000-0005-0000-0000-00007D8A0000}"/>
    <cellStyle name="Tekst ostrzeżenia 2 31 2" xfId="35440" xr:uid="{00000000-0005-0000-0000-00007E8A0000}"/>
    <cellStyle name="Tekst ostrzeżenia 2 32" xfId="35441" xr:uid="{00000000-0005-0000-0000-00007F8A0000}"/>
    <cellStyle name="Tekst ostrzeżenia 2 32 2" xfId="35442" xr:uid="{00000000-0005-0000-0000-0000808A0000}"/>
    <cellStyle name="Tekst ostrzeżenia 2 33" xfId="35443" xr:uid="{00000000-0005-0000-0000-0000818A0000}"/>
    <cellStyle name="Tekst ostrzeżenia 2 34" xfId="35444" xr:uid="{00000000-0005-0000-0000-0000828A0000}"/>
    <cellStyle name="Tekst ostrzeżenia 2 35" xfId="35445" xr:uid="{00000000-0005-0000-0000-0000838A0000}"/>
    <cellStyle name="Tekst ostrzeżenia 2 36" xfId="35446" xr:uid="{00000000-0005-0000-0000-0000848A0000}"/>
    <cellStyle name="Tekst ostrzeżenia 2 37" xfId="35447" xr:uid="{00000000-0005-0000-0000-0000858A0000}"/>
    <cellStyle name="Tekst ostrzeżenia 2 38" xfId="35448" xr:uid="{00000000-0005-0000-0000-0000868A0000}"/>
    <cellStyle name="Tekst ostrzeżenia 2 39" xfId="35449" xr:uid="{00000000-0005-0000-0000-0000878A0000}"/>
    <cellStyle name="Tekst ostrzeżenia 2 4" xfId="35450" xr:uid="{00000000-0005-0000-0000-0000888A0000}"/>
    <cellStyle name="Tekst ostrzeżenia 2 4 2" xfId="35451" xr:uid="{00000000-0005-0000-0000-0000898A0000}"/>
    <cellStyle name="Tekst ostrzeżenia 2 4 3" xfId="35452" xr:uid="{00000000-0005-0000-0000-00008A8A0000}"/>
    <cellStyle name="Tekst ostrzeżenia 2 4 4" xfId="35453" xr:uid="{00000000-0005-0000-0000-00008B8A0000}"/>
    <cellStyle name="Tekst ostrzeżenia 2 4 5" xfId="35454" xr:uid="{00000000-0005-0000-0000-00008C8A0000}"/>
    <cellStyle name="Tekst ostrzeżenia 2 4 6" xfId="35455" xr:uid="{00000000-0005-0000-0000-00008D8A0000}"/>
    <cellStyle name="Tekst ostrzeżenia 2 4 7" xfId="35456" xr:uid="{00000000-0005-0000-0000-00008E8A0000}"/>
    <cellStyle name="Tekst ostrzeżenia 2 40" xfId="35457" xr:uid="{00000000-0005-0000-0000-00008F8A0000}"/>
    <cellStyle name="Tekst ostrzeżenia 2 41" xfId="35458" xr:uid="{00000000-0005-0000-0000-0000908A0000}"/>
    <cellStyle name="Tekst ostrzeżenia 2 42" xfId="35459" xr:uid="{00000000-0005-0000-0000-0000918A0000}"/>
    <cellStyle name="Tekst ostrzeżenia 2 43" xfId="35460" xr:uid="{00000000-0005-0000-0000-0000928A0000}"/>
    <cellStyle name="Tekst ostrzeżenia 2 44" xfId="35461" xr:uid="{00000000-0005-0000-0000-0000938A0000}"/>
    <cellStyle name="Tekst ostrzeżenia 2 45" xfId="35462" xr:uid="{00000000-0005-0000-0000-0000948A0000}"/>
    <cellStyle name="Tekst ostrzeżenia 2 46" xfId="35463" xr:uid="{00000000-0005-0000-0000-0000958A0000}"/>
    <cellStyle name="Tekst ostrzeżenia 2 47" xfId="35464" xr:uid="{00000000-0005-0000-0000-0000968A0000}"/>
    <cellStyle name="Tekst ostrzeżenia 2 48" xfId="35465" xr:uid="{00000000-0005-0000-0000-0000978A0000}"/>
    <cellStyle name="Tekst ostrzeżenia 2 49" xfId="35466" xr:uid="{00000000-0005-0000-0000-0000988A0000}"/>
    <cellStyle name="Tekst ostrzeżenia 2 5" xfId="35467" xr:uid="{00000000-0005-0000-0000-0000998A0000}"/>
    <cellStyle name="Tekst ostrzeżenia 2 5 2" xfId="35468" xr:uid="{00000000-0005-0000-0000-00009A8A0000}"/>
    <cellStyle name="Tekst ostrzeżenia 2 5 3" xfId="35469" xr:uid="{00000000-0005-0000-0000-00009B8A0000}"/>
    <cellStyle name="Tekst ostrzeżenia 2 5 4" xfId="35470" xr:uid="{00000000-0005-0000-0000-00009C8A0000}"/>
    <cellStyle name="Tekst ostrzeżenia 2 5 5" xfId="35471" xr:uid="{00000000-0005-0000-0000-00009D8A0000}"/>
    <cellStyle name="Tekst ostrzeżenia 2 5 6" xfId="35472" xr:uid="{00000000-0005-0000-0000-00009E8A0000}"/>
    <cellStyle name="Tekst ostrzeżenia 2 5 7" xfId="35473" xr:uid="{00000000-0005-0000-0000-00009F8A0000}"/>
    <cellStyle name="Tekst ostrzeżenia 2 50" xfId="35474" xr:uid="{00000000-0005-0000-0000-0000A08A0000}"/>
    <cellStyle name="Tekst ostrzeżenia 2 51" xfId="35475" xr:uid="{00000000-0005-0000-0000-0000A18A0000}"/>
    <cellStyle name="Tekst ostrzeżenia 2 52" xfId="35476" xr:uid="{00000000-0005-0000-0000-0000A28A0000}"/>
    <cellStyle name="Tekst ostrzeżenia 2 6" xfId="35477" xr:uid="{00000000-0005-0000-0000-0000A38A0000}"/>
    <cellStyle name="Tekst ostrzeżenia 2 6 2" xfId="35478" xr:uid="{00000000-0005-0000-0000-0000A48A0000}"/>
    <cellStyle name="Tekst ostrzeżenia 2 6 3" xfId="35479" xr:uid="{00000000-0005-0000-0000-0000A58A0000}"/>
    <cellStyle name="Tekst ostrzeżenia 2 6 4" xfId="35480" xr:uid="{00000000-0005-0000-0000-0000A68A0000}"/>
    <cellStyle name="Tekst ostrzeżenia 2 6 5" xfId="35481" xr:uid="{00000000-0005-0000-0000-0000A78A0000}"/>
    <cellStyle name="Tekst ostrzeżenia 2 6 6" xfId="35482" xr:uid="{00000000-0005-0000-0000-0000A88A0000}"/>
    <cellStyle name="Tekst ostrzeżenia 2 6 7" xfId="35483" xr:uid="{00000000-0005-0000-0000-0000A98A0000}"/>
    <cellStyle name="Tekst ostrzeżenia 2 7" xfId="35484" xr:uid="{00000000-0005-0000-0000-0000AA8A0000}"/>
    <cellStyle name="Tekst ostrzeżenia 2 7 2" xfId="35485" xr:uid="{00000000-0005-0000-0000-0000AB8A0000}"/>
    <cellStyle name="Tekst ostrzeżenia 2 7 3" xfId="35486" xr:uid="{00000000-0005-0000-0000-0000AC8A0000}"/>
    <cellStyle name="Tekst ostrzeżenia 2 7 4" xfId="35487" xr:uid="{00000000-0005-0000-0000-0000AD8A0000}"/>
    <cellStyle name="Tekst ostrzeżenia 2 7 5" xfId="35488" xr:uid="{00000000-0005-0000-0000-0000AE8A0000}"/>
    <cellStyle name="Tekst ostrzeżenia 2 7 6" xfId="35489" xr:uid="{00000000-0005-0000-0000-0000AF8A0000}"/>
    <cellStyle name="Tekst ostrzeżenia 2 7 7" xfId="35490" xr:uid="{00000000-0005-0000-0000-0000B08A0000}"/>
    <cellStyle name="Tekst ostrzeżenia 2 8" xfId="35491" xr:uid="{00000000-0005-0000-0000-0000B18A0000}"/>
    <cellStyle name="Tekst ostrzeżenia 2 8 2" xfId="35492" xr:uid="{00000000-0005-0000-0000-0000B28A0000}"/>
    <cellStyle name="Tekst ostrzeżenia 2 8 3" xfId="35493" xr:uid="{00000000-0005-0000-0000-0000B38A0000}"/>
    <cellStyle name="Tekst ostrzeżenia 2 8 4" xfId="35494" xr:uid="{00000000-0005-0000-0000-0000B48A0000}"/>
    <cellStyle name="Tekst ostrzeżenia 2 8 5" xfId="35495" xr:uid="{00000000-0005-0000-0000-0000B58A0000}"/>
    <cellStyle name="Tekst ostrzeżenia 2 8 6" xfId="35496" xr:uid="{00000000-0005-0000-0000-0000B68A0000}"/>
    <cellStyle name="Tekst ostrzeżenia 2 8 7" xfId="35497" xr:uid="{00000000-0005-0000-0000-0000B78A0000}"/>
    <cellStyle name="Tekst ostrzeżenia 2 9" xfId="35498" xr:uid="{00000000-0005-0000-0000-0000B88A0000}"/>
    <cellStyle name="Tekst ostrzeżenia 2 9 2" xfId="35499" xr:uid="{00000000-0005-0000-0000-0000B98A0000}"/>
    <cellStyle name="Tekst ostrzeżenia 2 9 3" xfId="35500" xr:uid="{00000000-0005-0000-0000-0000BA8A0000}"/>
    <cellStyle name="Tekst ostrzeżenia 2 9 4" xfId="35501" xr:uid="{00000000-0005-0000-0000-0000BB8A0000}"/>
    <cellStyle name="Tekst ostrzeżenia 2 9 5" xfId="35502" xr:uid="{00000000-0005-0000-0000-0000BC8A0000}"/>
    <cellStyle name="Tekst ostrzeżenia 2 9 6" xfId="35503" xr:uid="{00000000-0005-0000-0000-0000BD8A0000}"/>
    <cellStyle name="Tekst ostrzeżenia 2 9 7" xfId="35504" xr:uid="{00000000-0005-0000-0000-0000BE8A0000}"/>
    <cellStyle name="Tekst ostrzeżenia 3" xfId="35505" xr:uid="{00000000-0005-0000-0000-0000BF8A0000}"/>
    <cellStyle name="Tekst ostrzeżenia 3 2" xfId="35506" xr:uid="{00000000-0005-0000-0000-0000C08A0000}"/>
    <cellStyle name="Tekst ostrzeżenia 3 2 2" xfId="35507" xr:uid="{00000000-0005-0000-0000-0000C18A0000}"/>
    <cellStyle name="Tekst ostrzeżenia 3 3" xfId="35508" xr:uid="{00000000-0005-0000-0000-0000C28A0000}"/>
    <cellStyle name="Tekst ostrzeżenia 3 4" xfId="35509" xr:uid="{00000000-0005-0000-0000-0000C38A0000}"/>
    <cellStyle name="Tekst ostrzeżenia 3 5" xfId="35510" xr:uid="{00000000-0005-0000-0000-0000C48A0000}"/>
    <cellStyle name="Tekst ostrzeżenia 3 6" xfId="35511" xr:uid="{00000000-0005-0000-0000-0000C58A0000}"/>
    <cellStyle name="Tekst ostrzeżenia 3 7" xfId="35512" xr:uid="{00000000-0005-0000-0000-0000C68A0000}"/>
    <cellStyle name="Tekst ostrzeżenia 3 8" xfId="35513" xr:uid="{00000000-0005-0000-0000-0000C78A0000}"/>
    <cellStyle name="Tekst ostrzeżenia 3 9" xfId="35514" xr:uid="{00000000-0005-0000-0000-0000C88A0000}"/>
    <cellStyle name="Tekst ostrzeżenia 4" xfId="35515" xr:uid="{00000000-0005-0000-0000-0000C98A0000}"/>
    <cellStyle name="Tekst ostrzeżenia 4 2" xfId="35516" xr:uid="{00000000-0005-0000-0000-0000CA8A0000}"/>
    <cellStyle name="Tekst ostrzeżenia 4 3" xfId="35517" xr:uid="{00000000-0005-0000-0000-0000CB8A0000}"/>
    <cellStyle name="Tekst ostrzeżenia 4 4" xfId="35518" xr:uid="{00000000-0005-0000-0000-0000CC8A0000}"/>
    <cellStyle name="Tekst ostrzeżenia 4 5" xfId="35519" xr:uid="{00000000-0005-0000-0000-0000CD8A0000}"/>
    <cellStyle name="Tekst ostrzeżenia 4 6" xfId="35520" xr:uid="{00000000-0005-0000-0000-0000CE8A0000}"/>
    <cellStyle name="Tekst ostrzeżenia 4 7" xfId="35521" xr:uid="{00000000-0005-0000-0000-0000CF8A0000}"/>
    <cellStyle name="Tekst ostrzeżenia 4 8" xfId="35522" xr:uid="{00000000-0005-0000-0000-0000D08A0000}"/>
    <cellStyle name="Tekst ostrzeżenia 4 9" xfId="35523" xr:uid="{00000000-0005-0000-0000-0000D18A0000}"/>
    <cellStyle name="Tekst ostrzeżenia 5" xfId="35524" xr:uid="{00000000-0005-0000-0000-0000D28A0000}"/>
    <cellStyle name="Tekst ostrzeżenia 5 2" xfId="35525" xr:uid="{00000000-0005-0000-0000-0000D38A0000}"/>
    <cellStyle name="Tekst ostrzeżenia 6" xfId="35526" xr:uid="{00000000-0005-0000-0000-0000D48A0000}"/>
    <cellStyle name="Tekst ostrzeżenia 7" xfId="35527" xr:uid="{00000000-0005-0000-0000-0000D58A0000}"/>
    <cellStyle name="Tytuł 2" xfId="35528" xr:uid="{00000000-0005-0000-0000-0000D68A0000}"/>
    <cellStyle name="Tytuł 2 10" xfId="35529" xr:uid="{00000000-0005-0000-0000-0000D78A0000}"/>
    <cellStyle name="Tytuł 2 10 2" xfId="35530" xr:uid="{00000000-0005-0000-0000-0000D88A0000}"/>
    <cellStyle name="Tytuł 2 10 3" xfId="35531" xr:uid="{00000000-0005-0000-0000-0000D98A0000}"/>
    <cellStyle name="Tytuł 2 10 4" xfId="35532" xr:uid="{00000000-0005-0000-0000-0000DA8A0000}"/>
    <cellStyle name="Tytuł 2 10 5" xfId="35533" xr:uid="{00000000-0005-0000-0000-0000DB8A0000}"/>
    <cellStyle name="Tytuł 2 10 6" xfId="35534" xr:uid="{00000000-0005-0000-0000-0000DC8A0000}"/>
    <cellStyle name="Tytuł 2 10 7" xfId="35535" xr:uid="{00000000-0005-0000-0000-0000DD8A0000}"/>
    <cellStyle name="Tytuł 2 11" xfId="35536" xr:uid="{00000000-0005-0000-0000-0000DE8A0000}"/>
    <cellStyle name="Tytuł 2 11 2" xfId="35537" xr:uid="{00000000-0005-0000-0000-0000DF8A0000}"/>
    <cellStyle name="Tytuł 2 11 3" xfId="35538" xr:uid="{00000000-0005-0000-0000-0000E08A0000}"/>
    <cellStyle name="Tytuł 2 11 4" xfId="35539" xr:uid="{00000000-0005-0000-0000-0000E18A0000}"/>
    <cellStyle name="Tytuł 2 11 5" xfId="35540" xr:uid="{00000000-0005-0000-0000-0000E28A0000}"/>
    <cellStyle name="Tytuł 2 11 6" xfId="35541" xr:uid="{00000000-0005-0000-0000-0000E38A0000}"/>
    <cellStyle name="Tytuł 2 11 7" xfId="35542" xr:uid="{00000000-0005-0000-0000-0000E48A0000}"/>
    <cellStyle name="Tytuł 2 12" xfId="35543" xr:uid="{00000000-0005-0000-0000-0000E58A0000}"/>
    <cellStyle name="Tytuł 2 12 2" xfId="35544" xr:uid="{00000000-0005-0000-0000-0000E68A0000}"/>
    <cellStyle name="Tytuł 2 12 3" xfId="35545" xr:uid="{00000000-0005-0000-0000-0000E78A0000}"/>
    <cellStyle name="Tytuł 2 12 4" xfId="35546" xr:uid="{00000000-0005-0000-0000-0000E88A0000}"/>
    <cellStyle name="Tytuł 2 12 5" xfId="35547" xr:uid="{00000000-0005-0000-0000-0000E98A0000}"/>
    <cellStyle name="Tytuł 2 12 6" xfId="35548" xr:uid="{00000000-0005-0000-0000-0000EA8A0000}"/>
    <cellStyle name="Tytuł 2 12 7" xfId="35549" xr:uid="{00000000-0005-0000-0000-0000EB8A0000}"/>
    <cellStyle name="Tytuł 2 13" xfId="35550" xr:uid="{00000000-0005-0000-0000-0000EC8A0000}"/>
    <cellStyle name="Tytuł 2 13 2" xfId="35551" xr:uid="{00000000-0005-0000-0000-0000ED8A0000}"/>
    <cellStyle name="Tytuł 2 13 3" xfId="35552" xr:uid="{00000000-0005-0000-0000-0000EE8A0000}"/>
    <cellStyle name="Tytuł 2 13 4" xfId="35553" xr:uid="{00000000-0005-0000-0000-0000EF8A0000}"/>
    <cellStyle name="Tytuł 2 13 5" xfId="35554" xr:uid="{00000000-0005-0000-0000-0000F08A0000}"/>
    <cellStyle name="Tytuł 2 13 6" xfId="35555" xr:uid="{00000000-0005-0000-0000-0000F18A0000}"/>
    <cellStyle name="Tytuł 2 13 7" xfId="35556" xr:uid="{00000000-0005-0000-0000-0000F28A0000}"/>
    <cellStyle name="Tytuł 2 14" xfId="35557" xr:uid="{00000000-0005-0000-0000-0000F38A0000}"/>
    <cellStyle name="Tytuł 2 14 2" xfId="35558" xr:uid="{00000000-0005-0000-0000-0000F48A0000}"/>
    <cellStyle name="Tytuł 2 14 3" xfId="35559" xr:uid="{00000000-0005-0000-0000-0000F58A0000}"/>
    <cellStyle name="Tytuł 2 14 4" xfId="35560" xr:uid="{00000000-0005-0000-0000-0000F68A0000}"/>
    <cellStyle name="Tytuł 2 14 5" xfId="35561" xr:uid="{00000000-0005-0000-0000-0000F78A0000}"/>
    <cellStyle name="Tytuł 2 14 6" xfId="35562" xr:uid="{00000000-0005-0000-0000-0000F88A0000}"/>
    <cellStyle name="Tytuł 2 14 7" xfId="35563" xr:uid="{00000000-0005-0000-0000-0000F98A0000}"/>
    <cellStyle name="Tytuł 2 15" xfId="35564" xr:uid="{00000000-0005-0000-0000-0000FA8A0000}"/>
    <cellStyle name="Tytuł 2 15 2" xfId="35565" xr:uid="{00000000-0005-0000-0000-0000FB8A0000}"/>
    <cellStyle name="Tytuł 2 15 3" xfId="35566" xr:uid="{00000000-0005-0000-0000-0000FC8A0000}"/>
    <cellStyle name="Tytuł 2 15 4" xfId="35567" xr:uid="{00000000-0005-0000-0000-0000FD8A0000}"/>
    <cellStyle name="Tytuł 2 15 5" xfId="35568" xr:uid="{00000000-0005-0000-0000-0000FE8A0000}"/>
    <cellStyle name="Tytuł 2 15 6" xfId="35569" xr:uid="{00000000-0005-0000-0000-0000FF8A0000}"/>
    <cellStyle name="Tytuł 2 15 7" xfId="35570" xr:uid="{00000000-0005-0000-0000-0000008B0000}"/>
    <cellStyle name="Tytuł 2 16" xfId="35571" xr:uid="{00000000-0005-0000-0000-0000018B0000}"/>
    <cellStyle name="Tytuł 2 16 2" xfId="35572" xr:uid="{00000000-0005-0000-0000-0000028B0000}"/>
    <cellStyle name="Tytuł 2 16 3" xfId="35573" xr:uid="{00000000-0005-0000-0000-0000038B0000}"/>
    <cellStyle name="Tytuł 2 16 4" xfId="35574" xr:uid="{00000000-0005-0000-0000-0000048B0000}"/>
    <cellStyle name="Tytuł 2 16 5" xfId="35575" xr:uid="{00000000-0005-0000-0000-0000058B0000}"/>
    <cellStyle name="Tytuł 2 16 6" xfId="35576" xr:uid="{00000000-0005-0000-0000-0000068B0000}"/>
    <cellStyle name="Tytuł 2 16 7" xfId="35577" xr:uid="{00000000-0005-0000-0000-0000078B0000}"/>
    <cellStyle name="Tytuł 2 17" xfId="35578" xr:uid="{00000000-0005-0000-0000-0000088B0000}"/>
    <cellStyle name="Tytuł 2 17 2" xfId="35579" xr:uid="{00000000-0005-0000-0000-0000098B0000}"/>
    <cellStyle name="Tytuł 2 17 3" xfId="35580" xr:uid="{00000000-0005-0000-0000-00000A8B0000}"/>
    <cellStyle name="Tytuł 2 17 4" xfId="35581" xr:uid="{00000000-0005-0000-0000-00000B8B0000}"/>
    <cellStyle name="Tytuł 2 17 5" xfId="35582" xr:uid="{00000000-0005-0000-0000-00000C8B0000}"/>
    <cellStyle name="Tytuł 2 17 6" xfId="35583" xr:uid="{00000000-0005-0000-0000-00000D8B0000}"/>
    <cellStyle name="Tytuł 2 17 7" xfId="35584" xr:uid="{00000000-0005-0000-0000-00000E8B0000}"/>
    <cellStyle name="Tytuł 2 18" xfId="35585" xr:uid="{00000000-0005-0000-0000-00000F8B0000}"/>
    <cellStyle name="Tytuł 2 18 2" xfId="35586" xr:uid="{00000000-0005-0000-0000-0000108B0000}"/>
    <cellStyle name="Tytuł 2 18 3" xfId="35587" xr:uid="{00000000-0005-0000-0000-0000118B0000}"/>
    <cellStyle name="Tytuł 2 18 4" xfId="35588" xr:uid="{00000000-0005-0000-0000-0000128B0000}"/>
    <cellStyle name="Tytuł 2 18 5" xfId="35589" xr:uid="{00000000-0005-0000-0000-0000138B0000}"/>
    <cellStyle name="Tytuł 2 18 6" xfId="35590" xr:uid="{00000000-0005-0000-0000-0000148B0000}"/>
    <cellStyle name="Tytuł 2 18 7" xfId="35591" xr:uid="{00000000-0005-0000-0000-0000158B0000}"/>
    <cellStyle name="Tytuł 2 19" xfId="35592" xr:uid="{00000000-0005-0000-0000-0000168B0000}"/>
    <cellStyle name="Tytuł 2 19 2" xfId="35593" xr:uid="{00000000-0005-0000-0000-0000178B0000}"/>
    <cellStyle name="Tytuł 2 19 3" xfId="35594" xr:uid="{00000000-0005-0000-0000-0000188B0000}"/>
    <cellStyle name="Tytuł 2 19 4" xfId="35595" xr:uid="{00000000-0005-0000-0000-0000198B0000}"/>
    <cellStyle name="Tytuł 2 19 5" xfId="35596" xr:uid="{00000000-0005-0000-0000-00001A8B0000}"/>
    <cellStyle name="Tytuł 2 19 6" xfId="35597" xr:uid="{00000000-0005-0000-0000-00001B8B0000}"/>
    <cellStyle name="Tytuł 2 19 7" xfId="35598" xr:uid="{00000000-0005-0000-0000-00001C8B0000}"/>
    <cellStyle name="Tytuł 2 2" xfId="35599" xr:uid="{00000000-0005-0000-0000-00001D8B0000}"/>
    <cellStyle name="Tytuł 2 2 2" xfId="35600" xr:uid="{00000000-0005-0000-0000-00001E8B0000}"/>
    <cellStyle name="Tytuł 2 2 3" xfId="35601" xr:uid="{00000000-0005-0000-0000-00001F8B0000}"/>
    <cellStyle name="Tytuł 2 2 4" xfId="35602" xr:uid="{00000000-0005-0000-0000-0000208B0000}"/>
    <cellStyle name="Tytuł 2 2 5" xfId="35603" xr:uid="{00000000-0005-0000-0000-0000218B0000}"/>
    <cellStyle name="Tytuł 2 2 6" xfId="35604" xr:uid="{00000000-0005-0000-0000-0000228B0000}"/>
    <cellStyle name="Tytuł 2 2 7" xfId="35605" xr:uid="{00000000-0005-0000-0000-0000238B0000}"/>
    <cellStyle name="Tytuł 2 2 8" xfId="35606" xr:uid="{00000000-0005-0000-0000-0000248B0000}"/>
    <cellStyle name="Tytuł 2 20" xfId="35607" xr:uid="{00000000-0005-0000-0000-0000258B0000}"/>
    <cellStyle name="Tytuł 2 20 2" xfId="35608" xr:uid="{00000000-0005-0000-0000-0000268B0000}"/>
    <cellStyle name="Tytuł 2 20 3" xfId="35609" xr:uid="{00000000-0005-0000-0000-0000278B0000}"/>
    <cellStyle name="Tytuł 2 20 4" xfId="35610" xr:uid="{00000000-0005-0000-0000-0000288B0000}"/>
    <cellStyle name="Tytuł 2 20 5" xfId="35611" xr:uid="{00000000-0005-0000-0000-0000298B0000}"/>
    <cellStyle name="Tytuł 2 20 6" xfId="35612" xr:uid="{00000000-0005-0000-0000-00002A8B0000}"/>
    <cellStyle name="Tytuł 2 20 7" xfId="35613" xr:uid="{00000000-0005-0000-0000-00002B8B0000}"/>
    <cellStyle name="Tytuł 2 21" xfId="35614" xr:uid="{00000000-0005-0000-0000-00002C8B0000}"/>
    <cellStyle name="Tytuł 2 21 2" xfId="35615" xr:uid="{00000000-0005-0000-0000-00002D8B0000}"/>
    <cellStyle name="Tytuł 2 21 3" xfId="35616" xr:uid="{00000000-0005-0000-0000-00002E8B0000}"/>
    <cellStyle name="Tytuł 2 21 4" xfId="35617" xr:uid="{00000000-0005-0000-0000-00002F8B0000}"/>
    <cellStyle name="Tytuł 2 21 5" xfId="35618" xr:uid="{00000000-0005-0000-0000-0000308B0000}"/>
    <cellStyle name="Tytuł 2 21 6" xfId="35619" xr:uid="{00000000-0005-0000-0000-0000318B0000}"/>
    <cellStyle name="Tytuł 2 21 7" xfId="35620" xr:uid="{00000000-0005-0000-0000-0000328B0000}"/>
    <cellStyle name="Tytuł 2 22" xfId="35621" xr:uid="{00000000-0005-0000-0000-0000338B0000}"/>
    <cellStyle name="Tytuł 2 22 2" xfId="35622" xr:uid="{00000000-0005-0000-0000-0000348B0000}"/>
    <cellStyle name="Tytuł 2 22 3" xfId="35623" xr:uid="{00000000-0005-0000-0000-0000358B0000}"/>
    <cellStyle name="Tytuł 2 22 4" xfId="35624" xr:uid="{00000000-0005-0000-0000-0000368B0000}"/>
    <cellStyle name="Tytuł 2 22 5" xfId="35625" xr:uid="{00000000-0005-0000-0000-0000378B0000}"/>
    <cellStyle name="Tytuł 2 22 6" xfId="35626" xr:uid="{00000000-0005-0000-0000-0000388B0000}"/>
    <cellStyle name="Tytuł 2 22 7" xfId="35627" xr:uid="{00000000-0005-0000-0000-0000398B0000}"/>
    <cellStyle name="Tytuł 2 23" xfId="35628" xr:uid="{00000000-0005-0000-0000-00003A8B0000}"/>
    <cellStyle name="Tytuł 2 23 2" xfId="35629" xr:uid="{00000000-0005-0000-0000-00003B8B0000}"/>
    <cellStyle name="Tytuł 2 23 3" xfId="35630" xr:uid="{00000000-0005-0000-0000-00003C8B0000}"/>
    <cellStyle name="Tytuł 2 23 4" xfId="35631" xr:uid="{00000000-0005-0000-0000-00003D8B0000}"/>
    <cellStyle name="Tytuł 2 23 5" xfId="35632" xr:uid="{00000000-0005-0000-0000-00003E8B0000}"/>
    <cellStyle name="Tytuł 2 23 6" xfId="35633" xr:uid="{00000000-0005-0000-0000-00003F8B0000}"/>
    <cellStyle name="Tytuł 2 23 7" xfId="35634" xr:uid="{00000000-0005-0000-0000-0000408B0000}"/>
    <cellStyle name="Tytuł 2 24" xfId="35635" xr:uid="{00000000-0005-0000-0000-0000418B0000}"/>
    <cellStyle name="Tytuł 2 24 2" xfId="35636" xr:uid="{00000000-0005-0000-0000-0000428B0000}"/>
    <cellStyle name="Tytuł 2 24 3" xfId="35637" xr:uid="{00000000-0005-0000-0000-0000438B0000}"/>
    <cellStyle name="Tytuł 2 24 4" xfId="35638" xr:uid="{00000000-0005-0000-0000-0000448B0000}"/>
    <cellStyle name="Tytuł 2 24 5" xfId="35639" xr:uid="{00000000-0005-0000-0000-0000458B0000}"/>
    <cellStyle name="Tytuł 2 24 6" xfId="35640" xr:uid="{00000000-0005-0000-0000-0000468B0000}"/>
    <cellStyle name="Tytuł 2 24 7" xfId="35641" xr:uid="{00000000-0005-0000-0000-0000478B0000}"/>
    <cellStyle name="Tytuł 2 25" xfId="35642" xr:uid="{00000000-0005-0000-0000-0000488B0000}"/>
    <cellStyle name="Tytuł 2 25 2" xfId="35643" xr:uid="{00000000-0005-0000-0000-0000498B0000}"/>
    <cellStyle name="Tytuł 2 25 3" xfId="35644" xr:uid="{00000000-0005-0000-0000-00004A8B0000}"/>
    <cellStyle name="Tytuł 2 25 4" xfId="35645" xr:uid="{00000000-0005-0000-0000-00004B8B0000}"/>
    <cellStyle name="Tytuł 2 25 5" xfId="35646" xr:uid="{00000000-0005-0000-0000-00004C8B0000}"/>
    <cellStyle name="Tytuł 2 25 6" xfId="35647" xr:uid="{00000000-0005-0000-0000-00004D8B0000}"/>
    <cellStyle name="Tytuł 2 25 7" xfId="35648" xr:uid="{00000000-0005-0000-0000-00004E8B0000}"/>
    <cellStyle name="Tytuł 2 26" xfId="35649" xr:uid="{00000000-0005-0000-0000-00004F8B0000}"/>
    <cellStyle name="Tytuł 2 26 2" xfId="35650" xr:uid="{00000000-0005-0000-0000-0000508B0000}"/>
    <cellStyle name="Tytuł 2 26 3" xfId="35651" xr:uid="{00000000-0005-0000-0000-0000518B0000}"/>
    <cellStyle name="Tytuł 2 26 4" xfId="35652" xr:uid="{00000000-0005-0000-0000-0000528B0000}"/>
    <cellStyle name="Tytuł 2 26 5" xfId="35653" xr:uid="{00000000-0005-0000-0000-0000538B0000}"/>
    <cellStyle name="Tytuł 2 26 6" xfId="35654" xr:uid="{00000000-0005-0000-0000-0000548B0000}"/>
    <cellStyle name="Tytuł 2 26 7" xfId="35655" xr:uid="{00000000-0005-0000-0000-0000558B0000}"/>
    <cellStyle name="Tytuł 2 27" xfId="35656" xr:uid="{00000000-0005-0000-0000-0000568B0000}"/>
    <cellStyle name="Tytuł 2 27 2" xfId="35657" xr:uid="{00000000-0005-0000-0000-0000578B0000}"/>
    <cellStyle name="Tytuł 2 27 3" xfId="35658" xr:uid="{00000000-0005-0000-0000-0000588B0000}"/>
    <cellStyle name="Tytuł 2 27 4" xfId="35659" xr:uid="{00000000-0005-0000-0000-0000598B0000}"/>
    <cellStyle name="Tytuł 2 27 5" xfId="35660" xr:uid="{00000000-0005-0000-0000-00005A8B0000}"/>
    <cellStyle name="Tytuł 2 27 6" xfId="35661" xr:uid="{00000000-0005-0000-0000-00005B8B0000}"/>
    <cellStyle name="Tytuł 2 27 7" xfId="35662" xr:uid="{00000000-0005-0000-0000-00005C8B0000}"/>
    <cellStyle name="Tytuł 2 28" xfId="35663" xr:uid="{00000000-0005-0000-0000-00005D8B0000}"/>
    <cellStyle name="Tytuł 2 28 2" xfId="35664" xr:uid="{00000000-0005-0000-0000-00005E8B0000}"/>
    <cellStyle name="Tytuł 2 28 3" xfId="35665" xr:uid="{00000000-0005-0000-0000-00005F8B0000}"/>
    <cellStyle name="Tytuł 2 28 4" xfId="35666" xr:uid="{00000000-0005-0000-0000-0000608B0000}"/>
    <cellStyle name="Tytuł 2 28 5" xfId="35667" xr:uid="{00000000-0005-0000-0000-0000618B0000}"/>
    <cellStyle name="Tytuł 2 28 6" xfId="35668" xr:uid="{00000000-0005-0000-0000-0000628B0000}"/>
    <cellStyle name="Tytuł 2 28 7" xfId="35669" xr:uid="{00000000-0005-0000-0000-0000638B0000}"/>
    <cellStyle name="Tytuł 2 29" xfId="35670" xr:uid="{00000000-0005-0000-0000-0000648B0000}"/>
    <cellStyle name="Tytuł 2 3" xfId="35671" xr:uid="{00000000-0005-0000-0000-0000658B0000}"/>
    <cellStyle name="Tytuł 2 3 2" xfId="35672" xr:uid="{00000000-0005-0000-0000-0000668B0000}"/>
    <cellStyle name="Tytuł 2 3 3" xfId="35673" xr:uid="{00000000-0005-0000-0000-0000678B0000}"/>
    <cellStyle name="Tytuł 2 3 4" xfId="35674" xr:uid="{00000000-0005-0000-0000-0000688B0000}"/>
    <cellStyle name="Tytuł 2 3 5" xfId="35675" xr:uid="{00000000-0005-0000-0000-0000698B0000}"/>
    <cellStyle name="Tytuł 2 3 6" xfId="35676" xr:uid="{00000000-0005-0000-0000-00006A8B0000}"/>
    <cellStyle name="Tytuł 2 3 7" xfId="35677" xr:uid="{00000000-0005-0000-0000-00006B8B0000}"/>
    <cellStyle name="Tytuł 2 30" xfId="35678" xr:uid="{00000000-0005-0000-0000-00006C8B0000}"/>
    <cellStyle name="Tytuł 2 31" xfId="35679" xr:uid="{00000000-0005-0000-0000-00006D8B0000}"/>
    <cellStyle name="Tytuł 2 32" xfId="35680" xr:uid="{00000000-0005-0000-0000-00006E8B0000}"/>
    <cellStyle name="Tytuł 2 33" xfId="35681" xr:uid="{00000000-0005-0000-0000-00006F8B0000}"/>
    <cellStyle name="Tytuł 2 34" xfId="35682" xr:uid="{00000000-0005-0000-0000-0000708B0000}"/>
    <cellStyle name="Tytuł 2 35" xfId="35683" xr:uid="{00000000-0005-0000-0000-0000718B0000}"/>
    <cellStyle name="Tytuł 2 36" xfId="35684" xr:uid="{00000000-0005-0000-0000-0000728B0000}"/>
    <cellStyle name="Tytuł 2 37" xfId="35685" xr:uid="{00000000-0005-0000-0000-0000738B0000}"/>
    <cellStyle name="Tytuł 2 38" xfId="35686" xr:uid="{00000000-0005-0000-0000-0000748B0000}"/>
    <cellStyle name="Tytuł 2 39" xfId="35687" xr:uid="{00000000-0005-0000-0000-0000758B0000}"/>
    <cellStyle name="Tytuł 2 4" xfId="35688" xr:uid="{00000000-0005-0000-0000-0000768B0000}"/>
    <cellStyle name="Tytuł 2 4 2" xfId="35689" xr:uid="{00000000-0005-0000-0000-0000778B0000}"/>
    <cellStyle name="Tytuł 2 4 3" xfId="35690" xr:uid="{00000000-0005-0000-0000-0000788B0000}"/>
    <cellStyle name="Tytuł 2 4 4" xfId="35691" xr:uid="{00000000-0005-0000-0000-0000798B0000}"/>
    <cellStyle name="Tytuł 2 4 5" xfId="35692" xr:uid="{00000000-0005-0000-0000-00007A8B0000}"/>
    <cellStyle name="Tytuł 2 4 6" xfId="35693" xr:uid="{00000000-0005-0000-0000-00007B8B0000}"/>
    <cellStyle name="Tytuł 2 4 7" xfId="35694" xr:uid="{00000000-0005-0000-0000-00007C8B0000}"/>
    <cellStyle name="Tytuł 2 40" xfId="35695" xr:uid="{00000000-0005-0000-0000-00007D8B0000}"/>
    <cellStyle name="Tytuł 2 41" xfId="35696" xr:uid="{00000000-0005-0000-0000-00007E8B0000}"/>
    <cellStyle name="Tytuł 2 42" xfId="35697" xr:uid="{00000000-0005-0000-0000-00007F8B0000}"/>
    <cellStyle name="Tytuł 2 43" xfId="35698" xr:uid="{00000000-0005-0000-0000-0000808B0000}"/>
    <cellStyle name="Tytuł 2 44" xfId="35699" xr:uid="{00000000-0005-0000-0000-0000818B0000}"/>
    <cellStyle name="Tytuł 2 45" xfId="35700" xr:uid="{00000000-0005-0000-0000-0000828B0000}"/>
    <cellStyle name="Tytuł 2 46" xfId="35701" xr:uid="{00000000-0005-0000-0000-0000838B0000}"/>
    <cellStyle name="Tytuł 2 47" xfId="35702" xr:uid="{00000000-0005-0000-0000-0000848B0000}"/>
    <cellStyle name="Tytuł 2 48" xfId="35703" xr:uid="{00000000-0005-0000-0000-0000858B0000}"/>
    <cellStyle name="Tytuł 2 49" xfId="35704" xr:uid="{00000000-0005-0000-0000-0000868B0000}"/>
    <cellStyle name="Tytuł 2 5" xfId="35705" xr:uid="{00000000-0005-0000-0000-0000878B0000}"/>
    <cellStyle name="Tytuł 2 5 2" xfId="35706" xr:uid="{00000000-0005-0000-0000-0000888B0000}"/>
    <cellStyle name="Tytuł 2 5 3" xfId="35707" xr:uid="{00000000-0005-0000-0000-0000898B0000}"/>
    <cellStyle name="Tytuł 2 5 4" xfId="35708" xr:uid="{00000000-0005-0000-0000-00008A8B0000}"/>
    <cellStyle name="Tytuł 2 5 5" xfId="35709" xr:uid="{00000000-0005-0000-0000-00008B8B0000}"/>
    <cellStyle name="Tytuł 2 5 6" xfId="35710" xr:uid="{00000000-0005-0000-0000-00008C8B0000}"/>
    <cellStyle name="Tytuł 2 5 7" xfId="35711" xr:uid="{00000000-0005-0000-0000-00008D8B0000}"/>
    <cellStyle name="Tytuł 2 50" xfId="35712" xr:uid="{00000000-0005-0000-0000-00008E8B0000}"/>
    <cellStyle name="Tytuł 2 51" xfId="35713" xr:uid="{00000000-0005-0000-0000-00008F8B0000}"/>
    <cellStyle name="Tytuł 2 52" xfId="35714" xr:uid="{00000000-0005-0000-0000-0000908B0000}"/>
    <cellStyle name="Tytuł 2 6" xfId="35715" xr:uid="{00000000-0005-0000-0000-0000918B0000}"/>
    <cellStyle name="Tytuł 2 6 2" xfId="35716" xr:uid="{00000000-0005-0000-0000-0000928B0000}"/>
    <cellStyle name="Tytuł 2 6 3" xfId="35717" xr:uid="{00000000-0005-0000-0000-0000938B0000}"/>
    <cellStyle name="Tytuł 2 6 4" xfId="35718" xr:uid="{00000000-0005-0000-0000-0000948B0000}"/>
    <cellStyle name="Tytuł 2 6 5" xfId="35719" xr:uid="{00000000-0005-0000-0000-0000958B0000}"/>
    <cellStyle name="Tytuł 2 6 6" xfId="35720" xr:uid="{00000000-0005-0000-0000-0000968B0000}"/>
    <cellStyle name="Tytuł 2 6 7" xfId="35721" xr:uid="{00000000-0005-0000-0000-0000978B0000}"/>
    <cellStyle name="Tytuł 2 7" xfId="35722" xr:uid="{00000000-0005-0000-0000-0000988B0000}"/>
    <cellStyle name="Tytuł 2 7 2" xfId="35723" xr:uid="{00000000-0005-0000-0000-0000998B0000}"/>
    <cellStyle name="Tytuł 2 7 3" xfId="35724" xr:uid="{00000000-0005-0000-0000-00009A8B0000}"/>
    <cellStyle name="Tytuł 2 7 4" xfId="35725" xr:uid="{00000000-0005-0000-0000-00009B8B0000}"/>
    <cellStyle name="Tytuł 2 7 5" xfId="35726" xr:uid="{00000000-0005-0000-0000-00009C8B0000}"/>
    <cellStyle name="Tytuł 2 7 6" xfId="35727" xr:uid="{00000000-0005-0000-0000-00009D8B0000}"/>
    <cellStyle name="Tytuł 2 7 7" xfId="35728" xr:uid="{00000000-0005-0000-0000-00009E8B0000}"/>
    <cellStyle name="Tytuł 2 8" xfId="35729" xr:uid="{00000000-0005-0000-0000-00009F8B0000}"/>
    <cellStyle name="Tytuł 2 8 2" xfId="35730" xr:uid="{00000000-0005-0000-0000-0000A08B0000}"/>
    <cellStyle name="Tytuł 2 8 3" xfId="35731" xr:uid="{00000000-0005-0000-0000-0000A18B0000}"/>
    <cellStyle name="Tytuł 2 8 4" xfId="35732" xr:uid="{00000000-0005-0000-0000-0000A28B0000}"/>
    <cellStyle name="Tytuł 2 8 5" xfId="35733" xr:uid="{00000000-0005-0000-0000-0000A38B0000}"/>
    <cellStyle name="Tytuł 2 8 6" xfId="35734" xr:uid="{00000000-0005-0000-0000-0000A48B0000}"/>
    <cellStyle name="Tytuł 2 8 7" xfId="35735" xr:uid="{00000000-0005-0000-0000-0000A58B0000}"/>
    <cellStyle name="Tytuł 2 9" xfId="35736" xr:uid="{00000000-0005-0000-0000-0000A68B0000}"/>
    <cellStyle name="Tytuł 2 9 2" xfId="35737" xr:uid="{00000000-0005-0000-0000-0000A78B0000}"/>
    <cellStyle name="Tytuł 2 9 3" xfId="35738" xr:uid="{00000000-0005-0000-0000-0000A88B0000}"/>
    <cellStyle name="Tytuł 2 9 4" xfId="35739" xr:uid="{00000000-0005-0000-0000-0000A98B0000}"/>
    <cellStyle name="Tytuł 2 9 5" xfId="35740" xr:uid="{00000000-0005-0000-0000-0000AA8B0000}"/>
    <cellStyle name="Tytuł 2 9 6" xfId="35741" xr:uid="{00000000-0005-0000-0000-0000AB8B0000}"/>
    <cellStyle name="Tytuł 2 9 7" xfId="35742" xr:uid="{00000000-0005-0000-0000-0000AC8B0000}"/>
    <cellStyle name="Tytuł 3" xfId="35743" xr:uid="{00000000-0005-0000-0000-0000AD8B0000}"/>
    <cellStyle name="Tytuł 3 2" xfId="35744" xr:uid="{00000000-0005-0000-0000-0000AE8B0000}"/>
    <cellStyle name="Tytuł 3 2 2" xfId="35745" xr:uid="{00000000-0005-0000-0000-0000AF8B0000}"/>
    <cellStyle name="Tytuł 3 3" xfId="35746" xr:uid="{00000000-0005-0000-0000-0000B08B0000}"/>
    <cellStyle name="Tytuł 3 4" xfId="35747" xr:uid="{00000000-0005-0000-0000-0000B18B0000}"/>
    <cellStyle name="Tytuł 3 5" xfId="35748" xr:uid="{00000000-0005-0000-0000-0000B28B0000}"/>
    <cellStyle name="Tytuł 3 6" xfId="35749" xr:uid="{00000000-0005-0000-0000-0000B38B0000}"/>
    <cellStyle name="Tytuł 3 7" xfId="35750" xr:uid="{00000000-0005-0000-0000-0000B48B0000}"/>
    <cellStyle name="Tytuł 3 8" xfId="35751" xr:uid="{00000000-0005-0000-0000-0000B58B0000}"/>
    <cellStyle name="Tytuł 4" xfId="35752" xr:uid="{00000000-0005-0000-0000-0000B68B0000}"/>
    <cellStyle name="Tytuł 4 2" xfId="35753" xr:uid="{00000000-0005-0000-0000-0000B78B0000}"/>
    <cellStyle name="Tytuł 4 3" xfId="35754" xr:uid="{00000000-0005-0000-0000-0000B88B0000}"/>
    <cellStyle name="Tytuł 4 4" xfId="35755" xr:uid="{00000000-0005-0000-0000-0000B98B0000}"/>
    <cellStyle name="Tytuł 4 5" xfId="35756" xr:uid="{00000000-0005-0000-0000-0000BA8B0000}"/>
    <cellStyle name="Tytuł 4 6" xfId="35757" xr:uid="{00000000-0005-0000-0000-0000BB8B0000}"/>
    <cellStyle name="Tytuł 4 7" xfId="35758" xr:uid="{00000000-0005-0000-0000-0000BC8B0000}"/>
    <cellStyle name="Tytuł 4 8" xfId="35759" xr:uid="{00000000-0005-0000-0000-0000BD8B0000}"/>
    <cellStyle name="Tytuł 5" xfId="35760" xr:uid="{00000000-0005-0000-0000-0000BE8B0000}"/>
    <cellStyle name="Tytuł 6" xfId="35761" xr:uid="{00000000-0005-0000-0000-0000BF8B0000}"/>
    <cellStyle name="Tytuł 7" xfId="35762" xr:uid="{00000000-0005-0000-0000-0000C08B0000}"/>
    <cellStyle name="Tytuł 8" xfId="35763" xr:uid="{00000000-0005-0000-0000-0000C18B0000}"/>
    <cellStyle name="über" xfId="35764" xr:uid="{00000000-0005-0000-0000-0000C28B0000}"/>
    <cellStyle name="Unit" xfId="35765" xr:uid="{00000000-0005-0000-0000-0000C38B0000}"/>
    <cellStyle name="Uwaga 10" xfId="35766" xr:uid="{00000000-0005-0000-0000-0000C48B0000}"/>
    <cellStyle name="Uwaga 100" xfId="35767" xr:uid="{00000000-0005-0000-0000-0000C58B0000}"/>
    <cellStyle name="Uwaga 100 2" xfId="35768" xr:uid="{00000000-0005-0000-0000-0000C68B0000}"/>
    <cellStyle name="Uwaga 101" xfId="35769" xr:uid="{00000000-0005-0000-0000-0000C78B0000}"/>
    <cellStyle name="Uwaga 101 2" xfId="35770" xr:uid="{00000000-0005-0000-0000-0000C88B0000}"/>
    <cellStyle name="Uwaga 102" xfId="35771" xr:uid="{00000000-0005-0000-0000-0000C98B0000}"/>
    <cellStyle name="Uwaga 102 2" xfId="35772" xr:uid="{00000000-0005-0000-0000-0000CA8B0000}"/>
    <cellStyle name="Uwaga 103" xfId="35773" xr:uid="{00000000-0005-0000-0000-0000CB8B0000}"/>
    <cellStyle name="Uwaga 103 2" xfId="35774" xr:uid="{00000000-0005-0000-0000-0000CC8B0000}"/>
    <cellStyle name="Uwaga 104" xfId="35775" xr:uid="{00000000-0005-0000-0000-0000CD8B0000}"/>
    <cellStyle name="Uwaga 104 2" xfId="35776" xr:uid="{00000000-0005-0000-0000-0000CE8B0000}"/>
    <cellStyle name="Uwaga 105" xfId="35777" xr:uid="{00000000-0005-0000-0000-0000CF8B0000}"/>
    <cellStyle name="Uwaga 105 2" xfId="35778" xr:uid="{00000000-0005-0000-0000-0000D08B0000}"/>
    <cellStyle name="Uwaga 106" xfId="35779" xr:uid="{00000000-0005-0000-0000-0000D18B0000}"/>
    <cellStyle name="Uwaga 106 2" xfId="35780" xr:uid="{00000000-0005-0000-0000-0000D28B0000}"/>
    <cellStyle name="Uwaga 107" xfId="35781" xr:uid="{00000000-0005-0000-0000-0000D38B0000}"/>
    <cellStyle name="Uwaga 107 2" xfId="35782" xr:uid="{00000000-0005-0000-0000-0000D48B0000}"/>
    <cellStyle name="Uwaga 108" xfId="35783" xr:uid="{00000000-0005-0000-0000-0000D58B0000}"/>
    <cellStyle name="Uwaga 108 2" xfId="35784" xr:uid="{00000000-0005-0000-0000-0000D68B0000}"/>
    <cellStyle name="Uwaga 109" xfId="35785" xr:uid="{00000000-0005-0000-0000-0000D78B0000}"/>
    <cellStyle name="Uwaga 109 2" xfId="35786" xr:uid="{00000000-0005-0000-0000-0000D88B0000}"/>
    <cellStyle name="Uwaga 11" xfId="35787" xr:uid="{00000000-0005-0000-0000-0000D98B0000}"/>
    <cellStyle name="Uwaga 110" xfId="35788" xr:uid="{00000000-0005-0000-0000-0000DA8B0000}"/>
    <cellStyle name="Uwaga 110 2" xfId="35789" xr:uid="{00000000-0005-0000-0000-0000DB8B0000}"/>
    <cellStyle name="Uwaga 111" xfId="35790" xr:uid="{00000000-0005-0000-0000-0000DC8B0000}"/>
    <cellStyle name="Uwaga 111 2" xfId="35791" xr:uid="{00000000-0005-0000-0000-0000DD8B0000}"/>
    <cellStyle name="Uwaga 112" xfId="35792" xr:uid="{00000000-0005-0000-0000-0000DE8B0000}"/>
    <cellStyle name="Uwaga 112 2" xfId="35793" xr:uid="{00000000-0005-0000-0000-0000DF8B0000}"/>
    <cellStyle name="Uwaga 113" xfId="35794" xr:uid="{00000000-0005-0000-0000-0000E08B0000}"/>
    <cellStyle name="Uwaga 113 2" xfId="35795" xr:uid="{00000000-0005-0000-0000-0000E18B0000}"/>
    <cellStyle name="Uwaga 114" xfId="35796" xr:uid="{00000000-0005-0000-0000-0000E28B0000}"/>
    <cellStyle name="Uwaga 114 2" xfId="35797" xr:uid="{00000000-0005-0000-0000-0000E38B0000}"/>
    <cellStyle name="Uwaga 115" xfId="35798" xr:uid="{00000000-0005-0000-0000-0000E48B0000}"/>
    <cellStyle name="Uwaga 115 2" xfId="35799" xr:uid="{00000000-0005-0000-0000-0000E58B0000}"/>
    <cellStyle name="Uwaga 116" xfId="35800" xr:uid="{00000000-0005-0000-0000-0000E68B0000}"/>
    <cellStyle name="Uwaga 116 2" xfId="35801" xr:uid="{00000000-0005-0000-0000-0000E78B0000}"/>
    <cellStyle name="Uwaga 117" xfId="35802" xr:uid="{00000000-0005-0000-0000-0000E88B0000}"/>
    <cellStyle name="Uwaga 117 2" xfId="35803" xr:uid="{00000000-0005-0000-0000-0000E98B0000}"/>
    <cellStyle name="Uwaga 118" xfId="35804" xr:uid="{00000000-0005-0000-0000-0000EA8B0000}"/>
    <cellStyle name="Uwaga 118 2" xfId="35805" xr:uid="{00000000-0005-0000-0000-0000EB8B0000}"/>
    <cellStyle name="Uwaga 119" xfId="35806" xr:uid="{00000000-0005-0000-0000-0000EC8B0000}"/>
    <cellStyle name="Uwaga 119 2" xfId="35807" xr:uid="{00000000-0005-0000-0000-0000ED8B0000}"/>
    <cellStyle name="Uwaga 12" xfId="35808" xr:uid="{00000000-0005-0000-0000-0000EE8B0000}"/>
    <cellStyle name="Uwaga 120" xfId="35809" xr:uid="{00000000-0005-0000-0000-0000EF8B0000}"/>
    <cellStyle name="Uwaga 120 2" xfId="35810" xr:uid="{00000000-0005-0000-0000-0000F08B0000}"/>
    <cellStyle name="Uwaga 121" xfId="35811" xr:uid="{00000000-0005-0000-0000-0000F18B0000}"/>
    <cellStyle name="Uwaga 121 2" xfId="35812" xr:uid="{00000000-0005-0000-0000-0000F28B0000}"/>
    <cellStyle name="Uwaga 122" xfId="35813" xr:uid="{00000000-0005-0000-0000-0000F38B0000}"/>
    <cellStyle name="Uwaga 122 2" xfId="35814" xr:uid="{00000000-0005-0000-0000-0000F48B0000}"/>
    <cellStyle name="Uwaga 123" xfId="35815" xr:uid="{00000000-0005-0000-0000-0000F58B0000}"/>
    <cellStyle name="Uwaga 123 2" xfId="35816" xr:uid="{00000000-0005-0000-0000-0000F68B0000}"/>
    <cellStyle name="Uwaga 124" xfId="35817" xr:uid="{00000000-0005-0000-0000-0000F78B0000}"/>
    <cellStyle name="Uwaga 124 2" xfId="35818" xr:uid="{00000000-0005-0000-0000-0000F88B0000}"/>
    <cellStyle name="Uwaga 125" xfId="35819" xr:uid="{00000000-0005-0000-0000-0000F98B0000}"/>
    <cellStyle name="Uwaga 13" xfId="35820" xr:uid="{00000000-0005-0000-0000-0000FA8B0000}"/>
    <cellStyle name="Uwaga 14" xfId="35821" xr:uid="{00000000-0005-0000-0000-0000FB8B0000}"/>
    <cellStyle name="Uwaga 15" xfId="35822" xr:uid="{00000000-0005-0000-0000-0000FC8B0000}"/>
    <cellStyle name="Uwaga 16" xfId="35823" xr:uid="{00000000-0005-0000-0000-0000FD8B0000}"/>
    <cellStyle name="Uwaga 17" xfId="35824" xr:uid="{00000000-0005-0000-0000-0000FE8B0000}"/>
    <cellStyle name="Uwaga 18" xfId="35825" xr:uid="{00000000-0005-0000-0000-0000FF8B0000}"/>
    <cellStyle name="Uwaga 19" xfId="35826" xr:uid="{00000000-0005-0000-0000-0000008C0000}"/>
    <cellStyle name="Uwaga 2" xfId="35827" xr:uid="{00000000-0005-0000-0000-0000018C0000}"/>
    <cellStyle name="Uwaga 2 10" xfId="35828" xr:uid="{00000000-0005-0000-0000-0000028C0000}"/>
    <cellStyle name="Uwaga 2 10 10" xfId="35829" xr:uid="{00000000-0005-0000-0000-0000038C0000}"/>
    <cellStyle name="Uwaga 2 10 10 2" xfId="35830" xr:uid="{00000000-0005-0000-0000-0000048C0000}"/>
    <cellStyle name="Uwaga 2 10 10 3" xfId="35831" xr:uid="{00000000-0005-0000-0000-0000058C0000}"/>
    <cellStyle name="Uwaga 2 10 10 4" xfId="35832" xr:uid="{00000000-0005-0000-0000-0000068C0000}"/>
    <cellStyle name="Uwaga 2 10 11" xfId="35833" xr:uid="{00000000-0005-0000-0000-0000078C0000}"/>
    <cellStyle name="Uwaga 2 10 11 2" xfId="35834" xr:uid="{00000000-0005-0000-0000-0000088C0000}"/>
    <cellStyle name="Uwaga 2 10 11 3" xfId="35835" xr:uid="{00000000-0005-0000-0000-0000098C0000}"/>
    <cellStyle name="Uwaga 2 10 11 4" xfId="35836" xr:uid="{00000000-0005-0000-0000-00000A8C0000}"/>
    <cellStyle name="Uwaga 2 10 12" xfId="35837" xr:uid="{00000000-0005-0000-0000-00000B8C0000}"/>
    <cellStyle name="Uwaga 2 10 12 2" xfId="35838" xr:uid="{00000000-0005-0000-0000-00000C8C0000}"/>
    <cellStyle name="Uwaga 2 10 12 3" xfId="35839" xr:uid="{00000000-0005-0000-0000-00000D8C0000}"/>
    <cellStyle name="Uwaga 2 10 12 4" xfId="35840" xr:uid="{00000000-0005-0000-0000-00000E8C0000}"/>
    <cellStyle name="Uwaga 2 10 13" xfId="35841" xr:uid="{00000000-0005-0000-0000-00000F8C0000}"/>
    <cellStyle name="Uwaga 2 10 13 2" xfId="35842" xr:uid="{00000000-0005-0000-0000-0000108C0000}"/>
    <cellStyle name="Uwaga 2 10 13 3" xfId="35843" xr:uid="{00000000-0005-0000-0000-0000118C0000}"/>
    <cellStyle name="Uwaga 2 10 13 4" xfId="35844" xr:uid="{00000000-0005-0000-0000-0000128C0000}"/>
    <cellStyle name="Uwaga 2 10 14" xfId="35845" xr:uid="{00000000-0005-0000-0000-0000138C0000}"/>
    <cellStyle name="Uwaga 2 10 14 2" xfId="35846" xr:uid="{00000000-0005-0000-0000-0000148C0000}"/>
    <cellStyle name="Uwaga 2 10 14 3" xfId="35847" xr:uid="{00000000-0005-0000-0000-0000158C0000}"/>
    <cellStyle name="Uwaga 2 10 14 4" xfId="35848" xr:uid="{00000000-0005-0000-0000-0000168C0000}"/>
    <cellStyle name="Uwaga 2 10 15" xfId="35849" xr:uid="{00000000-0005-0000-0000-0000178C0000}"/>
    <cellStyle name="Uwaga 2 10 15 2" xfId="35850" xr:uid="{00000000-0005-0000-0000-0000188C0000}"/>
    <cellStyle name="Uwaga 2 10 15 3" xfId="35851" xr:uid="{00000000-0005-0000-0000-0000198C0000}"/>
    <cellStyle name="Uwaga 2 10 15 4" xfId="35852" xr:uid="{00000000-0005-0000-0000-00001A8C0000}"/>
    <cellStyle name="Uwaga 2 10 16" xfId="35853" xr:uid="{00000000-0005-0000-0000-00001B8C0000}"/>
    <cellStyle name="Uwaga 2 10 16 2" xfId="35854" xr:uid="{00000000-0005-0000-0000-00001C8C0000}"/>
    <cellStyle name="Uwaga 2 10 16 3" xfId="35855" xr:uid="{00000000-0005-0000-0000-00001D8C0000}"/>
    <cellStyle name="Uwaga 2 10 16 4" xfId="35856" xr:uid="{00000000-0005-0000-0000-00001E8C0000}"/>
    <cellStyle name="Uwaga 2 10 17" xfId="35857" xr:uid="{00000000-0005-0000-0000-00001F8C0000}"/>
    <cellStyle name="Uwaga 2 10 17 2" xfId="35858" xr:uid="{00000000-0005-0000-0000-0000208C0000}"/>
    <cellStyle name="Uwaga 2 10 17 3" xfId="35859" xr:uid="{00000000-0005-0000-0000-0000218C0000}"/>
    <cellStyle name="Uwaga 2 10 17 4" xfId="35860" xr:uid="{00000000-0005-0000-0000-0000228C0000}"/>
    <cellStyle name="Uwaga 2 10 18" xfId="35861" xr:uid="{00000000-0005-0000-0000-0000238C0000}"/>
    <cellStyle name="Uwaga 2 10 18 2" xfId="35862" xr:uid="{00000000-0005-0000-0000-0000248C0000}"/>
    <cellStyle name="Uwaga 2 10 18 3" xfId="35863" xr:uid="{00000000-0005-0000-0000-0000258C0000}"/>
    <cellStyle name="Uwaga 2 10 18 4" xfId="35864" xr:uid="{00000000-0005-0000-0000-0000268C0000}"/>
    <cellStyle name="Uwaga 2 10 19" xfId="35865" xr:uid="{00000000-0005-0000-0000-0000278C0000}"/>
    <cellStyle name="Uwaga 2 10 19 2" xfId="35866" xr:uid="{00000000-0005-0000-0000-0000288C0000}"/>
    <cellStyle name="Uwaga 2 10 19 3" xfId="35867" xr:uid="{00000000-0005-0000-0000-0000298C0000}"/>
    <cellStyle name="Uwaga 2 10 19 4" xfId="35868" xr:uid="{00000000-0005-0000-0000-00002A8C0000}"/>
    <cellStyle name="Uwaga 2 10 2" xfId="35869" xr:uid="{00000000-0005-0000-0000-00002B8C0000}"/>
    <cellStyle name="Uwaga 2 10 2 2" xfId="35870" xr:uid="{00000000-0005-0000-0000-00002C8C0000}"/>
    <cellStyle name="Uwaga 2 10 2 3" xfId="35871" xr:uid="{00000000-0005-0000-0000-00002D8C0000}"/>
    <cellStyle name="Uwaga 2 10 2 4" xfId="35872" xr:uid="{00000000-0005-0000-0000-00002E8C0000}"/>
    <cellStyle name="Uwaga 2 10 20" xfId="35873" xr:uid="{00000000-0005-0000-0000-00002F8C0000}"/>
    <cellStyle name="Uwaga 2 10 20 2" xfId="35874" xr:uid="{00000000-0005-0000-0000-0000308C0000}"/>
    <cellStyle name="Uwaga 2 10 20 3" xfId="35875" xr:uid="{00000000-0005-0000-0000-0000318C0000}"/>
    <cellStyle name="Uwaga 2 10 20 4" xfId="35876" xr:uid="{00000000-0005-0000-0000-0000328C0000}"/>
    <cellStyle name="Uwaga 2 10 21" xfId="35877" xr:uid="{00000000-0005-0000-0000-0000338C0000}"/>
    <cellStyle name="Uwaga 2 10 21 2" xfId="35878" xr:uid="{00000000-0005-0000-0000-0000348C0000}"/>
    <cellStyle name="Uwaga 2 10 21 3" xfId="35879" xr:uid="{00000000-0005-0000-0000-0000358C0000}"/>
    <cellStyle name="Uwaga 2 10 22" xfId="35880" xr:uid="{00000000-0005-0000-0000-0000368C0000}"/>
    <cellStyle name="Uwaga 2 10 22 2" xfId="35881" xr:uid="{00000000-0005-0000-0000-0000378C0000}"/>
    <cellStyle name="Uwaga 2 10 22 3" xfId="35882" xr:uid="{00000000-0005-0000-0000-0000388C0000}"/>
    <cellStyle name="Uwaga 2 10 23" xfId="35883" xr:uid="{00000000-0005-0000-0000-0000398C0000}"/>
    <cellStyle name="Uwaga 2 10 23 2" xfId="35884" xr:uid="{00000000-0005-0000-0000-00003A8C0000}"/>
    <cellStyle name="Uwaga 2 10 23 3" xfId="35885" xr:uid="{00000000-0005-0000-0000-00003B8C0000}"/>
    <cellStyle name="Uwaga 2 10 24" xfId="35886" xr:uid="{00000000-0005-0000-0000-00003C8C0000}"/>
    <cellStyle name="Uwaga 2 10 24 2" xfId="35887" xr:uid="{00000000-0005-0000-0000-00003D8C0000}"/>
    <cellStyle name="Uwaga 2 10 24 3" xfId="35888" xr:uid="{00000000-0005-0000-0000-00003E8C0000}"/>
    <cellStyle name="Uwaga 2 10 25" xfId="35889" xr:uid="{00000000-0005-0000-0000-00003F8C0000}"/>
    <cellStyle name="Uwaga 2 10 25 2" xfId="35890" xr:uid="{00000000-0005-0000-0000-0000408C0000}"/>
    <cellStyle name="Uwaga 2 10 25 3" xfId="35891" xr:uid="{00000000-0005-0000-0000-0000418C0000}"/>
    <cellStyle name="Uwaga 2 10 26" xfId="35892" xr:uid="{00000000-0005-0000-0000-0000428C0000}"/>
    <cellStyle name="Uwaga 2 10 26 2" xfId="35893" xr:uid="{00000000-0005-0000-0000-0000438C0000}"/>
    <cellStyle name="Uwaga 2 10 26 3" xfId="35894" xr:uid="{00000000-0005-0000-0000-0000448C0000}"/>
    <cellStyle name="Uwaga 2 10 27" xfId="35895" xr:uid="{00000000-0005-0000-0000-0000458C0000}"/>
    <cellStyle name="Uwaga 2 10 27 2" xfId="35896" xr:uid="{00000000-0005-0000-0000-0000468C0000}"/>
    <cellStyle name="Uwaga 2 10 27 3" xfId="35897" xr:uid="{00000000-0005-0000-0000-0000478C0000}"/>
    <cellStyle name="Uwaga 2 10 28" xfId="35898" xr:uid="{00000000-0005-0000-0000-0000488C0000}"/>
    <cellStyle name="Uwaga 2 10 28 2" xfId="35899" xr:uid="{00000000-0005-0000-0000-0000498C0000}"/>
    <cellStyle name="Uwaga 2 10 28 3" xfId="35900" xr:uid="{00000000-0005-0000-0000-00004A8C0000}"/>
    <cellStyle name="Uwaga 2 10 29" xfId="35901" xr:uid="{00000000-0005-0000-0000-00004B8C0000}"/>
    <cellStyle name="Uwaga 2 10 29 2" xfId="35902" xr:uid="{00000000-0005-0000-0000-00004C8C0000}"/>
    <cellStyle name="Uwaga 2 10 29 3" xfId="35903" xr:uid="{00000000-0005-0000-0000-00004D8C0000}"/>
    <cellStyle name="Uwaga 2 10 3" xfId="35904" xr:uid="{00000000-0005-0000-0000-00004E8C0000}"/>
    <cellStyle name="Uwaga 2 10 3 2" xfId="35905" xr:uid="{00000000-0005-0000-0000-00004F8C0000}"/>
    <cellStyle name="Uwaga 2 10 3 3" xfId="35906" xr:uid="{00000000-0005-0000-0000-0000508C0000}"/>
    <cellStyle name="Uwaga 2 10 3 4" xfId="35907" xr:uid="{00000000-0005-0000-0000-0000518C0000}"/>
    <cellStyle name="Uwaga 2 10 30" xfId="35908" xr:uid="{00000000-0005-0000-0000-0000528C0000}"/>
    <cellStyle name="Uwaga 2 10 30 2" xfId="35909" xr:uid="{00000000-0005-0000-0000-0000538C0000}"/>
    <cellStyle name="Uwaga 2 10 30 3" xfId="35910" xr:uid="{00000000-0005-0000-0000-0000548C0000}"/>
    <cellStyle name="Uwaga 2 10 31" xfId="35911" xr:uid="{00000000-0005-0000-0000-0000558C0000}"/>
    <cellStyle name="Uwaga 2 10 31 2" xfId="35912" xr:uid="{00000000-0005-0000-0000-0000568C0000}"/>
    <cellStyle name="Uwaga 2 10 31 3" xfId="35913" xr:uid="{00000000-0005-0000-0000-0000578C0000}"/>
    <cellStyle name="Uwaga 2 10 32" xfId="35914" xr:uid="{00000000-0005-0000-0000-0000588C0000}"/>
    <cellStyle name="Uwaga 2 10 32 2" xfId="35915" xr:uid="{00000000-0005-0000-0000-0000598C0000}"/>
    <cellStyle name="Uwaga 2 10 32 3" xfId="35916" xr:uid="{00000000-0005-0000-0000-00005A8C0000}"/>
    <cellStyle name="Uwaga 2 10 33" xfId="35917" xr:uid="{00000000-0005-0000-0000-00005B8C0000}"/>
    <cellStyle name="Uwaga 2 10 33 2" xfId="35918" xr:uid="{00000000-0005-0000-0000-00005C8C0000}"/>
    <cellStyle name="Uwaga 2 10 33 3" xfId="35919" xr:uid="{00000000-0005-0000-0000-00005D8C0000}"/>
    <cellStyle name="Uwaga 2 10 34" xfId="35920" xr:uid="{00000000-0005-0000-0000-00005E8C0000}"/>
    <cellStyle name="Uwaga 2 10 34 2" xfId="35921" xr:uid="{00000000-0005-0000-0000-00005F8C0000}"/>
    <cellStyle name="Uwaga 2 10 34 3" xfId="35922" xr:uid="{00000000-0005-0000-0000-0000608C0000}"/>
    <cellStyle name="Uwaga 2 10 35" xfId="35923" xr:uid="{00000000-0005-0000-0000-0000618C0000}"/>
    <cellStyle name="Uwaga 2 10 35 2" xfId="35924" xr:uid="{00000000-0005-0000-0000-0000628C0000}"/>
    <cellStyle name="Uwaga 2 10 35 3" xfId="35925" xr:uid="{00000000-0005-0000-0000-0000638C0000}"/>
    <cellStyle name="Uwaga 2 10 36" xfId="35926" xr:uid="{00000000-0005-0000-0000-0000648C0000}"/>
    <cellStyle name="Uwaga 2 10 36 2" xfId="35927" xr:uid="{00000000-0005-0000-0000-0000658C0000}"/>
    <cellStyle name="Uwaga 2 10 36 3" xfId="35928" xr:uid="{00000000-0005-0000-0000-0000668C0000}"/>
    <cellStyle name="Uwaga 2 10 37" xfId="35929" xr:uid="{00000000-0005-0000-0000-0000678C0000}"/>
    <cellStyle name="Uwaga 2 10 37 2" xfId="35930" xr:uid="{00000000-0005-0000-0000-0000688C0000}"/>
    <cellStyle name="Uwaga 2 10 37 3" xfId="35931" xr:uid="{00000000-0005-0000-0000-0000698C0000}"/>
    <cellStyle name="Uwaga 2 10 38" xfId="35932" xr:uid="{00000000-0005-0000-0000-00006A8C0000}"/>
    <cellStyle name="Uwaga 2 10 38 2" xfId="35933" xr:uid="{00000000-0005-0000-0000-00006B8C0000}"/>
    <cellStyle name="Uwaga 2 10 38 3" xfId="35934" xr:uid="{00000000-0005-0000-0000-00006C8C0000}"/>
    <cellStyle name="Uwaga 2 10 39" xfId="35935" xr:uid="{00000000-0005-0000-0000-00006D8C0000}"/>
    <cellStyle name="Uwaga 2 10 39 2" xfId="35936" xr:uid="{00000000-0005-0000-0000-00006E8C0000}"/>
    <cellStyle name="Uwaga 2 10 39 3" xfId="35937" xr:uid="{00000000-0005-0000-0000-00006F8C0000}"/>
    <cellStyle name="Uwaga 2 10 4" xfId="35938" xr:uid="{00000000-0005-0000-0000-0000708C0000}"/>
    <cellStyle name="Uwaga 2 10 4 2" xfId="35939" xr:uid="{00000000-0005-0000-0000-0000718C0000}"/>
    <cellStyle name="Uwaga 2 10 4 3" xfId="35940" xr:uid="{00000000-0005-0000-0000-0000728C0000}"/>
    <cellStyle name="Uwaga 2 10 4 4" xfId="35941" xr:uid="{00000000-0005-0000-0000-0000738C0000}"/>
    <cellStyle name="Uwaga 2 10 40" xfId="35942" xr:uid="{00000000-0005-0000-0000-0000748C0000}"/>
    <cellStyle name="Uwaga 2 10 40 2" xfId="35943" xr:uid="{00000000-0005-0000-0000-0000758C0000}"/>
    <cellStyle name="Uwaga 2 10 40 3" xfId="35944" xr:uid="{00000000-0005-0000-0000-0000768C0000}"/>
    <cellStyle name="Uwaga 2 10 41" xfId="35945" xr:uid="{00000000-0005-0000-0000-0000778C0000}"/>
    <cellStyle name="Uwaga 2 10 41 2" xfId="35946" xr:uid="{00000000-0005-0000-0000-0000788C0000}"/>
    <cellStyle name="Uwaga 2 10 41 3" xfId="35947" xr:uid="{00000000-0005-0000-0000-0000798C0000}"/>
    <cellStyle name="Uwaga 2 10 42" xfId="35948" xr:uid="{00000000-0005-0000-0000-00007A8C0000}"/>
    <cellStyle name="Uwaga 2 10 42 2" xfId="35949" xr:uid="{00000000-0005-0000-0000-00007B8C0000}"/>
    <cellStyle name="Uwaga 2 10 42 3" xfId="35950" xr:uid="{00000000-0005-0000-0000-00007C8C0000}"/>
    <cellStyle name="Uwaga 2 10 43" xfId="35951" xr:uid="{00000000-0005-0000-0000-00007D8C0000}"/>
    <cellStyle name="Uwaga 2 10 43 2" xfId="35952" xr:uid="{00000000-0005-0000-0000-00007E8C0000}"/>
    <cellStyle name="Uwaga 2 10 43 3" xfId="35953" xr:uid="{00000000-0005-0000-0000-00007F8C0000}"/>
    <cellStyle name="Uwaga 2 10 44" xfId="35954" xr:uid="{00000000-0005-0000-0000-0000808C0000}"/>
    <cellStyle name="Uwaga 2 10 44 2" xfId="35955" xr:uid="{00000000-0005-0000-0000-0000818C0000}"/>
    <cellStyle name="Uwaga 2 10 44 3" xfId="35956" xr:uid="{00000000-0005-0000-0000-0000828C0000}"/>
    <cellStyle name="Uwaga 2 10 45" xfId="35957" xr:uid="{00000000-0005-0000-0000-0000838C0000}"/>
    <cellStyle name="Uwaga 2 10 45 2" xfId="35958" xr:uid="{00000000-0005-0000-0000-0000848C0000}"/>
    <cellStyle name="Uwaga 2 10 45 3" xfId="35959" xr:uid="{00000000-0005-0000-0000-0000858C0000}"/>
    <cellStyle name="Uwaga 2 10 46" xfId="35960" xr:uid="{00000000-0005-0000-0000-0000868C0000}"/>
    <cellStyle name="Uwaga 2 10 46 2" xfId="35961" xr:uid="{00000000-0005-0000-0000-0000878C0000}"/>
    <cellStyle name="Uwaga 2 10 46 3" xfId="35962" xr:uid="{00000000-0005-0000-0000-0000888C0000}"/>
    <cellStyle name="Uwaga 2 10 47" xfId="35963" xr:uid="{00000000-0005-0000-0000-0000898C0000}"/>
    <cellStyle name="Uwaga 2 10 47 2" xfId="35964" xr:uid="{00000000-0005-0000-0000-00008A8C0000}"/>
    <cellStyle name="Uwaga 2 10 47 3" xfId="35965" xr:uid="{00000000-0005-0000-0000-00008B8C0000}"/>
    <cellStyle name="Uwaga 2 10 48" xfId="35966" xr:uid="{00000000-0005-0000-0000-00008C8C0000}"/>
    <cellStyle name="Uwaga 2 10 48 2" xfId="35967" xr:uid="{00000000-0005-0000-0000-00008D8C0000}"/>
    <cellStyle name="Uwaga 2 10 48 3" xfId="35968" xr:uid="{00000000-0005-0000-0000-00008E8C0000}"/>
    <cellStyle name="Uwaga 2 10 49" xfId="35969" xr:uid="{00000000-0005-0000-0000-00008F8C0000}"/>
    <cellStyle name="Uwaga 2 10 49 2" xfId="35970" xr:uid="{00000000-0005-0000-0000-0000908C0000}"/>
    <cellStyle name="Uwaga 2 10 49 3" xfId="35971" xr:uid="{00000000-0005-0000-0000-0000918C0000}"/>
    <cellStyle name="Uwaga 2 10 5" xfId="35972" xr:uid="{00000000-0005-0000-0000-0000928C0000}"/>
    <cellStyle name="Uwaga 2 10 5 2" xfId="35973" xr:uid="{00000000-0005-0000-0000-0000938C0000}"/>
    <cellStyle name="Uwaga 2 10 5 3" xfId="35974" xr:uid="{00000000-0005-0000-0000-0000948C0000}"/>
    <cellStyle name="Uwaga 2 10 5 4" xfId="35975" xr:uid="{00000000-0005-0000-0000-0000958C0000}"/>
    <cellStyle name="Uwaga 2 10 50" xfId="35976" xr:uid="{00000000-0005-0000-0000-0000968C0000}"/>
    <cellStyle name="Uwaga 2 10 50 2" xfId="35977" xr:uid="{00000000-0005-0000-0000-0000978C0000}"/>
    <cellStyle name="Uwaga 2 10 50 3" xfId="35978" xr:uid="{00000000-0005-0000-0000-0000988C0000}"/>
    <cellStyle name="Uwaga 2 10 51" xfId="35979" xr:uid="{00000000-0005-0000-0000-0000998C0000}"/>
    <cellStyle name="Uwaga 2 10 51 2" xfId="35980" xr:uid="{00000000-0005-0000-0000-00009A8C0000}"/>
    <cellStyle name="Uwaga 2 10 51 3" xfId="35981" xr:uid="{00000000-0005-0000-0000-00009B8C0000}"/>
    <cellStyle name="Uwaga 2 10 52" xfId="35982" xr:uid="{00000000-0005-0000-0000-00009C8C0000}"/>
    <cellStyle name="Uwaga 2 10 52 2" xfId="35983" xr:uid="{00000000-0005-0000-0000-00009D8C0000}"/>
    <cellStyle name="Uwaga 2 10 52 3" xfId="35984" xr:uid="{00000000-0005-0000-0000-00009E8C0000}"/>
    <cellStyle name="Uwaga 2 10 53" xfId="35985" xr:uid="{00000000-0005-0000-0000-00009F8C0000}"/>
    <cellStyle name="Uwaga 2 10 53 2" xfId="35986" xr:uid="{00000000-0005-0000-0000-0000A08C0000}"/>
    <cellStyle name="Uwaga 2 10 53 3" xfId="35987" xr:uid="{00000000-0005-0000-0000-0000A18C0000}"/>
    <cellStyle name="Uwaga 2 10 54" xfId="35988" xr:uid="{00000000-0005-0000-0000-0000A28C0000}"/>
    <cellStyle name="Uwaga 2 10 54 2" xfId="35989" xr:uid="{00000000-0005-0000-0000-0000A38C0000}"/>
    <cellStyle name="Uwaga 2 10 54 3" xfId="35990" xr:uid="{00000000-0005-0000-0000-0000A48C0000}"/>
    <cellStyle name="Uwaga 2 10 55" xfId="35991" xr:uid="{00000000-0005-0000-0000-0000A58C0000}"/>
    <cellStyle name="Uwaga 2 10 55 2" xfId="35992" xr:uid="{00000000-0005-0000-0000-0000A68C0000}"/>
    <cellStyle name="Uwaga 2 10 55 3" xfId="35993" xr:uid="{00000000-0005-0000-0000-0000A78C0000}"/>
    <cellStyle name="Uwaga 2 10 56" xfId="35994" xr:uid="{00000000-0005-0000-0000-0000A88C0000}"/>
    <cellStyle name="Uwaga 2 10 56 2" xfId="35995" xr:uid="{00000000-0005-0000-0000-0000A98C0000}"/>
    <cellStyle name="Uwaga 2 10 56 3" xfId="35996" xr:uid="{00000000-0005-0000-0000-0000AA8C0000}"/>
    <cellStyle name="Uwaga 2 10 57" xfId="35997" xr:uid="{00000000-0005-0000-0000-0000AB8C0000}"/>
    <cellStyle name="Uwaga 2 10 58" xfId="35998" xr:uid="{00000000-0005-0000-0000-0000AC8C0000}"/>
    <cellStyle name="Uwaga 2 10 6" xfId="35999" xr:uid="{00000000-0005-0000-0000-0000AD8C0000}"/>
    <cellStyle name="Uwaga 2 10 6 2" xfId="36000" xr:uid="{00000000-0005-0000-0000-0000AE8C0000}"/>
    <cellStyle name="Uwaga 2 10 6 3" xfId="36001" xr:uid="{00000000-0005-0000-0000-0000AF8C0000}"/>
    <cellStyle name="Uwaga 2 10 6 4" xfId="36002" xr:uid="{00000000-0005-0000-0000-0000B08C0000}"/>
    <cellStyle name="Uwaga 2 10 7" xfId="36003" xr:uid="{00000000-0005-0000-0000-0000B18C0000}"/>
    <cellStyle name="Uwaga 2 10 7 2" xfId="36004" xr:uid="{00000000-0005-0000-0000-0000B28C0000}"/>
    <cellStyle name="Uwaga 2 10 7 3" xfId="36005" xr:uid="{00000000-0005-0000-0000-0000B38C0000}"/>
    <cellStyle name="Uwaga 2 10 7 4" xfId="36006" xr:uid="{00000000-0005-0000-0000-0000B48C0000}"/>
    <cellStyle name="Uwaga 2 10 8" xfId="36007" xr:uid="{00000000-0005-0000-0000-0000B58C0000}"/>
    <cellStyle name="Uwaga 2 10 8 2" xfId="36008" xr:uid="{00000000-0005-0000-0000-0000B68C0000}"/>
    <cellStyle name="Uwaga 2 10 8 3" xfId="36009" xr:uid="{00000000-0005-0000-0000-0000B78C0000}"/>
    <cellStyle name="Uwaga 2 10 8 4" xfId="36010" xr:uid="{00000000-0005-0000-0000-0000B88C0000}"/>
    <cellStyle name="Uwaga 2 10 9" xfId="36011" xr:uid="{00000000-0005-0000-0000-0000B98C0000}"/>
    <cellStyle name="Uwaga 2 10 9 2" xfId="36012" xr:uid="{00000000-0005-0000-0000-0000BA8C0000}"/>
    <cellStyle name="Uwaga 2 10 9 3" xfId="36013" xr:uid="{00000000-0005-0000-0000-0000BB8C0000}"/>
    <cellStyle name="Uwaga 2 10 9 4" xfId="36014" xr:uid="{00000000-0005-0000-0000-0000BC8C0000}"/>
    <cellStyle name="Uwaga 2 11" xfId="36015" xr:uid="{00000000-0005-0000-0000-0000BD8C0000}"/>
    <cellStyle name="Uwaga 2 11 10" xfId="36016" xr:uid="{00000000-0005-0000-0000-0000BE8C0000}"/>
    <cellStyle name="Uwaga 2 11 10 2" xfId="36017" xr:uid="{00000000-0005-0000-0000-0000BF8C0000}"/>
    <cellStyle name="Uwaga 2 11 10 3" xfId="36018" xr:uid="{00000000-0005-0000-0000-0000C08C0000}"/>
    <cellStyle name="Uwaga 2 11 10 4" xfId="36019" xr:uid="{00000000-0005-0000-0000-0000C18C0000}"/>
    <cellStyle name="Uwaga 2 11 11" xfId="36020" xr:uid="{00000000-0005-0000-0000-0000C28C0000}"/>
    <cellStyle name="Uwaga 2 11 11 2" xfId="36021" xr:uid="{00000000-0005-0000-0000-0000C38C0000}"/>
    <cellStyle name="Uwaga 2 11 11 3" xfId="36022" xr:uid="{00000000-0005-0000-0000-0000C48C0000}"/>
    <cellStyle name="Uwaga 2 11 11 4" xfId="36023" xr:uid="{00000000-0005-0000-0000-0000C58C0000}"/>
    <cellStyle name="Uwaga 2 11 12" xfId="36024" xr:uid="{00000000-0005-0000-0000-0000C68C0000}"/>
    <cellStyle name="Uwaga 2 11 12 2" xfId="36025" xr:uid="{00000000-0005-0000-0000-0000C78C0000}"/>
    <cellStyle name="Uwaga 2 11 12 3" xfId="36026" xr:uid="{00000000-0005-0000-0000-0000C88C0000}"/>
    <cellStyle name="Uwaga 2 11 12 4" xfId="36027" xr:uid="{00000000-0005-0000-0000-0000C98C0000}"/>
    <cellStyle name="Uwaga 2 11 13" xfId="36028" xr:uid="{00000000-0005-0000-0000-0000CA8C0000}"/>
    <cellStyle name="Uwaga 2 11 13 2" xfId="36029" xr:uid="{00000000-0005-0000-0000-0000CB8C0000}"/>
    <cellStyle name="Uwaga 2 11 13 3" xfId="36030" xr:uid="{00000000-0005-0000-0000-0000CC8C0000}"/>
    <cellStyle name="Uwaga 2 11 13 4" xfId="36031" xr:uid="{00000000-0005-0000-0000-0000CD8C0000}"/>
    <cellStyle name="Uwaga 2 11 14" xfId="36032" xr:uid="{00000000-0005-0000-0000-0000CE8C0000}"/>
    <cellStyle name="Uwaga 2 11 14 2" xfId="36033" xr:uid="{00000000-0005-0000-0000-0000CF8C0000}"/>
    <cellStyle name="Uwaga 2 11 14 3" xfId="36034" xr:uid="{00000000-0005-0000-0000-0000D08C0000}"/>
    <cellStyle name="Uwaga 2 11 14 4" xfId="36035" xr:uid="{00000000-0005-0000-0000-0000D18C0000}"/>
    <cellStyle name="Uwaga 2 11 15" xfId="36036" xr:uid="{00000000-0005-0000-0000-0000D28C0000}"/>
    <cellStyle name="Uwaga 2 11 15 2" xfId="36037" xr:uid="{00000000-0005-0000-0000-0000D38C0000}"/>
    <cellStyle name="Uwaga 2 11 15 3" xfId="36038" xr:uid="{00000000-0005-0000-0000-0000D48C0000}"/>
    <cellStyle name="Uwaga 2 11 15 4" xfId="36039" xr:uid="{00000000-0005-0000-0000-0000D58C0000}"/>
    <cellStyle name="Uwaga 2 11 16" xfId="36040" xr:uid="{00000000-0005-0000-0000-0000D68C0000}"/>
    <cellStyle name="Uwaga 2 11 16 2" xfId="36041" xr:uid="{00000000-0005-0000-0000-0000D78C0000}"/>
    <cellStyle name="Uwaga 2 11 16 3" xfId="36042" xr:uid="{00000000-0005-0000-0000-0000D88C0000}"/>
    <cellStyle name="Uwaga 2 11 16 4" xfId="36043" xr:uid="{00000000-0005-0000-0000-0000D98C0000}"/>
    <cellStyle name="Uwaga 2 11 17" xfId="36044" xr:uid="{00000000-0005-0000-0000-0000DA8C0000}"/>
    <cellStyle name="Uwaga 2 11 17 2" xfId="36045" xr:uid="{00000000-0005-0000-0000-0000DB8C0000}"/>
    <cellStyle name="Uwaga 2 11 17 3" xfId="36046" xr:uid="{00000000-0005-0000-0000-0000DC8C0000}"/>
    <cellStyle name="Uwaga 2 11 17 4" xfId="36047" xr:uid="{00000000-0005-0000-0000-0000DD8C0000}"/>
    <cellStyle name="Uwaga 2 11 18" xfId="36048" xr:uid="{00000000-0005-0000-0000-0000DE8C0000}"/>
    <cellStyle name="Uwaga 2 11 18 2" xfId="36049" xr:uid="{00000000-0005-0000-0000-0000DF8C0000}"/>
    <cellStyle name="Uwaga 2 11 18 3" xfId="36050" xr:uid="{00000000-0005-0000-0000-0000E08C0000}"/>
    <cellStyle name="Uwaga 2 11 18 4" xfId="36051" xr:uid="{00000000-0005-0000-0000-0000E18C0000}"/>
    <cellStyle name="Uwaga 2 11 19" xfId="36052" xr:uid="{00000000-0005-0000-0000-0000E28C0000}"/>
    <cellStyle name="Uwaga 2 11 19 2" xfId="36053" xr:uid="{00000000-0005-0000-0000-0000E38C0000}"/>
    <cellStyle name="Uwaga 2 11 19 3" xfId="36054" xr:uid="{00000000-0005-0000-0000-0000E48C0000}"/>
    <cellStyle name="Uwaga 2 11 19 4" xfId="36055" xr:uid="{00000000-0005-0000-0000-0000E58C0000}"/>
    <cellStyle name="Uwaga 2 11 2" xfId="36056" xr:uid="{00000000-0005-0000-0000-0000E68C0000}"/>
    <cellStyle name="Uwaga 2 11 2 2" xfId="36057" xr:uid="{00000000-0005-0000-0000-0000E78C0000}"/>
    <cellStyle name="Uwaga 2 11 2 3" xfId="36058" xr:uid="{00000000-0005-0000-0000-0000E88C0000}"/>
    <cellStyle name="Uwaga 2 11 2 4" xfId="36059" xr:uid="{00000000-0005-0000-0000-0000E98C0000}"/>
    <cellStyle name="Uwaga 2 11 20" xfId="36060" xr:uid="{00000000-0005-0000-0000-0000EA8C0000}"/>
    <cellStyle name="Uwaga 2 11 20 2" xfId="36061" xr:uid="{00000000-0005-0000-0000-0000EB8C0000}"/>
    <cellStyle name="Uwaga 2 11 20 3" xfId="36062" xr:uid="{00000000-0005-0000-0000-0000EC8C0000}"/>
    <cellStyle name="Uwaga 2 11 20 4" xfId="36063" xr:uid="{00000000-0005-0000-0000-0000ED8C0000}"/>
    <cellStyle name="Uwaga 2 11 21" xfId="36064" xr:uid="{00000000-0005-0000-0000-0000EE8C0000}"/>
    <cellStyle name="Uwaga 2 11 21 2" xfId="36065" xr:uid="{00000000-0005-0000-0000-0000EF8C0000}"/>
    <cellStyle name="Uwaga 2 11 21 3" xfId="36066" xr:uid="{00000000-0005-0000-0000-0000F08C0000}"/>
    <cellStyle name="Uwaga 2 11 22" xfId="36067" xr:uid="{00000000-0005-0000-0000-0000F18C0000}"/>
    <cellStyle name="Uwaga 2 11 22 2" xfId="36068" xr:uid="{00000000-0005-0000-0000-0000F28C0000}"/>
    <cellStyle name="Uwaga 2 11 22 3" xfId="36069" xr:uid="{00000000-0005-0000-0000-0000F38C0000}"/>
    <cellStyle name="Uwaga 2 11 23" xfId="36070" xr:uid="{00000000-0005-0000-0000-0000F48C0000}"/>
    <cellStyle name="Uwaga 2 11 23 2" xfId="36071" xr:uid="{00000000-0005-0000-0000-0000F58C0000}"/>
    <cellStyle name="Uwaga 2 11 23 3" xfId="36072" xr:uid="{00000000-0005-0000-0000-0000F68C0000}"/>
    <cellStyle name="Uwaga 2 11 24" xfId="36073" xr:uid="{00000000-0005-0000-0000-0000F78C0000}"/>
    <cellStyle name="Uwaga 2 11 24 2" xfId="36074" xr:uid="{00000000-0005-0000-0000-0000F88C0000}"/>
    <cellStyle name="Uwaga 2 11 24 3" xfId="36075" xr:uid="{00000000-0005-0000-0000-0000F98C0000}"/>
    <cellStyle name="Uwaga 2 11 25" xfId="36076" xr:uid="{00000000-0005-0000-0000-0000FA8C0000}"/>
    <cellStyle name="Uwaga 2 11 25 2" xfId="36077" xr:uid="{00000000-0005-0000-0000-0000FB8C0000}"/>
    <cellStyle name="Uwaga 2 11 25 3" xfId="36078" xr:uid="{00000000-0005-0000-0000-0000FC8C0000}"/>
    <cellStyle name="Uwaga 2 11 26" xfId="36079" xr:uid="{00000000-0005-0000-0000-0000FD8C0000}"/>
    <cellStyle name="Uwaga 2 11 26 2" xfId="36080" xr:uid="{00000000-0005-0000-0000-0000FE8C0000}"/>
    <cellStyle name="Uwaga 2 11 26 3" xfId="36081" xr:uid="{00000000-0005-0000-0000-0000FF8C0000}"/>
    <cellStyle name="Uwaga 2 11 27" xfId="36082" xr:uid="{00000000-0005-0000-0000-0000008D0000}"/>
    <cellStyle name="Uwaga 2 11 27 2" xfId="36083" xr:uid="{00000000-0005-0000-0000-0000018D0000}"/>
    <cellStyle name="Uwaga 2 11 27 3" xfId="36084" xr:uid="{00000000-0005-0000-0000-0000028D0000}"/>
    <cellStyle name="Uwaga 2 11 28" xfId="36085" xr:uid="{00000000-0005-0000-0000-0000038D0000}"/>
    <cellStyle name="Uwaga 2 11 28 2" xfId="36086" xr:uid="{00000000-0005-0000-0000-0000048D0000}"/>
    <cellStyle name="Uwaga 2 11 28 3" xfId="36087" xr:uid="{00000000-0005-0000-0000-0000058D0000}"/>
    <cellStyle name="Uwaga 2 11 29" xfId="36088" xr:uid="{00000000-0005-0000-0000-0000068D0000}"/>
    <cellStyle name="Uwaga 2 11 29 2" xfId="36089" xr:uid="{00000000-0005-0000-0000-0000078D0000}"/>
    <cellStyle name="Uwaga 2 11 29 3" xfId="36090" xr:uid="{00000000-0005-0000-0000-0000088D0000}"/>
    <cellStyle name="Uwaga 2 11 3" xfId="36091" xr:uid="{00000000-0005-0000-0000-0000098D0000}"/>
    <cellStyle name="Uwaga 2 11 3 2" xfId="36092" xr:uid="{00000000-0005-0000-0000-00000A8D0000}"/>
    <cellStyle name="Uwaga 2 11 3 3" xfId="36093" xr:uid="{00000000-0005-0000-0000-00000B8D0000}"/>
    <cellStyle name="Uwaga 2 11 3 4" xfId="36094" xr:uid="{00000000-0005-0000-0000-00000C8D0000}"/>
    <cellStyle name="Uwaga 2 11 30" xfId="36095" xr:uid="{00000000-0005-0000-0000-00000D8D0000}"/>
    <cellStyle name="Uwaga 2 11 30 2" xfId="36096" xr:uid="{00000000-0005-0000-0000-00000E8D0000}"/>
    <cellStyle name="Uwaga 2 11 30 3" xfId="36097" xr:uid="{00000000-0005-0000-0000-00000F8D0000}"/>
    <cellStyle name="Uwaga 2 11 31" xfId="36098" xr:uid="{00000000-0005-0000-0000-0000108D0000}"/>
    <cellStyle name="Uwaga 2 11 31 2" xfId="36099" xr:uid="{00000000-0005-0000-0000-0000118D0000}"/>
    <cellStyle name="Uwaga 2 11 31 3" xfId="36100" xr:uid="{00000000-0005-0000-0000-0000128D0000}"/>
    <cellStyle name="Uwaga 2 11 32" xfId="36101" xr:uid="{00000000-0005-0000-0000-0000138D0000}"/>
    <cellStyle name="Uwaga 2 11 32 2" xfId="36102" xr:uid="{00000000-0005-0000-0000-0000148D0000}"/>
    <cellStyle name="Uwaga 2 11 32 3" xfId="36103" xr:uid="{00000000-0005-0000-0000-0000158D0000}"/>
    <cellStyle name="Uwaga 2 11 33" xfId="36104" xr:uid="{00000000-0005-0000-0000-0000168D0000}"/>
    <cellStyle name="Uwaga 2 11 33 2" xfId="36105" xr:uid="{00000000-0005-0000-0000-0000178D0000}"/>
    <cellStyle name="Uwaga 2 11 33 3" xfId="36106" xr:uid="{00000000-0005-0000-0000-0000188D0000}"/>
    <cellStyle name="Uwaga 2 11 34" xfId="36107" xr:uid="{00000000-0005-0000-0000-0000198D0000}"/>
    <cellStyle name="Uwaga 2 11 34 2" xfId="36108" xr:uid="{00000000-0005-0000-0000-00001A8D0000}"/>
    <cellStyle name="Uwaga 2 11 34 3" xfId="36109" xr:uid="{00000000-0005-0000-0000-00001B8D0000}"/>
    <cellStyle name="Uwaga 2 11 35" xfId="36110" xr:uid="{00000000-0005-0000-0000-00001C8D0000}"/>
    <cellStyle name="Uwaga 2 11 35 2" xfId="36111" xr:uid="{00000000-0005-0000-0000-00001D8D0000}"/>
    <cellStyle name="Uwaga 2 11 35 3" xfId="36112" xr:uid="{00000000-0005-0000-0000-00001E8D0000}"/>
    <cellStyle name="Uwaga 2 11 36" xfId="36113" xr:uid="{00000000-0005-0000-0000-00001F8D0000}"/>
    <cellStyle name="Uwaga 2 11 36 2" xfId="36114" xr:uid="{00000000-0005-0000-0000-0000208D0000}"/>
    <cellStyle name="Uwaga 2 11 36 3" xfId="36115" xr:uid="{00000000-0005-0000-0000-0000218D0000}"/>
    <cellStyle name="Uwaga 2 11 37" xfId="36116" xr:uid="{00000000-0005-0000-0000-0000228D0000}"/>
    <cellStyle name="Uwaga 2 11 37 2" xfId="36117" xr:uid="{00000000-0005-0000-0000-0000238D0000}"/>
    <cellStyle name="Uwaga 2 11 37 3" xfId="36118" xr:uid="{00000000-0005-0000-0000-0000248D0000}"/>
    <cellStyle name="Uwaga 2 11 38" xfId="36119" xr:uid="{00000000-0005-0000-0000-0000258D0000}"/>
    <cellStyle name="Uwaga 2 11 38 2" xfId="36120" xr:uid="{00000000-0005-0000-0000-0000268D0000}"/>
    <cellStyle name="Uwaga 2 11 38 3" xfId="36121" xr:uid="{00000000-0005-0000-0000-0000278D0000}"/>
    <cellStyle name="Uwaga 2 11 39" xfId="36122" xr:uid="{00000000-0005-0000-0000-0000288D0000}"/>
    <cellStyle name="Uwaga 2 11 39 2" xfId="36123" xr:uid="{00000000-0005-0000-0000-0000298D0000}"/>
    <cellStyle name="Uwaga 2 11 39 3" xfId="36124" xr:uid="{00000000-0005-0000-0000-00002A8D0000}"/>
    <cellStyle name="Uwaga 2 11 4" xfId="36125" xr:uid="{00000000-0005-0000-0000-00002B8D0000}"/>
    <cellStyle name="Uwaga 2 11 4 2" xfId="36126" xr:uid="{00000000-0005-0000-0000-00002C8D0000}"/>
    <cellStyle name="Uwaga 2 11 4 3" xfId="36127" xr:uid="{00000000-0005-0000-0000-00002D8D0000}"/>
    <cellStyle name="Uwaga 2 11 4 4" xfId="36128" xr:uid="{00000000-0005-0000-0000-00002E8D0000}"/>
    <cellStyle name="Uwaga 2 11 40" xfId="36129" xr:uid="{00000000-0005-0000-0000-00002F8D0000}"/>
    <cellStyle name="Uwaga 2 11 40 2" xfId="36130" xr:uid="{00000000-0005-0000-0000-0000308D0000}"/>
    <cellStyle name="Uwaga 2 11 40 3" xfId="36131" xr:uid="{00000000-0005-0000-0000-0000318D0000}"/>
    <cellStyle name="Uwaga 2 11 41" xfId="36132" xr:uid="{00000000-0005-0000-0000-0000328D0000}"/>
    <cellStyle name="Uwaga 2 11 41 2" xfId="36133" xr:uid="{00000000-0005-0000-0000-0000338D0000}"/>
    <cellStyle name="Uwaga 2 11 41 3" xfId="36134" xr:uid="{00000000-0005-0000-0000-0000348D0000}"/>
    <cellStyle name="Uwaga 2 11 42" xfId="36135" xr:uid="{00000000-0005-0000-0000-0000358D0000}"/>
    <cellStyle name="Uwaga 2 11 42 2" xfId="36136" xr:uid="{00000000-0005-0000-0000-0000368D0000}"/>
    <cellStyle name="Uwaga 2 11 42 3" xfId="36137" xr:uid="{00000000-0005-0000-0000-0000378D0000}"/>
    <cellStyle name="Uwaga 2 11 43" xfId="36138" xr:uid="{00000000-0005-0000-0000-0000388D0000}"/>
    <cellStyle name="Uwaga 2 11 43 2" xfId="36139" xr:uid="{00000000-0005-0000-0000-0000398D0000}"/>
    <cellStyle name="Uwaga 2 11 43 3" xfId="36140" xr:uid="{00000000-0005-0000-0000-00003A8D0000}"/>
    <cellStyle name="Uwaga 2 11 44" xfId="36141" xr:uid="{00000000-0005-0000-0000-00003B8D0000}"/>
    <cellStyle name="Uwaga 2 11 44 2" xfId="36142" xr:uid="{00000000-0005-0000-0000-00003C8D0000}"/>
    <cellStyle name="Uwaga 2 11 44 3" xfId="36143" xr:uid="{00000000-0005-0000-0000-00003D8D0000}"/>
    <cellStyle name="Uwaga 2 11 45" xfId="36144" xr:uid="{00000000-0005-0000-0000-00003E8D0000}"/>
    <cellStyle name="Uwaga 2 11 45 2" xfId="36145" xr:uid="{00000000-0005-0000-0000-00003F8D0000}"/>
    <cellStyle name="Uwaga 2 11 45 3" xfId="36146" xr:uid="{00000000-0005-0000-0000-0000408D0000}"/>
    <cellStyle name="Uwaga 2 11 46" xfId="36147" xr:uid="{00000000-0005-0000-0000-0000418D0000}"/>
    <cellStyle name="Uwaga 2 11 46 2" xfId="36148" xr:uid="{00000000-0005-0000-0000-0000428D0000}"/>
    <cellStyle name="Uwaga 2 11 46 3" xfId="36149" xr:uid="{00000000-0005-0000-0000-0000438D0000}"/>
    <cellStyle name="Uwaga 2 11 47" xfId="36150" xr:uid="{00000000-0005-0000-0000-0000448D0000}"/>
    <cellStyle name="Uwaga 2 11 47 2" xfId="36151" xr:uid="{00000000-0005-0000-0000-0000458D0000}"/>
    <cellStyle name="Uwaga 2 11 47 3" xfId="36152" xr:uid="{00000000-0005-0000-0000-0000468D0000}"/>
    <cellStyle name="Uwaga 2 11 48" xfId="36153" xr:uid="{00000000-0005-0000-0000-0000478D0000}"/>
    <cellStyle name="Uwaga 2 11 48 2" xfId="36154" xr:uid="{00000000-0005-0000-0000-0000488D0000}"/>
    <cellStyle name="Uwaga 2 11 48 3" xfId="36155" xr:uid="{00000000-0005-0000-0000-0000498D0000}"/>
    <cellStyle name="Uwaga 2 11 49" xfId="36156" xr:uid="{00000000-0005-0000-0000-00004A8D0000}"/>
    <cellStyle name="Uwaga 2 11 49 2" xfId="36157" xr:uid="{00000000-0005-0000-0000-00004B8D0000}"/>
    <cellStyle name="Uwaga 2 11 49 3" xfId="36158" xr:uid="{00000000-0005-0000-0000-00004C8D0000}"/>
    <cellStyle name="Uwaga 2 11 5" xfId="36159" xr:uid="{00000000-0005-0000-0000-00004D8D0000}"/>
    <cellStyle name="Uwaga 2 11 5 2" xfId="36160" xr:uid="{00000000-0005-0000-0000-00004E8D0000}"/>
    <cellStyle name="Uwaga 2 11 5 3" xfId="36161" xr:uid="{00000000-0005-0000-0000-00004F8D0000}"/>
    <cellStyle name="Uwaga 2 11 5 4" xfId="36162" xr:uid="{00000000-0005-0000-0000-0000508D0000}"/>
    <cellStyle name="Uwaga 2 11 50" xfId="36163" xr:uid="{00000000-0005-0000-0000-0000518D0000}"/>
    <cellStyle name="Uwaga 2 11 50 2" xfId="36164" xr:uid="{00000000-0005-0000-0000-0000528D0000}"/>
    <cellStyle name="Uwaga 2 11 50 3" xfId="36165" xr:uid="{00000000-0005-0000-0000-0000538D0000}"/>
    <cellStyle name="Uwaga 2 11 51" xfId="36166" xr:uid="{00000000-0005-0000-0000-0000548D0000}"/>
    <cellStyle name="Uwaga 2 11 51 2" xfId="36167" xr:uid="{00000000-0005-0000-0000-0000558D0000}"/>
    <cellStyle name="Uwaga 2 11 51 3" xfId="36168" xr:uid="{00000000-0005-0000-0000-0000568D0000}"/>
    <cellStyle name="Uwaga 2 11 52" xfId="36169" xr:uid="{00000000-0005-0000-0000-0000578D0000}"/>
    <cellStyle name="Uwaga 2 11 52 2" xfId="36170" xr:uid="{00000000-0005-0000-0000-0000588D0000}"/>
    <cellStyle name="Uwaga 2 11 52 3" xfId="36171" xr:uid="{00000000-0005-0000-0000-0000598D0000}"/>
    <cellStyle name="Uwaga 2 11 53" xfId="36172" xr:uid="{00000000-0005-0000-0000-00005A8D0000}"/>
    <cellStyle name="Uwaga 2 11 53 2" xfId="36173" xr:uid="{00000000-0005-0000-0000-00005B8D0000}"/>
    <cellStyle name="Uwaga 2 11 53 3" xfId="36174" xr:uid="{00000000-0005-0000-0000-00005C8D0000}"/>
    <cellStyle name="Uwaga 2 11 54" xfId="36175" xr:uid="{00000000-0005-0000-0000-00005D8D0000}"/>
    <cellStyle name="Uwaga 2 11 54 2" xfId="36176" xr:uid="{00000000-0005-0000-0000-00005E8D0000}"/>
    <cellStyle name="Uwaga 2 11 54 3" xfId="36177" xr:uid="{00000000-0005-0000-0000-00005F8D0000}"/>
    <cellStyle name="Uwaga 2 11 55" xfId="36178" xr:uid="{00000000-0005-0000-0000-0000608D0000}"/>
    <cellStyle name="Uwaga 2 11 55 2" xfId="36179" xr:uid="{00000000-0005-0000-0000-0000618D0000}"/>
    <cellStyle name="Uwaga 2 11 55 3" xfId="36180" xr:uid="{00000000-0005-0000-0000-0000628D0000}"/>
    <cellStyle name="Uwaga 2 11 56" xfId="36181" xr:uid="{00000000-0005-0000-0000-0000638D0000}"/>
    <cellStyle name="Uwaga 2 11 56 2" xfId="36182" xr:uid="{00000000-0005-0000-0000-0000648D0000}"/>
    <cellStyle name="Uwaga 2 11 56 3" xfId="36183" xr:uid="{00000000-0005-0000-0000-0000658D0000}"/>
    <cellStyle name="Uwaga 2 11 57" xfId="36184" xr:uid="{00000000-0005-0000-0000-0000668D0000}"/>
    <cellStyle name="Uwaga 2 11 58" xfId="36185" xr:uid="{00000000-0005-0000-0000-0000678D0000}"/>
    <cellStyle name="Uwaga 2 11 6" xfId="36186" xr:uid="{00000000-0005-0000-0000-0000688D0000}"/>
    <cellStyle name="Uwaga 2 11 6 2" xfId="36187" xr:uid="{00000000-0005-0000-0000-0000698D0000}"/>
    <cellStyle name="Uwaga 2 11 6 3" xfId="36188" xr:uid="{00000000-0005-0000-0000-00006A8D0000}"/>
    <cellStyle name="Uwaga 2 11 6 4" xfId="36189" xr:uid="{00000000-0005-0000-0000-00006B8D0000}"/>
    <cellStyle name="Uwaga 2 11 7" xfId="36190" xr:uid="{00000000-0005-0000-0000-00006C8D0000}"/>
    <cellStyle name="Uwaga 2 11 7 2" xfId="36191" xr:uid="{00000000-0005-0000-0000-00006D8D0000}"/>
    <cellStyle name="Uwaga 2 11 7 3" xfId="36192" xr:uid="{00000000-0005-0000-0000-00006E8D0000}"/>
    <cellStyle name="Uwaga 2 11 7 4" xfId="36193" xr:uid="{00000000-0005-0000-0000-00006F8D0000}"/>
    <cellStyle name="Uwaga 2 11 8" xfId="36194" xr:uid="{00000000-0005-0000-0000-0000708D0000}"/>
    <cellStyle name="Uwaga 2 11 8 2" xfId="36195" xr:uid="{00000000-0005-0000-0000-0000718D0000}"/>
    <cellStyle name="Uwaga 2 11 8 3" xfId="36196" xr:uid="{00000000-0005-0000-0000-0000728D0000}"/>
    <cellStyle name="Uwaga 2 11 8 4" xfId="36197" xr:uid="{00000000-0005-0000-0000-0000738D0000}"/>
    <cellStyle name="Uwaga 2 11 9" xfId="36198" xr:uid="{00000000-0005-0000-0000-0000748D0000}"/>
    <cellStyle name="Uwaga 2 11 9 2" xfId="36199" xr:uid="{00000000-0005-0000-0000-0000758D0000}"/>
    <cellStyle name="Uwaga 2 11 9 3" xfId="36200" xr:uid="{00000000-0005-0000-0000-0000768D0000}"/>
    <cellStyle name="Uwaga 2 11 9 4" xfId="36201" xr:uid="{00000000-0005-0000-0000-0000778D0000}"/>
    <cellStyle name="Uwaga 2 12" xfId="36202" xr:uid="{00000000-0005-0000-0000-0000788D0000}"/>
    <cellStyle name="Uwaga 2 12 10" xfId="36203" xr:uid="{00000000-0005-0000-0000-0000798D0000}"/>
    <cellStyle name="Uwaga 2 12 10 2" xfId="36204" xr:uid="{00000000-0005-0000-0000-00007A8D0000}"/>
    <cellStyle name="Uwaga 2 12 10 3" xfId="36205" xr:uid="{00000000-0005-0000-0000-00007B8D0000}"/>
    <cellStyle name="Uwaga 2 12 10 4" xfId="36206" xr:uid="{00000000-0005-0000-0000-00007C8D0000}"/>
    <cellStyle name="Uwaga 2 12 11" xfId="36207" xr:uid="{00000000-0005-0000-0000-00007D8D0000}"/>
    <cellStyle name="Uwaga 2 12 11 2" xfId="36208" xr:uid="{00000000-0005-0000-0000-00007E8D0000}"/>
    <cellStyle name="Uwaga 2 12 11 3" xfId="36209" xr:uid="{00000000-0005-0000-0000-00007F8D0000}"/>
    <cellStyle name="Uwaga 2 12 11 4" xfId="36210" xr:uid="{00000000-0005-0000-0000-0000808D0000}"/>
    <cellStyle name="Uwaga 2 12 12" xfId="36211" xr:uid="{00000000-0005-0000-0000-0000818D0000}"/>
    <cellStyle name="Uwaga 2 12 12 2" xfId="36212" xr:uid="{00000000-0005-0000-0000-0000828D0000}"/>
    <cellStyle name="Uwaga 2 12 12 3" xfId="36213" xr:uid="{00000000-0005-0000-0000-0000838D0000}"/>
    <cellStyle name="Uwaga 2 12 12 4" xfId="36214" xr:uid="{00000000-0005-0000-0000-0000848D0000}"/>
    <cellStyle name="Uwaga 2 12 13" xfId="36215" xr:uid="{00000000-0005-0000-0000-0000858D0000}"/>
    <cellStyle name="Uwaga 2 12 13 2" xfId="36216" xr:uid="{00000000-0005-0000-0000-0000868D0000}"/>
    <cellStyle name="Uwaga 2 12 13 3" xfId="36217" xr:uid="{00000000-0005-0000-0000-0000878D0000}"/>
    <cellStyle name="Uwaga 2 12 13 4" xfId="36218" xr:uid="{00000000-0005-0000-0000-0000888D0000}"/>
    <cellStyle name="Uwaga 2 12 14" xfId="36219" xr:uid="{00000000-0005-0000-0000-0000898D0000}"/>
    <cellStyle name="Uwaga 2 12 14 2" xfId="36220" xr:uid="{00000000-0005-0000-0000-00008A8D0000}"/>
    <cellStyle name="Uwaga 2 12 14 3" xfId="36221" xr:uid="{00000000-0005-0000-0000-00008B8D0000}"/>
    <cellStyle name="Uwaga 2 12 14 4" xfId="36222" xr:uid="{00000000-0005-0000-0000-00008C8D0000}"/>
    <cellStyle name="Uwaga 2 12 15" xfId="36223" xr:uid="{00000000-0005-0000-0000-00008D8D0000}"/>
    <cellStyle name="Uwaga 2 12 15 2" xfId="36224" xr:uid="{00000000-0005-0000-0000-00008E8D0000}"/>
    <cellStyle name="Uwaga 2 12 15 3" xfId="36225" xr:uid="{00000000-0005-0000-0000-00008F8D0000}"/>
    <cellStyle name="Uwaga 2 12 15 4" xfId="36226" xr:uid="{00000000-0005-0000-0000-0000908D0000}"/>
    <cellStyle name="Uwaga 2 12 16" xfId="36227" xr:uid="{00000000-0005-0000-0000-0000918D0000}"/>
    <cellStyle name="Uwaga 2 12 16 2" xfId="36228" xr:uid="{00000000-0005-0000-0000-0000928D0000}"/>
    <cellStyle name="Uwaga 2 12 16 3" xfId="36229" xr:uid="{00000000-0005-0000-0000-0000938D0000}"/>
    <cellStyle name="Uwaga 2 12 16 4" xfId="36230" xr:uid="{00000000-0005-0000-0000-0000948D0000}"/>
    <cellStyle name="Uwaga 2 12 17" xfId="36231" xr:uid="{00000000-0005-0000-0000-0000958D0000}"/>
    <cellStyle name="Uwaga 2 12 17 2" xfId="36232" xr:uid="{00000000-0005-0000-0000-0000968D0000}"/>
    <cellStyle name="Uwaga 2 12 17 3" xfId="36233" xr:uid="{00000000-0005-0000-0000-0000978D0000}"/>
    <cellStyle name="Uwaga 2 12 17 4" xfId="36234" xr:uid="{00000000-0005-0000-0000-0000988D0000}"/>
    <cellStyle name="Uwaga 2 12 18" xfId="36235" xr:uid="{00000000-0005-0000-0000-0000998D0000}"/>
    <cellStyle name="Uwaga 2 12 18 2" xfId="36236" xr:uid="{00000000-0005-0000-0000-00009A8D0000}"/>
    <cellStyle name="Uwaga 2 12 18 3" xfId="36237" xr:uid="{00000000-0005-0000-0000-00009B8D0000}"/>
    <cellStyle name="Uwaga 2 12 18 4" xfId="36238" xr:uid="{00000000-0005-0000-0000-00009C8D0000}"/>
    <cellStyle name="Uwaga 2 12 19" xfId="36239" xr:uid="{00000000-0005-0000-0000-00009D8D0000}"/>
    <cellStyle name="Uwaga 2 12 19 2" xfId="36240" xr:uid="{00000000-0005-0000-0000-00009E8D0000}"/>
    <cellStyle name="Uwaga 2 12 19 3" xfId="36241" xr:uid="{00000000-0005-0000-0000-00009F8D0000}"/>
    <cellStyle name="Uwaga 2 12 19 4" xfId="36242" xr:uid="{00000000-0005-0000-0000-0000A08D0000}"/>
    <cellStyle name="Uwaga 2 12 2" xfId="36243" xr:uid="{00000000-0005-0000-0000-0000A18D0000}"/>
    <cellStyle name="Uwaga 2 12 2 2" xfId="36244" xr:uid="{00000000-0005-0000-0000-0000A28D0000}"/>
    <cellStyle name="Uwaga 2 12 2 3" xfId="36245" xr:uid="{00000000-0005-0000-0000-0000A38D0000}"/>
    <cellStyle name="Uwaga 2 12 2 4" xfId="36246" xr:uid="{00000000-0005-0000-0000-0000A48D0000}"/>
    <cellStyle name="Uwaga 2 12 20" xfId="36247" xr:uid="{00000000-0005-0000-0000-0000A58D0000}"/>
    <cellStyle name="Uwaga 2 12 20 2" xfId="36248" xr:uid="{00000000-0005-0000-0000-0000A68D0000}"/>
    <cellStyle name="Uwaga 2 12 20 3" xfId="36249" xr:uid="{00000000-0005-0000-0000-0000A78D0000}"/>
    <cellStyle name="Uwaga 2 12 20 4" xfId="36250" xr:uid="{00000000-0005-0000-0000-0000A88D0000}"/>
    <cellStyle name="Uwaga 2 12 21" xfId="36251" xr:uid="{00000000-0005-0000-0000-0000A98D0000}"/>
    <cellStyle name="Uwaga 2 12 21 2" xfId="36252" xr:uid="{00000000-0005-0000-0000-0000AA8D0000}"/>
    <cellStyle name="Uwaga 2 12 21 3" xfId="36253" xr:uid="{00000000-0005-0000-0000-0000AB8D0000}"/>
    <cellStyle name="Uwaga 2 12 22" xfId="36254" xr:uid="{00000000-0005-0000-0000-0000AC8D0000}"/>
    <cellStyle name="Uwaga 2 12 22 2" xfId="36255" xr:uid="{00000000-0005-0000-0000-0000AD8D0000}"/>
    <cellStyle name="Uwaga 2 12 22 3" xfId="36256" xr:uid="{00000000-0005-0000-0000-0000AE8D0000}"/>
    <cellStyle name="Uwaga 2 12 23" xfId="36257" xr:uid="{00000000-0005-0000-0000-0000AF8D0000}"/>
    <cellStyle name="Uwaga 2 12 23 2" xfId="36258" xr:uid="{00000000-0005-0000-0000-0000B08D0000}"/>
    <cellStyle name="Uwaga 2 12 23 3" xfId="36259" xr:uid="{00000000-0005-0000-0000-0000B18D0000}"/>
    <cellStyle name="Uwaga 2 12 24" xfId="36260" xr:uid="{00000000-0005-0000-0000-0000B28D0000}"/>
    <cellStyle name="Uwaga 2 12 24 2" xfId="36261" xr:uid="{00000000-0005-0000-0000-0000B38D0000}"/>
    <cellStyle name="Uwaga 2 12 24 3" xfId="36262" xr:uid="{00000000-0005-0000-0000-0000B48D0000}"/>
    <cellStyle name="Uwaga 2 12 25" xfId="36263" xr:uid="{00000000-0005-0000-0000-0000B58D0000}"/>
    <cellStyle name="Uwaga 2 12 25 2" xfId="36264" xr:uid="{00000000-0005-0000-0000-0000B68D0000}"/>
    <cellStyle name="Uwaga 2 12 25 3" xfId="36265" xr:uid="{00000000-0005-0000-0000-0000B78D0000}"/>
    <cellStyle name="Uwaga 2 12 26" xfId="36266" xr:uid="{00000000-0005-0000-0000-0000B88D0000}"/>
    <cellStyle name="Uwaga 2 12 26 2" xfId="36267" xr:uid="{00000000-0005-0000-0000-0000B98D0000}"/>
    <cellStyle name="Uwaga 2 12 26 3" xfId="36268" xr:uid="{00000000-0005-0000-0000-0000BA8D0000}"/>
    <cellStyle name="Uwaga 2 12 27" xfId="36269" xr:uid="{00000000-0005-0000-0000-0000BB8D0000}"/>
    <cellStyle name="Uwaga 2 12 27 2" xfId="36270" xr:uid="{00000000-0005-0000-0000-0000BC8D0000}"/>
    <cellStyle name="Uwaga 2 12 27 3" xfId="36271" xr:uid="{00000000-0005-0000-0000-0000BD8D0000}"/>
    <cellStyle name="Uwaga 2 12 28" xfId="36272" xr:uid="{00000000-0005-0000-0000-0000BE8D0000}"/>
    <cellStyle name="Uwaga 2 12 28 2" xfId="36273" xr:uid="{00000000-0005-0000-0000-0000BF8D0000}"/>
    <cellStyle name="Uwaga 2 12 28 3" xfId="36274" xr:uid="{00000000-0005-0000-0000-0000C08D0000}"/>
    <cellStyle name="Uwaga 2 12 29" xfId="36275" xr:uid="{00000000-0005-0000-0000-0000C18D0000}"/>
    <cellStyle name="Uwaga 2 12 29 2" xfId="36276" xr:uid="{00000000-0005-0000-0000-0000C28D0000}"/>
    <cellStyle name="Uwaga 2 12 29 3" xfId="36277" xr:uid="{00000000-0005-0000-0000-0000C38D0000}"/>
    <cellStyle name="Uwaga 2 12 3" xfId="36278" xr:uid="{00000000-0005-0000-0000-0000C48D0000}"/>
    <cellStyle name="Uwaga 2 12 3 2" xfId="36279" xr:uid="{00000000-0005-0000-0000-0000C58D0000}"/>
    <cellStyle name="Uwaga 2 12 3 3" xfId="36280" xr:uid="{00000000-0005-0000-0000-0000C68D0000}"/>
    <cellStyle name="Uwaga 2 12 3 4" xfId="36281" xr:uid="{00000000-0005-0000-0000-0000C78D0000}"/>
    <cellStyle name="Uwaga 2 12 30" xfId="36282" xr:uid="{00000000-0005-0000-0000-0000C88D0000}"/>
    <cellStyle name="Uwaga 2 12 30 2" xfId="36283" xr:uid="{00000000-0005-0000-0000-0000C98D0000}"/>
    <cellStyle name="Uwaga 2 12 30 3" xfId="36284" xr:uid="{00000000-0005-0000-0000-0000CA8D0000}"/>
    <cellStyle name="Uwaga 2 12 31" xfId="36285" xr:uid="{00000000-0005-0000-0000-0000CB8D0000}"/>
    <cellStyle name="Uwaga 2 12 31 2" xfId="36286" xr:uid="{00000000-0005-0000-0000-0000CC8D0000}"/>
    <cellStyle name="Uwaga 2 12 31 3" xfId="36287" xr:uid="{00000000-0005-0000-0000-0000CD8D0000}"/>
    <cellStyle name="Uwaga 2 12 32" xfId="36288" xr:uid="{00000000-0005-0000-0000-0000CE8D0000}"/>
    <cellStyle name="Uwaga 2 12 32 2" xfId="36289" xr:uid="{00000000-0005-0000-0000-0000CF8D0000}"/>
    <cellStyle name="Uwaga 2 12 32 3" xfId="36290" xr:uid="{00000000-0005-0000-0000-0000D08D0000}"/>
    <cellStyle name="Uwaga 2 12 33" xfId="36291" xr:uid="{00000000-0005-0000-0000-0000D18D0000}"/>
    <cellStyle name="Uwaga 2 12 33 2" xfId="36292" xr:uid="{00000000-0005-0000-0000-0000D28D0000}"/>
    <cellStyle name="Uwaga 2 12 33 3" xfId="36293" xr:uid="{00000000-0005-0000-0000-0000D38D0000}"/>
    <cellStyle name="Uwaga 2 12 34" xfId="36294" xr:uid="{00000000-0005-0000-0000-0000D48D0000}"/>
    <cellStyle name="Uwaga 2 12 34 2" xfId="36295" xr:uid="{00000000-0005-0000-0000-0000D58D0000}"/>
    <cellStyle name="Uwaga 2 12 34 3" xfId="36296" xr:uid="{00000000-0005-0000-0000-0000D68D0000}"/>
    <cellStyle name="Uwaga 2 12 35" xfId="36297" xr:uid="{00000000-0005-0000-0000-0000D78D0000}"/>
    <cellStyle name="Uwaga 2 12 35 2" xfId="36298" xr:uid="{00000000-0005-0000-0000-0000D88D0000}"/>
    <cellStyle name="Uwaga 2 12 35 3" xfId="36299" xr:uid="{00000000-0005-0000-0000-0000D98D0000}"/>
    <cellStyle name="Uwaga 2 12 36" xfId="36300" xr:uid="{00000000-0005-0000-0000-0000DA8D0000}"/>
    <cellStyle name="Uwaga 2 12 36 2" xfId="36301" xr:uid="{00000000-0005-0000-0000-0000DB8D0000}"/>
    <cellStyle name="Uwaga 2 12 36 3" xfId="36302" xr:uid="{00000000-0005-0000-0000-0000DC8D0000}"/>
    <cellStyle name="Uwaga 2 12 37" xfId="36303" xr:uid="{00000000-0005-0000-0000-0000DD8D0000}"/>
    <cellStyle name="Uwaga 2 12 37 2" xfId="36304" xr:uid="{00000000-0005-0000-0000-0000DE8D0000}"/>
    <cellStyle name="Uwaga 2 12 37 3" xfId="36305" xr:uid="{00000000-0005-0000-0000-0000DF8D0000}"/>
    <cellStyle name="Uwaga 2 12 38" xfId="36306" xr:uid="{00000000-0005-0000-0000-0000E08D0000}"/>
    <cellStyle name="Uwaga 2 12 38 2" xfId="36307" xr:uid="{00000000-0005-0000-0000-0000E18D0000}"/>
    <cellStyle name="Uwaga 2 12 38 3" xfId="36308" xr:uid="{00000000-0005-0000-0000-0000E28D0000}"/>
    <cellStyle name="Uwaga 2 12 39" xfId="36309" xr:uid="{00000000-0005-0000-0000-0000E38D0000}"/>
    <cellStyle name="Uwaga 2 12 39 2" xfId="36310" xr:uid="{00000000-0005-0000-0000-0000E48D0000}"/>
    <cellStyle name="Uwaga 2 12 39 3" xfId="36311" xr:uid="{00000000-0005-0000-0000-0000E58D0000}"/>
    <cellStyle name="Uwaga 2 12 4" xfId="36312" xr:uid="{00000000-0005-0000-0000-0000E68D0000}"/>
    <cellStyle name="Uwaga 2 12 4 2" xfId="36313" xr:uid="{00000000-0005-0000-0000-0000E78D0000}"/>
    <cellStyle name="Uwaga 2 12 4 3" xfId="36314" xr:uid="{00000000-0005-0000-0000-0000E88D0000}"/>
    <cellStyle name="Uwaga 2 12 4 4" xfId="36315" xr:uid="{00000000-0005-0000-0000-0000E98D0000}"/>
    <cellStyle name="Uwaga 2 12 40" xfId="36316" xr:uid="{00000000-0005-0000-0000-0000EA8D0000}"/>
    <cellStyle name="Uwaga 2 12 40 2" xfId="36317" xr:uid="{00000000-0005-0000-0000-0000EB8D0000}"/>
    <cellStyle name="Uwaga 2 12 40 3" xfId="36318" xr:uid="{00000000-0005-0000-0000-0000EC8D0000}"/>
    <cellStyle name="Uwaga 2 12 41" xfId="36319" xr:uid="{00000000-0005-0000-0000-0000ED8D0000}"/>
    <cellStyle name="Uwaga 2 12 41 2" xfId="36320" xr:uid="{00000000-0005-0000-0000-0000EE8D0000}"/>
    <cellStyle name="Uwaga 2 12 41 3" xfId="36321" xr:uid="{00000000-0005-0000-0000-0000EF8D0000}"/>
    <cellStyle name="Uwaga 2 12 42" xfId="36322" xr:uid="{00000000-0005-0000-0000-0000F08D0000}"/>
    <cellStyle name="Uwaga 2 12 42 2" xfId="36323" xr:uid="{00000000-0005-0000-0000-0000F18D0000}"/>
    <cellStyle name="Uwaga 2 12 42 3" xfId="36324" xr:uid="{00000000-0005-0000-0000-0000F28D0000}"/>
    <cellStyle name="Uwaga 2 12 43" xfId="36325" xr:uid="{00000000-0005-0000-0000-0000F38D0000}"/>
    <cellStyle name="Uwaga 2 12 43 2" xfId="36326" xr:uid="{00000000-0005-0000-0000-0000F48D0000}"/>
    <cellStyle name="Uwaga 2 12 43 3" xfId="36327" xr:uid="{00000000-0005-0000-0000-0000F58D0000}"/>
    <cellStyle name="Uwaga 2 12 44" xfId="36328" xr:uid="{00000000-0005-0000-0000-0000F68D0000}"/>
    <cellStyle name="Uwaga 2 12 44 2" xfId="36329" xr:uid="{00000000-0005-0000-0000-0000F78D0000}"/>
    <cellStyle name="Uwaga 2 12 44 3" xfId="36330" xr:uid="{00000000-0005-0000-0000-0000F88D0000}"/>
    <cellStyle name="Uwaga 2 12 45" xfId="36331" xr:uid="{00000000-0005-0000-0000-0000F98D0000}"/>
    <cellStyle name="Uwaga 2 12 45 2" xfId="36332" xr:uid="{00000000-0005-0000-0000-0000FA8D0000}"/>
    <cellStyle name="Uwaga 2 12 45 3" xfId="36333" xr:uid="{00000000-0005-0000-0000-0000FB8D0000}"/>
    <cellStyle name="Uwaga 2 12 46" xfId="36334" xr:uid="{00000000-0005-0000-0000-0000FC8D0000}"/>
    <cellStyle name="Uwaga 2 12 46 2" xfId="36335" xr:uid="{00000000-0005-0000-0000-0000FD8D0000}"/>
    <cellStyle name="Uwaga 2 12 46 3" xfId="36336" xr:uid="{00000000-0005-0000-0000-0000FE8D0000}"/>
    <cellStyle name="Uwaga 2 12 47" xfId="36337" xr:uid="{00000000-0005-0000-0000-0000FF8D0000}"/>
    <cellStyle name="Uwaga 2 12 47 2" xfId="36338" xr:uid="{00000000-0005-0000-0000-0000008E0000}"/>
    <cellStyle name="Uwaga 2 12 47 3" xfId="36339" xr:uid="{00000000-0005-0000-0000-0000018E0000}"/>
    <cellStyle name="Uwaga 2 12 48" xfId="36340" xr:uid="{00000000-0005-0000-0000-0000028E0000}"/>
    <cellStyle name="Uwaga 2 12 48 2" xfId="36341" xr:uid="{00000000-0005-0000-0000-0000038E0000}"/>
    <cellStyle name="Uwaga 2 12 48 3" xfId="36342" xr:uid="{00000000-0005-0000-0000-0000048E0000}"/>
    <cellStyle name="Uwaga 2 12 49" xfId="36343" xr:uid="{00000000-0005-0000-0000-0000058E0000}"/>
    <cellStyle name="Uwaga 2 12 49 2" xfId="36344" xr:uid="{00000000-0005-0000-0000-0000068E0000}"/>
    <cellStyle name="Uwaga 2 12 49 3" xfId="36345" xr:uid="{00000000-0005-0000-0000-0000078E0000}"/>
    <cellStyle name="Uwaga 2 12 5" xfId="36346" xr:uid="{00000000-0005-0000-0000-0000088E0000}"/>
    <cellStyle name="Uwaga 2 12 5 2" xfId="36347" xr:uid="{00000000-0005-0000-0000-0000098E0000}"/>
    <cellStyle name="Uwaga 2 12 5 3" xfId="36348" xr:uid="{00000000-0005-0000-0000-00000A8E0000}"/>
    <cellStyle name="Uwaga 2 12 5 4" xfId="36349" xr:uid="{00000000-0005-0000-0000-00000B8E0000}"/>
    <cellStyle name="Uwaga 2 12 50" xfId="36350" xr:uid="{00000000-0005-0000-0000-00000C8E0000}"/>
    <cellStyle name="Uwaga 2 12 50 2" xfId="36351" xr:uid="{00000000-0005-0000-0000-00000D8E0000}"/>
    <cellStyle name="Uwaga 2 12 50 3" xfId="36352" xr:uid="{00000000-0005-0000-0000-00000E8E0000}"/>
    <cellStyle name="Uwaga 2 12 51" xfId="36353" xr:uid="{00000000-0005-0000-0000-00000F8E0000}"/>
    <cellStyle name="Uwaga 2 12 51 2" xfId="36354" xr:uid="{00000000-0005-0000-0000-0000108E0000}"/>
    <cellStyle name="Uwaga 2 12 51 3" xfId="36355" xr:uid="{00000000-0005-0000-0000-0000118E0000}"/>
    <cellStyle name="Uwaga 2 12 52" xfId="36356" xr:uid="{00000000-0005-0000-0000-0000128E0000}"/>
    <cellStyle name="Uwaga 2 12 52 2" xfId="36357" xr:uid="{00000000-0005-0000-0000-0000138E0000}"/>
    <cellStyle name="Uwaga 2 12 52 3" xfId="36358" xr:uid="{00000000-0005-0000-0000-0000148E0000}"/>
    <cellStyle name="Uwaga 2 12 53" xfId="36359" xr:uid="{00000000-0005-0000-0000-0000158E0000}"/>
    <cellStyle name="Uwaga 2 12 53 2" xfId="36360" xr:uid="{00000000-0005-0000-0000-0000168E0000}"/>
    <cellStyle name="Uwaga 2 12 53 3" xfId="36361" xr:uid="{00000000-0005-0000-0000-0000178E0000}"/>
    <cellStyle name="Uwaga 2 12 54" xfId="36362" xr:uid="{00000000-0005-0000-0000-0000188E0000}"/>
    <cellStyle name="Uwaga 2 12 54 2" xfId="36363" xr:uid="{00000000-0005-0000-0000-0000198E0000}"/>
    <cellStyle name="Uwaga 2 12 54 3" xfId="36364" xr:uid="{00000000-0005-0000-0000-00001A8E0000}"/>
    <cellStyle name="Uwaga 2 12 55" xfId="36365" xr:uid="{00000000-0005-0000-0000-00001B8E0000}"/>
    <cellStyle name="Uwaga 2 12 55 2" xfId="36366" xr:uid="{00000000-0005-0000-0000-00001C8E0000}"/>
    <cellStyle name="Uwaga 2 12 55 3" xfId="36367" xr:uid="{00000000-0005-0000-0000-00001D8E0000}"/>
    <cellStyle name="Uwaga 2 12 56" xfId="36368" xr:uid="{00000000-0005-0000-0000-00001E8E0000}"/>
    <cellStyle name="Uwaga 2 12 56 2" xfId="36369" xr:uid="{00000000-0005-0000-0000-00001F8E0000}"/>
    <cellStyle name="Uwaga 2 12 56 3" xfId="36370" xr:uid="{00000000-0005-0000-0000-0000208E0000}"/>
    <cellStyle name="Uwaga 2 12 57" xfId="36371" xr:uid="{00000000-0005-0000-0000-0000218E0000}"/>
    <cellStyle name="Uwaga 2 12 58" xfId="36372" xr:uid="{00000000-0005-0000-0000-0000228E0000}"/>
    <cellStyle name="Uwaga 2 12 6" xfId="36373" xr:uid="{00000000-0005-0000-0000-0000238E0000}"/>
    <cellStyle name="Uwaga 2 12 6 2" xfId="36374" xr:uid="{00000000-0005-0000-0000-0000248E0000}"/>
    <cellStyle name="Uwaga 2 12 6 3" xfId="36375" xr:uid="{00000000-0005-0000-0000-0000258E0000}"/>
    <cellStyle name="Uwaga 2 12 6 4" xfId="36376" xr:uid="{00000000-0005-0000-0000-0000268E0000}"/>
    <cellStyle name="Uwaga 2 12 7" xfId="36377" xr:uid="{00000000-0005-0000-0000-0000278E0000}"/>
    <cellStyle name="Uwaga 2 12 7 2" xfId="36378" xr:uid="{00000000-0005-0000-0000-0000288E0000}"/>
    <cellStyle name="Uwaga 2 12 7 3" xfId="36379" xr:uid="{00000000-0005-0000-0000-0000298E0000}"/>
    <cellStyle name="Uwaga 2 12 7 4" xfId="36380" xr:uid="{00000000-0005-0000-0000-00002A8E0000}"/>
    <cellStyle name="Uwaga 2 12 8" xfId="36381" xr:uid="{00000000-0005-0000-0000-00002B8E0000}"/>
    <cellStyle name="Uwaga 2 12 8 2" xfId="36382" xr:uid="{00000000-0005-0000-0000-00002C8E0000}"/>
    <cellStyle name="Uwaga 2 12 8 3" xfId="36383" xr:uid="{00000000-0005-0000-0000-00002D8E0000}"/>
    <cellStyle name="Uwaga 2 12 8 4" xfId="36384" xr:uid="{00000000-0005-0000-0000-00002E8E0000}"/>
    <cellStyle name="Uwaga 2 12 9" xfId="36385" xr:uid="{00000000-0005-0000-0000-00002F8E0000}"/>
    <cellStyle name="Uwaga 2 12 9 2" xfId="36386" xr:uid="{00000000-0005-0000-0000-0000308E0000}"/>
    <cellStyle name="Uwaga 2 12 9 3" xfId="36387" xr:uid="{00000000-0005-0000-0000-0000318E0000}"/>
    <cellStyle name="Uwaga 2 12 9 4" xfId="36388" xr:uid="{00000000-0005-0000-0000-0000328E0000}"/>
    <cellStyle name="Uwaga 2 13" xfId="36389" xr:uid="{00000000-0005-0000-0000-0000338E0000}"/>
    <cellStyle name="Uwaga 2 13 10" xfId="36390" xr:uid="{00000000-0005-0000-0000-0000348E0000}"/>
    <cellStyle name="Uwaga 2 13 10 2" xfId="36391" xr:uid="{00000000-0005-0000-0000-0000358E0000}"/>
    <cellStyle name="Uwaga 2 13 10 3" xfId="36392" xr:uid="{00000000-0005-0000-0000-0000368E0000}"/>
    <cellStyle name="Uwaga 2 13 10 4" xfId="36393" xr:uid="{00000000-0005-0000-0000-0000378E0000}"/>
    <cellStyle name="Uwaga 2 13 11" xfId="36394" xr:uid="{00000000-0005-0000-0000-0000388E0000}"/>
    <cellStyle name="Uwaga 2 13 11 2" xfId="36395" xr:uid="{00000000-0005-0000-0000-0000398E0000}"/>
    <cellStyle name="Uwaga 2 13 11 3" xfId="36396" xr:uid="{00000000-0005-0000-0000-00003A8E0000}"/>
    <cellStyle name="Uwaga 2 13 11 4" xfId="36397" xr:uid="{00000000-0005-0000-0000-00003B8E0000}"/>
    <cellStyle name="Uwaga 2 13 12" xfId="36398" xr:uid="{00000000-0005-0000-0000-00003C8E0000}"/>
    <cellStyle name="Uwaga 2 13 12 2" xfId="36399" xr:uid="{00000000-0005-0000-0000-00003D8E0000}"/>
    <cellStyle name="Uwaga 2 13 12 3" xfId="36400" xr:uid="{00000000-0005-0000-0000-00003E8E0000}"/>
    <cellStyle name="Uwaga 2 13 12 4" xfId="36401" xr:uid="{00000000-0005-0000-0000-00003F8E0000}"/>
    <cellStyle name="Uwaga 2 13 13" xfId="36402" xr:uid="{00000000-0005-0000-0000-0000408E0000}"/>
    <cellStyle name="Uwaga 2 13 13 2" xfId="36403" xr:uid="{00000000-0005-0000-0000-0000418E0000}"/>
    <cellStyle name="Uwaga 2 13 13 3" xfId="36404" xr:uid="{00000000-0005-0000-0000-0000428E0000}"/>
    <cellStyle name="Uwaga 2 13 13 4" xfId="36405" xr:uid="{00000000-0005-0000-0000-0000438E0000}"/>
    <cellStyle name="Uwaga 2 13 14" xfId="36406" xr:uid="{00000000-0005-0000-0000-0000448E0000}"/>
    <cellStyle name="Uwaga 2 13 14 2" xfId="36407" xr:uid="{00000000-0005-0000-0000-0000458E0000}"/>
    <cellStyle name="Uwaga 2 13 14 3" xfId="36408" xr:uid="{00000000-0005-0000-0000-0000468E0000}"/>
    <cellStyle name="Uwaga 2 13 14 4" xfId="36409" xr:uid="{00000000-0005-0000-0000-0000478E0000}"/>
    <cellStyle name="Uwaga 2 13 15" xfId="36410" xr:uid="{00000000-0005-0000-0000-0000488E0000}"/>
    <cellStyle name="Uwaga 2 13 15 2" xfId="36411" xr:uid="{00000000-0005-0000-0000-0000498E0000}"/>
    <cellStyle name="Uwaga 2 13 15 3" xfId="36412" xr:uid="{00000000-0005-0000-0000-00004A8E0000}"/>
    <cellStyle name="Uwaga 2 13 15 4" xfId="36413" xr:uid="{00000000-0005-0000-0000-00004B8E0000}"/>
    <cellStyle name="Uwaga 2 13 16" xfId="36414" xr:uid="{00000000-0005-0000-0000-00004C8E0000}"/>
    <cellStyle name="Uwaga 2 13 16 2" xfId="36415" xr:uid="{00000000-0005-0000-0000-00004D8E0000}"/>
    <cellStyle name="Uwaga 2 13 16 3" xfId="36416" xr:uid="{00000000-0005-0000-0000-00004E8E0000}"/>
    <cellStyle name="Uwaga 2 13 16 4" xfId="36417" xr:uid="{00000000-0005-0000-0000-00004F8E0000}"/>
    <cellStyle name="Uwaga 2 13 17" xfId="36418" xr:uid="{00000000-0005-0000-0000-0000508E0000}"/>
    <cellStyle name="Uwaga 2 13 17 2" xfId="36419" xr:uid="{00000000-0005-0000-0000-0000518E0000}"/>
    <cellStyle name="Uwaga 2 13 17 3" xfId="36420" xr:uid="{00000000-0005-0000-0000-0000528E0000}"/>
    <cellStyle name="Uwaga 2 13 17 4" xfId="36421" xr:uid="{00000000-0005-0000-0000-0000538E0000}"/>
    <cellStyle name="Uwaga 2 13 18" xfId="36422" xr:uid="{00000000-0005-0000-0000-0000548E0000}"/>
    <cellStyle name="Uwaga 2 13 18 2" xfId="36423" xr:uid="{00000000-0005-0000-0000-0000558E0000}"/>
    <cellStyle name="Uwaga 2 13 18 3" xfId="36424" xr:uid="{00000000-0005-0000-0000-0000568E0000}"/>
    <cellStyle name="Uwaga 2 13 18 4" xfId="36425" xr:uid="{00000000-0005-0000-0000-0000578E0000}"/>
    <cellStyle name="Uwaga 2 13 19" xfId="36426" xr:uid="{00000000-0005-0000-0000-0000588E0000}"/>
    <cellStyle name="Uwaga 2 13 19 2" xfId="36427" xr:uid="{00000000-0005-0000-0000-0000598E0000}"/>
    <cellStyle name="Uwaga 2 13 19 3" xfId="36428" xr:uid="{00000000-0005-0000-0000-00005A8E0000}"/>
    <cellStyle name="Uwaga 2 13 19 4" xfId="36429" xr:uid="{00000000-0005-0000-0000-00005B8E0000}"/>
    <cellStyle name="Uwaga 2 13 2" xfId="36430" xr:uid="{00000000-0005-0000-0000-00005C8E0000}"/>
    <cellStyle name="Uwaga 2 13 2 2" xfId="36431" xr:uid="{00000000-0005-0000-0000-00005D8E0000}"/>
    <cellStyle name="Uwaga 2 13 2 3" xfId="36432" xr:uid="{00000000-0005-0000-0000-00005E8E0000}"/>
    <cellStyle name="Uwaga 2 13 2 4" xfId="36433" xr:uid="{00000000-0005-0000-0000-00005F8E0000}"/>
    <cellStyle name="Uwaga 2 13 20" xfId="36434" xr:uid="{00000000-0005-0000-0000-0000608E0000}"/>
    <cellStyle name="Uwaga 2 13 20 2" xfId="36435" xr:uid="{00000000-0005-0000-0000-0000618E0000}"/>
    <cellStyle name="Uwaga 2 13 20 3" xfId="36436" xr:uid="{00000000-0005-0000-0000-0000628E0000}"/>
    <cellStyle name="Uwaga 2 13 20 4" xfId="36437" xr:uid="{00000000-0005-0000-0000-0000638E0000}"/>
    <cellStyle name="Uwaga 2 13 21" xfId="36438" xr:uid="{00000000-0005-0000-0000-0000648E0000}"/>
    <cellStyle name="Uwaga 2 13 21 2" xfId="36439" xr:uid="{00000000-0005-0000-0000-0000658E0000}"/>
    <cellStyle name="Uwaga 2 13 21 3" xfId="36440" xr:uid="{00000000-0005-0000-0000-0000668E0000}"/>
    <cellStyle name="Uwaga 2 13 22" xfId="36441" xr:uid="{00000000-0005-0000-0000-0000678E0000}"/>
    <cellStyle name="Uwaga 2 13 22 2" xfId="36442" xr:uid="{00000000-0005-0000-0000-0000688E0000}"/>
    <cellStyle name="Uwaga 2 13 22 3" xfId="36443" xr:uid="{00000000-0005-0000-0000-0000698E0000}"/>
    <cellStyle name="Uwaga 2 13 23" xfId="36444" xr:uid="{00000000-0005-0000-0000-00006A8E0000}"/>
    <cellStyle name="Uwaga 2 13 23 2" xfId="36445" xr:uid="{00000000-0005-0000-0000-00006B8E0000}"/>
    <cellStyle name="Uwaga 2 13 23 3" xfId="36446" xr:uid="{00000000-0005-0000-0000-00006C8E0000}"/>
    <cellStyle name="Uwaga 2 13 24" xfId="36447" xr:uid="{00000000-0005-0000-0000-00006D8E0000}"/>
    <cellStyle name="Uwaga 2 13 24 2" xfId="36448" xr:uid="{00000000-0005-0000-0000-00006E8E0000}"/>
    <cellStyle name="Uwaga 2 13 24 3" xfId="36449" xr:uid="{00000000-0005-0000-0000-00006F8E0000}"/>
    <cellStyle name="Uwaga 2 13 25" xfId="36450" xr:uid="{00000000-0005-0000-0000-0000708E0000}"/>
    <cellStyle name="Uwaga 2 13 25 2" xfId="36451" xr:uid="{00000000-0005-0000-0000-0000718E0000}"/>
    <cellStyle name="Uwaga 2 13 25 3" xfId="36452" xr:uid="{00000000-0005-0000-0000-0000728E0000}"/>
    <cellStyle name="Uwaga 2 13 26" xfId="36453" xr:uid="{00000000-0005-0000-0000-0000738E0000}"/>
    <cellStyle name="Uwaga 2 13 26 2" xfId="36454" xr:uid="{00000000-0005-0000-0000-0000748E0000}"/>
    <cellStyle name="Uwaga 2 13 26 3" xfId="36455" xr:uid="{00000000-0005-0000-0000-0000758E0000}"/>
    <cellStyle name="Uwaga 2 13 27" xfId="36456" xr:uid="{00000000-0005-0000-0000-0000768E0000}"/>
    <cellStyle name="Uwaga 2 13 27 2" xfId="36457" xr:uid="{00000000-0005-0000-0000-0000778E0000}"/>
    <cellStyle name="Uwaga 2 13 27 3" xfId="36458" xr:uid="{00000000-0005-0000-0000-0000788E0000}"/>
    <cellStyle name="Uwaga 2 13 28" xfId="36459" xr:uid="{00000000-0005-0000-0000-0000798E0000}"/>
    <cellStyle name="Uwaga 2 13 28 2" xfId="36460" xr:uid="{00000000-0005-0000-0000-00007A8E0000}"/>
    <cellStyle name="Uwaga 2 13 28 3" xfId="36461" xr:uid="{00000000-0005-0000-0000-00007B8E0000}"/>
    <cellStyle name="Uwaga 2 13 29" xfId="36462" xr:uid="{00000000-0005-0000-0000-00007C8E0000}"/>
    <cellStyle name="Uwaga 2 13 29 2" xfId="36463" xr:uid="{00000000-0005-0000-0000-00007D8E0000}"/>
    <cellStyle name="Uwaga 2 13 29 3" xfId="36464" xr:uid="{00000000-0005-0000-0000-00007E8E0000}"/>
    <cellStyle name="Uwaga 2 13 3" xfId="36465" xr:uid="{00000000-0005-0000-0000-00007F8E0000}"/>
    <cellStyle name="Uwaga 2 13 3 2" xfId="36466" xr:uid="{00000000-0005-0000-0000-0000808E0000}"/>
    <cellStyle name="Uwaga 2 13 3 3" xfId="36467" xr:uid="{00000000-0005-0000-0000-0000818E0000}"/>
    <cellStyle name="Uwaga 2 13 3 4" xfId="36468" xr:uid="{00000000-0005-0000-0000-0000828E0000}"/>
    <cellStyle name="Uwaga 2 13 30" xfId="36469" xr:uid="{00000000-0005-0000-0000-0000838E0000}"/>
    <cellStyle name="Uwaga 2 13 30 2" xfId="36470" xr:uid="{00000000-0005-0000-0000-0000848E0000}"/>
    <cellStyle name="Uwaga 2 13 30 3" xfId="36471" xr:uid="{00000000-0005-0000-0000-0000858E0000}"/>
    <cellStyle name="Uwaga 2 13 31" xfId="36472" xr:uid="{00000000-0005-0000-0000-0000868E0000}"/>
    <cellStyle name="Uwaga 2 13 31 2" xfId="36473" xr:uid="{00000000-0005-0000-0000-0000878E0000}"/>
    <cellStyle name="Uwaga 2 13 31 3" xfId="36474" xr:uid="{00000000-0005-0000-0000-0000888E0000}"/>
    <cellStyle name="Uwaga 2 13 32" xfId="36475" xr:uid="{00000000-0005-0000-0000-0000898E0000}"/>
    <cellStyle name="Uwaga 2 13 32 2" xfId="36476" xr:uid="{00000000-0005-0000-0000-00008A8E0000}"/>
    <cellStyle name="Uwaga 2 13 32 3" xfId="36477" xr:uid="{00000000-0005-0000-0000-00008B8E0000}"/>
    <cellStyle name="Uwaga 2 13 33" xfId="36478" xr:uid="{00000000-0005-0000-0000-00008C8E0000}"/>
    <cellStyle name="Uwaga 2 13 33 2" xfId="36479" xr:uid="{00000000-0005-0000-0000-00008D8E0000}"/>
    <cellStyle name="Uwaga 2 13 33 3" xfId="36480" xr:uid="{00000000-0005-0000-0000-00008E8E0000}"/>
    <cellStyle name="Uwaga 2 13 34" xfId="36481" xr:uid="{00000000-0005-0000-0000-00008F8E0000}"/>
    <cellStyle name="Uwaga 2 13 34 2" xfId="36482" xr:uid="{00000000-0005-0000-0000-0000908E0000}"/>
    <cellStyle name="Uwaga 2 13 34 3" xfId="36483" xr:uid="{00000000-0005-0000-0000-0000918E0000}"/>
    <cellStyle name="Uwaga 2 13 35" xfId="36484" xr:uid="{00000000-0005-0000-0000-0000928E0000}"/>
    <cellStyle name="Uwaga 2 13 35 2" xfId="36485" xr:uid="{00000000-0005-0000-0000-0000938E0000}"/>
    <cellStyle name="Uwaga 2 13 35 3" xfId="36486" xr:uid="{00000000-0005-0000-0000-0000948E0000}"/>
    <cellStyle name="Uwaga 2 13 36" xfId="36487" xr:uid="{00000000-0005-0000-0000-0000958E0000}"/>
    <cellStyle name="Uwaga 2 13 36 2" xfId="36488" xr:uid="{00000000-0005-0000-0000-0000968E0000}"/>
    <cellStyle name="Uwaga 2 13 36 3" xfId="36489" xr:uid="{00000000-0005-0000-0000-0000978E0000}"/>
    <cellStyle name="Uwaga 2 13 37" xfId="36490" xr:uid="{00000000-0005-0000-0000-0000988E0000}"/>
    <cellStyle name="Uwaga 2 13 37 2" xfId="36491" xr:uid="{00000000-0005-0000-0000-0000998E0000}"/>
    <cellStyle name="Uwaga 2 13 37 3" xfId="36492" xr:uid="{00000000-0005-0000-0000-00009A8E0000}"/>
    <cellStyle name="Uwaga 2 13 38" xfId="36493" xr:uid="{00000000-0005-0000-0000-00009B8E0000}"/>
    <cellStyle name="Uwaga 2 13 38 2" xfId="36494" xr:uid="{00000000-0005-0000-0000-00009C8E0000}"/>
    <cellStyle name="Uwaga 2 13 38 3" xfId="36495" xr:uid="{00000000-0005-0000-0000-00009D8E0000}"/>
    <cellStyle name="Uwaga 2 13 39" xfId="36496" xr:uid="{00000000-0005-0000-0000-00009E8E0000}"/>
    <cellStyle name="Uwaga 2 13 39 2" xfId="36497" xr:uid="{00000000-0005-0000-0000-00009F8E0000}"/>
    <cellStyle name="Uwaga 2 13 39 3" xfId="36498" xr:uid="{00000000-0005-0000-0000-0000A08E0000}"/>
    <cellStyle name="Uwaga 2 13 4" xfId="36499" xr:uid="{00000000-0005-0000-0000-0000A18E0000}"/>
    <cellStyle name="Uwaga 2 13 4 2" xfId="36500" xr:uid="{00000000-0005-0000-0000-0000A28E0000}"/>
    <cellStyle name="Uwaga 2 13 4 3" xfId="36501" xr:uid="{00000000-0005-0000-0000-0000A38E0000}"/>
    <cellStyle name="Uwaga 2 13 4 4" xfId="36502" xr:uid="{00000000-0005-0000-0000-0000A48E0000}"/>
    <cellStyle name="Uwaga 2 13 40" xfId="36503" xr:uid="{00000000-0005-0000-0000-0000A58E0000}"/>
    <cellStyle name="Uwaga 2 13 40 2" xfId="36504" xr:uid="{00000000-0005-0000-0000-0000A68E0000}"/>
    <cellStyle name="Uwaga 2 13 40 3" xfId="36505" xr:uid="{00000000-0005-0000-0000-0000A78E0000}"/>
    <cellStyle name="Uwaga 2 13 41" xfId="36506" xr:uid="{00000000-0005-0000-0000-0000A88E0000}"/>
    <cellStyle name="Uwaga 2 13 41 2" xfId="36507" xr:uid="{00000000-0005-0000-0000-0000A98E0000}"/>
    <cellStyle name="Uwaga 2 13 41 3" xfId="36508" xr:uid="{00000000-0005-0000-0000-0000AA8E0000}"/>
    <cellStyle name="Uwaga 2 13 42" xfId="36509" xr:uid="{00000000-0005-0000-0000-0000AB8E0000}"/>
    <cellStyle name="Uwaga 2 13 42 2" xfId="36510" xr:uid="{00000000-0005-0000-0000-0000AC8E0000}"/>
    <cellStyle name="Uwaga 2 13 42 3" xfId="36511" xr:uid="{00000000-0005-0000-0000-0000AD8E0000}"/>
    <cellStyle name="Uwaga 2 13 43" xfId="36512" xr:uid="{00000000-0005-0000-0000-0000AE8E0000}"/>
    <cellStyle name="Uwaga 2 13 43 2" xfId="36513" xr:uid="{00000000-0005-0000-0000-0000AF8E0000}"/>
    <cellStyle name="Uwaga 2 13 43 3" xfId="36514" xr:uid="{00000000-0005-0000-0000-0000B08E0000}"/>
    <cellStyle name="Uwaga 2 13 44" xfId="36515" xr:uid="{00000000-0005-0000-0000-0000B18E0000}"/>
    <cellStyle name="Uwaga 2 13 44 2" xfId="36516" xr:uid="{00000000-0005-0000-0000-0000B28E0000}"/>
    <cellStyle name="Uwaga 2 13 44 3" xfId="36517" xr:uid="{00000000-0005-0000-0000-0000B38E0000}"/>
    <cellStyle name="Uwaga 2 13 45" xfId="36518" xr:uid="{00000000-0005-0000-0000-0000B48E0000}"/>
    <cellStyle name="Uwaga 2 13 45 2" xfId="36519" xr:uid="{00000000-0005-0000-0000-0000B58E0000}"/>
    <cellStyle name="Uwaga 2 13 45 3" xfId="36520" xr:uid="{00000000-0005-0000-0000-0000B68E0000}"/>
    <cellStyle name="Uwaga 2 13 46" xfId="36521" xr:uid="{00000000-0005-0000-0000-0000B78E0000}"/>
    <cellStyle name="Uwaga 2 13 46 2" xfId="36522" xr:uid="{00000000-0005-0000-0000-0000B88E0000}"/>
    <cellStyle name="Uwaga 2 13 46 3" xfId="36523" xr:uid="{00000000-0005-0000-0000-0000B98E0000}"/>
    <cellStyle name="Uwaga 2 13 47" xfId="36524" xr:uid="{00000000-0005-0000-0000-0000BA8E0000}"/>
    <cellStyle name="Uwaga 2 13 47 2" xfId="36525" xr:uid="{00000000-0005-0000-0000-0000BB8E0000}"/>
    <cellStyle name="Uwaga 2 13 47 3" xfId="36526" xr:uid="{00000000-0005-0000-0000-0000BC8E0000}"/>
    <cellStyle name="Uwaga 2 13 48" xfId="36527" xr:uid="{00000000-0005-0000-0000-0000BD8E0000}"/>
    <cellStyle name="Uwaga 2 13 48 2" xfId="36528" xr:uid="{00000000-0005-0000-0000-0000BE8E0000}"/>
    <cellStyle name="Uwaga 2 13 48 3" xfId="36529" xr:uid="{00000000-0005-0000-0000-0000BF8E0000}"/>
    <cellStyle name="Uwaga 2 13 49" xfId="36530" xr:uid="{00000000-0005-0000-0000-0000C08E0000}"/>
    <cellStyle name="Uwaga 2 13 49 2" xfId="36531" xr:uid="{00000000-0005-0000-0000-0000C18E0000}"/>
    <cellStyle name="Uwaga 2 13 49 3" xfId="36532" xr:uid="{00000000-0005-0000-0000-0000C28E0000}"/>
    <cellStyle name="Uwaga 2 13 5" xfId="36533" xr:uid="{00000000-0005-0000-0000-0000C38E0000}"/>
    <cellStyle name="Uwaga 2 13 5 2" xfId="36534" xr:uid="{00000000-0005-0000-0000-0000C48E0000}"/>
    <cellStyle name="Uwaga 2 13 5 3" xfId="36535" xr:uid="{00000000-0005-0000-0000-0000C58E0000}"/>
    <cellStyle name="Uwaga 2 13 5 4" xfId="36536" xr:uid="{00000000-0005-0000-0000-0000C68E0000}"/>
    <cellStyle name="Uwaga 2 13 50" xfId="36537" xr:uid="{00000000-0005-0000-0000-0000C78E0000}"/>
    <cellStyle name="Uwaga 2 13 50 2" xfId="36538" xr:uid="{00000000-0005-0000-0000-0000C88E0000}"/>
    <cellStyle name="Uwaga 2 13 50 3" xfId="36539" xr:uid="{00000000-0005-0000-0000-0000C98E0000}"/>
    <cellStyle name="Uwaga 2 13 51" xfId="36540" xr:uid="{00000000-0005-0000-0000-0000CA8E0000}"/>
    <cellStyle name="Uwaga 2 13 51 2" xfId="36541" xr:uid="{00000000-0005-0000-0000-0000CB8E0000}"/>
    <cellStyle name="Uwaga 2 13 51 3" xfId="36542" xr:uid="{00000000-0005-0000-0000-0000CC8E0000}"/>
    <cellStyle name="Uwaga 2 13 52" xfId="36543" xr:uid="{00000000-0005-0000-0000-0000CD8E0000}"/>
    <cellStyle name="Uwaga 2 13 52 2" xfId="36544" xr:uid="{00000000-0005-0000-0000-0000CE8E0000}"/>
    <cellStyle name="Uwaga 2 13 52 3" xfId="36545" xr:uid="{00000000-0005-0000-0000-0000CF8E0000}"/>
    <cellStyle name="Uwaga 2 13 53" xfId="36546" xr:uid="{00000000-0005-0000-0000-0000D08E0000}"/>
    <cellStyle name="Uwaga 2 13 53 2" xfId="36547" xr:uid="{00000000-0005-0000-0000-0000D18E0000}"/>
    <cellStyle name="Uwaga 2 13 53 3" xfId="36548" xr:uid="{00000000-0005-0000-0000-0000D28E0000}"/>
    <cellStyle name="Uwaga 2 13 54" xfId="36549" xr:uid="{00000000-0005-0000-0000-0000D38E0000}"/>
    <cellStyle name="Uwaga 2 13 54 2" xfId="36550" xr:uid="{00000000-0005-0000-0000-0000D48E0000}"/>
    <cellStyle name="Uwaga 2 13 54 3" xfId="36551" xr:uid="{00000000-0005-0000-0000-0000D58E0000}"/>
    <cellStyle name="Uwaga 2 13 55" xfId="36552" xr:uid="{00000000-0005-0000-0000-0000D68E0000}"/>
    <cellStyle name="Uwaga 2 13 55 2" xfId="36553" xr:uid="{00000000-0005-0000-0000-0000D78E0000}"/>
    <cellStyle name="Uwaga 2 13 55 3" xfId="36554" xr:uid="{00000000-0005-0000-0000-0000D88E0000}"/>
    <cellStyle name="Uwaga 2 13 56" xfId="36555" xr:uid="{00000000-0005-0000-0000-0000D98E0000}"/>
    <cellStyle name="Uwaga 2 13 56 2" xfId="36556" xr:uid="{00000000-0005-0000-0000-0000DA8E0000}"/>
    <cellStyle name="Uwaga 2 13 56 3" xfId="36557" xr:uid="{00000000-0005-0000-0000-0000DB8E0000}"/>
    <cellStyle name="Uwaga 2 13 57" xfId="36558" xr:uid="{00000000-0005-0000-0000-0000DC8E0000}"/>
    <cellStyle name="Uwaga 2 13 58" xfId="36559" xr:uid="{00000000-0005-0000-0000-0000DD8E0000}"/>
    <cellStyle name="Uwaga 2 13 6" xfId="36560" xr:uid="{00000000-0005-0000-0000-0000DE8E0000}"/>
    <cellStyle name="Uwaga 2 13 6 2" xfId="36561" xr:uid="{00000000-0005-0000-0000-0000DF8E0000}"/>
    <cellStyle name="Uwaga 2 13 6 3" xfId="36562" xr:uid="{00000000-0005-0000-0000-0000E08E0000}"/>
    <cellStyle name="Uwaga 2 13 6 4" xfId="36563" xr:uid="{00000000-0005-0000-0000-0000E18E0000}"/>
    <cellStyle name="Uwaga 2 13 7" xfId="36564" xr:uid="{00000000-0005-0000-0000-0000E28E0000}"/>
    <cellStyle name="Uwaga 2 13 7 2" xfId="36565" xr:uid="{00000000-0005-0000-0000-0000E38E0000}"/>
    <cellStyle name="Uwaga 2 13 7 3" xfId="36566" xr:uid="{00000000-0005-0000-0000-0000E48E0000}"/>
    <cellStyle name="Uwaga 2 13 7 4" xfId="36567" xr:uid="{00000000-0005-0000-0000-0000E58E0000}"/>
    <cellStyle name="Uwaga 2 13 8" xfId="36568" xr:uid="{00000000-0005-0000-0000-0000E68E0000}"/>
    <cellStyle name="Uwaga 2 13 8 2" xfId="36569" xr:uid="{00000000-0005-0000-0000-0000E78E0000}"/>
    <cellStyle name="Uwaga 2 13 8 3" xfId="36570" xr:uid="{00000000-0005-0000-0000-0000E88E0000}"/>
    <cellStyle name="Uwaga 2 13 8 4" xfId="36571" xr:uid="{00000000-0005-0000-0000-0000E98E0000}"/>
    <cellStyle name="Uwaga 2 13 9" xfId="36572" xr:uid="{00000000-0005-0000-0000-0000EA8E0000}"/>
    <cellStyle name="Uwaga 2 13 9 2" xfId="36573" xr:uid="{00000000-0005-0000-0000-0000EB8E0000}"/>
    <cellStyle name="Uwaga 2 13 9 3" xfId="36574" xr:uid="{00000000-0005-0000-0000-0000EC8E0000}"/>
    <cellStyle name="Uwaga 2 13 9 4" xfId="36575" xr:uid="{00000000-0005-0000-0000-0000ED8E0000}"/>
    <cellStyle name="Uwaga 2 14" xfId="36576" xr:uid="{00000000-0005-0000-0000-0000EE8E0000}"/>
    <cellStyle name="Uwaga 2 14 10" xfId="36577" xr:uid="{00000000-0005-0000-0000-0000EF8E0000}"/>
    <cellStyle name="Uwaga 2 14 10 2" xfId="36578" xr:uid="{00000000-0005-0000-0000-0000F08E0000}"/>
    <cellStyle name="Uwaga 2 14 10 3" xfId="36579" xr:uid="{00000000-0005-0000-0000-0000F18E0000}"/>
    <cellStyle name="Uwaga 2 14 10 4" xfId="36580" xr:uid="{00000000-0005-0000-0000-0000F28E0000}"/>
    <cellStyle name="Uwaga 2 14 11" xfId="36581" xr:uid="{00000000-0005-0000-0000-0000F38E0000}"/>
    <cellStyle name="Uwaga 2 14 11 2" xfId="36582" xr:uid="{00000000-0005-0000-0000-0000F48E0000}"/>
    <cellStyle name="Uwaga 2 14 11 3" xfId="36583" xr:uid="{00000000-0005-0000-0000-0000F58E0000}"/>
    <cellStyle name="Uwaga 2 14 11 4" xfId="36584" xr:uid="{00000000-0005-0000-0000-0000F68E0000}"/>
    <cellStyle name="Uwaga 2 14 12" xfId="36585" xr:uid="{00000000-0005-0000-0000-0000F78E0000}"/>
    <cellStyle name="Uwaga 2 14 12 2" xfId="36586" xr:uid="{00000000-0005-0000-0000-0000F88E0000}"/>
    <cellStyle name="Uwaga 2 14 12 3" xfId="36587" xr:uid="{00000000-0005-0000-0000-0000F98E0000}"/>
    <cellStyle name="Uwaga 2 14 12 4" xfId="36588" xr:uid="{00000000-0005-0000-0000-0000FA8E0000}"/>
    <cellStyle name="Uwaga 2 14 13" xfId="36589" xr:uid="{00000000-0005-0000-0000-0000FB8E0000}"/>
    <cellStyle name="Uwaga 2 14 13 2" xfId="36590" xr:uid="{00000000-0005-0000-0000-0000FC8E0000}"/>
    <cellStyle name="Uwaga 2 14 13 3" xfId="36591" xr:uid="{00000000-0005-0000-0000-0000FD8E0000}"/>
    <cellStyle name="Uwaga 2 14 13 4" xfId="36592" xr:uid="{00000000-0005-0000-0000-0000FE8E0000}"/>
    <cellStyle name="Uwaga 2 14 14" xfId="36593" xr:uid="{00000000-0005-0000-0000-0000FF8E0000}"/>
    <cellStyle name="Uwaga 2 14 14 2" xfId="36594" xr:uid="{00000000-0005-0000-0000-0000008F0000}"/>
    <cellStyle name="Uwaga 2 14 14 3" xfId="36595" xr:uid="{00000000-0005-0000-0000-0000018F0000}"/>
    <cellStyle name="Uwaga 2 14 14 4" xfId="36596" xr:uid="{00000000-0005-0000-0000-0000028F0000}"/>
    <cellStyle name="Uwaga 2 14 15" xfId="36597" xr:uid="{00000000-0005-0000-0000-0000038F0000}"/>
    <cellStyle name="Uwaga 2 14 15 2" xfId="36598" xr:uid="{00000000-0005-0000-0000-0000048F0000}"/>
    <cellStyle name="Uwaga 2 14 15 3" xfId="36599" xr:uid="{00000000-0005-0000-0000-0000058F0000}"/>
    <cellStyle name="Uwaga 2 14 15 4" xfId="36600" xr:uid="{00000000-0005-0000-0000-0000068F0000}"/>
    <cellStyle name="Uwaga 2 14 16" xfId="36601" xr:uid="{00000000-0005-0000-0000-0000078F0000}"/>
    <cellStyle name="Uwaga 2 14 16 2" xfId="36602" xr:uid="{00000000-0005-0000-0000-0000088F0000}"/>
    <cellStyle name="Uwaga 2 14 16 3" xfId="36603" xr:uid="{00000000-0005-0000-0000-0000098F0000}"/>
    <cellStyle name="Uwaga 2 14 16 4" xfId="36604" xr:uid="{00000000-0005-0000-0000-00000A8F0000}"/>
    <cellStyle name="Uwaga 2 14 17" xfId="36605" xr:uid="{00000000-0005-0000-0000-00000B8F0000}"/>
    <cellStyle name="Uwaga 2 14 17 2" xfId="36606" xr:uid="{00000000-0005-0000-0000-00000C8F0000}"/>
    <cellStyle name="Uwaga 2 14 17 3" xfId="36607" xr:uid="{00000000-0005-0000-0000-00000D8F0000}"/>
    <cellStyle name="Uwaga 2 14 17 4" xfId="36608" xr:uid="{00000000-0005-0000-0000-00000E8F0000}"/>
    <cellStyle name="Uwaga 2 14 18" xfId="36609" xr:uid="{00000000-0005-0000-0000-00000F8F0000}"/>
    <cellStyle name="Uwaga 2 14 18 2" xfId="36610" xr:uid="{00000000-0005-0000-0000-0000108F0000}"/>
    <cellStyle name="Uwaga 2 14 18 3" xfId="36611" xr:uid="{00000000-0005-0000-0000-0000118F0000}"/>
    <cellStyle name="Uwaga 2 14 18 4" xfId="36612" xr:uid="{00000000-0005-0000-0000-0000128F0000}"/>
    <cellStyle name="Uwaga 2 14 19" xfId="36613" xr:uid="{00000000-0005-0000-0000-0000138F0000}"/>
    <cellStyle name="Uwaga 2 14 19 2" xfId="36614" xr:uid="{00000000-0005-0000-0000-0000148F0000}"/>
    <cellStyle name="Uwaga 2 14 19 3" xfId="36615" xr:uid="{00000000-0005-0000-0000-0000158F0000}"/>
    <cellStyle name="Uwaga 2 14 19 4" xfId="36616" xr:uid="{00000000-0005-0000-0000-0000168F0000}"/>
    <cellStyle name="Uwaga 2 14 2" xfId="36617" xr:uid="{00000000-0005-0000-0000-0000178F0000}"/>
    <cellStyle name="Uwaga 2 14 2 2" xfId="36618" xr:uid="{00000000-0005-0000-0000-0000188F0000}"/>
    <cellStyle name="Uwaga 2 14 2 3" xfId="36619" xr:uid="{00000000-0005-0000-0000-0000198F0000}"/>
    <cellStyle name="Uwaga 2 14 2 4" xfId="36620" xr:uid="{00000000-0005-0000-0000-00001A8F0000}"/>
    <cellStyle name="Uwaga 2 14 20" xfId="36621" xr:uid="{00000000-0005-0000-0000-00001B8F0000}"/>
    <cellStyle name="Uwaga 2 14 20 2" xfId="36622" xr:uid="{00000000-0005-0000-0000-00001C8F0000}"/>
    <cellStyle name="Uwaga 2 14 20 3" xfId="36623" xr:uid="{00000000-0005-0000-0000-00001D8F0000}"/>
    <cellStyle name="Uwaga 2 14 20 4" xfId="36624" xr:uid="{00000000-0005-0000-0000-00001E8F0000}"/>
    <cellStyle name="Uwaga 2 14 21" xfId="36625" xr:uid="{00000000-0005-0000-0000-00001F8F0000}"/>
    <cellStyle name="Uwaga 2 14 21 2" xfId="36626" xr:uid="{00000000-0005-0000-0000-0000208F0000}"/>
    <cellStyle name="Uwaga 2 14 21 3" xfId="36627" xr:uid="{00000000-0005-0000-0000-0000218F0000}"/>
    <cellStyle name="Uwaga 2 14 22" xfId="36628" xr:uid="{00000000-0005-0000-0000-0000228F0000}"/>
    <cellStyle name="Uwaga 2 14 22 2" xfId="36629" xr:uid="{00000000-0005-0000-0000-0000238F0000}"/>
    <cellStyle name="Uwaga 2 14 22 3" xfId="36630" xr:uid="{00000000-0005-0000-0000-0000248F0000}"/>
    <cellStyle name="Uwaga 2 14 23" xfId="36631" xr:uid="{00000000-0005-0000-0000-0000258F0000}"/>
    <cellStyle name="Uwaga 2 14 23 2" xfId="36632" xr:uid="{00000000-0005-0000-0000-0000268F0000}"/>
    <cellStyle name="Uwaga 2 14 23 3" xfId="36633" xr:uid="{00000000-0005-0000-0000-0000278F0000}"/>
    <cellStyle name="Uwaga 2 14 24" xfId="36634" xr:uid="{00000000-0005-0000-0000-0000288F0000}"/>
    <cellStyle name="Uwaga 2 14 24 2" xfId="36635" xr:uid="{00000000-0005-0000-0000-0000298F0000}"/>
    <cellStyle name="Uwaga 2 14 24 3" xfId="36636" xr:uid="{00000000-0005-0000-0000-00002A8F0000}"/>
    <cellStyle name="Uwaga 2 14 25" xfId="36637" xr:uid="{00000000-0005-0000-0000-00002B8F0000}"/>
    <cellStyle name="Uwaga 2 14 25 2" xfId="36638" xr:uid="{00000000-0005-0000-0000-00002C8F0000}"/>
    <cellStyle name="Uwaga 2 14 25 3" xfId="36639" xr:uid="{00000000-0005-0000-0000-00002D8F0000}"/>
    <cellStyle name="Uwaga 2 14 26" xfId="36640" xr:uid="{00000000-0005-0000-0000-00002E8F0000}"/>
    <cellStyle name="Uwaga 2 14 26 2" xfId="36641" xr:uid="{00000000-0005-0000-0000-00002F8F0000}"/>
    <cellStyle name="Uwaga 2 14 26 3" xfId="36642" xr:uid="{00000000-0005-0000-0000-0000308F0000}"/>
    <cellStyle name="Uwaga 2 14 27" xfId="36643" xr:uid="{00000000-0005-0000-0000-0000318F0000}"/>
    <cellStyle name="Uwaga 2 14 27 2" xfId="36644" xr:uid="{00000000-0005-0000-0000-0000328F0000}"/>
    <cellStyle name="Uwaga 2 14 27 3" xfId="36645" xr:uid="{00000000-0005-0000-0000-0000338F0000}"/>
    <cellStyle name="Uwaga 2 14 28" xfId="36646" xr:uid="{00000000-0005-0000-0000-0000348F0000}"/>
    <cellStyle name="Uwaga 2 14 28 2" xfId="36647" xr:uid="{00000000-0005-0000-0000-0000358F0000}"/>
    <cellStyle name="Uwaga 2 14 28 3" xfId="36648" xr:uid="{00000000-0005-0000-0000-0000368F0000}"/>
    <cellStyle name="Uwaga 2 14 29" xfId="36649" xr:uid="{00000000-0005-0000-0000-0000378F0000}"/>
    <cellStyle name="Uwaga 2 14 29 2" xfId="36650" xr:uid="{00000000-0005-0000-0000-0000388F0000}"/>
    <cellStyle name="Uwaga 2 14 29 3" xfId="36651" xr:uid="{00000000-0005-0000-0000-0000398F0000}"/>
    <cellStyle name="Uwaga 2 14 3" xfId="36652" xr:uid="{00000000-0005-0000-0000-00003A8F0000}"/>
    <cellStyle name="Uwaga 2 14 3 2" xfId="36653" xr:uid="{00000000-0005-0000-0000-00003B8F0000}"/>
    <cellStyle name="Uwaga 2 14 3 3" xfId="36654" xr:uid="{00000000-0005-0000-0000-00003C8F0000}"/>
    <cellStyle name="Uwaga 2 14 3 4" xfId="36655" xr:uid="{00000000-0005-0000-0000-00003D8F0000}"/>
    <cellStyle name="Uwaga 2 14 30" xfId="36656" xr:uid="{00000000-0005-0000-0000-00003E8F0000}"/>
    <cellStyle name="Uwaga 2 14 30 2" xfId="36657" xr:uid="{00000000-0005-0000-0000-00003F8F0000}"/>
    <cellStyle name="Uwaga 2 14 30 3" xfId="36658" xr:uid="{00000000-0005-0000-0000-0000408F0000}"/>
    <cellStyle name="Uwaga 2 14 31" xfId="36659" xr:uid="{00000000-0005-0000-0000-0000418F0000}"/>
    <cellStyle name="Uwaga 2 14 31 2" xfId="36660" xr:uid="{00000000-0005-0000-0000-0000428F0000}"/>
    <cellStyle name="Uwaga 2 14 31 3" xfId="36661" xr:uid="{00000000-0005-0000-0000-0000438F0000}"/>
    <cellStyle name="Uwaga 2 14 32" xfId="36662" xr:uid="{00000000-0005-0000-0000-0000448F0000}"/>
    <cellStyle name="Uwaga 2 14 32 2" xfId="36663" xr:uid="{00000000-0005-0000-0000-0000458F0000}"/>
    <cellStyle name="Uwaga 2 14 32 3" xfId="36664" xr:uid="{00000000-0005-0000-0000-0000468F0000}"/>
    <cellStyle name="Uwaga 2 14 33" xfId="36665" xr:uid="{00000000-0005-0000-0000-0000478F0000}"/>
    <cellStyle name="Uwaga 2 14 33 2" xfId="36666" xr:uid="{00000000-0005-0000-0000-0000488F0000}"/>
    <cellStyle name="Uwaga 2 14 33 3" xfId="36667" xr:uid="{00000000-0005-0000-0000-0000498F0000}"/>
    <cellStyle name="Uwaga 2 14 34" xfId="36668" xr:uid="{00000000-0005-0000-0000-00004A8F0000}"/>
    <cellStyle name="Uwaga 2 14 34 2" xfId="36669" xr:uid="{00000000-0005-0000-0000-00004B8F0000}"/>
    <cellStyle name="Uwaga 2 14 34 3" xfId="36670" xr:uid="{00000000-0005-0000-0000-00004C8F0000}"/>
    <cellStyle name="Uwaga 2 14 35" xfId="36671" xr:uid="{00000000-0005-0000-0000-00004D8F0000}"/>
    <cellStyle name="Uwaga 2 14 35 2" xfId="36672" xr:uid="{00000000-0005-0000-0000-00004E8F0000}"/>
    <cellStyle name="Uwaga 2 14 35 3" xfId="36673" xr:uid="{00000000-0005-0000-0000-00004F8F0000}"/>
    <cellStyle name="Uwaga 2 14 36" xfId="36674" xr:uid="{00000000-0005-0000-0000-0000508F0000}"/>
    <cellStyle name="Uwaga 2 14 36 2" xfId="36675" xr:uid="{00000000-0005-0000-0000-0000518F0000}"/>
    <cellStyle name="Uwaga 2 14 36 3" xfId="36676" xr:uid="{00000000-0005-0000-0000-0000528F0000}"/>
    <cellStyle name="Uwaga 2 14 37" xfId="36677" xr:uid="{00000000-0005-0000-0000-0000538F0000}"/>
    <cellStyle name="Uwaga 2 14 37 2" xfId="36678" xr:uid="{00000000-0005-0000-0000-0000548F0000}"/>
    <cellStyle name="Uwaga 2 14 37 3" xfId="36679" xr:uid="{00000000-0005-0000-0000-0000558F0000}"/>
    <cellStyle name="Uwaga 2 14 38" xfId="36680" xr:uid="{00000000-0005-0000-0000-0000568F0000}"/>
    <cellStyle name="Uwaga 2 14 38 2" xfId="36681" xr:uid="{00000000-0005-0000-0000-0000578F0000}"/>
    <cellStyle name="Uwaga 2 14 38 3" xfId="36682" xr:uid="{00000000-0005-0000-0000-0000588F0000}"/>
    <cellStyle name="Uwaga 2 14 39" xfId="36683" xr:uid="{00000000-0005-0000-0000-0000598F0000}"/>
    <cellStyle name="Uwaga 2 14 39 2" xfId="36684" xr:uid="{00000000-0005-0000-0000-00005A8F0000}"/>
    <cellStyle name="Uwaga 2 14 39 3" xfId="36685" xr:uid="{00000000-0005-0000-0000-00005B8F0000}"/>
    <cellStyle name="Uwaga 2 14 4" xfId="36686" xr:uid="{00000000-0005-0000-0000-00005C8F0000}"/>
    <cellStyle name="Uwaga 2 14 4 2" xfId="36687" xr:uid="{00000000-0005-0000-0000-00005D8F0000}"/>
    <cellStyle name="Uwaga 2 14 4 3" xfId="36688" xr:uid="{00000000-0005-0000-0000-00005E8F0000}"/>
    <cellStyle name="Uwaga 2 14 4 4" xfId="36689" xr:uid="{00000000-0005-0000-0000-00005F8F0000}"/>
    <cellStyle name="Uwaga 2 14 40" xfId="36690" xr:uid="{00000000-0005-0000-0000-0000608F0000}"/>
    <cellStyle name="Uwaga 2 14 40 2" xfId="36691" xr:uid="{00000000-0005-0000-0000-0000618F0000}"/>
    <cellStyle name="Uwaga 2 14 40 3" xfId="36692" xr:uid="{00000000-0005-0000-0000-0000628F0000}"/>
    <cellStyle name="Uwaga 2 14 41" xfId="36693" xr:uid="{00000000-0005-0000-0000-0000638F0000}"/>
    <cellStyle name="Uwaga 2 14 41 2" xfId="36694" xr:uid="{00000000-0005-0000-0000-0000648F0000}"/>
    <cellStyle name="Uwaga 2 14 41 3" xfId="36695" xr:uid="{00000000-0005-0000-0000-0000658F0000}"/>
    <cellStyle name="Uwaga 2 14 42" xfId="36696" xr:uid="{00000000-0005-0000-0000-0000668F0000}"/>
    <cellStyle name="Uwaga 2 14 42 2" xfId="36697" xr:uid="{00000000-0005-0000-0000-0000678F0000}"/>
    <cellStyle name="Uwaga 2 14 42 3" xfId="36698" xr:uid="{00000000-0005-0000-0000-0000688F0000}"/>
    <cellStyle name="Uwaga 2 14 43" xfId="36699" xr:uid="{00000000-0005-0000-0000-0000698F0000}"/>
    <cellStyle name="Uwaga 2 14 43 2" xfId="36700" xr:uid="{00000000-0005-0000-0000-00006A8F0000}"/>
    <cellStyle name="Uwaga 2 14 43 3" xfId="36701" xr:uid="{00000000-0005-0000-0000-00006B8F0000}"/>
    <cellStyle name="Uwaga 2 14 44" xfId="36702" xr:uid="{00000000-0005-0000-0000-00006C8F0000}"/>
    <cellStyle name="Uwaga 2 14 44 2" xfId="36703" xr:uid="{00000000-0005-0000-0000-00006D8F0000}"/>
    <cellStyle name="Uwaga 2 14 44 3" xfId="36704" xr:uid="{00000000-0005-0000-0000-00006E8F0000}"/>
    <cellStyle name="Uwaga 2 14 45" xfId="36705" xr:uid="{00000000-0005-0000-0000-00006F8F0000}"/>
    <cellStyle name="Uwaga 2 14 45 2" xfId="36706" xr:uid="{00000000-0005-0000-0000-0000708F0000}"/>
    <cellStyle name="Uwaga 2 14 45 3" xfId="36707" xr:uid="{00000000-0005-0000-0000-0000718F0000}"/>
    <cellStyle name="Uwaga 2 14 46" xfId="36708" xr:uid="{00000000-0005-0000-0000-0000728F0000}"/>
    <cellStyle name="Uwaga 2 14 46 2" xfId="36709" xr:uid="{00000000-0005-0000-0000-0000738F0000}"/>
    <cellStyle name="Uwaga 2 14 46 3" xfId="36710" xr:uid="{00000000-0005-0000-0000-0000748F0000}"/>
    <cellStyle name="Uwaga 2 14 47" xfId="36711" xr:uid="{00000000-0005-0000-0000-0000758F0000}"/>
    <cellStyle name="Uwaga 2 14 47 2" xfId="36712" xr:uid="{00000000-0005-0000-0000-0000768F0000}"/>
    <cellStyle name="Uwaga 2 14 47 3" xfId="36713" xr:uid="{00000000-0005-0000-0000-0000778F0000}"/>
    <cellStyle name="Uwaga 2 14 48" xfId="36714" xr:uid="{00000000-0005-0000-0000-0000788F0000}"/>
    <cellStyle name="Uwaga 2 14 48 2" xfId="36715" xr:uid="{00000000-0005-0000-0000-0000798F0000}"/>
    <cellStyle name="Uwaga 2 14 48 3" xfId="36716" xr:uid="{00000000-0005-0000-0000-00007A8F0000}"/>
    <cellStyle name="Uwaga 2 14 49" xfId="36717" xr:uid="{00000000-0005-0000-0000-00007B8F0000}"/>
    <cellStyle name="Uwaga 2 14 49 2" xfId="36718" xr:uid="{00000000-0005-0000-0000-00007C8F0000}"/>
    <cellStyle name="Uwaga 2 14 49 3" xfId="36719" xr:uid="{00000000-0005-0000-0000-00007D8F0000}"/>
    <cellStyle name="Uwaga 2 14 5" xfId="36720" xr:uid="{00000000-0005-0000-0000-00007E8F0000}"/>
    <cellStyle name="Uwaga 2 14 5 2" xfId="36721" xr:uid="{00000000-0005-0000-0000-00007F8F0000}"/>
    <cellStyle name="Uwaga 2 14 5 3" xfId="36722" xr:uid="{00000000-0005-0000-0000-0000808F0000}"/>
    <cellStyle name="Uwaga 2 14 5 4" xfId="36723" xr:uid="{00000000-0005-0000-0000-0000818F0000}"/>
    <cellStyle name="Uwaga 2 14 50" xfId="36724" xr:uid="{00000000-0005-0000-0000-0000828F0000}"/>
    <cellStyle name="Uwaga 2 14 50 2" xfId="36725" xr:uid="{00000000-0005-0000-0000-0000838F0000}"/>
    <cellStyle name="Uwaga 2 14 50 3" xfId="36726" xr:uid="{00000000-0005-0000-0000-0000848F0000}"/>
    <cellStyle name="Uwaga 2 14 51" xfId="36727" xr:uid="{00000000-0005-0000-0000-0000858F0000}"/>
    <cellStyle name="Uwaga 2 14 51 2" xfId="36728" xr:uid="{00000000-0005-0000-0000-0000868F0000}"/>
    <cellStyle name="Uwaga 2 14 51 3" xfId="36729" xr:uid="{00000000-0005-0000-0000-0000878F0000}"/>
    <cellStyle name="Uwaga 2 14 52" xfId="36730" xr:uid="{00000000-0005-0000-0000-0000888F0000}"/>
    <cellStyle name="Uwaga 2 14 52 2" xfId="36731" xr:uid="{00000000-0005-0000-0000-0000898F0000}"/>
    <cellStyle name="Uwaga 2 14 52 3" xfId="36732" xr:uid="{00000000-0005-0000-0000-00008A8F0000}"/>
    <cellStyle name="Uwaga 2 14 53" xfId="36733" xr:uid="{00000000-0005-0000-0000-00008B8F0000}"/>
    <cellStyle name="Uwaga 2 14 53 2" xfId="36734" xr:uid="{00000000-0005-0000-0000-00008C8F0000}"/>
    <cellStyle name="Uwaga 2 14 53 3" xfId="36735" xr:uid="{00000000-0005-0000-0000-00008D8F0000}"/>
    <cellStyle name="Uwaga 2 14 54" xfId="36736" xr:uid="{00000000-0005-0000-0000-00008E8F0000}"/>
    <cellStyle name="Uwaga 2 14 54 2" xfId="36737" xr:uid="{00000000-0005-0000-0000-00008F8F0000}"/>
    <cellStyle name="Uwaga 2 14 54 3" xfId="36738" xr:uid="{00000000-0005-0000-0000-0000908F0000}"/>
    <cellStyle name="Uwaga 2 14 55" xfId="36739" xr:uid="{00000000-0005-0000-0000-0000918F0000}"/>
    <cellStyle name="Uwaga 2 14 55 2" xfId="36740" xr:uid="{00000000-0005-0000-0000-0000928F0000}"/>
    <cellStyle name="Uwaga 2 14 55 3" xfId="36741" xr:uid="{00000000-0005-0000-0000-0000938F0000}"/>
    <cellStyle name="Uwaga 2 14 56" xfId="36742" xr:uid="{00000000-0005-0000-0000-0000948F0000}"/>
    <cellStyle name="Uwaga 2 14 56 2" xfId="36743" xr:uid="{00000000-0005-0000-0000-0000958F0000}"/>
    <cellStyle name="Uwaga 2 14 56 3" xfId="36744" xr:uid="{00000000-0005-0000-0000-0000968F0000}"/>
    <cellStyle name="Uwaga 2 14 57" xfId="36745" xr:uid="{00000000-0005-0000-0000-0000978F0000}"/>
    <cellStyle name="Uwaga 2 14 58" xfId="36746" xr:uid="{00000000-0005-0000-0000-0000988F0000}"/>
    <cellStyle name="Uwaga 2 14 6" xfId="36747" xr:uid="{00000000-0005-0000-0000-0000998F0000}"/>
    <cellStyle name="Uwaga 2 14 6 2" xfId="36748" xr:uid="{00000000-0005-0000-0000-00009A8F0000}"/>
    <cellStyle name="Uwaga 2 14 6 3" xfId="36749" xr:uid="{00000000-0005-0000-0000-00009B8F0000}"/>
    <cellStyle name="Uwaga 2 14 6 4" xfId="36750" xr:uid="{00000000-0005-0000-0000-00009C8F0000}"/>
    <cellStyle name="Uwaga 2 14 7" xfId="36751" xr:uid="{00000000-0005-0000-0000-00009D8F0000}"/>
    <cellStyle name="Uwaga 2 14 7 2" xfId="36752" xr:uid="{00000000-0005-0000-0000-00009E8F0000}"/>
    <cellStyle name="Uwaga 2 14 7 3" xfId="36753" xr:uid="{00000000-0005-0000-0000-00009F8F0000}"/>
    <cellStyle name="Uwaga 2 14 7 4" xfId="36754" xr:uid="{00000000-0005-0000-0000-0000A08F0000}"/>
    <cellStyle name="Uwaga 2 14 8" xfId="36755" xr:uid="{00000000-0005-0000-0000-0000A18F0000}"/>
    <cellStyle name="Uwaga 2 14 8 2" xfId="36756" xr:uid="{00000000-0005-0000-0000-0000A28F0000}"/>
    <cellStyle name="Uwaga 2 14 8 3" xfId="36757" xr:uid="{00000000-0005-0000-0000-0000A38F0000}"/>
    <cellStyle name="Uwaga 2 14 8 4" xfId="36758" xr:uid="{00000000-0005-0000-0000-0000A48F0000}"/>
    <cellStyle name="Uwaga 2 14 9" xfId="36759" xr:uid="{00000000-0005-0000-0000-0000A58F0000}"/>
    <cellStyle name="Uwaga 2 14 9 2" xfId="36760" xr:uid="{00000000-0005-0000-0000-0000A68F0000}"/>
    <cellStyle name="Uwaga 2 14 9 3" xfId="36761" xr:uid="{00000000-0005-0000-0000-0000A78F0000}"/>
    <cellStyle name="Uwaga 2 14 9 4" xfId="36762" xr:uid="{00000000-0005-0000-0000-0000A88F0000}"/>
    <cellStyle name="Uwaga 2 15" xfId="36763" xr:uid="{00000000-0005-0000-0000-0000A98F0000}"/>
    <cellStyle name="Uwaga 2 15 10" xfId="36764" xr:uid="{00000000-0005-0000-0000-0000AA8F0000}"/>
    <cellStyle name="Uwaga 2 15 10 2" xfId="36765" xr:uid="{00000000-0005-0000-0000-0000AB8F0000}"/>
    <cellStyle name="Uwaga 2 15 10 3" xfId="36766" xr:uid="{00000000-0005-0000-0000-0000AC8F0000}"/>
    <cellStyle name="Uwaga 2 15 10 4" xfId="36767" xr:uid="{00000000-0005-0000-0000-0000AD8F0000}"/>
    <cellStyle name="Uwaga 2 15 11" xfId="36768" xr:uid="{00000000-0005-0000-0000-0000AE8F0000}"/>
    <cellStyle name="Uwaga 2 15 11 2" xfId="36769" xr:uid="{00000000-0005-0000-0000-0000AF8F0000}"/>
    <cellStyle name="Uwaga 2 15 11 3" xfId="36770" xr:uid="{00000000-0005-0000-0000-0000B08F0000}"/>
    <cellStyle name="Uwaga 2 15 11 4" xfId="36771" xr:uid="{00000000-0005-0000-0000-0000B18F0000}"/>
    <cellStyle name="Uwaga 2 15 12" xfId="36772" xr:uid="{00000000-0005-0000-0000-0000B28F0000}"/>
    <cellStyle name="Uwaga 2 15 12 2" xfId="36773" xr:uid="{00000000-0005-0000-0000-0000B38F0000}"/>
    <cellStyle name="Uwaga 2 15 12 3" xfId="36774" xr:uid="{00000000-0005-0000-0000-0000B48F0000}"/>
    <cellStyle name="Uwaga 2 15 12 4" xfId="36775" xr:uid="{00000000-0005-0000-0000-0000B58F0000}"/>
    <cellStyle name="Uwaga 2 15 13" xfId="36776" xr:uid="{00000000-0005-0000-0000-0000B68F0000}"/>
    <cellStyle name="Uwaga 2 15 13 2" xfId="36777" xr:uid="{00000000-0005-0000-0000-0000B78F0000}"/>
    <cellStyle name="Uwaga 2 15 13 3" xfId="36778" xr:uid="{00000000-0005-0000-0000-0000B88F0000}"/>
    <cellStyle name="Uwaga 2 15 13 4" xfId="36779" xr:uid="{00000000-0005-0000-0000-0000B98F0000}"/>
    <cellStyle name="Uwaga 2 15 14" xfId="36780" xr:uid="{00000000-0005-0000-0000-0000BA8F0000}"/>
    <cellStyle name="Uwaga 2 15 14 2" xfId="36781" xr:uid="{00000000-0005-0000-0000-0000BB8F0000}"/>
    <cellStyle name="Uwaga 2 15 14 3" xfId="36782" xr:uid="{00000000-0005-0000-0000-0000BC8F0000}"/>
    <cellStyle name="Uwaga 2 15 14 4" xfId="36783" xr:uid="{00000000-0005-0000-0000-0000BD8F0000}"/>
    <cellStyle name="Uwaga 2 15 15" xfId="36784" xr:uid="{00000000-0005-0000-0000-0000BE8F0000}"/>
    <cellStyle name="Uwaga 2 15 15 2" xfId="36785" xr:uid="{00000000-0005-0000-0000-0000BF8F0000}"/>
    <cellStyle name="Uwaga 2 15 15 3" xfId="36786" xr:uid="{00000000-0005-0000-0000-0000C08F0000}"/>
    <cellStyle name="Uwaga 2 15 15 4" xfId="36787" xr:uid="{00000000-0005-0000-0000-0000C18F0000}"/>
    <cellStyle name="Uwaga 2 15 16" xfId="36788" xr:uid="{00000000-0005-0000-0000-0000C28F0000}"/>
    <cellStyle name="Uwaga 2 15 16 2" xfId="36789" xr:uid="{00000000-0005-0000-0000-0000C38F0000}"/>
    <cellStyle name="Uwaga 2 15 16 3" xfId="36790" xr:uid="{00000000-0005-0000-0000-0000C48F0000}"/>
    <cellStyle name="Uwaga 2 15 16 4" xfId="36791" xr:uid="{00000000-0005-0000-0000-0000C58F0000}"/>
    <cellStyle name="Uwaga 2 15 17" xfId="36792" xr:uid="{00000000-0005-0000-0000-0000C68F0000}"/>
    <cellStyle name="Uwaga 2 15 17 2" xfId="36793" xr:uid="{00000000-0005-0000-0000-0000C78F0000}"/>
    <cellStyle name="Uwaga 2 15 17 3" xfId="36794" xr:uid="{00000000-0005-0000-0000-0000C88F0000}"/>
    <cellStyle name="Uwaga 2 15 17 4" xfId="36795" xr:uid="{00000000-0005-0000-0000-0000C98F0000}"/>
    <cellStyle name="Uwaga 2 15 18" xfId="36796" xr:uid="{00000000-0005-0000-0000-0000CA8F0000}"/>
    <cellStyle name="Uwaga 2 15 18 2" xfId="36797" xr:uid="{00000000-0005-0000-0000-0000CB8F0000}"/>
    <cellStyle name="Uwaga 2 15 18 3" xfId="36798" xr:uid="{00000000-0005-0000-0000-0000CC8F0000}"/>
    <cellStyle name="Uwaga 2 15 18 4" xfId="36799" xr:uid="{00000000-0005-0000-0000-0000CD8F0000}"/>
    <cellStyle name="Uwaga 2 15 19" xfId="36800" xr:uid="{00000000-0005-0000-0000-0000CE8F0000}"/>
    <cellStyle name="Uwaga 2 15 19 2" xfId="36801" xr:uid="{00000000-0005-0000-0000-0000CF8F0000}"/>
    <cellStyle name="Uwaga 2 15 19 3" xfId="36802" xr:uid="{00000000-0005-0000-0000-0000D08F0000}"/>
    <cellStyle name="Uwaga 2 15 19 4" xfId="36803" xr:uid="{00000000-0005-0000-0000-0000D18F0000}"/>
    <cellStyle name="Uwaga 2 15 2" xfId="36804" xr:uid="{00000000-0005-0000-0000-0000D28F0000}"/>
    <cellStyle name="Uwaga 2 15 2 2" xfId="36805" xr:uid="{00000000-0005-0000-0000-0000D38F0000}"/>
    <cellStyle name="Uwaga 2 15 2 3" xfId="36806" xr:uid="{00000000-0005-0000-0000-0000D48F0000}"/>
    <cellStyle name="Uwaga 2 15 2 4" xfId="36807" xr:uid="{00000000-0005-0000-0000-0000D58F0000}"/>
    <cellStyle name="Uwaga 2 15 20" xfId="36808" xr:uid="{00000000-0005-0000-0000-0000D68F0000}"/>
    <cellStyle name="Uwaga 2 15 20 2" xfId="36809" xr:uid="{00000000-0005-0000-0000-0000D78F0000}"/>
    <cellStyle name="Uwaga 2 15 20 3" xfId="36810" xr:uid="{00000000-0005-0000-0000-0000D88F0000}"/>
    <cellStyle name="Uwaga 2 15 20 4" xfId="36811" xr:uid="{00000000-0005-0000-0000-0000D98F0000}"/>
    <cellStyle name="Uwaga 2 15 21" xfId="36812" xr:uid="{00000000-0005-0000-0000-0000DA8F0000}"/>
    <cellStyle name="Uwaga 2 15 21 2" xfId="36813" xr:uid="{00000000-0005-0000-0000-0000DB8F0000}"/>
    <cellStyle name="Uwaga 2 15 21 3" xfId="36814" xr:uid="{00000000-0005-0000-0000-0000DC8F0000}"/>
    <cellStyle name="Uwaga 2 15 22" xfId="36815" xr:uid="{00000000-0005-0000-0000-0000DD8F0000}"/>
    <cellStyle name="Uwaga 2 15 22 2" xfId="36816" xr:uid="{00000000-0005-0000-0000-0000DE8F0000}"/>
    <cellStyle name="Uwaga 2 15 22 3" xfId="36817" xr:uid="{00000000-0005-0000-0000-0000DF8F0000}"/>
    <cellStyle name="Uwaga 2 15 23" xfId="36818" xr:uid="{00000000-0005-0000-0000-0000E08F0000}"/>
    <cellStyle name="Uwaga 2 15 23 2" xfId="36819" xr:uid="{00000000-0005-0000-0000-0000E18F0000}"/>
    <cellStyle name="Uwaga 2 15 23 3" xfId="36820" xr:uid="{00000000-0005-0000-0000-0000E28F0000}"/>
    <cellStyle name="Uwaga 2 15 24" xfId="36821" xr:uid="{00000000-0005-0000-0000-0000E38F0000}"/>
    <cellStyle name="Uwaga 2 15 24 2" xfId="36822" xr:uid="{00000000-0005-0000-0000-0000E48F0000}"/>
    <cellStyle name="Uwaga 2 15 24 3" xfId="36823" xr:uid="{00000000-0005-0000-0000-0000E58F0000}"/>
    <cellStyle name="Uwaga 2 15 25" xfId="36824" xr:uid="{00000000-0005-0000-0000-0000E68F0000}"/>
    <cellStyle name="Uwaga 2 15 25 2" xfId="36825" xr:uid="{00000000-0005-0000-0000-0000E78F0000}"/>
    <cellStyle name="Uwaga 2 15 25 3" xfId="36826" xr:uid="{00000000-0005-0000-0000-0000E88F0000}"/>
    <cellStyle name="Uwaga 2 15 26" xfId="36827" xr:uid="{00000000-0005-0000-0000-0000E98F0000}"/>
    <cellStyle name="Uwaga 2 15 26 2" xfId="36828" xr:uid="{00000000-0005-0000-0000-0000EA8F0000}"/>
    <cellStyle name="Uwaga 2 15 26 3" xfId="36829" xr:uid="{00000000-0005-0000-0000-0000EB8F0000}"/>
    <cellStyle name="Uwaga 2 15 27" xfId="36830" xr:uid="{00000000-0005-0000-0000-0000EC8F0000}"/>
    <cellStyle name="Uwaga 2 15 27 2" xfId="36831" xr:uid="{00000000-0005-0000-0000-0000ED8F0000}"/>
    <cellStyle name="Uwaga 2 15 27 3" xfId="36832" xr:uid="{00000000-0005-0000-0000-0000EE8F0000}"/>
    <cellStyle name="Uwaga 2 15 28" xfId="36833" xr:uid="{00000000-0005-0000-0000-0000EF8F0000}"/>
    <cellStyle name="Uwaga 2 15 28 2" xfId="36834" xr:uid="{00000000-0005-0000-0000-0000F08F0000}"/>
    <cellStyle name="Uwaga 2 15 28 3" xfId="36835" xr:uid="{00000000-0005-0000-0000-0000F18F0000}"/>
    <cellStyle name="Uwaga 2 15 29" xfId="36836" xr:uid="{00000000-0005-0000-0000-0000F28F0000}"/>
    <cellStyle name="Uwaga 2 15 29 2" xfId="36837" xr:uid="{00000000-0005-0000-0000-0000F38F0000}"/>
    <cellStyle name="Uwaga 2 15 29 3" xfId="36838" xr:uid="{00000000-0005-0000-0000-0000F48F0000}"/>
    <cellStyle name="Uwaga 2 15 3" xfId="36839" xr:uid="{00000000-0005-0000-0000-0000F58F0000}"/>
    <cellStyle name="Uwaga 2 15 3 2" xfId="36840" xr:uid="{00000000-0005-0000-0000-0000F68F0000}"/>
    <cellStyle name="Uwaga 2 15 3 3" xfId="36841" xr:uid="{00000000-0005-0000-0000-0000F78F0000}"/>
    <cellStyle name="Uwaga 2 15 3 4" xfId="36842" xr:uid="{00000000-0005-0000-0000-0000F88F0000}"/>
    <cellStyle name="Uwaga 2 15 30" xfId="36843" xr:uid="{00000000-0005-0000-0000-0000F98F0000}"/>
    <cellStyle name="Uwaga 2 15 30 2" xfId="36844" xr:uid="{00000000-0005-0000-0000-0000FA8F0000}"/>
    <cellStyle name="Uwaga 2 15 30 3" xfId="36845" xr:uid="{00000000-0005-0000-0000-0000FB8F0000}"/>
    <cellStyle name="Uwaga 2 15 31" xfId="36846" xr:uid="{00000000-0005-0000-0000-0000FC8F0000}"/>
    <cellStyle name="Uwaga 2 15 31 2" xfId="36847" xr:uid="{00000000-0005-0000-0000-0000FD8F0000}"/>
    <cellStyle name="Uwaga 2 15 31 3" xfId="36848" xr:uid="{00000000-0005-0000-0000-0000FE8F0000}"/>
    <cellStyle name="Uwaga 2 15 32" xfId="36849" xr:uid="{00000000-0005-0000-0000-0000FF8F0000}"/>
    <cellStyle name="Uwaga 2 15 32 2" xfId="36850" xr:uid="{00000000-0005-0000-0000-000000900000}"/>
    <cellStyle name="Uwaga 2 15 32 3" xfId="36851" xr:uid="{00000000-0005-0000-0000-000001900000}"/>
    <cellStyle name="Uwaga 2 15 33" xfId="36852" xr:uid="{00000000-0005-0000-0000-000002900000}"/>
    <cellStyle name="Uwaga 2 15 33 2" xfId="36853" xr:uid="{00000000-0005-0000-0000-000003900000}"/>
    <cellStyle name="Uwaga 2 15 33 3" xfId="36854" xr:uid="{00000000-0005-0000-0000-000004900000}"/>
    <cellStyle name="Uwaga 2 15 34" xfId="36855" xr:uid="{00000000-0005-0000-0000-000005900000}"/>
    <cellStyle name="Uwaga 2 15 34 2" xfId="36856" xr:uid="{00000000-0005-0000-0000-000006900000}"/>
    <cellStyle name="Uwaga 2 15 34 3" xfId="36857" xr:uid="{00000000-0005-0000-0000-000007900000}"/>
    <cellStyle name="Uwaga 2 15 35" xfId="36858" xr:uid="{00000000-0005-0000-0000-000008900000}"/>
    <cellStyle name="Uwaga 2 15 35 2" xfId="36859" xr:uid="{00000000-0005-0000-0000-000009900000}"/>
    <cellStyle name="Uwaga 2 15 35 3" xfId="36860" xr:uid="{00000000-0005-0000-0000-00000A900000}"/>
    <cellStyle name="Uwaga 2 15 36" xfId="36861" xr:uid="{00000000-0005-0000-0000-00000B900000}"/>
    <cellStyle name="Uwaga 2 15 36 2" xfId="36862" xr:uid="{00000000-0005-0000-0000-00000C900000}"/>
    <cellStyle name="Uwaga 2 15 36 3" xfId="36863" xr:uid="{00000000-0005-0000-0000-00000D900000}"/>
    <cellStyle name="Uwaga 2 15 37" xfId="36864" xr:uid="{00000000-0005-0000-0000-00000E900000}"/>
    <cellStyle name="Uwaga 2 15 37 2" xfId="36865" xr:uid="{00000000-0005-0000-0000-00000F900000}"/>
    <cellStyle name="Uwaga 2 15 37 3" xfId="36866" xr:uid="{00000000-0005-0000-0000-000010900000}"/>
    <cellStyle name="Uwaga 2 15 38" xfId="36867" xr:uid="{00000000-0005-0000-0000-000011900000}"/>
    <cellStyle name="Uwaga 2 15 38 2" xfId="36868" xr:uid="{00000000-0005-0000-0000-000012900000}"/>
    <cellStyle name="Uwaga 2 15 38 3" xfId="36869" xr:uid="{00000000-0005-0000-0000-000013900000}"/>
    <cellStyle name="Uwaga 2 15 39" xfId="36870" xr:uid="{00000000-0005-0000-0000-000014900000}"/>
    <cellStyle name="Uwaga 2 15 39 2" xfId="36871" xr:uid="{00000000-0005-0000-0000-000015900000}"/>
    <cellStyle name="Uwaga 2 15 39 3" xfId="36872" xr:uid="{00000000-0005-0000-0000-000016900000}"/>
    <cellStyle name="Uwaga 2 15 4" xfId="36873" xr:uid="{00000000-0005-0000-0000-000017900000}"/>
    <cellStyle name="Uwaga 2 15 4 2" xfId="36874" xr:uid="{00000000-0005-0000-0000-000018900000}"/>
    <cellStyle name="Uwaga 2 15 4 3" xfId="36875" xr:uid="{00000000-0005-0000-0000-000019900000}"/>
    <cellStyle name="Uwaga 2 15 4 4" xfId="36876" xr:uid="{00000000-0005-0000-0000-00001A900000}"/>
    <cellStyle name="Uwaga 2 15 40" xfId="36877" xr:uid="{00000000-0005-0000-0000-00001B900000}"/>
    <cellStyle name="Uwaga 2 15 40 2" xfId="36878" xr:uid="{00000000-0005-0000-0000-00001C900000}"/>
    <cellStyle name="Uwaga 2 15 40 3" xfId="36879" xr:uid="{00000000-0005-0000-0000-00001D900000}"/>
    <cellStyle name="Uwaga 2 15 41" xfId="36880" xr:uid="{00000000-0005-0000-0000-00001E900000}"/>
    <cellStyle name="Uwaga 2 15 41 2" xfId="36881" xr:uid="{00000000-0005-0000-0000-00001F900000}"/>
    <cellStyle name="Uwaga 2 15 41 3" xfId="36882" xr:uid="{00000000-0005-0000-0000-000020900000}"/>
    <cellStyle name="Uwaga 2 15 42" xfId="36883" xr:uid="{00000000-0005-0000-0000-000021900000}"/>
    <cellStyle name="Uwaga 2 15 42 2" xfId="36884" xr:uid="{00000000-0005-0000-0000-000022900000}"/>
    <cellStyle name="Uwaga 2 15 42 3" xfId="36885" xr:uid="{00000000-0005-0000-0000-000023900000}"/>
    <cellStyle name="Uwaga 2 15 43" xfId="36886" xr:uid="{00000000-0005-0000-0000-000024900000}"/>
    <cellStyle name="Uwaga 2 15 43 2" xfId="36887" xr:uid="{00000000-0005-0000-0000-000025900000}"/>
    <cellStyle name="Uwaga 2 15 43 3" xfId="36888" xr:uid="{00000000-0005-0000-0000-000026900000}"/>
    <cellStyle name="Uwaga 2 15 44" xfId="36889" xr:uid="{00000000-0005-0000-0000-000027900000}"/>
    <cellStyle name="Uwaga 2 15 44 2" xfId="36890" xr:uid="{00000000-0005-0000-0000-000028900000}"/>
    <cellStyle name="Uwaga 2 15 44 3" xfId="36891" xr:uid="{00000000-0005-0000-0000-000029900000}"/>
    <cellStyle name="Uwaga 2 15 45" xfId="36892" xr:uid="{00000000-0005-0000-0000-00002A900000}"/>
    <cellStyle name="Uwaga 2 15 45 2" xfId="36893" xr:uid="{00000000-0005-0000-0000-00002B900000}"/>
    <cellStyle name="Uwaga 2 15 45 3" xfId="36894" xr:uid="{00000000-0005-0000-0000-00002C900000}"/>
    <cellStyle name="Uwaga 2 15 46" xfId="36895" xr:uid="{00000000-0005-0000-0000-00002D900000}"/>
    <cellStyle name="Uwaga 2 15 46 2" xfId="36896" xr:uid="{00000000-0005-0000-0000-00002E900000}"/>
    <cellStyle name="Uwaga 2 15 46 3" xfId="36897" xr:uid="{00000000-0005-0000-0000-00002F900000}"/>
    <cellStyle name="Uwaga 2 15 47" xfId="36898" xr:uid="{00000000-0005-0000-0000-000030900000}"/>
    <cellStyle name="Uwaga 2 15 47 2" xfId="36899" xr:uid="{00000000-0005-0000-0000-000031900000}"/>
    <cellStyle name="Uwaga 2 15 47 3" xfId="36900" xr:uid="{00000000-0005-0000-0000-000032900000}"/>
    <cellStyle name="Uwaga 2 15 48" xfId="36901" xr:uid="{00000000-0005-0000-0000-000033900000}"/>
    <cellStyle name="Uwaga 2 15 48 2" xfId="36902" xr:uid="{00000000-0005-0000-0000-000034900000}"/>
    <cellStyle name="Uwaga 2 15 48 3" xfId="36903" xr:uid="{00000000-0005-0000-0000-000035900000}"/>
    <cellStyle name="Uwaga 2 15 49" xfId="36904" xr:uid="{00000000-0005-0000-0000-000036900000}"/>
    <cellStyle name="Uwaga 2 15 49 2" xfId="36905" xr:uid="{00000000-0005-0000-0000-000037900000}"/>
    <cellStyle name="Uwaga 2 15 49 3" xfId="36906" xr:uid="{00000000-0005-0000-0000-000038900000}"/>
    <cellStyle name="Uwaga 2 15 5" xfId="36907" xr:uid="{00000000-0005-0000-0000-000039900000}"/>
    <cellStyle name="Uwaga 2 15 5 2" xfId="36908" xr:uid="{00000000-0005-0000-0000-00003A900000}"/>
    <cellStyle name="Uwaga 2 15 5 3" xfId="36909" xr:uid="{00000000-0005-0000-0000-00003B900000}"/>
    <cellStyle name="Uwaga 2 15 5 4" xfId="36910" xr:uid="{00000000-0005-0000-0000-00003C900000}"/>
    <cellStyle name="Uwaga 2 15 50" xfId="36911" xr:uid="{00000000-0005-0000-0000-00003D900000}"/>
    <cellStyle name="Uwaga 2 15 50 2" xfId="36912" xr:uid="{00000000-0005-0000-0000-00003E900000}"/>
    <cellStyle name="Uwaga 2 15 50 3" xfId="36913" xr:uid="{00000000-0005-0000-0000-00003F900000}"/>
    <cellStyle name="Uwaga 2 15 51" xfId="36914" xr:uid="{00000000-0005-0000-0000-000040900000}"/>
    <cellStyle name="Uwaga 2 15 51 2" xfId="36915" xr:uid="{00000000-0005-0000-0000-000041900000}"/>
    <cellStyle name="Uwaga 2 15 51 3" xfId="36916" xr:uid="{00000000-0005-0000-0000-000042900000}"/>
    <cellStyle name="Uwaga 2 15 52" xfId="36917" xr:uid="{00000000-0005-0000-0000-000043900000}"/>
    <cellStyle name="Uwaga 2 15 52 2" xfId="36918" xr:uid="{00000000-0005-0000-0000-000044900000}"/>
    <cellStyle name="Uwaga 2 15 52 3" xfId="36919" xr:uid="{00000000-0005-0000-0000-000045900000}"/>
    <cellStyle name="Uwaga 2 15 53" xfId="36920" xr:uid="{00000000-0005-0000-0000-000046900000}"/>
    <cellStyle name="Uwaga 2 15 53 2" xfId="36921" xr:uid="{00000000-0005-0000-0000-000047900000}"/>
    <cellStyle name="Uwaga 2 15 53 3" xfId="36922" xr:uid="{00000000-0005-0000-0000-000048900000}"/>
    <cellStyle name="Uwaga 2 15 54" xfId="36923" xr:uid="{00000000-0005-0000-0000-000049900000}"/>
    <cellStyle name="Uwaga 2 15 54 2" xfId="36924" xr:uid="{00000000-0005-0000-0000-00004A900000}"/>
    <cellStyle name="Uwaga 2 15 54 3" xfId="36925" xr:uid="{00000000-0005-0000-0000-00004B900000}"/>
    <cellStyle name="Uwaga 2 15 55" xfId="36926" xr:uid="{00000000-0005-0000-0000-00004C900000}"/>
    <cellStyle name="Uwaga 2 15 55 2" xfId="36927" xr:uid="{00000000-0005-0000-0000-00004D900000}"/>
    <cellStyle name="Uwaga 2 15 55 3" xfId="36928" xr:uid="{00000000-0005-0000-0000-00004E900000}"/>
    <cellStyle name="Uwaga 2 15 56" xfId="36929" xr:uid="{00000000-0005-0000-0000-00004F900000}"/>
    <cellStyle name="Uwaga 2 15 56 2" xfId="36930" xr:uid="{00000000-0005-0000-0000-000050900000}"/>
    <cellStyle name="Uwaga 2 15 56 3" xfId="36931" xr:uid="{00000000-0005-0000-0000-000051900000}"/>
    <cellStyle name="Uwaga 2 15 57" xfId="36932" xr:uid="{00000000-0005-0000-0000-000052900000}"/>
    <cellStyle name="Uwaga 2 15 58" xfId="36933" xr:uid="{00000000-0005-0000-0000-000053900000}"/>
    <cellStyle name="Uwaga 2 15 6" xfId="36934" xr:uid="{00000000-0005-0000-0000-000054900000}"/>
    <cellStyle name="Uwaga 2 15 6 2" xfId="36935" xr:uid="{00000000-0005-0000-0000-000055900000}"/>
    <cellStyle name="Uwaga 2 15 6 3" xfId="36936" xr:uid="{00000000-0005-0000-0000-000056900000}"/>
    <cellStyle name="Uwaga 2 15 6 4" xfId="36937" xr:uid="{00000000-0005-0000-0000-000057900000}"/>
    <cellStyle name="Uwaga 2 15 7" xfId="36938" xr:uid="{00000000-0005-0000-0000-000058900000}"/>
    <cellStyle name="Uwaga 2 15 7 2" xfId="36939" xr:uid="{00000000-0005-0000-0000-000059900000}"/>
    <cellStyle name="Uwaga 2 15 7 3" xfId="36940" xr:uid="{00000000-0005-0000-0000-00005A900000}"/>
    <cellStyle name="Uwaga 2 15 7 4" xfId="36941" xr:uid="{00000000-0005-0000-0000-00005B900000}"/>
    <cellStyle name="Uwaga 2 15 8" xfId="36942" xr:uid="{00000000-0005-0000-0000-00005C900000}"/>
    <cellStyle name="Uwaga 2 15 8 2" xfId="36943" xr:uid="{00000000-0005-0000-0000-00005D900000}"/>
    <cellStyle name="Uwaga 2 15 8 3" xfId="36944" xr:uid="{00000000-0005-0000-0000-00005E900000}"/>
    <cellStyle name="Uwaga 2 15 8 4" xfId="36945" xr:uid="{00000000-0005-0000-0000-00005F900000}"/>
    <cellStyle name="Uwaga 2 15 9" xfId="36946" xr:uid="{00000000-0005-0000-0000-000060900000}"/>
    <cellStyle name="Uwaga 2 15 9 2" xfId="36947" xr:uid="{00000000-0005-0000-0000-000061900000}"/>
    <cellStyle name="Uwaga 2 15 9 3" xfId="36948" xr:uid="{00000000-0005-0000-0000-000062900000}"/>
    <cellStyle name="Uwaga 2 15 9 4" xfId="36949" xr:uid="{00000000-0005-0000-0000-000063900000}"/>
    <cellStyle name="Uwaga 2 16" xfId="36950" xr:uid="{00000000-0005-0000-0000-000064900000}"/>
    <cellStyle name="Uwaga 2 16 10" xfId="36951" xr:uid="{00000000-0005-0000-0000-000065900000}"/>
    <cellStyle name="Uwaga 2 16 10 2" xfId="36952" xr:uid="{00000000-0005-0000-0000-000066900000}"/>
    <cellStyle name="Uwaga 2 16 10 3" xfId="36953" xr:uid="{00000000-0005-0000-0000-000067900000}"/>
    <cellStyle name="Uwaga 2 16 10 4" xfId="36954" xr:uid="{00000000-0005-0000-0000-000068900000}"/>
    <cellStyle name="Uwaga 2 16 11" xfId="36955" xr:uid="{00000000-0005-0000-0000-000069900000}"/>
    <cellStyle name="Uwaga 2 16 11 2" xfId="36956" xr:uid="{00000000-0005-0000-0000-00006A900000}"/>
    <cellStyle name="Uwaga 2 16 11 3" xfId="36957" xr:uid="{00000000-0005-0000-0000-00006B900000}"/>
    <cellStyle name="Uwaga 2 16 11 4" xfId="36958" xr:uid="{00000000-0005-0000-0000-00006C900000}"/>
    <cellStyle name="Uwaga 2 16 12" xfId="36959" xr:uid="{00000000-0005-0000-0000-00006D900000}"/>
    <cellStyle name="Uwaga 2 16 12 2" xfId="36960" xr:uid="{00000000-0005-0000-0000-00006E900000}"/>
    <cellStyle name="Uwaga 2 16 12 3" xfId="36961" xr:uid="{00000000-0005-0000-0000-00006F900000}"/>
    <cellStyle name="Uwaga 2 16 12 4" xfId="36962" xr:uid="{00000000-0005-0000-0000-000070900000}"/>
    <cellStyle name="Uwaga 2 16 13" xfId="36963" xr:uid="{00000000-0005-0000-0000-000071900000}"/>
    <cellStyle name="Uwaga 2 16 13 2" xfId="36964" xr:uid="{00000000-0005-0000-0000-000072900000}"/>
    <cellStyle name="Uwaga 2 16 13 3" xfId="36965" xr:uid="{00000000-0005-0000-0000-000073900000}"/>
    <cellStyle name="Uwaga 2 16 13 4" xfId="36966" xr:uid="{00000000-0005-0000-0000-000074900000}"/>
    <cellStyle name="Uwaga 2 16 14" xfId="36967" xr:uid="{00000000-0005-0000-0000-000075900000}"/>
    <cellStyle name="Uwaga 2 16 14 2" xfId="36968" xr:uid="{00000000-0005-0000-0000-000076900000}"/>
    <cellStyle name="Uwaga 2 16 14 3" xfId="36969" xr:uid="{00000000-0005-0000-0000-000077900000}"/>
    <cellStyle name="Uwaga 2 16 14 4" xfId="36970" xr:uid="{00000000-0005-0000-0000-000078900000}"/>
    <cellStyle name="Uwaga 2 16 15" xfId="36971" xr:uid="{00000000-0005-0000-0000-000079900000}"/>
    <cellStyle name="Uwaga 2 16 15 2" xfId="36972" xr:uid="{00000000-0005-0000-0000-00007A900000}"/>
    <cellStyle name="Uwaga 2 16 15 3" xfId="36973" xr:uid="{00000000-0005-0000-0000-00007B900000}"/>
    <cellStyle name="Uwaga 2 16 15 4" xfId="36974" xr:uid="{00000000-0005-0000-0000-00007C900000}"/>
    <cellStyle name="Uwaga 2 16 16" xfId="36975" xr:uid="{00000000-0005-0000-0000-00007D900000}"/>
    <cellStyle name="Uwaga 2 16 16 2" xfId="36976" xr:uid="{00000000-0005-0000-0000-00007E900000}"/>
    <cellStyle name="Uwaga 2 16 16 3" xfId="36977" xr:uid="{00000000-0005-0000-0000-00007F900000}"/>
    <cellStyle name="Uwaga 2 16 16 4" xfId="36978" xr:uid="{00000000-0005-0000-0000-000080900000}"/>
    <cellStyle name="Uwaga 2 16 17" xfId="36979" xr:uid="{00000000-0005-0000-0000-000081900000}"/>
    <cellStyle name="Uwaga 2 16 17 2" xfId="36980" xr:uid="{00000000-0005-0000-0000-000082900000}"/>
    <cellStyle name="Uwaga 2 16 17 3" xfId="36981" xr:uid="{00000000-0005-0000-0000-000083900000}"/>
    <cellStyle name="Uwaga 2 16 17 4" xfId="36982" xr:uid="{00000000-0005-0000-0000-000084900000}"/>
    <cellStyle name="Uwaga 2 16 18" xfId="36983" xr:uid="{00000000-0005-0000-0000-000085900000}"/>
    <cellStyle name="Uwaga 2 16 18 2" xfId="36984" xr:uid="{00000000-0005-0000-0000-000086900000}"/>
    <cellStyle name="Uwaga 2 16 18 3" xfId="36985" xr:uid="{00000000-0005-0000-0000-000087900000}"/>
    <cellStyle name="Uwaga 2 16 18 4" xfId="36986" xr:uid="{00000000-0005-0000-0000-000088900000}"/>
    <cellStyle name="Uwaga 2 16 19" xfId="36987" xr:uid="{00000000-0005-0000-0000-000089900000}"/>
    <cellStyle name="Uwaga 2 16 19 2" xfId="36988" xr:uid="{00000000-0005-0000-0000-00008A900000}"/>
    <cellStyle name="Uwaga 2 16 19 3" xfId="36989" xr:uid="{00000000-0005-0000-0000-00008B900000}"/>
    <cellStyle name="Uwaga 2 16 19 4" xfId="36990" xr:uid="{00000000-0005-0000-0000-00008C900000}"/>
    <cellStyle name="Uwaga 2 16 2" xfId="36991" xr:uid="{00000000-0005-0000-0000-00008D900000}"/>
    <cellStyle name="Uwaga 2 16 2 2" xfId="36992" xr:uid="{00000000-0005-0000-0000-00008E900000}"/>
    <cellStyle name="Uwaga 2 16 2 3" xfId="36993" xr:uid="{00000000-0005-0000-0000-00008F900000}"/>
    <cellStyle name="Uwaga 2 16 2 4" xfId="36994" xr:uid="{00000000-0005-0000-0000-000090900000}"/>
    <cellStyle name="Uwaga 2 16 20" xfId="36995" xr:uid="{00000000-0005-0000-0000-000091900000}"/>
    <cellStyle name="Uwaga 2 16 20 2" xfId="36996" xr:uid="{00000000-0005-0000-0000-000092900000}"/>
    <cellStyle name="Uwaga 2 16 20 3" xfId="36997" xr:uid="{00000000-0005-0000-0000-000093900000}"/>
    <cellStyle name="Uwaga 2 16 20 4" xfId="36998" xr:uid="{00000000-0005-0000-0000-000094900000}"/>
    <cellStyle name="Uwaga 2 16 21" xfId="36999" xr:uid="{00000000-0005-0000-0000-000095900000}"/>
    <cellStyle name="Uwaga 2 16 21 2" xfId="37000" xr:uid="{00000000-0005-0000-0000-000096900000}"/>
    <cellStyle name="Uwaga 2 16 21 3" xfId="37001" xr:uid="{00000000-0005-0000-0000-000097900000}"/>
    <cellStyle name="Uwaga 2 16 22" xfId="37002" xr:uid="{00000000-0005-0000-0000-000098900000}"/>
    <cellStyle name="Uwaga 2 16 22 2" xfId="37003" xr:uid="{00000000-0005-0000-0000-000099900000}"/>
    <cellStyle name="Uwaga 2 16 22 3" xfId="37004" xr:uid="{00000000-0005-0000-0000-00009A900000}"/>
    <cellStyle name="Uwaga 2 16 23" xfId="37005" xr:uid="{00000000-0005-0000-0000-00009B900000}"/>
    <cellStyle name="Uwaga 2 16 23 2" xfId="37006" xr:uid="{00000000-0005-0000-0000-00009C900000}"/>
    <cellStyle name="Uwaga 2 16 23 3" xfId="37007" xr:uid="{00000000-0005-0000-0000-00009D900000}"/>
    <cellStyle name="Uwaga 2 16 24" xfId="37008" xr:uid="{00000000-0005-0000-0000-00009E900000}"/>
    <cellStyle name="Uwaga 2 16 24 2" xfId="37009" xr:uid="{00000000-0005-0000-0000-00009F900000}"/>
    <cellStyle name="Uwaga 2 16 24 3" xfId="37010" xr:uid="{00000000-0005-0000-0000-0000A0900000}"/>
    <cellStyle name="Uwaga 2 16 25" xfId="37011" xr:uid="{00000000-0005-0000-0000-0000A1900000}"/>
    <cellStyle name="Uwaga 2 16 25 2" xfId="37012" xr:uid="{00000000-0005-0000-0000-0000A2900000}"/>
    <cellStyle name="Uwaga 2 16 25 3" xfId="37013" xr:uid="{00000000-0005-0000-0000-0000A3900000}"/>
    <cellStyle name="Uwaga 2 16 26" xfId="37014" xr:uid="{00000000-0005-0000-0000-0000A4900000}"/>
    <cellStyle name="Uwaga 2 16 26 2" xfId="37015" xr:uid="{00000000-0005-0000-0000-0000A5900000}"/>
    <cellStyle name="Uwaga 2 16 26 3" xfId="37016" xr:uid="{00000000-0005-0000-0000-0000A6900000}"/>
    <cellStyle name="Uwaga 2 16 27" xfId="37017" xr:uid="{00000000-0005-0000-0000-0000A7900000}"/>
    <cellStyle name="Uwaga 2 16 27 2" xfId="37018" xr:uid="{00000000-0005-0000-0000-0000A8900000}"/>
    <cellStyle name="Uwaga 2 16 27 3" xfId="37019" xr:uid="{00000000-0005-0000-0000-0000A9900000}"/>
    <cellStyle name="Uwaga 2 16 28" xfId="37020" xr:uid="{00000000-0005-0000-0000-0000AA900000}"/>
    <cellStyle name="Uwaga 2 16 28 2" xfId="37021" xr:uid="{00000000-0005-0000-0000-0000AB900000}"/>
    <cellStyle name="Uwaga 2 16 28 3" xfId="37022" xr:uid="{00000000-0005-0000-0000-0000AC900000}"/>
    <cellStyle name="Uwaga 2 16 29" xfId="37023" xr:uid="{00000000-0005-0000-0000-0000AD900000}"/>
    <cellStyle name="Uwaga 2 16 29 2" xfId="37024" xr:uid="{00000000-0005-0000-0000-0000AE900000}"/>
    <cellStyle name="Uwaga 2 16 29 3" xfId="37025" xr:uid="{00000000-0005-0000-0000-0000AF900000}"/>
    <cellStyle name="Uwaga 2 16 3" xfId="37026" xr:uid="{00000000-0005-0000-0000-0000B0900000}"/>
    <cellStyle name="Uwaga 2 16 3 2" xfId="37027" xr:uid="{00000000-0005-0000-0000-0000B1900000}"/>
    <cellStyle name="Uwaga 2 16 3 3" xfId="37028" xr:uid="{00000000-0005-0000-0000-0000B2900000}"/>
    <cellStyle name="Uwaga 2 16 3 4" xfId="37029" xr:uid="{00000000-0005-0000-0000-0000B3900000}"/>
    <cellStyle name="Uwaga 2 16 30" xfId="37030" xr:uid="{00000000-0005-0000-0000-0000B4900000}"/>
    <cellStyle name="Uwaga 2 16 30 2" xfId="37031" xr:uid="{00000000-0005-0000-0000-0000B5900000}"/>
    <cellStyle name="Uwaga 2 16 30 3" xfId="37032" xr:uid="{00000000-0005-0000-0000-0000B6900000}"/>
    <cellStyle name="Uwaga 2 16 31" xfId="37033" xr:uid="{00000000-0005-0000-0000-0000B7900000}"/>
    <cellStyle name="Uwaga 2 16 31 2" xfId="37034" xr:uid="{00000000-0005-0000-0000-0000B8900000}"/>
    <cellStyle name="Uwaga 2 16 31 3" xfId="37035" xr:uid="{00000000-0005-0000-0000-0000B9900000}"/>
    <cellStyle name="Uwaga 2 16 32" xfId="37036" xr:uid="{00000000-0005-0000-0000-0000BA900000}"/>
    <cellStyle name="Uwaga 2 16 32 2" xfId="37037" xr:uid="{00000000-0005-0000-0000-0000BB900000}"/>
    <cellStyle name="Uwaga 2 16 32 3" xfId="37038" xr:uid="{00000000-0005-0000-0000-0000BC900000}"/>
    <cellStyle name="Uwaga 2 16 33" xfId="37039" xr:uid="{00000000-0005-0000-0000-0000BD900000}"/>
    <cellStyle name="Uwaga 2 16 33 2" xfId="37040" xr:uid="{00000000-0005-0000-0000-0000BE900000}"/>
    <cellStyle name="Uwaga 2 16 33 3" xfId="37041" xr:uid="{00000000-0005-0000-0000-0000BF900000}"/>
    <cellStyle name="Uwaga 2 16 34" xfId="37042" xr:uid="{00000000-0005-0000-0000-0000C0900000}"/>
    <cellStyle name="Uwaga 2 16 34 2" xfId="37043" xr:uid="{00000000-0005-0000-0000-0000C1900000}"/>
    <cellStyle name="Uwaga 2 16 34 3" xfId="37044" xr:uid="{00000000-0005-0000-0000-0000C2900000}"/>
    <cellStyle name="Uwaga 2 16 35" xfId="37045" xr:uid="{00000000-0005-0000-0000-0000C3900000}"/>
    <cellStyle name="Uwaga 2 16 35 2" xfId="37046" xr:uid="{00000000-0005-0000-0000-0000C4900000}"/>
    <cellStyle name="Uwaga 2 16 35 3" xfId="37047" xr:uid="{00000000-0005-0000-0000-0000C5900000}"/>
    <cellStyle name="Uwaga 2 16 36" xfId="37048" xr:uid="{00000000-0005-0000-0000-0000C6900000}"/>
    <cellStyle name="Uwaga 2 16 36 2" xfId="37049" xr:uid="{00000000-0005-0000-0000-0000C7900000}"/>
    <cellStyle name="Uwaga 2 16 36 3" xfId="37050" xr:uid="{00000000-0005-0000-0000-0000C8900000}"/>
    <cellStyle name="Uwaga 2 16 37" xfId="37051" xr:uid="{00000000-0005-0000-0000-0000C9900000}"/>
    <cellStyle name="Uwaga 2 16 37 2" xfId="37052" xr:uid="{00000000-0005-0000-0000-0000CA900000}"/>
    <cellStyle name="Uwaga 2 16 37 3" xfId="37053" xr:uid="{00000000-0005-0000-0000-0000CB900000}"/>
    <cellStyle name="Uwaga 2 16 38" xfId="37054" xr:uid="{00000000-0005-0000-0000-0000CC900000}"/>
    <cellStyle name="Uwaga 2 16 38 2" xfId="37055" xr:uid="{00000000-0005-0000-0000-0000CD900000}"/>
    <cellStyle name="Uwaga 2 16 38 3" xfId="37056" xr:uid="{00000000-0005-0000-0000-0000CE900000}"/>
    <cellStyle name="Uwaga 2 16 39" xfId="37057" xr:uid="{00000000-0005-0000-0000-0000CF900000}"/>
    <cellStyle name="Uwaga 2 16 39 2" xfId="37058" xr:uid="{00000000-0005-0000-0000-0000D0900000}"/>
    <cellStyle name="Uwaga 2 16 39 3" xfId="37059" xr:uid="{00000000-0005-0000-0000-0000D1900000}"/>
    <cellStyle name="Uwaga 2 16 4" xfId="37060" xr:uid="{00000000-0005-0000-0000-0000D2900000}"/>
    <cellStyle name="Uwaga 2 16 4 2" xfId="37061" xr:uid="{00000000-0005-0000-0000-0000D3900000}"/>
    <cellStyle name="Uwaga 2 16 4 3" xfId="37062" xr:uid="{00000000-0005-0000-0000-0000D4900000}"/>
    <cellStyle name="Uwaga 2 16 4 4" xfId="37063" xr:uid="{00000000-0005-0000-0000-0000D5900000}"/>
    <cellStyle name="Uwaga 2 16 40" xfId="37064" xr:uid="{00000000-0005-0000-0000-0000D6900000}"/>
    <cellStyle name="Uwaga 2 16 40 2" xfId="37065" xr:uid="{00000000-0005-0000-0000-0000D7900000}"/>
    <cellStyle name="Uwaga 2 16 40 3" xfId="37066" xr:uid="{00000000-0005-0000-0000-0000D8900000}"/>
    <cellStyle name="Uwaga 2 16 41" xfId="37067" xr:uid="{00000000-0005-0000-0000-0000D9900000}"/>
    <cellStyle name="Uwaga 2 16 41 2" xfId="37068" xr:uid="{00000000-0005-0000-0000-0000DA900000}"/>
    <cellStyle name="Uwaga 2 16 41 3" xfId="37069" xr:uid="{00000000-0005-0000-0000-0000DB900000}"/>
    <cellStyle name="Uwaga 2 16 42" xfId="37070" xr:uid="{00000000-0005-0000-0000-0000DC900000}"/>
    <cellStyle name="Uwaga 2 16 42 2" xfId="37071" xr:uid="{00000000-0005-0000-0000-0000DD900000}"/>
    <cellStyle name="Uwaga 2 16 42 3" xfId="37072" xr:uid="{00000000-0005-0000-0000-0000DE900000}"/>
    <cellStyle name="Uwaga 2 16 43" xfId="37073" xr:uid="{00000000-0005-0000-0000-0000DF900000}"/>
    <cellStyle name="Uwaga 2 16 43 2" xfId="37074" xr:uid="{00000000-0005-0000-0000-0000E0900000}"/>
    <cellStyle name="Uwaga 2 16 43 3" xfId="37075" xr:uid="{00000000-0005-0000-0000-0000E1900000}"/>
    <cellStyle name="Uwaga 2 16 44" xfId="37076" xr:uid="{00000000-0005-0000-0000-0000E2900000}"/>
    <cellStyle name="Uwaga 2 16 44 2" xfId="37077" xr:uid="{00000000-0005-0000-0000-0000E3900000}"/>
    <cellStyle name="Uwaga 2 16 44 3" xfId="37078" xr:uid="{00000000-0005-0000-0000-0000E4900000}"/>
    <cellStyle name="Uwaga 2 16 45" xfId="37079" xr:uid="{00000000-0005-0000-0000-0000E5900000}"/>
    <cellStyle name="Uwaga 2 16 45 2" xfId="37080" xr:uid="{00000000-0005-0000-0000-0000E6900000}"/>
    <cellStyle name="Uwaga 2 16 45 3" xfId="37081" xr:uid="{00000000-0005-0000-0000-0000E7900000}"/>
    <cellStyle name="Uwaga 2 16 46" xfId="37082" xr:uid="{00000000-0005-0000-0000-0000E8900000}"/>
    <cellStyle name="Uwaga 2 16 46 2" xfId="37083" xr:uid="{00000000-0005-0000-0000-0000E9900000}"/>
    <cellStyle name="Uwaga 2 16 46 3" xfId="37084" xr:uid="{00000000-0005-0000-0000-0000EA900000}"/>
    <cellStyle name="Uwaga 2 16 47" xfId="37085" xr:uid="{00000000-0005-0000-0000-0000EB900000}"/>
    <cellStyle name="Uwaga 2 16 47 2" xfId="37086" xr:uid="{00000000-0005-0000-0000-0000EC900000}"/>
    <cellStyle name="Uwaga 2 16 47 3" xfId="37087" xr:uid="{00000000-0005-0000-0000-0000ED900000}"/>
    <cellStyle name="Uwaga 2 16 48" xfId="37088" xr:uid="{00000000-0005-0000-0000-0000EE900000}"/>
    <cellStyle name="Uwaga 2 16 48 2" xfId="37089" xr:uid="{00000000-0005-0000-0000-0000EF900000}"/>
    <cellStyle name="Uwaga 2 16 48 3" xfId="37090" xr:uid="{00000000-0005-0000-0000-0000F0900000}"/>
    <cellStyle name="Uwaga 2 16 49" xfId="37091" xr:uid="{00000000-0005-0000-0000-0000F1900000}"/>
    <cellStyle name="Uwaga 2 16 49 2" xfId="37092" xr:uid="{00000000-0005-0000-0000-0000F2900000}"/>
    <cellStyle name="Uwaga 2 16 49 3" xfId="37093" xr:uid="{00000000-0005-0000-0000-0000F3900000}"/>
    <cellStyle name="Uwaga 2 16 5" xfId="37094" xr:uid="{00000000-0005-0000-0000-0000F4900000}"/>
    <cellStyle name="Uwaga 2 16 5 2" xfId="37095" xr:uid="{00000000-0005-0000-0000-0000F5900000}"/>
    <cellStyle name="Uwaga 2 16 5 3" xfId="37096" xr:uid="{00000000-0005-0000-0000-0000F6900000}"/>
    <cellStyle name="Uwaga 2 16 5 4" xfId="37097" xr:uid="{00000000-0005-0000-0000-0000F7900000}"/>
    <cellStyle name="Uwaga 2 16 50" xfId="37098" xr:uid="{00000000-0005-0000-0000-0000F8900000}"/>
    <cellStyle name="Uwaga 2 16 50 2" xfId="37099" xr:uid="{00000000-0005-0000-0000-0000F9900000}"/>
    <cellStyle name="Uwaga 2 16 50 3" xfId="37100" xr:uid="{00000000-0005-0000-0000-0000FA900000}"/>
    <cellStyle name="Uwaga 2 16 51" xfId="37101" xr:uid="{00000000-0005-0000-0000-0000FB900000}"/>
    <cellStyle name="Uwaga 2 16 51 2" xfId="37102" xr:uid="{00000000-0005-0000-0000-0000FC900000}"/>
    <cellStyle name="Uwaga 2 16 51 3" xfId="37103" xr:uid="{00000000-0005-0000-0000-0000FD900000}"/>
    <cellStyle name="Uwaga 2 16 52" xfId="37104" xr:uid="{00000000-0005-0000-0000-0000FE900000}"/>
    <cellStyle name="Uwaga 2 16 52 2" xfId="37105" xr:uid="{00000000-0005-0000-0000-0000FF900000}"/>
    <cellStyle name="Uwaga 2 16 52 3" xfId="37106" xr:uid="{00000000-0005-0000-0000-000000910000}"/>
    <cellStyle name="Uwaga 2 16 53" xfId="37107" xr:uid="{00000000-0005-0000-0000-000001910000}"/>
    <cellStyle name="Uwaga 2 16 53 2" xfId="37108" xr:uid="{00000000-0005-0000-0000-000002910000}"/>
    <cellStyle name="Uwaga 2 16 53 3" xfId="37109" xr:uid="{00000000-0005-0000-0000-000003910000}"/>
    <cellStyle name="Uwaga 2 16 54" xfId="37110" xr:uid="{00000000-0005-0000-0000-000004910000}"/>
    <cellStyle name="Uwaga 2 16 54 2" xfId="37111" xr:uid="{00000000-0005-0000-0000-000005910000}"/>
    <cellStyle name="Uwaga 2 16 54 3" xfId="37112" xr:uid="{00000000-0005-0000-0000-000006910000}"/>
    <cellStyle name="Uwaga 2 16 55" xfId="37113" xr:uid="{00000000-0005-0000-0000-000007910000}"/>
    <cellStyle name="Uwaga 2 16 55 2" xfId="37114" xr:uid="{00000000-0005-0000-0000-000008910000}"/>
    <cellStyle name="Uwaga 2 16 55 3" xfId="37115" xr:uid="{00000000-0005-0000-0000-000009910000}"/>
    <cellStyle name="Uwaga 2 16 56" xfId="37116" xr:uid="{00000000-0005-0000-0000-00000A910000}"/>
    <cellStyle name="Uwaga 2 16 56 2" xfId="37117" xr:uid="{00000000-0005-0000-0000-00000B910000}"/>
    <cellStyle name="Uwaga 2 16 56 3" xfId="37118" xr:uid="{00000000-0005-0000-0000-00000C910000}"/>
    <cellStyle name="Uwaga 2 16 57" xfId="37119" xr:uid="{00000000-0005-0000-0000-00000D910000}"/>
    <cellStyle name="Uwaga 2 16 58" xfId="37120" xr:uid="{00000000-0005-0000-0000-00000E910000}"/>
    <cellStyle name="Uwaga 2 16 6" xfId="37121" xr:uid="{00000000-0005-0000-0000-00000F910000}"/>
    <cellStyle name="Uwaga 2 16 6 2" xfId="37122" xr:uid="{00000000-0005-0000-0000-000010910000}"/>
    <cellStyle name="Uwaga 2 16 6 3" xfId="37123" xr:uid="{00000000-0005-0000-0000-000011910000}"/>
    <cellStyle name="Uwaga 2 16 6 4" xfId="37124" xr:uid="{00000000-0005-0000-0000-000012910000}"/>
    <cellStyle name="Uwaga 2 16 7" xfId="37125" xr:uid="{00000000-0005-0000-0000-000013910000}"/>
    <cellStyle name="Uwaga 2 16 7 2" xfId="37126" xr:uid="{00000000-0005-0000-0000-000014910000}"/>
    <cellStyle name="Uwaga 2 16 7 3" xfId="37127" xr:uid="{00000000-0005-0000-0000-000015910000}"/>
    <cellStyle name="Uwaga 2 16 7 4" xfId="37128" xr:uid="{00000000-0005-0000-0000-000016910000}"/>
    <cellStyle name="Uwaga 2 16 8" xfId="37129" xr:uid="{00000000-0005-0000-0000-000017910000}"/>
    <cellStyle name="Uwaga 2 16 8 2" xfId="37130" xr:uid="{00000000-0005-0000-0000-000018910000}"/>
    <cellStyle name="Uwaga 2 16 8 3" xfId="37131" xr:uid="{00000000-0005-0000-0000-000019910000}"/>
    <cellStyle name="Uwaga 2 16 8 4" xfId="37132" xr:uid="{00000000-0005-0000-0000-00001A910000}"/>
    <cellStyle name="Uwaga 2 16 9" xfId="37133" xr:uid="{00000000-0005-0000-0000-00001B910000}"/>
    <cellStyle name="Uwaga 2 16 9 2" xfId="37134" xr:uid="{00000000-0005-0000-0000-00001C910000}"/>
    <cellStyle name="Uwaga 2 16 9 3" xfId="37135" xr:uid="{00000000-0005-0000-0000-00001D910000}"/>
    <cellStyle name="Uwaga 2 16 9 4" xfId="37136" xr:uid="{00000000-0005-0000-0000-00001E910000}"/>
    <cellStyle name="Uwaga 2 17" xfId="37137" xr:uid="{00000000-0005-0000-0000-00001F910000}"/>
    <cellStyle name="Uwaga 2 17 10" xfId="37138" xr:uid="{00000000-0005-0000-0000-000020910000}"/>
    <cellStyle name="Uwaga 2 17 10 2" xfId="37139" xr:uid="{00000000-0005-0000-0000-000021910000}"/>
    <cellStyle name="Uwaga 2 17 10 3" xfId="37140" xr:uid="{00000000-0005-0000-0000-000022910000}"/>
    <cellStyle name="Uwaga 2 17 10 4" xfId="37141" xr:uid="{00000000-0005-0000-0000-000023910000}"/>
    <cellStyle name="Uwaga 2 17 11" xfId="37142" xr:uid="{00000000-0005-0000-0000-000024910000}"/>
    <cellStyle name="Uwaga 2 17 11 2" xfId="37143" xr:uid="{00000000-0005-0000-0000-000025910000}"/>
    <cellStyle name="Uwaga 2 17 11 3" xfId="37144" xr:uid="{00000000-0005-0000-0000-000026910000}"/>
    <cellStyle name="Uwaga 2 17 11 4" xfId="37145" xr:uid="{00000000-0005-0000-0000-000027910000}"/>
    <cellStyle name="Uwaga 2 17 12" xfId="37146" xr:uid="{00000000-0005-0000-0000-000028910000}"/>
    <cellStyle name="Uwaga 2 17 12 2" xfId="37147" xr:uid="{00000000-0005-0000-0000-000029910000}"/>
    <cellStyle name="Uwaga 2 17 12 3" xfId="37148" xr:uid="{00000000-0005-0000-0000-00002A910000}"/>
    <cellStyle name="Uwaga 2 17 12 4" xfId="37149" xr:uid="{00000000-0005-0000-0000-00002B910000}"/>
    <cellStyle name="Uwaga 2 17 13" xfId="37150" xr:uid="{00000000-0005-0000-0000-00002C910000}"/>
    <cellStyle name="Uwaga 2 17 13 2" xfId="37151" xr:uid="{00000000-0005-0000-0000-00002D910000}"/>
    <cellStyle name="Uwaga 2 17 13 3" xfId="37152" xr:uid="{00000000-0005-0000-0000-00002E910000}"/>
    <cellStyle name="Uwaga 2 17 13 4" xfId="37153" xr:uid="{00000000-0005-0000-0000-00002F910000}"/>
    <cellStyle name="Uwaga 2 17 14" xfId="37154" xr:uid="{00000000-0005-0000-0000-000030910000}"/>
    <cellStyle name="Uwaga 2 17 14 2" xfId="37155" xr:uid="{00000000-0005-0000-0000-000031910000}"/>
    <cellStyle name="Uwaga 2 17 14 3" xfId="37156" xr:uid="{00000000-0005-0000-0000-000032910000}"/>
    <cellStyle name="Uwaga 2 17 14 4" xfId="37157" xr:uid="{00000000-0005-0000-0000-000033910000}"/>
    <cellStyle name="Uwaga 2 17 15" xfId="37158" xr:uid="{00000000-0005-0000-0000-000034910000}"/>
    <cellStyle name="Uwaga 2 17 15 2" xfId="37159" xr:uid="{00000000-0005-0000-0000-000035910000}"/>
    <cellStyle name="Uwaga 2 17 15 3" xfId="37160" xr:uid="{00000000-0005-0000-0000-000036910000}"/>
    <cellStyle name="Uwaga 2 17 15 4" xfId="37161" xr:uid="{00000000-0005-0000-0000-000037910000}"/>
    <cellStyle name="Uwaga 2 17 16" xfId="37162" xr:uid="{00000000-0005-0000-0000-000038910000}"/>
    <cellStyle name="Uwaga 2 17 16 2" xfId="37163" xr:uid="{00000000-0005-0000-0000-000039910000}"/>
    <cellStyle name="Uwaga 2 17 16 3" xfId="37164" xr:uid="{00000000-0005-0000-0000-00003A910000}"/>
    <cellStyle name="Uwaga 2 17 16 4" xfId="37165" xr:uid="{00000000-0005-0000-0000-00003B910000}"/>
    <cellStyle name="Uwaga 2 17 17" xfId="37166" xr:uid="{00000000-0005-0000-0000-00003C910000}"/>
    <cellStyle name="Uwaga 2 17 17 2" xfId="37167" xr:uid="{00000000-0005-0000-0000-00003D910000}"/>
    <cellStyle name="Uwaga 2 17 17 3" xfId="37168" xr:uid="{00000000-0005-0000-0000-00003E910000}"/>
    <cellStyle name="Uwaga 2 17 17 4" xfId="37169" xr:uid="{00000000-0005-0000-0000-00003F910000}"/>
    <cellStyle name="Uwaga 2 17 18" xfId="37170" xr:uid="{00000000-0005-0000-0000-000040910000}"/>
    <cellStyle name="Uwaga 2 17 18 2" xfId="37171" xr:uid="{00000000-0005-0000-0000-000041910000}"/>
    <cellStyle name="Uwaga 2 17 18 3" xfId="37172" xr:uid="{00000000-0005-0000-0000-000042910000}"/>
    <cellStyle name="Uwaga 2 17 18 4" xfId="37173" xr:uid="{00000000-0005-0000-0000-000043910000}"/>
    <cellStyle name="Uwaga 2 17 19" xfId="37174" xr:uid="{00000000-0005-0000-0000-000044910000}"/>
    <cellStyle name="Uwaga 2 17 19 2" xfId="37175" xr:uid="{00000000-0005-0000-0000-000045910000}"/>
    <cellStyle name="Uwaga 2 17 19 3" xfId="37176" xr:uid="{00000000-0005-0000-0000-000046910000}"/>
    <cellStyle name="Uwaga 2 17 19 4" xfId="37177" xr:uid="{00000000-0005-0000-0000-000047910000}"/>
    <cellStyle name="Uwaga 2 17 2" xfId="37178" xr:uid="{00000000-0005-0000-0000-000048910000}"/>
    <cellStyle name="Uwaga 2 17 2 2" xfId="37179" xr:uid="{00000000-0005-0000-0000-000049910000}"/>
    <cellStyle name="Uwaga 2 17 2 3" xfId="37180" xr:uid="{00000000-0005-0000-0000-00004A910000}"/>
    <cellStyle name="Uwaga 2 17 2 4" xfId="37181" xr:uid="{00000000-0005-0000-0000-00004B910000}"/>
    <cellStyle name="Uwaga 2 17 20" xfId="37182" xr:uid="{00000000-0005-0000-0000-00004C910000}"/>
    <cellStyle name="Uwaga 2 17 20 2" xfId="37183" xr:uid="{00000000-0005-0000-0000-00004D910000}"/>
    <cellStyle name="Uwaga 2 17 20 3" xfId="37184" xr:uid="{00000000-0005-0000-0000-00004E910000}"/>
    <cellStyle name="Uwaga 2 17 20 4" xfId="37185" xr:uid="{00000000-0005-0000-0000-00004F910000}"/>
    <cellStyle name="Uwaga 2 17 21" xfId="37186" xr:uid="{00000000-0005-0000-0000-000050910000}"/>
    <cellStyle name="Uwaga 2 17 21 2" xfId="37187" xr:uid="{00000000-0005-0000-0000-000051910000}"/>
    <cellStyle name="Uwaga 2 17 21 3" xfId="37188" xr:uid="{00000000-0005-0000-0000-000052910000}"/>
    <cellStyle name="Uwaga 2 17 22" xfId="37189" xr:uid="{00000000-0005-0000-0000-000053910000}"/>
    <cellStyle name="Uwaga 2 17 22 2" xfId="37190" xr:uid="{00000000-0005-0000-0000-000054910000}"/>
    <cellStyle name="Uwaga 2 17 22 3" xfId="37191" xr:uid="{00000000-0005-0000-0000-000055910000}"/>
    <cellStyle name="Uwaga 2 17 23" xfId="37192" xr:uid="{00000000-0005-0000-0000-000056910000}"/>
    <cellStyle name="Uwaga 2 17 23 2" xfId="37193" xr:uid="{00000000-0005-0000-0000-000057910000}"/>
    <cellStyle name="Uwaga 2 17 23 3" xfId="37194" xr:uid="{00000000-0005-0000-0000-000058910000}"/>
    <cellStyle name="Uwaga 2 17 24" xfId="37195" xr:uid="{00000000-0005-0000-0000-000059910000}"/>
    <cellStyle name="Uwaga 2 17 24 2" xfId="37196" xr:uid="{00000000-0005-0000-0000-00005A910000}"/>
    <cellStyle name="Uwaga 2 17 24 3" xfId="37197" xr:uid="{00000000-0005-0000-0000-00005B910000}"/>
    <cellStyle name="Uwaga 2 17 25" xfId="37198" xr:uid="{00000000-0005-0000-0000-00005C910000}"/>
    <cellStyle name="Uwaga 2 17 25 2" xfId="37199" xr:uid="{00000000-0005-0000-0000-00005D910000}"/>
    <cellStyle name="Uwaga 2 17 25 3" xfId="37200" xr:uid="{00000000-0005-0000-0000-00005E910000}"/>
    <cellStyle name="Uwaga 2 17 26" xfId="37201" xr:uid="{00000000-0005-0000-0000-00005F910000}"/>
    <cellStyle name="Uwaga 2 17 26 2" xfId="37202" xr:uid="{00000000-0005-0000-0000-000060910000}"/>
    <cellStyle name="Uwaga 2 17 26 3" xfId="37203" xr:uid="{00000000-0005-0000-0000-000061910000}"/>
    <cellStyle name="Uwaga 2 17 27" xfId="37204" xr:uid="{00000000-0005-0000-0000-000062910000}"/>
    <cellStyle name="Uwaga 2 17 27 2" xfId="37205" xr:uid="{00000000-0005-0000-0000-000063910000}"/>
    <cellStyle name="Uwaga 2 17 27 3" xfId="37206" xr:uid="{00000000-0005-0000-0000-000064910000}"/>
    <cellStyle name="Uwaga 2 17 28" xfId="37207" xr:uid="{00000000-0005-0000-0000-000065910000}"/>
    <cellStyle name="Uwaga 2 17 28 2" xfId="37208" xr:uid="{00000000-0005-0000-0000-000066910000}"/>
    <cellStyle name="Uwaga 2 17 28 3" xfId="37209" xr:uid="{00000000-0005-0000-0000-000067910000}"/>
    <cellStyle name="Uwaga 2 17 29" xfId="37210" xr:uid="{00000000-0005-0000-0000-000068910000}"/>
    <cellStyle name="Uwaga 2 17 29 2" xfId="37211" xr:uid="{00000000-0005-0000-0000-000069910000}"/>
    <cellStyle name="Uwaga 2 17 29 3" xfId="37212" xr:uid="{00000000-0005-0000-0000-00006A910000}"/>
    <cellStyle name="Uwaga 2 17 3" xfId="37213" xr:uid="{00000000-0005-0000-0000-00006B910000}"/>
    <cellStyle name="Uwaga 2 17 3 2" xfId="37214" xr:uid="{00000000-0005-0000-0000-00006C910000}"/>
    <cellStyle name="Uwaga 2 17 3 3" xfId="37215" xr:uid="{00000000-0005-0000-0000-00006D910000}"/>
    <cellStyle name="Uwaga 2 17 3 4" xfId="37216" xr:uid="{00000000-0005-0000-0000-00006E910000}"/>
    <cellStyle name="Uwaga 2 17 30" xfId="37217" xr:uid="{00000000-0005-0000-0000-00006F910000}"/>
    <cellStyle name="Uwaga 2 17 30 2" xfId="37218" xr:uid="{00000000-0005-0000-0000-000070910000}"/>
    <cellStyle name="Uwaga 2 17 30 3" xfId="37219" xr:uid="{00000000-0005-0000-0000-000071910000}"/>
    <cellStyle name="Uwaga 2 17 31" xfId="37220" xr:uid="{00000000-0005-0000-0000-000072910000}"/>
    <cellStyle name="Uwaga 2 17 31 2" xfId="37221" xr:uid="{00000000-0005-0000-0000-000073910000}"/>
    <cellStyle name="Uwaga 2 17 31 3" xfId="37222" xr:uid="{00000000-0005-0000-0000-000074910000}"/>
    <cellStyle name="Uwaga 2 17 32" xfId="37223" xr:uid="{00000000-0005-0000-0000-000075910000}"/>
    <cellStyle name="Uwaga 2 17 32 2" xfId="37224" xr:uid="{00000000-0005-0000-0000-000076910000}"/>
    <cellStyle name="Uwaga 2 17 32 3" xfId="37225" xr:uid="{00000000-0005-0000-0000-000077910000}"/>
    <cellStyle name="Uwaga 2 17 33" xfId="37226" xr:uid="{00000000-0005-0000-0000-000078910000}"/>
    <cellStyle name="Uwaga 2 17 33 2" xfId="37227" xr:uid="{00000000-0005-0000-0000-000079910000}"/>
    <cellStyle name="Uwaga 2 17 33 3" xfId="37228" xr:uid="{00000000-0005-0000-0000-00007A910000}"/>
    <cellStyle name="Uwaga 2 17 34" xfId="37229" xr:uid="{00000000-0005-0000-0000-00007B910000}"/>
    <cellStyle name="Uwaga 2 17 34 2" xfId="37230" xr:uid="{00000000-0005-0000-0000-00007C910000}"/>
    <cellStyle name="Uwaga 2 17 34 3" xfId="37231" xr:uid="{00000000-0005-0000-0000-00007D910000}"/>
    <cellStyle name="Uwaga 2 17 35" xfId="37232" xr:uid="{00000000-0005-0000-0000-00007E910000}"/>
    <cellStyle name="Uwaga 2 17 35 2" xfId="37233" xr:uid="{00000000-0005-0000-0000-00007F910000}"/>
    <cellStyle name="Uwaga 2 17 35 3" xfId="37234" xr:uid="{00000000-0005-0000-0000-000080910000}"/>
    <cellStyle name="Uwaga 2 17 36" xfId="37235" xr:uid="{00000000-0005-0000-0000-000081910000}"/>
    <cellStyle name="Uwaga 2 17 36 2" xfId="37236" xr:uid="{00000000-0005-0000-0000-000082910000}"/>
    <cellStyle name="Uwaga 2 17 36 3" xfId="37237" xr:uid="{00000000-0005-0000-0000-000083910000}"/>
    <cellStyle name="Uwaga 2 17 37" xfId="37238" xr:uid="{00000000-0005-0000-0000-000084910000}"/>
    <cellStyle name="Uwaga 2 17 37 2" xfId="37239" xr:uid="{00000000-0005-0000-0000-000085910000}"/>
    <cellStyle name="Uwaga 2 17 37 3" xfId="37240" xr:uid="{00000000-0005-0000-0000-000086910000}"/>
    <cellStyle name="Uwaga 2 17 38" xfId="37241" xr:uid="{00000000-0005-0000-0000-000087910000}"/>
    <cellStyle name="Uwaga 2 17 38 2" xfId="37242" xr:uid="{00000000-0005-0000-0000-000088910000}"/>
    <cellStyle name="Uwaga 2 17 38 3" xfId="37243" xr:uid="{00000000-0005-0000-0000-000089910000}"/>
    <cellStyle name="Uwaga 2 17 39" xfId="37244" xr:uid="{00000000-0005-0000-0000-00008A910000}"/>
    <cellStyle name="Uwaga 2 17 39 2" xfId="37245" xr:uid="{00000000-0005-0000-0000-00008B910000}"/>
    <cellStyle name="Uwaga 2 17 39 3" xfId="37246" xr:uid="{00000000-0005-0000-0000-00008C910000}"/>
    <cellStyle name="Uwaga 2 17 4" xfId="37247" xr:uid="{00000000-0005-0000-0000-00008D910000}"/>
    <cellStyle name="Uwaga 2 17 4 2" xfId="37248" xr:uid="{00000000-0005-0000-0000-00008E910000}"/>
    <cellStyle name="Uwaga 2 17 4 3" xfId="37249" xr:uid="{00000000-0005-0000-0000-00008F910000}"/>
    <cellStyle name="Uwaga 2 17 4 4" xfId="37250" xr:uid="{00000000-0005-0000-0000-000090910000}"/>
    <cellStyle name="Uwaga 2 17 40" xfId="37251" xr:uid="{00000000-0005-0000-0000-000091910000}"/>
    <cellStyle name="Uwaga 2 17 40 2" xfId="37252" xr:uid="{00000000-0005-0000-0000-000092910000}"/>
    <cellStyle name="Uwaga 2 17 40 3" xfId="37253" xr:uid="{00000000-0005-0000-0000-000093910000}"/>
    <cellStyle name="Uwaga 2 17 41" xfId="37254" xr:uid="{00000000-0005-0000-0000-000094910000}"/>
    <cellStyle name="Uwaga 2 17 41 2" xfId="37255" xr:uid="{00000000-0005-0000-0000-000095910000}"/>
    <cellStyle name="Uwaga 2 17 41 3" xfId="37256" xr:uid="{00000000-0005-0000-0000-000096910000}"/>
    <cellStyle name="Uwaga 2 17 42" xfId="37257" xr:uid="{00000000-0005-0000-0000-000097910000}"/>
    <cellStyle name="Uwaga 2 17 42 2" xfId="37258" xr:uid="{00000000-0005-0000-0000-000098910000}"/>
    <cellStyle name="Uwaga 2 17 42 3" xfId="37259" xr:uid="{00000000-0005-0000-0000-000099910000}"/>
    <cellStyle name="Uwaga 2 17 43" xfId="37260" xr:uid="{00000000-0005-0000-0000-00009A910000}"/>
    <cellStyle name="Uwaga 2 17 43 2" xfId="37261" xr:uid="{00000000-0005-0000-0000-00009B910000}"/>
    <cellStyle name="Uwaga 2 17 43 3" xfId="37262" xr:uid="{00000000-0005-0000-0000-00009C910000}"/>
    <cellStyle name="Uwaga 2 17 44" xfId="37263" xr:uid="{00000000-0005-0000-0000-00009D910000}"/>
    <cellStyle name="Uwaga 2 17 44 2" xfId="37264" xr:uid="{00000000-0005-0000-0000-00009E910000}"/>
    <cellStyle name="Uwaga 2 17 44 3" xfId="37265" xr:uid="{00000000-0005-0000-0000-00009F910000}"/>
    <cellStyle name="Uwaga 2 17 45" xfId="37266" xr:uid="{00000000-0005-0000-0000-0000A0910000}"/>
    <cellStyle name="Uwaga 2 17 45 2" xfId="37267" xr:uid="{00000000-0005-0000-0000-0000A1910000}"/>
    <cellStyle name="Uwaga 2 17 45 3" xfId="37268" xr:uid="{00000000-0005-0000-0000-0000A2910000}"/>
    <cellStyle name="Uwaga 2 17 46" xfId="37269" xr:uid="{00000000-0005-0000-0000-0000A3910000}"/>
    <cellStyle name="Uwaga 2 17 46 2" xfId="37270" xr:uid="{00000000-0005-0000-0000-0000A4910000}"/>
    <cellStyle name="Uwaga 2 17 46 3" xfId="37271" xr:uid="{00000000-0005-0000-0000-0000A5910000}"/>
    <cellStyle name="Uwaga 2 17 47" xfId="37272" xr:uid="{00000000-0005-0000-0000-0000A6910000}"/>
    <cellStyle name="Uwaga 2 17 47 2" xfId="37273" xr:uid="{00000000-0005-0000-0000-0000A7910000}"/>
    <cellStyle name="Uwaga 2 17 47 3" xfId="37274" xr:uid="{00000000-0005-0000-0000-0000A8910000}"/>
    <cellStyle name="Uwaga 2 17 48" xfId="37275" xr:uid="{00000000-0005-0000-0000-0000A9910000}"/>
    <cellStyle name="Uwaga 2 17 48 2" xfId="37276" xr:uid="{00000000-0005-0000-0000-0000AA910000}"/>
    <cellStyle name="Uwaga 2 17 48 3" xfId="37277" xr:uid="{00000000-0005-0000-0000-0000AB910000}"/>
    <cellStyle name="Uwaga 2 17 49" xfId="37278" xr:uid="{00000000-0005-0000-0000-0000AC910000}"/>
    <cellStyle name="Uwaga 2 17 49 2" xfId="37279" xr:uid="{00000000-0005-0000-0000-0000AD910000}"/>
    <cellStyle name="Uwaga 2 17 49 3" xfId="37280" xr:uid="{00000000-0005-0000-0000-0000AE910000}"/>
    <cellStyle name="Uwaga 2 17 5" xfId="37281" xr:uid="{00000000-0005-0000-0000-0000AF910000}"/>
    <cellStyle name="Uwaga 2 17 5 2" xfId="37282" xr:uid="{00000000-0005-0000-0000-0000B0910000}"/>
    <cellStyle name="Uwaga 2 17 5 3" xfId="37283" xr:uid="{00000000-0005-0000-0000-0000B1910000}"/>
    <cellStyle name="Uwaga 2 17 5 4" xfId="37284" xr:uid="{00000000-0005-0000-0000-0000B2910000}"/>
    <cellStyle name="Uwaga 2 17 50" xfId="37285" xr:uid="{00000000-0005-0000-0000-0000B3910000}"/>
    <cellStyle name="Uwaga 2 17 50 2" xfId="37286" xr:uid="{00000000-0005-0000-0000-0000B4910000}"/>
    <cellStyle name="Uwaga 2 17 50 3" xfId="37287" xr:uid="{00000000-0005-0000-0000-0000B5910000}"/>
    <cellStyle name="Uwaga 2 17 51" xfId="37288" xr:uid="{00000000-0005-0000-0000-0000B6910000}"/>
    <cellStyle name="Uwaga 2 17 51 2" xfId="37289" xr:uid="{00000000-0005-0000-0000-0000B7910000}"/>
    <cellStyle name="Uwaga 2 17 51 3" xfId="37290" xr:uid="{00000000-0005-0000-0000-0000B8910000}"/>
    <cellStyle name="Uwaga 2 17 52" xfId="37291" xr:uid="{00000000-0005-0000-0000-0000B9910000}"/>
    <cellStyle name="Uwaga 2 17 52 2" xfId="37292" xr:uid="{00000000-0005-0000-0000-0000BA910000}"/>
    <cellStyle name="Uwaga 2 17 52 3" xfId="37293" xr:uid="{00000000-0005-0000-0000-0000BB910000}"/>
    <cellStyle name="Uwaga 2 17 53" xfId="37294" xr:uid="{00000000-0005-0000-0000-0000BC910000}"/>
    <cellStyle name="Uwaga 2 17 53 2" xfId="37295" xr:uid="{00000000-0005-0000-0000-0000BD910000}"/>
    <cellStyle name="Uwaga 2 17 53 3" xfId="37296" xr:uid="{00000000-0005-0000-0000-0000BE910000}"/>
    <cellStyle name="Uwaga 2 17 54" xfId="37297" xr:uid="{00000000-0005-0000-0000-0000BF910000}"/>
    <cellStyle name="Uwaga 2 17 54 2" xfId="37298" xr:uid="{00000000-0005-0000-0000-0000C0910000}"/>
    <cellStyle name="Uwaga 2 17 54 3" xfId="37299" xr:uid="{00000000-0005-0000-0000-0000C1910000}"/>
    <cellStyle name="Uwaga 2 17 55" xfId="37300" xr:uid="{00000000-0005-0000-0000-0000C2910000}"/>
    <cellStyle name="Uwaga 2 17 55 2" xfId="37301" xr:uid="{00000000-0005-0000-0000-0000C3910000}"/>
    <cellStyle name="Uwaga 2 17 55 3" xfId="37302" xr:uid="{00000000-0005-0000-0000-0000C4910000}"/>
    <cellStyle name="Uwaga 2 17 56" xfId="37303" xr:uid="{00000000-0005-0000-0000-0000C5910000}"/>
    <cellStyle name="Uwaga 2 17 56 2" xfId="37304" xr:uid="{00000000-0005-0000-0000-0000C6910000}"/>
    <cellStyle name="Uwaga 2 17 56 3" xfId="37305" xr:uid="{00000000-0005-0000-0000-0000C7910000}"/>
    <cellStyle name="Uwaga 2 17 57" xfId="37306" xr:uid="{00000000-0005-0000-0000-0000C8910000}"/>
    <cellStyle name="Uwaga 2 17 58" xfId="37307" xr:uid="{00000000-0005-0000-0000-0000C9910000}"/>
    <cellStyle name="Uwaga 2 17 6" xfId="37308" xr:uid="{00000000-0005-0000-0000-0000CA910000}"/>
    <cellStyle name="Uwaga 2 17 6 2" xfId="37309" xr:uid="{00000000-0005-0000-0000-0000CB910000}"/>
    <cellStyle name="Uwaga 2 17 6 3" xfId="37310" xr:uid="{00000000-0005-0000-0000-0000CC910000}"/>
    <cellStyle name="Uwaga 2 17 6 4" xfId="37311" xr:uid="{00000000-0005-0000-0000-0000CD910000}"/>
    <cellStyle name="Uwaga 2 17 7" xfId="37312" xr:uid="{00000000-0005-0000-0000-0000CE910000}"/>
    <cellStyle name="Uwaga 2 17 7 2" xfId="37313" xr:uid="{00000000-0005-0000-0000-0000CF910000}"/>
    <cellStyle name="Uwaga 2 17 7 3" xfId="37314" xr:uid="{00000000-0005-0000-0000-0000D0910000}"/>
    <cellStyle name="Uwaga 2 17 7 4" xfId="37315" xr:uid="{00000000-0005-0000-0000-0000D1910000}"/>
    <cellStyle name="Uwaga 2 17 8" xfId="37316" xr:uid="{00000000-0005-0000-0000-0000D2910000}"/>
    <cellStyle name="Uwaga 2 17 8 2" xfId="37317" xr:uid="{00000000-0005-0000-0000-0000D3910000}"/>
    <cellStyle name="Uwaga 2 17 8 3" xfId="37318" xr:uid="{00000000-0005-0000-0000-0000D4910000}"/>
    <cellStyle name="Uwaga 2 17 8 4" xfId="37319" xr:uid="{00000000-0005-0000-0000-0000D5910000}"/>
    <cellStyle name="Uwaga 2 17 9" xfId="37320" xr:uid="{00000000-0005-0000-0000-0000D6910000}"/>
    <cellStyle name="Uwaga 2 17 9 2" xfId="37321" xr:uid="{00000000-0005-0000-0000-0000D7910000}"/>
    <cellStyle name="Uwaga 2 17 9 3" xfId="37322" xr:uid="{00000000-0005-0000-0000-0000D8910000}"/>
    <cellStyle name="Uwaga 2 17 9 4" xfId="37323" xr:uid="{00000000-0005-0000-0000-0000D9910000}"/>
    <cellStyle name="Uwaga 2 18" xfId="37324" xr:uid="{00000000-0005-0000-0000-0000DA910000}"/>
    <cellStyle name="Uwaga 2 18 10" xfId="37325" xr:uid="{00000000-0005-0000-0000-0000DB910000}"/>
    <cellStyle name="Uwaga 2 18 10 2" xfId="37326" xr:uid="{00000000-0005-0000-0000-0000DC910000}"/>
    <cellStyle name="Uwaga 2 18 10 3" xfId="37327" xr:uid="{00000000-0005-0000-0000-0000DD910000}"/>
    <cellStyle name="Uwaga 2 18 10 4" xfId="37328" xr:uid="{00000000-0005-0000-0000-0000DE910000}"/>
    <cellStyle name="Uwaga 2 18 11" xfId="37329" xr:uid="{00000000-0005-0000-0000-0000DF910000}"/>
    <cellStyle name="Uwaga 2 18 11 2" xfId="37330" xr:uid="{00000000-0005-0000-0000-0000E0910000}"/>
    <cellStyle name="Uwaga 2 18 11 3" xfId="37331" xr:uid="{00000000-0005-0000-0000-0000E1910000}"/>
    <cellStyle name="Uwaga 2 18 11 4" xfId="37332" xr:uid="{00000000-0005-0000-0000-0000E2910000}"/>
    <cellStyle name="Uwaga 2 18 12" xfId="37333" xr:uid="{00000000-0005-0000-0000-0000E3910000}"/>
    <cellStyle name="Uwaga 2 18 12 2" xfId="37334" xr:uid="{00000000-0005-0000-0000-0000E4910000}"/>
    <cellStyle name="Uwaga 2 18 12 3" xfId="37335" xr:uid="{00000000-0005-0000-0000-0000E5910000}"/>
    <cellStyle name="Uwaga 2 18 12 4" xfId="37336" xr:uid="{00000000-0005-0000-0000-0000E6910000}"/>
    <cellStyle name="Uwaga 2 18 13" xfId="37337" xr:uid="{00000000-0005-0000-0000-0000E7910000}"/>
    <cellStyle name="Uwaga 2 18 13 2" xfId="37338" xr:uid="{00000000-0005-0000-0000-0000E8910000}"/>
    <cellStyle name="Uwaga 2 18 13 3" xfId="37339" xr:uid="{00000000-0005-0000-0000-0000E9910000}"/>
    <cellStyle name="Uwaga 2 18 13 4" xfId="37340" xr:uid="{00000000-0005-0000-0000-0000EA910000}"/>
    <cellStyle name="Uwaga 2 18 14" xfId="37341" xr:uid="{00000000-0005-0000-0000-0000EB910000}"/>
    <cellStyle name="Uwaga 2 18 14 2" xfId="37342" xr:uid="{00000000-0005-0000-0000-0000EC910000}"/>
    <cellStyle name="Uwaga 2 18 14 3" xfId="37343" xr:uid="{00000000-0005-0000-0000-0000ED910000}"/>
    <cellStyle name="Uwaga 2 18 14 4" xfId="37344" xr:uid="{00000000-0005-0000-0000-0000EE910000}"/>
    <cellStyle name="Uwaga 2 18 15" xfId="37345" xr:uid="{00000000-0005-0000-0000-0000EF910000}"/>
    <cellStyle name="Uwaga 2 18 15 2" xfId="37346" xr:uid="{00000000-0005-0000-0000-0000F0910000}"/>
    <cellStyle name="Uwaga 2 18 15 3" xfId="37347" xr:uid="{00000000-0005-0000-0000-0000F1910000}"/>
    <cellStyle name="Uwaga 2 18 15 4" xfId="37348" xr:uid="{00000000-0005-0000-0000-0000F2910000}"/>
    <cellStyle name="Uwaga 2 18 16" xfId="37349" xr:uid="{00000000-0005-0000-0000-0000F3910000}"/>
    <cellStyle name="Uwaga 2 18 16 2" xfId="37350" xr:uid="{00000000-0005-0000-0000-0000F4910000}"/>
    <cellStyle name="Uwaga 2 18 16 3" xfId="37351" xr:uid="{00000000-0005-0000-0000-0000F5910000}"/>
    <cellStyle name="Uwaga 2 18 16 4" xfId="37352" xr:uid="{00000000-0005-0000-0000-0000F6910000}"/>
    <cellStyle name="Uwaga 2 18 17" xfId="37353" xr:uid="{00000000-0005-0000-0000-0000F7910000}"/>
    <cellStyle name="Uwaga 2 18 17 2" xfId="37354" xr:uid="{00000000-0005-0000-0000-0000F8910000}"/>
    <cellStyle name="Uwaga 2 18 17 3" xfId="37355" xr:uid="{00000000-0005-0000-0000-0000F9910000}"/>
    <cellStyle name="Uwaga 2 18 17 4" xfId="37356" xr:uid="{00000000-0005-0000-0000-0000FA910000}"/>
    <cellStyle name="Uwaga 2 18 18" xfId="37357" xr:uid="{00000000-0005-0000-0000-0000FB910000}"/>
    <cellStyle name="Uwaga 2 18 18 2" xfId="37358" xr:uid="{00000000-0005-0000-0000-0000FC910000}"/>
    <cellStyle name="Uwaga 2 18 18 3" xfId="37359" xr:uid="{00000000-0005-0000-0000-0000FD910000}"/>
    <cellStyle name="Uwaga 2 18 18 4" xfId="37360" xr:uid="{00000000-0005-0000-0000-0000FE910000}"/>
    <cellStyle name="Uwaga 2 18 19" xfId="37361" xr:uid="{00000000-0005-0000-0000-0000FF910000}"/>
    <cellStyle name="Uwaga 2 18 19 2" xfId="37362" xr:uid="{00000000-0005-0000-0000-000000920000}"/>
    <cellStyle name="Uwaga 2 18 19 3" xfId="37363" xr:uid="{00000000-0005-0000-0000-000001920000}"/>
    <cellStyle name="Uwaga 2 18 19 4" xfId="37364" xr:uid="{00000000-0005-0000-0000-000002920000}"/>
    <cellStyle name="Uwaga 2 18 2" xfId="37365" xr:uid="{00000000-0005-0000-0000-000003920000}"/>
    <cellStyle name="Uwaga 2 18 2 2" xfId="37366" xr:uid="{00000000-0005-0000-0000-000004920000}"/>
    <cellStyle name="Uwaga 2 18 2 3" xfId="37367" xr:uid="{00000000-0005-0000-0000-000005920000}"/>
    <cellStyle name="Uwaga 2 18 2 4" xfId="37368" xr:uid="{00000000-0005-0000-0000-000006920000}"/>
    <cellStyle name="Uwaga 2 18 20" xfId="37369" xr:uid="{00000000-0005-0000-0000-000007920000}"/>
    <cellStyle name="Uwaga 2 18 20 2" xfId="37370" xr:uid="{00000000-0005-0000-0000-000008920000}"/>
    <cellStyle name="Uwaga 2 18 20 3" xfId="37371" xr:uid="{00000000-0005-0000-0000-000009920000}"/>
    <cellStyle name="Uwaga 2 18 20 4" xfId="37372" xr:uid="{00000000-0005-0000-0000-00000A920000}"/>
    <cellStyle name="Uwaga 2 18 21" xfId="37373" xr:uid="{00000000-0005-0000-0000-00000B920000}"/>
    <cellStyle name="Uwaga 2 18 21 2" xfId="37374" xr:uid="{00000000-0005-0000-0000-00000C920000}"/>
    <cellStyle name="Uwaga 2 18 21 3" xfId="37375" xr:uid="{00000000-0005-0000-0000-00000D920000}"/>
    <cellStyle name="Uwaga 2 18 22" xfId="37376" xr:uid="{00000000-0005-0000-0000-00000E920000}"/>
    <cellStyle name="Uwaga 2 18 22 2" xfId="37377" xr:uid="{00000000-0005-0000-0000-00000F920000}"/>
    <cellStyle name="Uwaga 2 18 22 3" xfId="37378" xr:uid="{00000000-0005-0000-0000-000010920000}"/>
    <cellStyle name="Uwaga 2 18 23" xfId="37379" xr:uid="{00000000-0005-0000-0000-000011920000}"/>
    <cellStyle name="Uwaga 2 18 23 2" xfId="37380" xr:uid="{00000000-0005-0000-0000-000012920000}"/>
    <cellStyle name="Uwaga 2 18 23 3" xfId="37381" xr:uid="{00000000-0005-0000-0000-000013920000}"/>
    <cellStyle name="Uwaga 2 18 24" xfId="37382" xr:uid="{00000000-0005-0000-0000-000014920000}"/>
    <cellStyle name="Uwaga 2 18 24 2" xfId="37383" xr:uid="{00000000-0005-0000-0000-000015920000}"/>
    <cellStyle name="Uwaga 2 18 24 3" xfId="37384" xr:uid="{00000000-0005-0000-0000-000016920000}"/>
    <cellStyle name="Uwaga 2 18 25" xfId="37385" xr:uid="{00000000-0005-0000-0000-000017920000}"/>
    <cellStyle name="Uwaga 2 18 25 2" xfId="37386" xr:uid="{00000000-0005-0000-0000-000018920000}"/>
    <cellStyle name="Uwaga 2 18 25 3" xfId="37387" xr:uid="{00000000-0005-0000-0000-000019920000}"/>
    <cellStyle name="Uwaga 2 18 26" xfId="37388" xr:uid="{00000000-0005-0000-0000-00001A920000}"/>
    <cellStyle name="Uwaga 2 18 26 2" xfId="37389" xr:uid="{00000000-0005-0000-0000-00001B920000}"/>
    <cellStyle name="Uwaga 2 18 26 3" xfId="37390" xr:uid="{00000000-0005-0000-0000-00001C920000}"/>
    <cellStyle name="Uwaga 2 18 27" xfId="37391" xr:uid="{00000000-0005-0000-0000-00001D920000}"/>
    <cellStyle name="Uwaga 2 18 27 2" xfId="37392" xr:uid="{00000000-0005-0000-0000-00001E920000}"/>
    <cellStyle name="Uwaga 2 18 27 3" xfId="37393" xr:uid="{00000000-0005-0000-0000-00001F920000}"/>
    <cellStyle name="Uwaga 2 18 28" xfId="37394" xr:uid="{00000000-0005-0000-0000-000020920000}"/>
    <cellStyle name="Uwaga 2 18 28 2" xfId="37395" xr:uid="{00000000-0005-0000-0000-000021920000}"/>
    <cellStyle name="Uwaga 2 18 28 3" xfId="37396" xr:uid="{00000000-0005-0000-0000-000022920000}"/>
    <cellStyle name="Uwaga 2 18 29" xfId="37397" xr:uid="{00000000-0005-0000-0000-000023920000}"/>
    <cellStyle name="Uwaga 2 18 29 2" xfId="37398" xr:uid="{00000000-0005-0000-0000-000024920000}"/>
    <cellStyle name="Uwaga 2 18 29 3" xfId="37399" xr:uid="{00000000-0005-0000-0000-000025920000}"/>
    <cellStyle name="Uwaga 2 18 3" xfId="37400" xr:uid="{00000000-0005-0000-0000-000026920000}"/>
    <cellStyle name="Uwaga 2 18 3 2" xfId="37401" xr:uid="{00000000-0005-0000-0000-000027920000}"/>
    <cellStyle name="Uwaga 2 18 3 3" xfId="37402" xr:uid="{00000000-0005-0000-0000-000028920000}"/>
    <cellStyle name="Uwaga 2 18 3 4" xfId="37403" xr:uid="{00000000-0005-0000-0000-000029920000}"/>
    <cellStyle name="Uwaga 2 18 30" xfId="37404" xr:uid="{00000000-0005-0000-0000-00002A920000}"/>
    <cellStyle name="Uwaga 2 18 30 2" xfId="37405" xr:uid="{00000000-0005-0000-0000-00002B920000}"/>
    <cellStyle name="Uwaga 2 18 30 3" xfId="37406" xr:uid="{00000000-0005-0000-0000-00002C920000}"/>
    <cellStyle name="Uwaga 2 18 31" xfId="37407" xr:uid="{00000000-0005-0000-0000-00002D920000}"/>
    <cellStyle name="Uwaga 2 18 31 2" xfId="37408" xr:uid="{00000000-0005-0000-0000-00002E920000}"/>
    <cellStyle name="Uwaga 2 18 31 3" xfId="37409" xr:uid="{00000000-0005-0000-0000-00002F920000}"/>
    <cellStyle name="Uwaga 2 18 32" xfId="37410" xr:uid="{00000000-0005-0000-0000-000030920000}"/>
    <cellStyle name="Uwaga 2 18 32 2" xfId="37411" xr:uid="{00000000-0005-0000-0000-000031920000}"/>
    <cellStyle name="Uwaga 2 18 32 3" xfId="37412" xr:uid="{00000000-0005-0000-0000-000032920000}"/>
    <cellStyle name="Uwaga 2 18 33" xfId="37413" xr:uid="{00000000-0005-0000-0000-000033920000}"/>
    <cellStyle name="Uwaga 2 18 33 2" xfId="37414" xr:uid="{00000000-0005-0000-0000-000034920000}"/>
    <cellStyle name="Uwaga 2 18 33 3" xfId="37415" xr:uid="{00000000-0005-0000-0000-000035920000}"/>
    <cellStyle name="Uwaga 2 18 34" xfId="37416" xr:uid="{00000000-0005-0000-0000-000036920000}"/>
    <cellStyle name="Uwaga 2 18 34 2" xfId="37417" xr:uid="{00000000-0005-0000-0000-000037920000}"/>
    <cellStyle name="Uwaga 2 18 34 3" xfId="37418" xr:uid="{00000000-0005-0000-0000-000038920000}"/>
    <cellStyle name="Uwaga 2 18 35" xfId="37419" xr:uid="{00000000-0005-0000-0000-000039920000}"/>
    <cellStyle name="Uwaga 2 18 35 2" xfId="37420" xr:uid="{00000000-0005-0000-0000-00003A920000}"/>
    <cellStyle name="Uwaga 2 18 35 3" xfId="37421" xr:uid="{00000000-0005-0000-0000-00003B920000}"/>
    <cellStyle name="Uwaga 2 18 36" xfId="37422" xr:uid="{00000000-0005-0000-0000-00003C920000}"/>
    <cellStyle name="Uwaga 2 18 36 2" xfId="37423" xr:uid="{00000000-0005-0000-0000-00003D920000}"/>
    <cellStyle name="Uwaga 2 18 36 3" xfId="37424" xr:uid="{00000000-0005-0000-0000-00003E920000}"/>
    <cellStyle name="Uwaga 2 18 37" xfId="37425" xr:uid="{00000000-0005-0000-0000-00003F920000}"/>
    <cellStyle name="Uwaga 2 18 37 2" xfId="37426" xr:uid="{00000000-0005-0000-0000-000040920000}"/>
    <cellStyle name="Uwaga 2 18 37 3" xfId="37427" xr:uid="{00000000-0005-0000-0000-000041920000}"/>
    <cellStyle name="Uwaga 2 18 38" xfId="37428" xr:uid="{00000000-0005-0000-0000-000042920000}"/>
    <cellStyle name="Uwaga 2 18 38 2" xfId="37429" xr:uid="{00000000-0005-0000-0000-000043920000}"/>
    <cellStyle name="Uwaga 2 18 38 3" xfId="37430" xr:uid="{00000000-0005-0000-0000-000044920000}"/>
    <cellStyle name="Uwaga 2 18 39" xfId="37431" xr:uid="{00000000-0005-0000-0000-000045920000}"/>
    <cellStyle name="Uwaga 2 18 39 2" xfId="37432" xr:uid="{00000000-0005-0000-0000-000046920000}"/>
    <cellStyle name="Uwaga 2 18 39 3" xfId="37433" xr:uid="{00000000-0005-0000-0000-000047920000}"/>
    <cellStyle name="Uwaga 2 18 4" xfId="37434" xr:uid="{00000000-0005-0000-0000-000048920000}"/>
    <cellStyle name="Uwaga 2 18 4 2" xfId="37435" xr:uid="{00000000-0005-0000-0000-000049920000}"/>
    <cellStyle name="Uwaga 2 18 4 3" xfId="37436" xr:uid="{00000000-0005-0000-0000-00004A920000}"/>
    <cellStyle name="Uwaga 2 18 4 4" xfId="37437" xr:uid="{00000000-0005-0000-0000-00004B920000}"/>
    <cellStyle name="Uwaga 2 18 40" xfId="37438" xr:uid="{00000000-0005-0000-0000-00004C920000}"/>
    <cellStyle name="Uwaga 2 18 40 2" xfId="37439" xr:uid="{00000000-0005-0000-0000-00004D920000}"/>
    <cellStyle name="Uwaga 2 18 40 3" xfId="37440" xr:uid="{00000000-0005-0000-0000-00004E920000}"/>
    <cellStyle name="Uwaga 2 18 41" xfId="37441" xr:uid="{00000000-0005-0000-0000-00004F920000}"/>
    <cellStyle name="Uwaga 2 18 41 2" xfId="37442" xr:uid="{00000000-0005-0000-0000-000050920000}"/>
    <cellStyle name="Uwaga 2 18 41 3" xfId="37443" xr:uid="{00000000-0005-0000-0000-000051920000}"/>
    <cellStyle name="Uwaga 2 18 42" xfId="37444" xr:uid="{00000000-0005-0000-0000-000052920000}"/>
    <cellStyle name="Uwaga 2 18 42 2" xfId="37445" xr:uid="{00000000-0005-0000-0000-000053920000}"/>
    <cellStyle name="Uwaga 2 18 42 3" xfId="37446" xr:uid="{00000000-0005-0000-0000-000054920000}"/>
    <cellStyle name="Uwaga 2 18 43" xfId="37447" xr:uid="{00000000-0005-0000-0000-000055920000}"/>
    <cellStyle name="Uwaga 2 18 43 2" xfId="37448" xr:uid="{00000000-0005-0000-0000-000056920000}"/>
    <cellStyle name="Uwaga 2 18 43 3" xfId="37449" xr:uid="{00000000-0005-0000-0000-000057920000}"/>
    <cellStyle name="Uwaga 2 18 44" xfId="37450" xr:uid="{00000000-0005-0000-0000-000058920000}"/>
    <cellStyle name="Uwaga 2 18 44 2" xfId="37451" xr:uid="{00000000-0005-0000-0000-000059920000}"/>
    <cellStyle name="Uwaga 2 18 44 3" xfId="37452" xr:uid="{00000000-0005-0000-0000-00005A920000}"/>
    <cellStyle name="Uwaga 2 18 45" xfId="37453" xr:uid="{00000000-0005-0000-0000-00005B920000}"/>
    <cellStyle name="Uwaga 2 18 45 2" xfId="37454" xr:uid="{00000000-0005-0000-0000-00005C920000}"/>
    <cellStyle name="Uwaga 2 18 45 3" xfId="37455" xr:uid="{00000000-0005-0000-0000-00005D920000}"/>
    <cellStyle name="Uwaga 2 18 46" xfId="37456" xr:uid="{00000000-0005-0000-0000-00005E920000}"/>
    <cellStyle name="Uwaga 2 18 46 2" xfId="37457" xr:uid="{00000000-0005-0000-0000-00005F920000}"/>
    <cellStyle name="Uwaga 2 18 46 3" xfId="37458" xr:uid="{00000000-0005-0000-0000-000060920000}"/>
    <cellStyle name="Uwaga 2 18 47" xfId="37459" xr:uid="{00000000-0005-0000-0000-000061920000}"/>
    <cellStyle name="Uwaga 2 18 47 2" xfId="37460" xr:uid="{00000000-0005-0000-0000-000062920000}"/>
    <cellStyle name="Uwaga 2 18 47 3" xfId="37461" xr:uid="{00000000-0005-0000-0000-000063920000}"/>
    <cellStyle name="Uwaga 2 18 48" xfId="37462" xr:uid="{00000000-0005-0000-0000-000064920000}"/>
    <cellStyle name="Uwaga 2 18 48 2" xfId="37463" xr:uid="{00000000-0005-0000-0000-000065920000}"/>
    <cellStyle name="Uwaga 2 18 48 3" xfId="37464" xr:uid="{00000000-0005-0000-0000-000066920000}"/>
    <cellStyle name="Uwaga 2 18 49" xfId="37465" xr:uid="{00000000-0005-0000-0000-000067920000}"/>
    <cellStyle name="Uwaga 2 18 49 2" xfId="37466" xr:uid="{00000000-0005-0000-0000-000068920000}"/>
    <cellStyle name="Uwaga 2 18 49 3" xfId="37467" xr:uid="{00000000-0005-0000-0000-000069920000}"/>
    <cellStyle name="Uwaga 2 18 5" xfId="37468" xr:uid="{00000000-0005-0000-0000-00006A920000}"/>
    <cellStyle name="Uwaga 2 18 5 2" xfId="37469" xr:uid="{00000000-0005-0000-0000-00006B920000}"/>
    <cellStyle name="Uwaga 2 18 5 3" xfId="37470" xr:uid="{00000000-0005-0000-0000-00006C920000}"/>
    <cellStyle name="Uwaga 2 18 5 4" xfId="37471" xr:uid="{00000000-0005-0000-0000-00006D920000}"/>
    <cellStyle name="Uwaga 2 18 50" xfId="37472" xr:uid="{00000000-0005-0000-0000-00006E920000}"/>
    <cellStyle name="Uwaga 2 18 50 2" xfId="37473" xr:uid="{00000000-0005-0000-0000-00006F920000}"/>
    <cellStyle name="Uwaga 2 18 50 3" xfId="37474" xr:uid="{00000000-0005-0000-0000-000070920000}"/>
    <cellStyle name="Uwaga 2 18 51" xfId="37475" xr:uid="{00000000-0005-0000-0000-000071920000}"/>
    <cellStyle name="Uwaga 2 18 51 2" xfId="37476" xr:uid="{00000000-0005-0000-0000-000072920000}"/>
    <cellStyle name="Uwaga 2 18 51 3" xfId="37477" xr:uid="{00000000-0005-0000-0000-000073920000}"/>
    <cellStyle name="Uwaga 2 18 52" xfId="37478" xr:uid="{00000000-0005-0000-0000-000074920000}"/>
    <cellStyle name="Uwaga 2 18 52 2" xfId="37479" xr:uid="{00000000-0005-0000-0000-000075920000}"/>
    <cellStyle name="Uwaga 2 18 52 3" xfId="37480" xr:uid="{00000000-0005-0000-0000-000076920000}"/>
    <cellStyle name="Uwaga 2 18 53" xfId="37481" xr:uid="{00000000-0005-0000-0000-000077920000}"/>
    <cellStyle name="Uwaga 2 18 53 2" xfId="37482" xr:uid="{00000000-0005-0000-0000-000078920000}"/>
    <cellStyle name="Uwaga 2 18 53 3" xfId="37483" xr:uid="{00000000-0005-0000-0000-000079920000}"/>
    <cellStyle name="Uwaga 2 18 54" xfId="37484" xr:uid="{00000000-0005-0000-0000-00007A920000}"/>
    <cellStyle name="Uwaga 2 18 54 2" xfId="37485" xr:uid="{00000000-0005-0000-0000-00007B920000}"/>
    <cellStyle name="Uwaga 2 18 54 3" xfId="37486" xr:uid="{00000000-0005-0000-0000-00007C920000}"/>
    <cellStyle name="Uwaga 2 18 55" xfId="37487" xr:uid="{00000000-0005-0000-0000-00007D920000}"/>
    <cellStyle name="Uwaga 2 18 55 2" xfId="37488" xr:uid="{00000000-0005-0000-0000-00007E920000}"/>
    <cellStyle name="Uwaga 2 18 55 3" xfId="37489" xr:uid="{00000000-0005-0000-0000-00007F920000}"/>
    <cellStyle name="Uwaga 2 18 56" xfId="37490" xr:uid="{00000000-0005-0000-0000-000080920000}"/>
    <cellStyle name="Uwaga 2 18 56 2" xfId="37491" xr:uid="{00000000-0005-0000-0000-000081920000}"/>
    <cellStyle name="Uwaga 2 18 56 3" xfId="37492" xr:uid="{00000000-0005-0000-0000-000082920000}"/>
    <cellStyle name="Uwaga 2 18 57" xfId="37493" xr:uid="{00000000-0005-0000-0000-000083920000}"/>
    <cellStyle name="Uwaga 2 18 58" xfId="37494" xr:uid="{00000000-0005-0000-0000-000084920000}"/>
    <cellStyle name="Uwaga 2 18 6" xfId="37495" xr:uid="{00000000-0005-0000-0000-000085920000}"/>
    <cellStyle name="Uwaga 2 18 6 2" xfId="37496" xr:uid="{00000000-0005-0000-0000-000086920000}"/>
    <cellStyle name="Uwaga 2 18 6 3" xfId="37497" xr:uid="{00000000-0005-0000-0000-000087920000}"/>
    <cellStyle name="Uwaga 2 18 6 4" xfId="37498" xr:uid="{00000000-0005-0000-0000-000088920000}"/>
    <cellStyle name="Uwaga 2 18 7" xfId="37499" xr:uid="{00000000-0005-0000-0000-000089920000}"/>
    <cellStyle name="Uwaga 2 18 7 2" xfId="37500" xr:uid="{00000000-0005-0000-0000-00008A920000}"/>
    <cellStyle name="Uwaga 2 18 7 3" xfId="37501" xr:uid="{00000000-0005-0000-0000-00008B920000}"/>
    <cellStyle name="Uwaga 2 18 7 4" xfId="37502" xr:uid="{00000000-0005-0000-0000-00008C920000}"/>
    <cellStyle name="Uwaga 2 18 8" xfId="37503" xr:uid="{00000000-0005-0000-0000-00008D920000}"/>
    <cellStyle name="Uwaga 2 18 8 2" xfId="37504" xr:uid="{00000000-0005-0000-0000-00008E920000}"/>
    <cellStyle name="Uwaga 2 18 8 3" xfId="37505" xr:uid="{00000000-0005-0000-0000-00008F920000}"/>
    <cellStyle name="Uwaga 2 18 8 4" xfId="37506" xr:uid="{00000000-0005-0000-0000-000090920000}"/>
    <cellStyle name="Uwaga 2 18 9" xfId="37507" xr:uid="{00000000-0005-0000-0000-000091920000}"/>
    <cellStyle name="Uwaga 2 18 9 2" xfId="37508" xr:uid="{00000000-0005-0000-0000-000092920000}"/>
    <cellStyle name="Uwaga 2 18 9 3" xfId="37509" xr:uid="{00000000-0005-0000-0000-000093920000}"/>
    <cellStyle name="Uwaga 2 18 9 4" xfId="37510" xr:uid="{00000000-0005-0000-0000-000094920000}"/>
    <cellStyle name="Uwaga 2 19" xfId="37511" xr:uid="{00000000-0005-0000-0000-000095920000}"/>
    <cellStyle name="Uwaga 2 19 10" xfId="37512" xr:uid="{00000000-0005-0000-0000-000096920000}"/>
    <cellStyle name="Uwaga 2 19 10 2" xfId="37513" xr:uid="{00000000-0005-0000-0000-000097920000}"/>
    <cellStyle name="Uwaga 2 19 10 3" xfId="37514" xr:uid="{00000000-0005-0000-0000-000098920000}"/>
    <cellStyle name="Uwaga 2 19 10 4" xfId="37515" xr:uid="{00000000-0005-0000-0000-000099920000}"/>
    <cellStyle name="Uwaga 2 19 11" xfId="37516" xr:uid="{00000000-0005-0000-0000-00009A920000}"/>
    <cellStyle name="Uwaga 2 19 11 2" xfId="37517" xr:uid="{00000000-0005-0000-0000-00009B920000}"/>
    <cellStyle name="Uwaga 2 19 11 3" xfId="37518" xr:uid="{00000000-0005-0000-0000-00009C920000}"/>
    <cellStyle name="Uwaga 2 19 11 4" xfId="37519" xr:uid="{00000000-0005-0000-0000-00009D920000}"/>
    <cellStyle name="Uwaga 2 19 12" xfId="37520" xr:uid="{00000000-0005-0000-0000-00009E920000}"/>
    <cellStyle name="Uwaga 2 19 12 2" xfId="37521" xr:uid="{00000000-0005-0000-0000-00009F920000}"/>
    <cellStyle name="Uwaga 2 19 12 3" xfId="37522" xr:uid="{00000000-0005-0000-0000-0000A0920000}"/>
    <cellStyle name="Uwaga 2 19 12 4" xfId="37523" xr:uid="{00000000-0005-0000-0000-0000A1920000}"/>
    <cellStyle name="Uwaga 2 19 13" xfId="37524" xr:uid="{00000000-0005-0000-0000-0000A2920000}"/>
    <cellStyle name="Uwaga 2 19 13 2" xfId="37525" xr:uid="{00000000-0005-0000-0000-0000A3920000}"/>
    <cellStyle name="Uwaga 2 19 13 3" xfId="37526" xr:uid="{00000000-0005-0000-0000-0000A4920000}"/>
    <cellStyle name="Uwaga 2 19 13 4" xfId="37527" xr:uid="{00000000-0005-0000-0000-0000A5920000}"/>
    <cellStyle name="Uwaga 2 19 14" xfId="37528" xr:uid="{00000000-0005-0000-0000-0000A6920000}"/>
    <cellStyle name="Uwaga 2 19 14 2" xfId="37529" xr:uid="{00000000-0005-0000-0000-0000A7920000}"/>
    <cellStyle name="Uwaga 2 19 14 3" xfId="37530" xr:uid="{00000000-0005-0000-0000-0000A8920000}"/>
    <cellStyle name="Uwaga 2 19 14 4" xfId="37531" xr:uid="{00000000-0005-0000-0000-0000A9920000}"/>
    <cellStyle name="Uwaga 2 19 15" xfId="37532" xr:uid="{00000000-0005-0000-0000-0000AA920000}"/>
    <cellStyle name="Uwaga 2 19 15 2" xfId="37533" xr:uid="{00000000-0005-0000-0000-0000AB920000}"/>
    <cellStyle name="Uwaga 2 19 15 3" xfId="37534" xr:uid="{00000000-0005-0000-0000-0000AC920000}"/>
    <cellStyle name="Uwaga 2 19 15 4" xfId="37535" xr:uid="{00000000-0005-0000-0000-0000AD920000}"/>
    <cellStyle name="Uwaga 2 19 16" xfId="37536" xr:uid="{00000000-0005-0000-0000-0000AE920000}"/>
    <cellStyle name="Uwaga 2 19 16 2" xfId="37537" xr:uid="{00000000-0005-0000-0000-0000AF920000}"/>
    <cellStyle name="Uwaga 2 19 16 3" xfId="37538" xr:uid="{00000000-0005-0000-0000-0000B0920000}"/>
    <cellStyle name="Uwaga 2 19 16 4" xfId="37539" xr:uid="{00000000-0005-0000-0000-0000B1920000}"/>
    <cellStyle name="Uwaga 2 19 17" xfId="37540" xr:uid="{00000000-0005-0000-0000-0000B2920000}"/>
    <cellStyle name="Uwaga 2 19 17 2" xfId="37541" xr:uid="{00000000-0005-0000-0000-0000B3920000}"/>
    <cellStyle name="Uwaga 2 19 17 3" xfId="37542" xr:uid="{00000000-0005-0000-0000-0000B4920000}"/>
    <cellStyle name="Uwaga 2 19 17 4" xfId="37543" xr:uid="{00000000-0005-0000-0000-0000B5920000}"/>
    <cellStyle name="Uwaga 2 19 18" xfId="37544" xr:uid="{00000000-0005-0000-0000-0000B6920000}"/>
    <cellStyle name="Uwaga 2 19 18 2" xfId="37545" xr:uid="{00000000-0005-0000-0000-0000B7920000}"/>
    <cellStyle name="Uwaga 2 19 18 3" xfId="37546" xr:uid="{00000000-0005-0000-0000-0000B8920000}"/>
    <cellStyle name="Uwaga 2 19 18 4" xfId="37547" xr:uid="{00000000-0005-0000-0000-0000B9920000}"/>
    <cellStyle name="Uwaga 2 19 19" xfId="37548" xr:uid="{00000000-0005-0000-0000-0000BA920000}"/>
    <cellStyle name="Uwaga 2 19 19 2" xfId="37549" xr:uid="{00000000-0005-0000-0000-0000BB920000}"/>
    <cellStyle name="Uwaga 2 19 19 3" xfId="37550" xr:uid="{00000000-0005-0000-0000-0000BC920000}"/>
    <cellStyle name="Uwaga 2 19 19 4" xfId="37551" xr:uid="{00000000-0005-0000-0000-0000BD920000}"/>
    <cellStyle name="Uwaga 2 19 2" xfId="37552" xr:uid="{00000000-0005-0000-0000-0000BE920000}"/>
    <cellStyle name="Uwaga 2 19 2 2" xfId="37553" xr:uid="{00000000-0005-0000-0000-0000BF920000}"/>
    <cellStyle name="Uwaga 2 19 2 3" xfId="37554" xr:uid="{00000000-0005-0000-0000-0000C0920000}"/>
    <cellStyle name="Uwaga 2 19 2 4" xfId="37555" xr:uid="{00000000-0005-0000-0000-0000C1920000}"/>
    <cellStyle name="Uwaga 2 19 20" xfId="37556" xr:uid="{00000000-0005-0000-0000-0000C2920000}"/>
    <cellStyle name="Uwaga 2 19 20 2" xfId="37557" xr:uid="{00000000-0005-0000-0000-0000C3920000}"/>
    <cellStyle name="Uwaga 2 19 20 3" xfId="37558" xr:uid="{00000000-0005-0000-0000-0000C4920000}"/>
    <cellStyle name="Uwaga 2 19 20 4" xfId="37559" xr:uid="{00000000-0005-0000-0000-0000C5920000}"/>
    <cellStyle name="Uwaga 2 19 21" xfId="37560" xr:uid="{00000000-0005-0000-0000-0000C6920000}"/>
    <cellStyle name="Uwaga 2 19 21 2" xfId="37561" xr:uid="{00000000-0005-0000-0000-0000C7920000}"/>
    <cellStyle name="Uwaga 2 19 21 3" xfId="37562" xr:uid="{00000000-0005-0000-0000-0000C8920000}"/>
    <cellStyle name="Uwaga 2 19 22" xfId="37563" xr:uid="{00000000-0005-0000-0000-0000C9920000}"/>
    <cellStyle name="Uwaga 2 19 22 2" xfId="37564" xr:uid="{00000000-0005-0000-0000-0000CA920000}"/>
    <cellStyle name="Uwaga 2 19 22 3" xfId="37565" xr:uid="{00000000-0005-0000-0000-0000CB920000}"/>
    <cellStyle name="Uwaga 2 19 23" xfId="37566" xr:uid="{00000000-0005-0000-0000-0000CC920000}"/>
    <cellStyle name="Uwaga 2 19 23 2" xfId="37567" xr:uid="{00000000-0005-0000-0000-0000CD920000}"/>
    <cellStyle name="Uwaga 2 19 23 3" xfId="37568" xr:uid="{00000000-0005-0000-0000-0000CE920000}"/>
    <cellStyle name="Uwaga 2 19 24" xfId="37569" xr:uid="{00000000-0005-0000-0000-0000CF920000}"/>
    <cellStyle name="Uwaga 2 19 24 2" xfId="37570" xr:uid="{00000000-0005-0000-0000-0000D0920000}"/>
    <cellStyle name="Uwaga 2 19 24 3" xfId="37571" xr:uid="{00000000-0005-0000-0000-0000D1920000}"/>
    <cellStyle name="Uwaga 2 19 25" xfId="37572" xr:uid="{00000000-0005-0000-0000-0000D2920000}"/>
    <cellStyle name="Uwaga 2 19 25 2" xfId="37573" xr:uid="{00000000-0005-0000-0000-0000D3920000}"/>
    <cellStyle name="Uwaga 2 19 25 3" xfId="37574" xr:uid="{00000000-0005-0000-0000-0000D4920000}"/>
    <cellStyle name="Uwaga 2 19 26" xfId="37575" xr:uid="{00000000-0005-0000-0000-0000D5920000}"/>
    <cellStyle name="Uwaga 2 19 26 2" xfId="37576" xr:uid="{00000000-0005-0000-0000-0000D6920000}"/>
    <cellStyle name="Uwaga 2 19 26 3" xfId="37577" xr:uid="{00000000-0005-0000-0000-0000D7920000}"/>
    <cellStyle name="Uwaga 2 19 27" xfId="37578" xr:uid="{00000000-0005-0000-0000-0000D8920000}"/>
    <cellStyle name="Uwaga 2 19 27 2" xfId="37579" xr:uid="{00000000-0005-0000-0000-0000D9920000}"/>
    <cellStyle name="Uwaga 2 19 27 3" xfId="37580" xr:uid="{00000000-0005-0000-0000-0000DA920000}"/>
    <cellStyle name="Uwaga 2 19 28" xfId="37581" xr:uid="{00000000-0005-0000-0000-0000DB920000}"/>
    <cellStyle name="Uwaga 2 19 28 2" xfId="37582" xr:uid="{00000000-0005-0000-0000-0000DC920000}"/>
    <cellStyle name="Uwaga 2 19 28 3" xfId="37583" xr:uid="{00000000-0005-0000-0000-0000DD920000}"/>
    <cellStyle name="Uwaga 2 19 29" xfId="37584" xr:uid="{00000000-0005-0000-0000-0000DE920000}"/>
    <cellStyle name="Uwaga 2 19 29 2" xfId="37585" xr:uid="{00000000-0005-0000-0000-0000DF920000}"/>
    <cellStyle name="Uwaga 2 19 29 3" xfId="37586" xr:uid="{00000000-0005-0000-0000-0000E0920000}"/>
    <cellStyle name="Uwaga 2 19 3" xfId="37587" xr:uid="{00000000-0005-0000-0000-0000E1920000}"/>
    <cellStyle name="Uwaga 2 19 3 2" xfId="37588" xr:uid="{00000000-0005-0000-0000-0000E2920000}"/>
    <cellStyle name="Uwaga 2 19 3 3" xfId="37589" xr:uid="{00000000-0005-0000-0000-0000E3920000}"/>
    <cellStyle name="Uwaga 2 19 3 4" xfId="37590" xr:uid="{00000000-0005-0000-0000-0000E4920000}"/>
    <cellStyle name="Uwaga 2 19 30" xfId="37591" xr:uid="{00000000-0005-0000-0000-0000E5920000}"/>
    <cellStyle name="Uwaga 2 19 30 2" xfId="37592" xr:uid="{00000000-0005-0000-0000-0000E6920000}"/>
    <cellStyle name="Uwaga 2 19 30 3" xfId="37593" xr:uid="{00000000-0005-0000-0000-0000E7920000}"/>
    <cellStyle name="Uwaga 2 19 31" xfId="37594" xr:uid="{00000000-0005-0000-0000-0000E8920000}"/>
    <cellStyle name="Uwaga 2 19 31 2" xfId="37595" xr:uid="{00000000-0005-0000-0000-0000E9920000}"/>
    <cellStyle name="Uwaga 2 19 31 3" xfId="37596" xr:uid="{00000000-0005-0000-0000-0000EA920000}"/>
    <cellStyle name="Uwaga 2 19 32" xfId="37597" xr:uid="{00000000-0005-0000-0000-0000EB920000}"/>
    <cellStyle name="Uwaga 2 19 32 2" xfId="37598" xr:uid="{00000000-0005-0000-0000-0000EC920000}"/>
    <cellStyle name="Uwaga 2 19 32 3" xfId="37599" xr:uid="{00000000-0005-0000-0000-0000ED920000}"/>
    <cellStyle name="Uwaga 2 19 33" xfId="37600" xr:uid="{00000000-0005-0000-0000-0000EE920000}"/>
    <cellStyle name="Uwaga 2 19 33 2" xfId="37601" xr:uid="{00000000-0005-0000-0000-0000EF920000}"/>
    <cellStyle name="Uwaga 2 19 33 3" xfId="37602" xr:uid="{00000000-0005-0000-0000-0000F0920000}"/>
    <cellStyle name="Uwaga 2 19 34" xfId="37603" xr:uid="{00000000-0005-0000-0000-0000F1920000}"/>
    <cellStyle name="Uwaga 2 19 34 2" xfId="37604" xr:uid="{00000000-0005-0000-0000-0000F2920000}"/>
    <cellStyle name="Uwaga 2 19 34 3" xfId="37605" xr:uid="{00000000-0005-0000-0000-0000F3920000}"/>
    <cellStyle name="Uwaga 2 19 35" xfId="37606" xr:uid="{00000000-0005-0000-0000-0000F4920000}"/>
    <cellStyle name="Uwaga 2 19 35 2" xfId="37607" xr:uid="{00000000-0005-0000-0000-0000F5920000}"/>
    <cellStyle name="Uwaga 2 19 35 3" xfId="37608" xr:uid="{00000000-0005-0000-0000-0000F6920000}"/>
    <cellStyle name="Uwaga 2 19 36" xfId="37609" xr:uid="{00000000-0005-0000-0000-0000F7920000}"/>
    <cellStyle name="Uwaga 2 19 36 2" xfId="37610" xr:uid="{00000000-0005-0000-0000-0000F8920000}"/>
    <cellStyle name="Uwaga 2 19 36 3" xfId="37611" xr:uid="{00000000-0005-0000-0000-0000F9920000}"/>
    <cellStyle name="Uwaga 2 19 37" xfId="37612" xr:uid="{00000000-0005-0000-0000-0000FA920000}"/>
    <cellStyle name="Uwaga 2 19 37 2" xfId="37613" xr:uid="{00000000-0005-0000-0000-0000FB920000}"/>
    <cellStyle name="Uwaga 2 19 37 3" xfId="37614" xr:uid="{00000000-0005-0000-0000-0000FC920000}"/>
    <cellStyle name="Uwaga 2 19 38" xfId="37615" xr:uid="{00000000-0005-0000-0000-0000FD920000}"/>
    <cellStyle name="Uwaga 2 19 38 2" xfId="37616" xr:uid="{00000000-0005-0000-0000-0000FE920000}"/>
    <cellStyle name="Uwaga 2 19 38 3" xfId="37617" xr:uid="{00000000-0005-0000-0000-0000FF920000}"/>
    <cellStyle name="Uwaga 2 19 39" xfId="37618" xr:uid="{00000000-0005-0000-0000-000000930000}"/>
    <cellStyle name="Uwaga 2 19 39 2" xfId="37619" xr:uid="{00000000-0005-0000-0000-000001930000}"/>
    <cellStyle name="Uwaga 2 19 39 3" xfId="37620" xr:uid="{00000000-0005-0000-0000-000002930000}"/>
    <cellStyle name="Uwaga 2 19 4" xfId="37621" xr:uid="{00000000-0005-0000-0000-000003930000}"/>
    <cellStyle name="Uwaga 2 19 4 2" xfId="37622" xr:uid="{00000000-0005-0000-0000-000004930000}"/>
    <cellStyle name="Uwaga 2 19 4 3" xfId="37623" xr:uid="{00000000-0005-0000-0000-000005930000}"/>
    <cellStyle name="Uwaga 2 19 4 4" xfId="37624" xr:uid="{00000000-0005-0000-0000-000006930000}"/>
    <cellStyle name="Uwaga 2 19 40" xfId="37625" xr:uid="{00000000-0005-0000-0000-000007930000}"/>
    <cellStyle name="Uwaga 2 19 40 2" xfId="37626" xr:uid="{00000000-0005-0000-0000-000008930000}"/>
    <cellStyle name="Uwaga 2 19 40 3" xfId="37627" xr:uid="{00000000-0005-0000-0000-000009930000}"/>
    <cellStyle name="Uwaga 2 19 41" xfId="37628" xr:uid="{00000000-0005-0000-0000-00000A930000}"/>
    <cellStyle name="Uwaga 2 19 41 2" xfId="37629" xr:uid="{00000000-0005-0000-0000-00000B930000}"/>
    <cellStyle name="Uwaga 2 19 41 3" xfId="37630" xr:uid="{00000000-0005-0000-0000-00000C930000}"/>
    <cellStyle name="Uwaga 2 19 42" xfId="37631" xr:uid="{00000000-0005-0000-0000-00000D930000}"/>
    <cellStyle name="Uwaga 2 19 42 2" xfId="37632" xr:uid="{00000000-0005-0000-0000-00000E930000}"/>
    <cellStyle name="Uwaga 2 19 42 3" xfId="37633" xr:uid="{00000000-0005-0000-0000-00000F930000}"/>
    <cellStyle name="Uwaga 2 19 43" xfId="37634" xr:uid="{00000000-0005-0000-0000-000010930000}"/>
    <cellStyle name="Uwaga 2 19 43 2" xfId="37635" xr:uid="{00000000-0005-0000-0000-000011930000}"/>
    <cellStyle name="Uwaga 2 19 43 3" xfId="37636" xr:uid="{00000000-0005-0000-0000-000012930000}"/>
    <cellStyle name="Uwaga 2 19 44" xfId="37637" xr:uid="{00000000-0005-0000-0000-000013930000}"/>
    <cellStyle name="Uwaga 2 19 44 2" xfId="37638" xr:uid="{00000000-0005-0000-0000-000014930000}"/>
    <cellStyle name="Uwaga 2 19 44 3" xfId="37639" xr:uid="{00000000-0005-0000-0000-000015930000}"/>
    <cellStyle name="Uwaga 2 19 45" xfId="37640" xr:uid="{00000000-0005-0000-0000-000016930000}"/>
    <cellStyle name="Uwaga 2 19 45 2" xfId="37641" xr:uid="{00000000-0005-0000-0000-000017930000}"/>
    <cellStyle name="Uwaga 2 19 45 3" xfId="37642" xr:uid="{00000000-0005-0000-0000-000018930000}"/>
    <cellStyle name="Uwaga 2 19 46" xfId="37643" xr:uid="{00000000-0005-0000-0000-000019930000}"/>
    <cellStyle name="Uwaga 2 19 46 2" xfId="37644" xr:uid="{00000000-0005-0000-0000-00001A930000}"/>
    <cellStyle name="Uwaga 2 19 46 3" xfId="37645" xr:uid="{00000000-0005-0000-0000-00001B930000}"/>
    <cellStyle name="Uwaga 2 19 47" xfId="37646" xr:uid="{00000000-0005-0000-0000-00001C930000}"/>
    <cellStyle name="Uwaga 2 19 47 2" xfId="37647" xr:uid="{00000000-0005-0000-0000-00001D930000}"/>
    <cellStyle name="Uwaga 2 19 47 3" xfId="37648" xr:uid="{00000000-0005-0000-0000-00001E930000}"/>
    <cellStyle name="Uwaga 2 19 48" xfId="37649" xr:uid="{00000000-0005-0000-0000-00001F930000}"/>
    <cellStyle name="Uwaga 2 19 48 2" xfId="37650" xr:uid="{00000000-0005-0000-0000-000020930000}"/>
    <cellStyle name="Uwaga 2 19 48 3" xfId="37651" xr:uid="{00000000-0005-0000-0000-000021930000}"/>
    <cellStyle name="Uwaga 2 19 49" xfId="37652" xr:uid="{00000000-0005-0000-0000-000022930000}"/>
    <cellStyle name="Uwaga 2 19 49 2" xfId="37653" xr:uid="{00000000-0005-0000-0000-000023930000}"/>
    <cellStyle name="Uwaga 2 19 49 3" xfId="37654" xr:uid="{00000000-0005-0000-0000-000024930000}"/>
    <cellStyle name="Uwaga 2 19 5" xfId="37655" xr:uid="{00000000-0005-0000-0000-000025930000}"/>
    <cellStyle name="Uwaga 2 19 5 2" xfId="37656" xr:uid="{00000000-0005-0000-0000-000026930000}"/>
    <cellStyle name="Uwaga 2 19 5 3" xfId="37657" xr:uid="{00000000-0005-0000-0000-000027930000}"/>
    <cellStyle name="Uwaga 2 19 5 4" xfId="37658" xr:uid="{00000000-0005-0000-0000-000028930000}"/>
    <cellStyle name="Uwaga 2 19 50" xfId="37659" xr:uid="{00000000-0005-0000-0000-000029930000}"/>
    <cellStyle name="Uwaga 2 19 50 2" xfId="37660" xr:uid="{00000000-0005-0000-0000-00002A930000}"/>
    <cellStyle name="Uwaga 2 19 50 3" xfId="37661" xr:uid="{00000000-0005-0000-0000-00002B930000}"/>
    <cellStyle name="Uwaga 2 19 51" xfId="37662" xr:uid="{00000000-0005-0000-0000-00002C930000}"/>
    <cellStyle name="Uwaga 2 19 51 2" xfId="37663" xr:uid="{00000000-0005-0000-0000-00002D930000}"/>
    <cellStyle name="Uwaga 2 19 51 3" xfId="37664" xr:uid="{00000000-0005-0000-0000-00002E930000}"/>
    <cellStyle name="Uwaga 2 19 52" xfId="37665" xr:uid="{00000000-0005-0000-0000-00002F930000}"/>
    <cellStyle name="Uwaga 2 19 52 2" xfId="37666" xr:uid="{00000000-0005-0000-0000-000030930000}"/>
    <cellStyle name="Uwaga 2 19 52 3" xfId="37667" xr:uid="{00000000-0005-0000-0000-000031930000}"/>
    <cellStyle name="Uwaga 2 19 53" xfId="37668" xr:uid="{00000000-0005-0000-0000-000032930000}"/>
    <cellStyle name="Uwaga 2 19 53 2" xfId="37669" xr:uid="{00000000-0005-0000-0000-000033930000}"/>
    <cellStyle name="Uwaga 2 19 53 3" xfId="37670" xr:uid="{00000000-0005-0000-0000-000034930000}"/>
    <cellStyle name="Uwaga 2 19 54" xfId="37671" xr:uid="{00000000-0005-0000-0000-000035930000}"/>
    <cellStyle name="Uwaga 2 19 54 2" xfId="37672" xr:uid="{00000000-0005-0000-0000-000036930000}"/>
    <cellStyle name="Uwaga 2 19 54 3" xfId="37673" xr:uid="{00000000-0005-0000-0000-000037930000}"/>
    <cellStyle name="Uwaga 2 19 55" xfId="37674" xr:uid="{00000000-0005-0000-0000-000038930000}"/>
    <cellStyle name="Uwaga 2 19 55 2" xfId="37675" xr:uid="{00000000-0005-0000-0000-000039930000}"/>
    <cellStyle name="Uwaga 2 19 55 3" xfId="37676" xr:uid="{00000000-0005-0000-0000-00003A930000}"/>
    <cellStyle name="Uwaga 2 19 56" xfId="37677" xr:uid="{00000000-0005-0000-0000-00003B930000}"/>
    <cellStyle name="Uwaga 2 19 56 2" xfId="37678" xr:uid="{00000000-0005-0000-0000-00003C930000}"/>
    <cellStyle name="Uwaga 2 19 56 3" xfId="37679" xr:uid="{00000000-0005-0000-0000-00003D930000}"/>
    <cellStyle name="Uwaga 2 19 57" xfId="37680" xr:uid="{00000000-0005-0000-0000-00003E930000}"/>
    <cellStyle name="Uwaga 2 19 58" xfId="37681" xr:uid="{00000000-0005-0000-0000-00003F930000}"/>
    <cellStyle name="Uwaga 2 19 6" xfId="37682" xr:uid="{00000000-0005-0000-0000-000040930000}"/>
    <cellStyle name="Uwaga 2 19 6 2" xfId="37683" xr:uid="{00000000-0005-0000-0000-000041930000}"/>
    <cellStyle name="Uwaga 2 19 6 3" xfId="37684" xr:uid="{00000000-0005-0000-0000-000042930000}"/>
    <cellStyle name="Uwaga 2 19 6 4" xfId="37685" xr:uid="{00000000-0005-0000-0000-000043930000}"/>
    <cellStyle name="Uwaga 2 19 7" xfId="37686" xr:uid="{00000000-0005-0000-0000-000044930000}"/>
    <cellStyle name="Uwaga 2 19 7 2" xfId="37687" xr:uid="{00000000-0005-0000-0000-000045930000}"/>
    <cellStyle name="Uwaga 2 19 7 3" xfId="37688" xr:uid="{00000000-0005-0000-0000-000046930000}"/>
    <cellStyle name="Uwaga 2 19 7 4" xfId="37689" xr:uid="{00000000-0005-0000-0000-000047930000}"/>
    <cellStyle name="Uwaga 2 19 8" xfId="37690" xr:uid="{00000000-0005-0000-0000-000048930000}"/>
    <cellStyle name="Uwaga 2 19 8 2" xfId="37691" xr:uid="{00000000-0005-0000-0000-000049930000}"/>
    <cellStyle name="Uwaga 2 19 8 3" xfId="37692" xr:uid="{00000000-0005-0000-0000-00004A930000}"/>
    <cellStyle name="Uwaga 2 19 8 4" xfId="37693" xr:uid="{00000000-0005-0000-0000-00004B930000}"/>
    <cellStyle name="Uwaga 2 19 9" xfId="37694" xr:uid="{00000000-0005-0000-0000-00004C930000}"/>
    <cellStyle name="Uwaga 2 19 9 2" xfId="37695" xr:uid="{00000000-0005-0000-0000-00004D930000}"/>
    <cellStyle name="Uwaga 2 19 9 3" xfId="37696" xr:uid="{00000000-0005-0000-0000-00004E930000}"/>
    <cellStyle name="Uwaga 2 19 9 4" xfId="37697" xr:uid="{00000000-0005-0000-0000-00004F930000}"/>
    <cellStyle name="Uwaga 2 2" xfId="37698" xr:uid="{00000000-0005-0000-0000-000050930000}"/>
    <cellStyle name="Uwaga 2 2 10" xfId="37699" xr:uid="{00000000-0005-0000-0000-000051930000}"/>
    <cellStyle name="Uwaga 2 2 10 2" xfId="37700" xr:uid="{00000000-0005-0000-0000-000052930000}"/>
    <cellStyle name="Uwaga 2 2 10 3" xfId="37701" xr:uid="{00000000-0005-0000-0000-000053930000}"/>
    <cellStyle name="Uwaga 2 2 10 4" xfId="37702" xr:uid="{00000000-0005-0000-0000-000054930000}"/>
    <cellStyle name="Uwaga 2 2 11" xfId="37703" xr:uid="{00000000-0005-0000-0000-000055930000}"/>
    <cellStyle name="Uwaga 2 2 11 2" xfId="37704" xr:uid="{00000000-0005-0000-0000-000056930000}"/>
    <cellStyle name="Uwaga 2 2 11 3" xfId="37705" xr:uid="{00000000-0005-0000-0000-000057930000}"/>
    <cellStyle name="Uwaga 2 2 11 4" xfId="37706" xr:uid="{00000000-0005-0000-0000-000058930000}"/>
    <cellStyle name="Uwaga 2 2 12" xfId="37707" xr:uid="{00000000-0005-0000-0000-000059930000}"/>
    <cellStyle name="Uwaga 2 2 12 2" xfId="37708" xr:uid="{00000000-0005-0000-0000-00005A930000}"/>
    <cellStyle name="Uwaga 2 2 12 3" xfId="37709" xr:uid="{00000000-0005-0000-0000-00005B930000}"/>
    <cellStyle name="Uwaga 2 2 12 4" xfId="37710" xr:uid="{00000000-0005-0000-0000-00005C930000}"/>
    <cellStyle name="Uwaga 2 2 13" xfId="37711" xr:uid="{00000000-0005-0000-0000-00005D930000}"/>
    <cellStyle name="Uwaga 2 2 13 2" xfId="37712" xr:uid="{00000000-0005-0000-0000-00005E930000}"/>
    <cellStyle name="Uwaga 2 2 13 3" xfId="37713" xr:uid="{00000000-0005-0000-0000-00005F930000}"/>
    <cellStyle name="Uwaga 2 2 13 4" xfId="37714" xr:uid="{00000000-0005-0000-0000-000060930000}"/>
    <cellStyle name="Uwaga 2 2 14" xfId="37715" xr:uid="{00000000-0005-0000-0000-000061930000}"/>
    <cellStyle name="Uwaga 2 2 14 2" xfId="37716" xr:uid="{00000000-0005-0000-0000-000062930000}"/>
    <cellStyle name="Uwaga 2 2 14 3" xfId="37717" xr:uid="{00000000-0005-0000-0000-000063930000}"/>
    <cellStyle name="Uwaga 2 2 14 4" xfId="37718" xr:uid="{00000000-0005-0000-0000-000064930000}"/>
    <cellStyle name="Uwaga 2 2 15" xfId="37719" xr:uid="{00000000-0005-0000-0000-000065930000}"/>
    <cellStyle name="Uwaga 2 2 15 2" xfId="37720" xr:uid="{00000000-0005-0000-0000-000066930000}"/>
    <cellStyle name="Uwaga 2 2 15 3" xfId="37721" xr:uid="{00000000-0005-0000-0000-000067930000}"/>
    <cellStyle name="Uwaga 2 2 15 4" xfId="37722" xr:uid="{00000000-0005-0000-0000-000068930000}"/>
    <cellStyle name="Uwaga 2 2 16" xfId="37723" xr:uid="{00000000-0005-0000-0000-000069930000}"/>
    <cellStyle name="Uwaga 2 2 16 2" xfId="37724" xr:uid="{00000000-0005-0000-0000-00006A930000}"/>
    <cellStyle name="Uwaga 2 2 16 3" xfId="37725" xr:uid="{00000000-0005-0000-0000-00006B930000}"/>
    <cellStyle name="Uwaga 2 2 16 4" xfId="37726" xr:uid="{00000000-0005-0000-0000-00006C930000}"/>
    <cellStyle name="Uwaga 2 2 17" xfId="37727" xr:uid="{00000000-0005-0000-0000-00006D930000}"/>
    <cellStyle name="Uwaga 2 2 17 2" xfId="37728" xr:uid="{00000000-0005-0000-0000-00006E930000}"/>
    <cellStyle name="Uwaga 2 2 17 3" xfId="37729" xr:uid="{00000000-0005-0000-0000-00006F930000}"/>
    <cellStyle name="Uwaga 2 2 17 4" xfId="37730" xr:uid="{00000000-0005-0000-0000-000070930000}"/>
    <cellStyle name="Uwaga 2 2 18" xfId="37731" xr:uid="{00000000-0005-0000-0000-000071930000}"/>
    <cellStyle name="Uwaga 2 2 18 2" xfId="37732" xr:uid="{00000000-0005-0000-0000-000072930000}"/>
    <cellStyle name="Uwaga 2 2 18 3" xfId="37733" xr:uid="{00000000-0005-0000-0000-000073930000}"/>
    <cellStyle name="Uwaga 2 2 18 4" xfId="37734" xr:uid="{00000000-0005-0000-0000-000074930000}"/>
    <cellStyle name="Uwaga 2 2 19" xfId="37735" xr:uid="{00000000-0005-0000-0000-000075930000}"/>
    <cellStyle name="Uwaga 2 2 19 2" xfId="37736" xr:uid="{00000000-0005-0000-0000-000076930000}"/>
    <cellStyle name="Uwaga 2 2 19 3" xfId="37737" xr:uid="{00000000-0005-0000-0000-000077930000}"/>
    <cellStyle name="Uwaga 2 2 19 4" xfId="37738" xr:uid="{00000000-0005-0000-0000-000078930000}"/>
    <cellStyle name="Uwaga 2 2 2" xfId="37739" xr:uid="{00000000-0005-0000-0000-000079930000}"/>
    <cellStyle name="Uwaga 2 2 2 2" xfId="37740" xr:uid="{00000000-0005-0000-0000-00007A930000}"/>
    <cellStyle name="Uwaga 2 2 2 3" xfId="37741" xr:uid="{00000000-0005-0000-0000-00007B930000}"/>
    <cellStyle name="Uwaga 2 2 2 4" xfId="37742" xr:uid="{00000000-0005-0000-0000-00007C930000}"/>
    <cellStyle name="Uwaga 2 2 20" xfId="37743" xr:uid="{00000000-0005-0000-0000-00007D930000}"/>
    <cellStyle name="Uwaga 2 2 20 2" xfId="37744" xr:uid="{00000000-0005-0000-0000-00007E930000}"/>
    <cellStyle name="Uwaga 2 2 20 3" xfId="37745" xr:uid="{00000000-0005-0000-0000-00007F930000}"/>
    <cellStyle name="Uwaga 2 2 20 4" xfId="37746" xr:uid="{00000000-0005-0000-0000-000080930000}"/>
    <cellStyle name="Uwaga 2 2 21" xfId="37747" xr:uid="{00000000-0005-0000-0000-000081930000}"/>
    <cellStyle name="Uwaga 2 2 21 2" xfId="37748" xr:uid="{00000000-0005-0000-0000-000082930000}"/>
    <cellStyle name="Uwaga 2 2 21 3" xfId="37749" xr:uid="{00000000-0005-0000-0000-000083930000}"/>
    <cellStyle name="Uwaga 2 2 22" xfId="37750" xr:uid="{00000000-0005-0000-0000-000084930000}"/>
    <cellStyle name="Uwaga 2 2 22 2" xfId="37751" xr:uid="{00000000-0005-0000-0000-000085930000}"/>
    <cellStyle name="Uwaga 2 2 22 3" xfId="37752" xr:uid="{00000000-0005-0000-0000-000086930000}"/>
    <cellStyle name="Uwaga 2 2 23" xfId="37753" xr:uid="{00000000-0005-0000-0000-000087930000}"/>
    <cellStyle name="Uwaga 2 2 23 2" xfId="37754" xr:uid="{00000000-0005-0000-0000-000088930000}"/>
    <cellStyle name="Uwaga 2 2 23 3" xfId="37755" xr:uid="{00000000-0005-0000-0000-000089930000}"/>
    <cellStyle name="Uwaga 2 2 24" xfId="37756" xr:uid="{00000000-0005-0000-0000-00008A930000}"/>
    <cellStyle name="Uwaga 2 2 24 2" xfId="37757" xr:uid="{00000000-0005-0000-0000-00008B930000}"/>
    <cellStyle name="Uwaga 2 2 24 3" xfId="37758" xr:uid="{00000000-0005-0000-0000-00008C930000}"/>
    <cellStyle name="Uwaga 2 2 25" xfId="37759" xr:uid="{00000000-0005-0000-0000-00008D930000}"/>
    <cellStyle name="Uwaga 2 2 25 2" xfId="37760" xr:uid="{00000000-0005-0000-0000-00008E930000}"/>
    <cellStyle name="Uwaga 2 2 25 3" xfId="37761" xr:uid="{00000000-0005-0000-0000-00008F930000}"/>
    <cellStyle name="Uwaga 2 2 26" xfId="37762" xr:uid="{00000000-0005-0000-0000-000090930000}"/>
    <cellStyle name="Uwaga 2 2 26 2" xfId="37763" xr:uid="{00000000-0005-0000-0000-000091930000}"/>
    <cellStyle name="Uwaga 2 2 26 3" xfId="37764" xr:uid="{00000000-0005-0000-0000-000092930000}"/>
    <cellStyle name="Uwaga 2 2 27" xfId="37765" xr:uid="{00000000-0005-0000-0000-000093930000}"/>
    <cellStyle name="Uwaga 2 2 27 2" xfId="37766" xr:uid="{00000000-0005-0000-0000-000094930000}"/>
    <cellStyle name="Uwaga 2 2 27 3" xfId="37767" xr:uid="{00000000-0005-0000-0000-000095930000}"/>
    <cellStyle name="Uwaga 2 2 28" xfId="37768" xr:uid="{00000000-0005-0000-0000-000096930000}"/>
    <cellStyle name="Uwaga 2 2 28 2" xfId="37769" xr:uid="{00000000-0005-0000-0000-000097930000}"/>
    <cellStyle name="Uwaga 2 2 28 3" xfId="37770" xr:uid="{00000000-0005-0000-0000-000098930000}"/>
    <cellStyle name="Uwaga 2 2 29" xfId="37771" xr:uid="{00000000-0005-0000-0000-000099930000}"/>
    <cellStyle name="Uwaga 2 2 29 2" xfId="37772" xr:uid="{00000000-0005-0000-0000-00009A930000}"/>
    <cellStyle name="Uwaga 2 2 29 3" xfId="37773" xr:uid="{00000000-0005-0000-0000-00009B930000}"/>
    <cellStyle name="Uwaga 2 2 3" xfId="37774" xr:uid="{00000000-0005-0000-0000-00009C930000}"/>
    <cellStyle name="Uwaga 2 2 3 2" xfId="37775" xr:uid="{00000000-0005-0000-0000-00009D930000}"/>
    <cellStyle name="Uwaga 2 2 3 3" xfId="37776" xr:uid="{00000000-0005-0000-0000-00009E930000}"/>
    <cellStyle name="Uwaga 2 2 3 4" xfId="37777" xr:uid="{00000000-0005-0000-0000-00009F930000}"/>
    <cellStyle name="Uwaga 2 2 30" xfId="37778" xr:uid="{00000000-0005-0000-0000-0000A0930000}"/>
    <cellStyle name="Uwaga 2 2 30 2" xfId="37779" xr:uid="{00000000-0005-0000-0000-0000A1930000}"/>
    <cellStyle name="Uwaga 2 2 30 3" xfId="37780" xr:uid="{00000000-0005-0000-0000-0000A2930000}"/>
    <cellStyle name="Uwaga 2 2 31" xfId="37781" xr:uid="{00000000-0005-0000-0000-0000A3930000}"/>
    <cellStyle name="Uwaga 2 2 31 2" xfId="37782" xr:uid="{00000000-0005-0000-0000-0000A4930000}"/>
    <cellStyle name="Uwaga 2 2 31 3" xfId="37783" xr:uid="{00000000-0005-0000-0000-0000A5930000}"/>
    <cellStyle name="Uwaga 2 2 32" xfId="37784" xr:uid="{00000000-0005-0000-0000-0000A6930000}"/>
    <cellStyle name="Uwaga 2 2 32 2" xfId="37785" xr:uid="{00000000-0005-0000-0000-0000A7930000}"/>
    <cellStyle name="Uwaga 2 2 32 3" xfId="37786" xr:uid="{00000000-0005-0000-0000-0000A8930000}"/>
    <cellStyle name="Uwaga 2 2 33" xfId="37787" xr:uid="{00000000-0005-0000-0000-0000A9930000}"/>
    <cellStyle name="Uwaga 2 2 33 2" xfId="37788" xr:uid="{00000000-0005-0000-0000-0000AA930000}"/>
    <cellStyle name="Uwaga 2 2 33 3" xfId="37789" xr:uid="{00000000-0005-0000-0000-0000AB930000}"/>
    <cellStyle name="Uwaga 2 2 34" xfId="37790" xr:uid="{00000000-0005-0000-0000-0000AC930000}"/>
    <cellStyle name="Uwaga 2 2 34 2" xfId="37791" xr:uid="{00000000-0005-0000-0000-0000AD930000}"/>
    <cellStyle name="Uwaga 2 2 34 3" xfId="37792" xr:uid="{00000000-0005-0000-0000-0000AE930000}"/>
    <cellStyle name="Uwaga 2 2 35" xfId="37793" xr:uid="{00000000-0005-0000-0000-0000AF930000}"/>
    <cellStyle name="Uwaga 2 2 35 2" xfId="37794" xr:uid="{00000000-0005-0000-0000-0000B0930000}"/>
    <cellStyle name="Uwaga 2 2 35 3" xfId="37795" xr:uid="{00000000-0005-0000-0000-0000B1930000}"/>
    <cellStyle name="Uwaga 2 2 36" xfId="37796" xr:uid="{00000000-0005-0000-0000-0000B2930000}"/>
    <cellStyle name="Uwaga 2 2 36 2" xfId="37797" xr:uid="{00000000-0005-0000-0000-0000B3930000}"/>
    <cellStyle name="Uwaga 2 2 36 3" xfId="37798" xr:uid="{00000000-0005-0000-0000-0000B4930000}"/>
    <cellStyle name="Uwaga 2 2 37" xfId="37799" xr:uid="{00000000-0005-0000-0000-0000B5930000}"/>
    <cellStyle name="Uwaga 2 2 37 2" xfId="37800" xr:uid="{00000000-0005-0000-0000-0000B6930000}"/>
    <cellStyle name="Uwaga 2 2 37 3" xfId="37801" xr:uid="{00000000-0005-0000-0000-0000B7930000}"/>
    <cellStyle name="Uwaga 2 2 38" xfId="37802" xr:uid="{00000000-0005-0000-0000-0000B8930000}"/>
    <cellStyle name="Uwaga 2 2 38 2" xfId="37803" xr:uid="{00000000-0005-0000-0000-0000B9930000}"/>
    <cellStyle name="Uwaga 2 2 38 3" xfId="37804" xr:uid="{00000000-0005-0000-0000-0000BA930000}"/>
    <cellStyle name="Uwaga 2 2 39" xfId="37805" xr:uid="{00000000-0005-0000-0000-0000BB930000}"/>
    <cellStyle name="Uwaga 2 2 39 2" xfId="37806" xr:uid="{00000000-0005-0000-0000-0000BC930000}"/>
    <cellStyle name="Uwaga 2 2 39 3" xfId="37807" xr:uid="{00000000-0005-0000-0000-0000BD930000}"/>
    <cellStyle name="Uwaga 2 2 4" xfId="37808" xr:uid="{00000000-0005-0000-0000-0000BE930000}"/>
    <cellStyle name="Uwaga 2 2 4 2" xfId="37809" xr:uid="{00000000-0005-0000-0000-0000BF930000}"/>
    <cellStyle name="Uwaga 2 2 4 3" xfId="37810" xr:uid="{00000000-0005-0000-0000-0000C0930000}"/>
    <cellStyle name="Uwaga 2 2 4 4" xfId="37811" xr:uid="{00000000-0005-0000-0000-0000C1930000}"/>
    <cellStyle name="Uwaga 2 2 40" xfId="37812" xr:uid="{00000000-0005-0000-0000-0000C2930000}"/>
    <cellStyle name="Uwaga 2 2 40 2" xfId="37813" xr:uid="{00000000-0005-0000-0000-0000C3930000}"/>
    <cellStyle name="Uwaga 2 2 40 3" xfId="37814" xr:uid="{00000000-0005-0000-0000-0000C4930000}"/>
    <cellStyle name="Uwaga 2 2 41" xfId="37815" xr:uid="{00000000-0005-0000-0000-0000C5930000}"/>
    <cellStyle name="Uwaga 2 2 41 2" xfId="37816" xr:uid="{00000000-0005-0000-0000-0000C6930000}"/>
    <cellStyle name="Uwaga 2 2 41 3" xfId="37817" xr:uid="{00000000-0005-0000-0000-0000C7930000}"/>
    <cellStyle name="Uwaga 2 2 42" xfId="37818" xr:uid="{00000000-0005-0000-0000-0000C8930000}"/>
    <cellStyle name="Uwaga 2 2 42 2" xfId="37819" xr:uid="{00000000-0005-0000-0000-0000C9930000}"/>
    <cellStyle name="Uwaga 2 2 42 3" xfId="37820" xr:uid="{00000000-0005-0000-0000-0000CA930000}"/>
    <cellStyle name="Uwaga 2 2 43" xfId="37821" xr:uid="{00000000-0005-0000-0000-0000CB930000}"/>
    <cellStyle name="Uwaga 2 2 43 2" xfId="37822" xr:uid="{00000000-0005-0000-0000-0000CC930000}"/>
    <cellStyle name="Uwaga 2 2 43 3" xfId="37823" xr:uid="{00000000-0005-0000-0000-0000CD930000}"/>
    <cellStyle name="Uwaga 2 2 44" xfId="37824" xr:uid="{00000000-0005-0000-0000-0000CE930000}"/>
    <cellStyle name="Uwaga 2 2 44 2" xfId="37825" xr:uid="{00000000-0005-0000-0000-0000CF930000}"/>
    <cellStyle name="Uwaga 2 2 44 3" xfId="37826" xr:uid="{00000000-0005-0000-0000-0000D0930000}"/>
    <cellStyle name="Uwaga 2 2 45" xfId="37827" xr:uid="{00000000-0005-0000-0000-0000D1930000}"/>
    <cellStyle name="Uwaga 2 2 45 2" xfId="37828" xr:uid="{00000000-0005-0000-0000-0000D2930000}"/>
    <cellStyle name="Uwaga 2 2 45 3" xfId="37829" xr:uid="{00000000-0005-0000-0000-0000D3930000}"/>
    <cellStyle name="Uwaga 2 2 46" xfId="37830" xr:uid="{00000000-0005-0000-0000-0000D4930000}"/>
    <cellStyle name="Uwaga 2 2 46 2" xfId="37831" xr:uid="{00000000-0005-0000-0000-0000D5930000}"/>
    <cellStyle name="Uwaga 2 2 46 3" xfId="37832" xr:uid="{00000000-0005-0000-0000-0000D6930000}"/>
    <cellStyle name="Uwaga 2 2 47" xfId="37833" xr:uid="{00000000-0005-0000-0000-0000D7930000}"/>
    <cellStyle name="Uwaga 2 2 47 2" xfId="37834" xr:uid="{00000000-0005-0000-0000-0000D8930000}"/>
    <cellStyle name="Uwaga 2 2 47 3" xfId="37835" xr:uid="{00000000-0005-0000-0000-0000D9930000}"/>
    <cellStyle name="Uwaga 2 2 48" xfId="37836" xr:uid="{00000000-0005-0000-0000-0000DA930000}"/>
    <cellStyle name="Uwaga 2 2 48 2" xfId="37837" xr:uid="{00000000-0005-0000-0000-0000DB930000}"/>
    <cellStyle name="Uwaga 2 2 48 3" xfId="37838" xr:uid="{00000000-0005-0000-0000-0000DC930000}"/>
    <cellStyle name="Uwaga 2 2 49" xfId="37839" xr:uid="{00000000-0005-0000-0000-0000DD930000}"/>
    <cellStyle name="Uwaga 2 2 49 2" xfId="37840" xr:uid="{00000000-0005-0000-0000-0000DE930000}"/>
    <cellStyle name="Uwaga 2 2 49 3" xfId="37841" xr:uid="{00000000-0005-0000-0000-0000DF930000}"/>
    <cellStyle name="Uwaga 2 2 5" xfId="37842" xr:uid="{00000000-0005-0000-0000-0000E0930000}"/>
    <cellStyle name="Uwaga 2 2 5 2" xfId="37843" xr:uid="{00000000-0005-0000-0000-0000E1930000}"/>
    <cellStyle name="Uwaga 2 2 5 3" xfId="37844" xr:uid="{00000000-0005-0000-0000-0000E2930000}"/>
    <cellStyle name="Uwaga 2 2 5 4" xfId="37845" xr:uid="{00000000-0005-0000-0000-0000E3930000}"/>
    <cellStyle name="Uwaga 2 2 50" xfId="37846" xr:uid="{00000000-0005-0000-0000-0000E4930000}"/>
    <cellStyle name="Uwaga 2 2 50 2" xfId="37847" xr:uid="{00000000-0005-0000-0000-0000E5930000}"/>
    <cellStyle name="Uwaga 2 2 50 3" xfId="37848" xr:uid="{00000000-0005-0000-0000-0000E6930000}"/>
    <cellStyle name="Uwaga 2 2 51" xfId="37849" xr:uid="{00000000-0005-0000-0000-0000E7930000}"/>
    <cellStyle name="Uwaga 2 2 51 2" xfId="37850" xr:uid="{00000000-0005-0000-0000-0000E8930000}"/>
    <cellStyle name="Uwaga 2 2 51 3" xfId="37851" xr:uid="{00000000-0005-0000-0000-0000E9930000}"/>
    <cellStyle name="Uwaga 2 2 52" xfId="37852" xr:uid="{00000000-0005-0000-0000-0000EA930000}"/>
    <cellStyle name="Uwaga 2 2 52 2" xfId="37853" xr:uid="{00000000-0005-0000-0000-0000EB930000}"/>
    <cellStyle name="Uwaga 2 2 52 3" xfId="37854" xr:uid="{00000000-0005-0000-0000-0000EC930000}"/>
    <cellStyle name="Uwaga 2 2 53" xfId="37855" xr:uid="{00000000-0005-0000-0000-0000ED930000}"/>
    <cellStyle name="Uwaga 2 2 53 2" xfId="37856" xr:uid="{00000000-0005-0000-0000-0000EE930000}"/>
    <cellStyle name="Uwaga 2 2 53 3" xfId="37857" xr:uid="{00000000-0005-0000-0000-0000EF930000}"/>
    <cellStyle name="Uwaga 2 2 54" xfId="37858" xr:uid="{00000000-0005-0000-0000-0000F0930000}"/>
    <cellStyle name="Uwaga 2 2 54 2" xfId="37859" xr:uid="{00000000-0005-0000-0000-0000F1930000}"/>
    <cellStyle name="Uwaga 2 2 54 3" xfId="37860" xr:uid="{00000000-0005-0000-0000-0000F2930000}"/>
    <cellStyle name="Uwaga 2 2 55" xfId="37861" xr:uid="{00000000-0005-0000-0000-0000F3930000}"/>
    <cellStyle name="Uwaga 2 2 55 2" xfId="37862" xr:uid="{00000000-0005-0000-0000-0000F4930000}"/>
    <cellStyle name="Uwaga 2 2 55 3" xfId="37863" xr:uid="{00000000-0005-0000-0000-0000F5930000}"/>
    <cellStyle name="Uwaga 2 2 56" xfId="37864" xr:uid="{00000000-0005-0000-0000-0000F6930000}"/>
    <cellStyle name="Uwaga 2 2 56 2" xfId="37865" xr:uid="{00000000-0005-0000-0000-0000F7930000}"/>
    <cellStyle name="Uwaga 2 2 56 3" xfId="37866" xr:uid="{00000000-0005-0000-0000-0000F8930000}"/>
    <cellStyle name="Uwaga 2 2 57" xfId="37867" xr:uid="{00000000-0005-0000-0000-0000F9930000}"/>
    <cellStyle name="Uwaga 2 2 58" xfId="37868" xr:uid="{00000000-0005-0000-0000-0000FA930000}"/>
    <cellStyle name="Uwaga 2 2 59" xfId="37869" xr:uid="{00000000-0005-0000-0000-0000FB930000}"/>
    <cellStyle name="Uwaga 2 2 6" xfId="37870" xr:uid="{00000000-0005-0000-0000-0000FC930000}"/>
    <cellStyle name="Uwaga 2 2 6 2" xfId="37871" xr:uid="{00000000-0005-0000-0000-0000FD930000}"/>
    <cellStyle name="Uwaga 2 2 6 3" xfId="37872" xr:uid="{00000000-0005-0000-0000-0000FE930000}"/>
    <cellStyle name="Uwaga 2 2 6 4" xfId="37873" xr:uid="{00000000-0005-0000-0000-0000FF930000}"/>
    <cellStyle name="Uwaga 2 2 7" xfId="37874" xr:uid="{00000000-0005-0000-0000-000000940000}"/>
    <cellStyle name="Uwaga 2 2 7 2" xfId="37875" xr:uid="{00000000-0005-0000-0000-000001940000}"/>
    <cellStyle name="Uwaga 2 2 7 3" xfId="37876" xr:uid="{00000000-0005-0000-0000-000002940000}"/>
    <cellStyle name="Uwaga 2 2 7 4" xfId="37877" xr:uid="{00000000-0005-0000-0000-000003940000}"/>
    <cellStyle name="Uwaga 2 2 8" xfId="37878" xr:uid="{00000000-0005-0000-0000-000004940000}"/>
    <cellStyle name="Uwaga 2 2 8 2" xfId="37879" xr:uid="{00000000-0005-0000-0000-000005940000}"/>
    <cellStyle name="Uwaga 2 2 8 3" xfId="37880" xr:uid="{00000000-0005-0000-0000-000006940000}"/>
    <cellStyle name="Uwaga 2 2 8 4" xfId="37881" xr:uid="{00000000-0005-0000-0000-000007940000}"/>
    <cellStyle name="Uwaga 2 2 9" xfId="37882" xr:uid="{00000000-0005-0000-0000-000008940000}"/>
    <cellStyle name="Uwaga 2 2 9 2" xfId="37883" xr:uid="{00000000-0005-0000-0000-000009940000}"/>
    <cellStyle name="Uwaga 2 2 9 3" xfId="37884" xr:uid="{00000000-0005-0000-0000-00000A940000}"/>
    <cellStyle name="Uwaga 2 2 9 4" xfId="37885" xr:uid="{00000000-0005-0000-0000-00000B940000}"/>
    <cellStyle name="Uwaga 2 20" xfId="37886" xr:uid="{00000000-0005-0000-0000-00000C940000}"/>
    <cellStyle name="Uwaga 2 20 10" xfId="37887" xr:uid="{00000000-0005-0000-0000-00000D940000}"/>
    <cellStyle name="Uwaga 2 20 10 2" xfId="37888" xr:uid="{00000000-0005-0000-0000-00000E940000}"/>
    <cellStyle name="Uwaga 2 20 10 3" xfId="37889" xr:uid="{00000000-0005-0000-0000-00000F940000}"/>
    <cellStyle name="Uwaga 2 20 10 4" xfId="37890" xr:uid="{00000000-0005-0000-0000-000010940000}"/>
    <cellStyle name="Uwaga 2 20 11" xfId="37891" xr:uid="{00000000-0005-0000-0000-000011940000}"/>
    <cellStyle name="Uwaga 2 20 11 2" xfId="37892" xr:uid="{00000000-0005-0000-0000-000012940000}"/>
    <cellStyle name="Uwaga 2 20 11 3" xfId="37893" xr:uid="{00000000-0005-0000-0000-000013940000}"/>
    <cellStyle name="Uwaga 2 20 11 4" xfId="37894" xr:uid="{00000000-0005-0000-0000-000014940000}"/>
    <cellStyle name="Uwaga 2 20 12" xfId="37895" xr:uid="{00000000-0005-0000-0000-000015940000}"/>
    <cellStyle name="Uwaga 2 20 12 2" xfId="37896" xr:uid="{00000000-0005-0000-0000-000016940000}"/>
    <cellStyle name="Uwaga 2 20 12 3" xfId="37897" xr:uid="{00000000-0005-0000-0000-000017940000}"/>
    <cellStyle name="Uwaga 2 20 12 4" xfId="37898" xr:uid="{00000000-0005-0000-0000-000018940000}"/>
    <cellStyle name="Uwaga 2 20 13" xfId="37899" xr:uid="{00000000-0005-0000-0000-000019940000}"/>
    <cellStyle name="Uwaga 2 20 13 2" xfId="37900" xr:uid="{00000000-0005-0000-0000-00001A940000}"/>
    <cellStyle name="Uwaga 2 20 13 3" xfId="37901" xr:uid="{00000000-0005-0000-0000-00001B940000}"/>
    <cellStyle name="Uwaga 2 20 13 4" xfId="37902" xr:uid="{00000000-0005-0000-0000-00001C940000}"/>
    <cellStyle name="Uwaga 2 20 14" xfId="37903" xr:uid="{00000000-0005-0000-0000-00001D940000}"/>
    <cellStyle name="Uwaga 2 20 14 2" xfId="37904" xr:uid="{00000000-0005-0000-0000-00001E940000}"/>
    <cellStyle name="Uwaga 2 20 14 3" xfId="37905" xr:uid="{00000000-0005-0000-0000-00001F940000}"/>
    <cellStyle name="Uwaga 2 20 14 4" xfId="37906" xr:uid="{00000000-0005-0000-0000-000020940000}"/>
    <cellStyle name="Uwaga 2 20 15" xfId="37907" xr:uid="{00000000-0005-0000-0000-000021940000}"/>
    <cellStyle name="Uwaga 2 20 15 2" xfId="37908" xr:uid="{00000000-0005-0000-0000-000022940000}"/>
    <cellStyle name="Uwaga 2 20 15 3" xfId="37909" xr:uid="{00000000-0005-0000-0000-000023940000}"/>
    <cellStyle name="Uwaga 2 20 15 4" xfId="37910" xr:uid="{00000000-0005-0000-0000-000024940000}"/>
    <cellStyle name="Uwaga 2 20 16" xfId="37911" xr:uid="{00000000-0005-0000-0000-000025940000}"/>
    <cellStyle name="Uwaga 2 20 16 2" xfId="37912" xr:uid="{00000000-0005-0000-0000-000026940000}"/>
    <cellStyle name="Uwaga 2 20 16 3" xfId="37913" xr:uid="{00000000-0005-0000-0000-000027940000}"/>
    <cellStyle name="Uwaga 2 20 16 4" xfId="37914" xr:uid="{00000000-0005-0000-0000-000028940000}"/>
    <cellStyle name="Uwaga 2 20 17" xfId="37915" xr:uid="{00000000-0005-0000-0000-000029940000}"/>
    <cellStyle name="Uwaga 2 20 17 2" xfId="37916" xr:uid="{00000000-0005-0000-0000-00002A940000}"/>
    <cellStyle name="Uwaga 2 20 17 3" xfId="37917" xr:uid="{00000000-0005-0000-0000-00002B940000}"/>
    <cellStyle name="Uwaga 2 20 17 4" xfId="37918" xr:uid="{00000000-0005-0000-0000-00002C940000}"/>
    <cellStyle name="Uwaga 2 20 18" xfId="37919" xr:uid="{00000000-0005-0000-0000-00002D940000}"/>
    <cellStyle name="Uwaga 2 20 18 2" xfId="37920" xr:uid="{00000000-0005-0000-0000-00002E940000}"/>
    <cellStyle name="Uwaga 2 20 18 3" xfId="37921" xr:uid="{00000000-0005-0000-0000-00002F940000}"/>
    <cellStyle name="Uwaga 2 20 18 4" xfId="37922" xr:uid="{00000000-0005-0000-0000-000030940000}"/>
    <cellStyle name="Uwaga 2 20 19" xfId="37923" xr:uid="{00000000-0005-0000-0000-000031940000}"/>
    <cellStyle name="Uwaga 2 20 19 2" xfId="37924" xr:uid="{00000000-0005-0000-0000-000032940000}"/>
    <cellStyle name="Uwaga 2 20 19 3" xfId="37925" xr:uid="{00000000-0005-0000-0000-000033940000}"/>
    <cellStyle name="Uwaga 2 20 19 4" xfId="37926" xr:uid="{00000000-0005-0000-0000-000034940000}"/>
    <cellStyle name="Uwaga 2 20 2" xfId="37927" xr:uid="{00000000-0005-0000-0000-000035940000}"/>
    <cellStyle name="Uwaga 2 20 2 2" xfId="37928" xr:uid="{00000000-0005-0000-0000-000036940000}"/>
    <cellStyle name="Uwaga 2 20 2 3" xfId="37929" xr:uid="{00000000-0005-0000-0000-000037940000}"/>
    <cellStyle name="Uwaga 2 20 2 4" xfId="37930" xr:uid="{00000000-0005-0000-0000-000038940000}"/>
    <cellStyle name="Uwaga 2 20 20" xfId="37931" xr:uid="{00000000-0005-0000-0000-000039940000}"/>
    <cellStyle name="Uwaga 2 20 20 2" xfId="37932" xr:uid="{00000000-0005-0000-0000-00003A940000}"/>
    <cellStyle name="Uwaga 2 20 20 3" xfId="37933" xr:uid="{00000000-0005-0000-0000-00003B940000}"/>
    <cellStyle name="Uwaga 2 20 20 4" xfId="37934" xr:uid="{00000000-0005-0000-0000-00003C940000}"/>
    <cellStyle name="Uwaga 2 20 21" xfId="37935" xr:uid="{00000000-0005-0000-0000-00003D940000}"/>
    <cellStyle name="Uwaga 2 20 21 2" xfId="37936" xr:uid="{00000000-0005-0000-0000-00003E940000}"/>
    <cellStyle name="Uwaga 2 20 21 3" xfId="37937" xr:uid="{00000000-0005-0000-0000-00003F940000}"/>
    <cellStyle name="Uwaga 2 20 22" xfId="37938" xr:uid="{00000000-0005-0000-0000-000040940000}"/>
    <cellStyle name="Uwaga 2 20 22 2" xfId="37939" xr:uid="{00000000-0005-0000-0000-000041940000}"/>
    <cellStyle name="Uwaga 2 20 22 3" xfId="37940" xr:uid="{00000000-0005-0000-0000-000042940000}"/>
    <cellStyle name="Uwaga 2 20 23" xfId="37941" xr:uid="{00000000-0005-0000-0000-000043940000}"/>
    <cellStyle name="Uwaga 2 20 23 2" xfId="37942" xr:uid="{00000000-0005-0000-0000-000044940000}"/>
    <cellStyle name="Uwaga 2 20 23 3" xfId="37943" xr:uid="{00000000-0005-0000-0000-000045940000}"/>
    <cellStyle name="Uwaga 2 20 24" xfId="37944" xr:uid="{00000000-0005-0000-0000-000046940000}"/>
    <cellStyle name="Uwaga 2 20 24 2" xfId="37945" xr:uid="{00000000-0005-0000-0000-000047940000}"/>
    <cellStyle name="Uwaga 2 20 24 3" xfId="37946" xr:uid="{00000000-0005-0000-0000-000048940000}"/>
    <cellStyle name="Uwaga 2 20 25" xfId="37947" xr:uid="{00000000-0005-0000-0000-000049940000}"/>
    <cellStyle name="Uwaga 2 20 25 2" xfId="37948" xr:uid="{00000000-0005-0000-0000-00004A940000}"/>
    <cellStyle name="Uwaga 2 20 25 3" xfId="37949" xr:uid="{00000000-0005-0000-0000-00004B940000}"/>
    <cellStyle name="Uwaga 2 20 26" xfId="37950" xr:uid="{00000000-0005-0000-0000-00004C940000}"/>
    <cellStyle name="Uwaga 2 20 26 2" xfId="37951" xr:uid="{00000000-0005-0000-0000-00004D940000}"/>
    <cellStyle name="Uwaga 2 20 26 3" xfId="37952" xr:uid="{00000000-0005-0000-0000-00004E940000}"/>
    <cellStyle name="Uwaga 2 20 27" xfId="37953" xr:uid="{00000000-0005-0000-0000-00004F940000}"/>
    <cellStyle name="Uwaga 2 20 27 2" xfId="37954" xr:uid="{00000000-0005-0000-0000-000050940000}"/>
    <cellStyle name="Uwaga 2 20 27 3" xfId="37955" xr:uid="{00000000-0005-0000-0000-000051940000}"/>
    <cellStyle name="Uwaga 2 20 28" xfId="37956" xr:uid="{00000000-0005-0000-0000-000052940000}"/>
    <cellStyle name="Uwaga 2 20 28 2" xfId="37957" xr:uid="{00000000-0005-0000-0000-000053940000}"/>
    <cellStyle name="Uwaga 2 20 28 3" xfId="37958" xr:uid="{00000000-0005-0000-0000-000054940000}"/>
    <cellStyle name="Uwaga 2 20 29" xfId="37959" xr:uid="{00000000-0005-0000-0000-000055940000}"/>
    <cellStyle name="Uwaga 2 20 29 2" xfId="37960" xr:uid="{00000000-0005-0000-0000-000056940000}"/>
    <cellStyle name="Uwaga 2 20 29 3" xfId="37961" xr:uid="{00000000-0005-0000-0000-000057940000}"/>
    <cellStyle name="Uwaga 2 20 3" xfId="37962" xr:uid="{00000000-0005-0000-0000-000058940000}"/>
    <cellStyle name="Uwaga 2 20 3 2" xfId="37963" xr:uid="{00000000-0005-0000-0000-000059940000}"/>
    <cellStyle name="Uwaga 2 20 3 3" xfId="37964" xr:uid="{00000000-0005-0000-0000-00005A940000}"/>
    <cellStyle name="Uwaga 2 20 3 4" xfId="37965" xr:uid="{00000000-0005-0000-0000-00005B940000}"/>
    <cellStyle name="Uwaga 2 20 30" xfId="37966" xr:uid="{00000000-0005-0000-0000-00005C940000}"/>
    <cellStyle name="Uwaga 2 20 30 2" xfId="37967" xr:uid="{00000000-0005-0000-0000-00005D940000}"/>
    <cellStyle name="Uwaga 2 20 30 3" xfId="37968" xr:uid="{00000000-0005-0000-0000-00005E940000}"/>
    <cellStyle name="Uwaga 2 20 31" xfId="37969" xr:uid="{00000000-0005-0000-0000-00005F940000}"/>
    <cellStyle name="Uwaga 2 20 31 2" xfId="37970" xr:uid="{00000000-0005-0000-0000-000060940000}"/>
    <cellStyle name="Uwaga 2 20 31 3" xfId="37971" xr:uid="{00000000-0005-0000-0000-000061940000}"/>
    <cellStyle name="Uwaga 2 20 32" xfId="37972" xr:uid="{00000000-0005-0000-0000-000062940000}"/>
    <cellStyle name="Uwaga 2 20 32 2" xfId="37973" xr:uid="{00000000-0005-0000-0000-000063940000}"/>
    <cellStyle name="Uwaga 2 20 32 3" xfId="37974" xr:uid="{00000000-0005-0000-0000-000064940000}"/>
    <cellStyle name="Uwaga 2 20 33" xfId="37975" xr:uid="{00000000-0005-0000-0000-000065940000}"/>
    <cellStyle name="Uwaga 2 20 33 2" xfId="37976" xr:uid="{00000000-0005-0000-0000-000066940000}"/>
    <cellStyle name="Uwaga 2 20 33 3" xfId="37977" xr:uid="{00000000-0005-0000-0000-000067940000}"/>
    <cellStyle name="Uwaga 2 20 34" xfId="37978" xr:uid="{00000000-0005-0000-0000-000068940000}"/>
    <cellStyle name="Uwaga 2 20 34 2" xfId="37979" xr:uid="{00000000-0005-0000-0000-000069940000}"/>
    <cellStyle name="Uwaga 2 20 34 3" xfId="37980" xr:uid="{00000000-0005-0000-0000-00006A940000}"/>
    <cellStyle name="Uwaga 2 20 35" xfId="37981" xr:uid="{00000000-0005-0000-0000-00006B940000}"/>
    <cellStyle name="Uwaga 2 20 35 2" xfId="37982" xr:uid="{00000000-0005-0000-0000-00006C940000}"/>
    <cellStyle name="Uwaga 2 20 35 3" xfId="37983" xr:uid="{00000000-0005-0000-0000-00006D940000}"/>
    <cellStyle name="Uwaga 2 20 36" xfId="37984" xr:uid="{00000000-0005-0000-0000-00006E940000}"/>
    <cellStyle name="Uwaga 2 20 36 2" xfId="37985" xr:uid="{00000000-0005-0000-0000-00006F940000}"/>
    <cellStyle name="Uwaga 2 20 36 3" xfId="37986" xr:uid="{00000000-0005-0000-0000-000070940000}"/>
    <cellStyle name="Uwaga 2 20 37" xfId="37987" xr:uid="{00000000-0005-0000-0000-000071940000}"/>
    <cellStyle name="Uwaga 2 20 37 2" xfId="37988" xr:uid="{00000000-0005-0000-0000-000072940000}"/>
    <cellStyle name="Uwaga 2 20 37 3" xfId="37989" xr:uid="{00000000-0005-0000-0000-000073940000}"/>
    <cellStyle name="Uwaga 2 20 38" xfId="37990" xr:uid="{00000000-0005-0000-0000-000074940000}"/>
    <cellStyle name="Uwaga 2 20 38 2" xfId="37991" xr:uid="{00000000-0005-0000-0000-000075940000}"/>
    <cellStyle name="Uwaga 2 20 38 3" xfId="37992" xr:uid="{00000000-0005-0000-0000-000076940000}"/>
    <cellStyle name="Uwaga 2 20 39" xfId="37993" xr:uid="{00000000-0005-0000-0000-000077940000}"/>
    <cellStyle name="Uwaga 2 20 39 2" xfId="37994" xr:uid="{00000000-0005-0000-0000-000078940000}"/>
    <cellStyle name="Uwaga 2 20 39 3" xfId="37995" xr:uid="{00000000-0005-0000-0000-000079940000}"/>
    <cellStyle name="Uwaga 2 20 4" xfId="37996" xr:uid="{00000000-0005-0000-0000-00007A940000}"/>
    <cellStyle name="Uwaga 2 20 4 2" xfId="37997" xr:uid="{00000000-0005-0000-0000-00007B940000}"/>
    <cellStyle name="Uwaga 2 20 4 3" xfId="37998" xr:uid="{00000000-0005-0000-0000-00007C940000}"/>
    <cellStyle name="Uwaga 2 20 4 4" xfId="37999" xr:uid="{00000000-0005-0000-0000-00007D940000}"/>
    <cellStyle name="Uwaga 2 20 40" xfId="38000" xr:uid="{00000000-0005-0000-0000-00007E940000}"/>
    <cellStyle name="Uwaga 2 20 40 2" xfId="38001" xr:uid="{00000000-0005-0000-0000-00007F940000}"/>
    <cellStyle name="Uwaga 2 20 40 3" xfId="38002" xr:uid="{00000000-0005-0000-0000-000080940000}"/>
    <cellStyle name="Uwaga 2 20 41" xfId="38003" xr:uid="{00000000-0005-0000-0000-000081940000}"/>
    <cellStyle name="Uwaga 2 20 41 2" xfId="38004" xr:uid="{00000000-0005-0000-0000-000082940000}"/>
    <cellStyle name="Uwaga 2 20 41 3" xfId="38005" xr:uid="{00000000-0005-0000-0000-000083940000}"/>
    <cellStyle name="Uwaga 2 20 42" xfId="38006" xr:uid="{00000000-0005-0000-0000-000084940000}"/>
    <cellStyle name="Uwaga 2 20 42 2" xfId="38007" xr:uid="{00000000-0005-0000-0000-000085940000}"/>
    <cellStyle name="Uwaga 2 20 42 3" xfId="38008" xr:uid="{00000000-0005-0000-0000-000086940000}"/>
    <cellStyle name="Uwaga 2 20 43" xfId="38009" xr:uid="{00000000-0005-0000-0000-000087940000}"/>
    <cellStyle name="Uwaga 2 20 43 2" xfId="38010" xr:uid="{00000000-0005-0000-0000-000088940000}"/>
    <cellStyle name="Uwaga 2 20 43 3" xfId="38011" xr:uid="{00000000-0005-0000-0000-000089940000}"/>
    <cellStyle name="Uwaga 2 20 44" xfId="38012" xr:uid="{00000000-0005-0000-0000-00008A940000}"/>
    <cellStyle name="Uwaga 2 20 44 2" xfId="38013" xr:uid="{00000000-0005-0000-0000-00008B940000}"/>
    <cellStyle name="Uwaga 2 20 44 3" xfId="38014" xr:uid="{00000000-0005-0000-0000-00008C940000}"/>
    <cellStyle name="Uwaga 2 20 45" xfId="38015" xr:uid="{00000000-0005-0000-0000-00008D940000}"/>
    <cellStyle name="Uwaga 2 20 45 2" xfId="38016" xr:uid="{00000000-0005-0000-0000-00008E940000}"/>
    <cellStyle name="Uwaga 2 20 45 3" xfId="38017" xr:uid="{00000000-0005-0000-0000-00008F940000}"/>
    <cellStyle name="Uwaga 2 20 46" xfId="38018" xr:uid="{00000000-0005-0000-0000-000090940000}"/>
    <cellStyle name="Uwaga 2 20 46 2" xfId="38019" xr:uid="{00000000-0005-0000-0000-000091940000}"/>
    <cellStyle name="Uwaga 2 20 46 3" xfId="38020" xr:uid="{00000000-0005-0000-0000-000092940000}"/>
    <cellStyle name="Uwaga 2 20 47" xfId="38021" xr:uid="{00000000-0005-0000-0000-000093940000}"/>
    <cellStyle name="Uwaga 2 20 47 2" xfId="38022" xr:uid="{00000000-0005-0000-0000-000094940000}"/>
    <cellStyle name="Uwaga 2 20 47 3" xfId="38023" xr:uid="{00000000-0005-0000-0000-000095940000}"/>
    <cellStyle name="Uwaga 2 20 48" xfId="38024" xr:uid="{00000000-0005-0000-0000-000096940000}"/>
    <cellStyle name="Uwaga 2 20 48 2" xfId="38025" xr:uid="{00000000-0005-0000-0000-000097940000}"/>
    <cellStyle name="Uwaga 2 20 48 3" xfId="38026" xr:uid="{00000000-0005-0000-0000-000098940000}"/>
    <cellStyle name="Uwaga 2 20 49" xfId="38027" xr:uid="{00000000-0005-0000-0000-000099940000}"/>
    <cellStyle name="Uwaga 2 20 49 2" xfId="38028" xr:uid="{00000000-0005-0000-0000-00009A940000}"/>
    <cellStyle name="Uwaga 2 20 49 3" xfId="38029" xr:uid="{00000000-0005-0000-0000-00009B940000}"/>
    <cellStyle name="Uwaga 2 20 5" xfId="38030" xr:uid="{00000000-0005-0000-0000-00009C940000}"/>
    <cellStyle name="Uwaga 2 20 5 2" xfId="38031" xr:uid="{00000000-0005-0000-0000-00009D940000}"/>
    <cellStyle name="Uwaga 2 20 5 3" xfId="38032" xr:uid="{00000000-0005-0000-0000-00009E940000}"/>
    <cellStyle name="Uwaga 2 20 5 4" xfId="38033" xr:uid="{00000000-0005-0000-0000-00009F940000}"/>
    <cellStyle name="Uwaga 2 20 50" xfId="38034" xr:uid="{00000000-0005-0000-0000-0000A0940000}"/>
    <cellStyle name="Uwaga 2 20 50 2" xfId="38035" xr:uid="{00000000-0005-0000-0000-0000A1940000}"/>
    <cellStyle name="Uwaga 2 20 50 3" xfId="38036" xr:uid="{00000000-0005-0000-0000-0000A2940000}"/>
    <cellStyle name="Uwaga 2 20 51" xfId="38037" xr:uid="{00000000-0005-0000-0000-0000A3940000}"/>
    <cellStyle name="Uwaga 2 20 51 2" xfId="38038" xr:uid="{00000000-0005-0000-0000-0000A4940000}"/>
    <cellStyle name="Uwaga 2 20 51 3" xfId="38039" xr:uid="{00000000-0005-0000-0000-0000A5940000}"/>
    <cellStyle name="Uwaga 2 20 52" xfId="38040" xr:uid="{00000000-0005-0000-0000-0000A6940000}"/>
    <cellStyle name="Uwaga 2 20 52 2" xfId="38041" xr:uid="{00000000-0005-0000-0000-0000A7940000}"/>
    <cellStyle name="Uwaga 2 20 52 3" xfId="38042" xr:uid="{00000000-0005-0000-0000-0000A8940000}"/>
    <cellStyle name="Uwaga 2 20 53" xfId="38043" xr:uid="{00000000-0005-0000-0000-0000A9940000}"/>
    <cellStyle name="Uwaga 2 20 53 2" xfId="38044" xr:uid="{00000000-0005-0000-0000-0000AA940000}"/>
    <cellStyle name="Uwaga 2 20 53 3" xfId="38045" xr:uid="{00000000-0005-0000-0000-0000AB940000}"/>
    <cellStyle name="Uwaga 2 20 54" xfId="38046" xr:uid="{00000000-0005-0000-0000-0000AC940000}"/>
    <cellStyle name="Uwaga 2 20 54 2" xfId="38047" xr:uid="{00000000-0005-0000-0000-0000AD940000}"/>
    <cellStyle name="Uwaga 2 20 54 3" xfId="38048" xr:uid="{00000000-0005-0000-0000-0000AE940000}"/>
    <cellStyle name="Uwaga 2 20 55" xfId="38049" xr:uid="{00000000-0005-0000-0000-0000AF940000}"/>
    <cellStyle name="Uwaga 2 20 55 2" xfId="38050" xr:uid="{00000000-0005-0000-0000-0000B0940000}"/>
    <cellStyle name="Uwaga 2 20 55 3" xfId="38051" xr:uid="{00000000-0005-0000-0000-0000B1940000}"/>
    <cellStyle name="Uwaga 2 20 56" xfId="38052" xr:uid="{00000000-0005-0000-0000-0000B2940000}"/>
    <cellStyle name="Uwaga 2 20 56 2" xfId="38053" xr:uid="{00000000-0005-0000-0000-0000B3940000}"/>
    <cellStyle name="Uwaga 2 20 56 3" xfId="38054" xr:uid="{00000000-0005-0000-0000-0000B4940000}"/>
    <cellStyle name="Uwaga 2 20 57" xfId="38055" xr:uid="{00000000-0005-0000-0000-0000B5940000}"/>
    <cellStyle name="Uwaga 2 20 58" xfId="38056" xr:uid="{00000000-0005-0000-0000-0000B6940000}"/>
    <cellStyle name="Uwaga 2 20 6" xfId="38057" xr:uid="{00000000-0005-0000-0000-0000B7940000}"/>
    <cellStyle name="Uwaga 2 20 6 2" xfId="38058" xr:uid="{00000000-0005-0000-0000-0000B8940000}"/>
    <cellStyle name="Uwaga 2 20 6 3" xfId="38059" xr:uid="{00000000-0005-0000-0000-0000B9940000}"/>
    <cellStyle name="Uwaga 2 20 6 4" xfId="38060" xr:uid="{00000000-0005-0000-0000-0000BA940000}"/>
    <cellStyle name="Uwaga 2 20 7" xfId="38061" xr:uid="{00000000-0005-0000-0000-0000BB940000}"/>
    <cellStyle name="Uwaga 2 20 7 2" xfId="38062" xr:uid="{00000000-0005-0000-0000-0000BC940000}"/>
    <cellStyle name="Uwaga 2 20 7 3" xfId="38063" xr:uid="{00000000-0005-0000-0000-0000BD940000}"/>
    <cellStyle name="Uwaga 2 20 7 4" xfId="38064" xr:uid="{00000000-0005-0000-0000-0000BE940000}"/>
    <cellStyle name="Uwaga 2 20 8" xfId="38065" xr:uid="{00000000-0005-0000-0000-0000BF940000}"/>
    <cellStyle name="Uwaga 2 20 8 2" xfId="38066" xr:uid="{00000000-0005-0000-0000-0000C0940000}"/>
    <cellStyle name="Uwaga 2 20 8 3" xfId="38067" xr:uid="{00000000-0005-0000-0000-0000C1940000}"/>
    <cellStyle name="Uwaga 2 20 8 4" xfId="38068" xr:uid="{00000000-0005-0000-0000-0000C2940000}"/>
    <cellStyle name="Uwaga 2 20 9" xfId="38069" xr:uid="{00000000-0005-0000-0000-0000C3940000}"/>
    <cellStyle name="Uwaga 2 20 9 2" xfId="38070" xr:uid="{00000000-0005-0000-0000-0000C4940000}"/>
    <cellStyle name="Uwaga 2 20 9 3" xfId="38071" xr:uid="{00000000-0005-0000-0000-0000C5940000}"/>
    <cellStyle name="Uwaga 2 20 9 4" xfId="38072" xr:uid="{00000000-0005-0000-0000-0000C6940000}"/>
    <cellStyle name="Uwaga 2 21" xfId="38073" xr:uid="{00000000-0005-0000-0000-0000C7940000}"/>
    <cellStyle name="Uwaga 2 21 10" xfId="38074" xr:uid="{00000000-0005-0000-0000-0000C8940000}"/>
    <cellStyle name="Uwaga 2 21 10 2" xfId="38075" xr:uid="{00000000-0005-0000-0000-0000C9940000}"/>
    <cellStyle name="Uwaga 2 21 10 3" xfId="38076" xr:uid="{00000000-0005-0000-0000-0000CA940000}"/>
    <cellStyle name="Uwaga 2 21 10 4" xfId="38077" xr:uid="{00000000-0005-0000-0000-0000CB940000}"/>
    <cellStyle name="Uwaga 2 21 11" xfId="38078" xr:uid="{00000000-0005-0000-0000-0000CC940000}"/>
    <cellStyle name="Uwaga 2 21 11 2" xfId="38079" xr:uid="{00000000-0005-0000-0000-0000CD940000}"/>
    <cellStyle name="Uwaga 2 21 11 3" xfId="38080" xr:uid="{00000000-0005-0000-0000-0000CE940000}"/>
    <cellStyle name="Uwaga 2 21 11 4" xfId="38081" xr:uid="{00000000-0005-0000-0000-0000CF940000}"/>
    <cellStyle name="Uwaga 2 21 12" xfId="38082" xr:uid="{00000000-0005-0000-0000-0000D0940000}"/>
    <cellStyle name="Uwaga 2 21 12 2" xfId="38083" xr:uid="{00000000-0005-0000-0000-0000D1940000}"/>
    <cellStyle name="Uwaga 2 21 12 3" xfId="38084" xr:uid="{00000000-0005-0000-0000-0000D2940000}"/>
    <cellStyle name="Uwaga 2 21 12 4" xfId="38085" xr:uid="{00000000-0005-0000-0000-0000D3940000}"/>
    <cellStyle name="Uwaga 2 21 13" xfId="38086" xr:uid="{00000000-0005-0000-0000-0000D4940000}"/>
    <cellStyle name="Uwaga 2 21 13 2" xfId="38087" xr:uid="{00000000-0005-0000-0000-0000D5940000}"/>
    <cellStyle name="Uwaga 2 21 13 3" xfId="38088" xr:uid="{00000000-0005-0000-0000-0000D6940000}"/>
    <cellStyle name="Uwaga 2 21 13 4" xfId="38089" xr:uid="{00000000-0005-0000-0000-0000D7940000}"/>
    <cellStyle name="Uwaga 2 21 14" xfId="38090" xr:uid="{00000000-0005-0000-0000-0000D8940000}"/>
    <cellStyle name="Uwaga 2 21 14 2" xfId="38091" xr:uid="{00000000-0005-0000-0000-0000D9940000}"/>
    <cellStyle name="Uwaga 2 21 14 3" xfId="38092" xr:uid="{00000000-0005-0000-0000-0000DA940000}"/>
    <cellStyle name="Uwaga 2 21 14 4" xfId="38093" xr:uid="{00000000-0005-0000-0000-0000DB940000}"/>
    <cellStyle name="Uwaga 2 21 15" xfId="38094" xr:uid="{00000000-0005-0000-0000-0000DC940000}"/>
    <cellStyle name="Uwaga 2 21 15 2" xfId="38095" xr:uid="{00000000-0005-0000-0000-0000DD940000}"/>
    <cellStyle name="Uwaga 2 21 15 3" xfId="38096" xr:uid="{00000000-0005-0000-0000-0000DE940000}"/>
    <cellStyle name="Uwaga 2 21 15 4" xfId="38097" xr:uid="{00000000-0005-0000-0000-0000DF940000}"/>
    <cellStyle name="Uwaga 2 21 16" xfId="38098" xr:uid="{00000000-0005-0000-0000-0000E0940000}"/>
    <cellStyle name="Uwaga 2 21 16 2" xfId="38099" xr:uid="{00000000-0005-0000-0000-0000E1940000}"/>
    <cellStyle name="Uwaga 2 21 16 3" xfId="38100" xr:uid="{00000000-0005-0000-0000-0000E2940000}"/>
    <cellStyle name="Uwaga 2 21 16 4" xfId="38101" xr:uid="{00000000-0005-0000-0000-0000E3940000}"/>
    <cellStyle name="Uwaga 2 21 17" xfId="38102" xr:uid="{00000000-0005-0000-0000-0000E4940000}"/>
    <cellStyle name="Uwaga 2 21 17 2" xfId="38103" xr:uid="{00000000-0005-0000-0000-0000E5940000}"/>
    <cellStyle name="Uwaga 2 21 17 3" xfId="38104" xr:uid="{00000000-0005-0000-0000-0000E6940000}"/>
    <cellStyle name="Uwaga 2 21 17 4" xfId="38105" xr:uid="{00000000-0005-0000-0000-0000E7940000}"/>
    <cellStyle name="Uwaga 2 21 18" xfId="38106" xr:uid="{00000000-0005-0000-0000-0000E8940000}"/>
    <cellStyle name="Uwaga 2 21 18 2" xfId="38107" xr:uid="{00000000-0005-0000-0000-0000E9940000}"/>
    <cellStyle name="Uwaga 2 21 18 3" xfId="38108" xr:uid="{00000000-0005-0000-0000-0000EA940000}"/>
    <cellStyle name="Uwaga 2 21 18 4" xfId="38109" xr:uid="{00000000-0005-0000-0000-0000EB940000}"/>
    <cellStyle name="Uwaga 2 21 19" xfId="38110" xr:uid="{00000000-0005-0000-0000-0000EC940000}"/>
    <cellStyle name="Uwaga 2 21 19 2" xfId="38111" xr:uid="{00000000-0005-0000-0000-0000ED940000}"/>
    <cellStyle name="Uwaga 2 21 19 3" xfId="38112" xr:uid="{00000000-0005-0000-0000-0000EE940000}"/>
    <cellStyle name="Uwaga 2 21 19 4" xfId="38113" xr:uid="{00000000-0005-0000-0000-0000EF940000}"/>
    <cellStyle name="Uwaga 2 21 2" xfId="38114" xr:uid="{00000000-0005-0000-0000-0000F0940000}"/>
    <cellStyle name="Uwaga 2 21 2 2" xfId="38115" xr:uid="{00000000-0005-0000-0000-0000F1940000}"/>
    <cellStyle name="Uwaga 2 21 2 3" xfId="38116" xr:uid="{00000000-0005-0000-0000-0000F2940000}"/>
    <cellStyle name="Uwaga 2 21 2 4" xfId="38117" xr:uid="{00000000-0005-0000-0000-0000F3940000}"/>
    <cellStyle name="Uwaga 2 21 20" xfId="38118" xr:uid="{00000000-0005-0000-0000-0000F4940000}"/>
    <cellStyle name="Uwaga 2 21 20 2" xfId="38119" xr:uid="{00000000-0005-0000-0000-0000F5940000}"/>
    <cellStyle name="Uwaga 2 21 20 3" xfId="38120" xr:uid="{00000000-0005-0000-0000-0000F6940000}"/>
    <cellStyle name="Uwaga 2 21 20 4" xfId="38121" xr:uid="{00000000-0005-0000-0000-0000F7940000}"/>
    <cellStyle name="Uwaga 2 21 21" xfId="38122" xr:uid="{00000000-0005-0000-0000-0000F8940000}"/>
    <cellStyle name="Uwaga 2 21 21 2" xfId="38123" xr:uid="{00000000-0005-0000-0000-0000F9940000}"/>
    <cellStyle name="Uwaga 2 21 21 3" xfId="38124" xr:uid="{00000000-0005-0000-0000-0000FA940000}"/>
    <cellStyle name="Uwaga 2 21 22" xfId="38125" xr:uid="{00000000-0005-0000-0000-0000FB940000}"/>
    <cellStyle name="Uwaga 2 21 22 2" xfId="38126" xr:uid="{00000000-0005-0000-0000-0000FC940000}"/>
    <cellStyle name="Uwaga 2 21 22 3" xfId="38127" xr:uid="{00000000-0005-0000-0000-0000FD940000}"/>
    <cellStyle name="Uwaga 2 21 23" xfId="38128" xr:uid="{00000000-0005-0000-0000-0000FE940000}"/>
    <cellStyle name="Uwaga 2 21 23 2" xfId="38129" xr:uid="{00000000-0005-0000-0000-0000FF940000}"/>
    <cellStyle name="Uwaga 2 21 23 3" xfId="38130" xr:uid="{00000000-0005-0000-0000-000000950000}"/>
    <cellStyle name="Uwaga 2 21 24" xfId="38131" xr:uid="{00000000-0005-0000-0000-000001950000}"/>
    <cellStyle name="Uwaga 2 21 24 2" xfId="38132" xr:uid="{00000000-0005-0000-0000-000002950000}"/>
    <cellStyle name="Uwaga 2 21 24 3" xfId="38133" xr:uid="{00000000-0005-0000-0000-000003950000}"/>
    <cellStyle name="Uwaga 2 21 25" xfId="38134" xr:uid="{00000000-0005-0000-0000-000004950000}"/>
    <cellStyle name="Uwaga 2 21 25 2" xfId="38135" xr:uid="{00000000-0005-0000-0000-000005950000}"/>
    <cellStyle name="Uwaga 2 21 25 3" xfId="38136" xr:uid="{00000000-0005-0000-0000-000006950000}"/>
    <cellStyle name="Uwaga 2 21 26" xfId="38137" xr:uid="{00000000-0005-0000-0000-000007950000}"/>
    <cellStyle name="Uwaga 2 21 26 2" xfId="38138" xr:uid="{00000000-0005-0000-0000-000008950000}"/>
    <cellStyle name="Uwaga 2 21 26 3" xfId="38139" xr:uid="{00000000-0005-0000-0000-000009950000}"/>
    <cellStyle name="Uwaga 2 21 27" xfId="38140" xr:uid="{00000000-0005-0000-0000-00000A950000}"/>
    <cellStyle name="Uwaga 2 21 27 2" xfId="38141" xr:uid="{00000000-0005-0000-0000-00000B950000}"/>
    <cellStyle name="Uwaga 2 21 27 3" xfId="38142" xr:uid="{00000000-0005-0000-0000-00000C950000}"/>
    <cellStyle name="Uwaga 2 21 28" xfId="38143" xr:uid="{00000000-0005-0000-0000-00000D950000}"/>
    <cellStyle name="Uwaga 2 21 28 2" xfId="38144" xr:uid="{00000000-0005-0000-0000-00000E950000}"/>
    <cellStyle name="Uwaga 2 21 28 3" xfId="38145" xr:uid="{00000000-0005-0000-0000-00000F950000}"/>
    <cellStyle name="Uwaga 2 21 29" xfId="38146" xr:uid="{00000000-0005-0000-0000-000010950000}"/>
    <cellStyle name="Uwaga 2 21 29 2" xfId="38147" xr:uid="{00000000-0005-0000-0000-000011950000}"/>
    <cellStyle name="Uwaga 2 21 29 3" xfId="38148" xr:uid="{00000000-0005-0000-0000-000012950000}"/>
    <cellStyle name="Uwaga 2 21 3" xfId="38149" xr:uid="{00000000-0005-0000-0000-000013950000}"/>
    <cellStyle name="Uwaga 2 21 3 2" xfId="38150" xr:uid="{00000000-0005-0000-0000-000014950000}"/>
    <cellStyle name="Uwaga 2 21 3 3" xfId="38151" xr:uid="{00000000-0005-0000-0000-000015950000}"/>
    <cellStyle name="Uwaga 2 21 3 4" xfId="38152" xr:uid="{00000000-0005-0000-0000-000016950000}"/>
    <cellStyle name="Uwaga 2 21 30" xfId="38153" xr:uid="{00000000-0005-0000-0000-000017950000}"/>
    <cellStyle name="Uwaga 2 21 30 2" xfId="38154" xr:uid="{00000000-0005-0000-0000-000018950000}"/>
    <cellStyle name="Uwaga 2 21 30 3" xfId="38155" xr:uid="{00000000-0005-0000-0000-000019950000}"/>
    <cellStyle name="Uwaga 2 21 31" xfId="38156" xr:uid="{00000000-0005-0000-0000-00001A950000}"/>
    <cellStyle name="Uwaga 2 21 31 2" xfId="38157" xr:uid="{00000000-0005-0000-0000-00001B950000}"/>
    <cellStyle name="Uwaga 2 21 31 3" xfId="38158" xr:uid="{00000000-0005-0000-0000-00001C950000}"/>
    <cellStyle name="Uwaga 2 21 32" xfId="38159" xr:uid="{00000000-0005-0000-0000-00001D950000}"/>
    <cellStyle name="Uwaga 2 21 32 2" xfId="38160" xr:uid="{00000000-0005-0000-0000-00001E950000}"/>
    <cellStyle name="Uwaga 2 21 32 3" xfId="38161" xr:uid="{00000000-0005-0000-0000-00001F950000}"/>
    <cellStyle name="Uwaga 2 21 33" xfId="38162" xr:uid="{00000000-0005-0000-0000-000020950000}"/>
    <cellStyle name="Uwaga 2 21 33 2" xfId="38163" xr:uid="{00000000-0005-0000-0000-000021950000}"/>
    <cellStyle name="Uwaga 2 21 33 3" xfId="38164" xr:uid="{00000000-0005-0000-0000-000022950000}"/>
    <cellStyle name="Uwaga 2 21 34" xfId="38165" xr:uid="{00000000-0005-0000-0000-000023950000}"/>
    <cellStyle name="Uwaga 2 21 34 2" xfId="38166" xr:uid="{00000000-0005-0000-0000-000024950000}"/>
    <cellStyle name="Uwaga 2 21 34 3" xfId="38167" xr:uid="{00000000-0005-0000-0000-000025950000}"/>
    <cellStyle name="Uwaga 2 21 35" xfId="38168" xr:uid="{00000000-0005-0000-0000-000026950000}"/>
    <cellStyle name="Uwaga 2 21 35 2" xfId="38169" xr:uid="{00000000-0005-0000-0000-000027950000}"/>
    <cellStyle name="Uwaga 2 21 35 3" xfId="38170" xr:uid="{00000000-0005-0000-0000-000028950000}"/>
    <cellStyle name="Uwaga 2 21 36" xfId="38171" xr:uid="{00000000-0005-0000-0000-000029950000}"/>
    <cellStyle name="Uwaga 2 21 36 2" xfId="38172" xr:uid="{00000000-0005-0000-0000-00002A950000}"/>
    <cellStyle name="Uwaga 2 21 36 3" xfId="38173" xr:uid="{00000000-0005-0000-0000-00002B950000}"/>
    <cellStyle name="Uwaga 2 21 37" xfId="38174" xr:uid="{00000000-0005-0000-0000-00002C950000}"/>
    <cellStyle name="Uwaga 2 21 37 2" xfId="38175" xr:uid="{00000000-0005-0000-0000-00002D950000}"/>
    <cellStyle name="Uwaga 2 21 37 3" xfId="38176" xr:uid="{00000000-0005-0000-0000-00002E950000}"/>
    <cellStyle name="Uwaga 2 21 38" xfId="38177" xr:uid="{00000000-0005-0000-0000-00002F950000}"/>
    <cellStyle name="Uwaga 2 21 38 2" xfId="38178" xr:uid="{00000000-0005-0000-0000-000030950000}"/>
    <cellStyle name="Uwaga 2 21 38 3" xfId="38179" xr:uid="{00000000-0005-0000-0000-000031950000}"/>
    <cellStyle name="Uwaga 2 21 39" xfId="38180" xr:uid="{00000000-0005-0000-0000-000032950000}"/>
    <cellStyle name="Uwaga 2 21 39 2" xfId="38181" xr:uid="{00000000-0005-0000-0000-000033950000}"/>
    <cellStyle name="Uwaga 2 21 39 3" xfId="38182" xr:uid="{00000000-0005-0000-0000-000034950000}"/>
    <cellStyle name="Uwaga 2 21 4" xfId="38183" xr:uid="{00000000-0005-0000-0000-000035950000}"/>
    <cellStyle name="Uwaga 2 21 4 2" xfId="38184" xr:uid="{00000000-0005-0000-0000-000036950000}"/>
    <cellStyle name="Uwaga 2 21 4 3" xfId="38185" xr:uid="{00000000-0005-0000-0000-000037950000}"/>
    <cellStyle name="Uwaga 2 21 4 4" xfId="38186" xr:uid="{00000000-0005-0000-0000-000038950000}"/>
    <cellStyle name="Uwaga 2 21 40" xfId="38187" xr:uid="{00000000-0005-0000-0000-000039950000}"/>
    <cellStyle name="Uwaga 2 21 40 2" xfId="38188" xr:uid="{00000000-0005-0000-0000-00003A950000}"/>
    <cellStyle name="Uwaga 2 21 40 3" xfId="38189" xr:uid="{00000000-0005-0000-0000-00003B950000}"/>
    <cellStyle name="Uwaga 2 21 41" xfId="38190" xr:uid="{00000000-0005-0000-0000-00003C950000}"/>
    <cellStyle name="Uwaga 2 21 41 2" xfId="38191" xr:uid="{00000000-0005-0000-0000-00003D950000}"/>
    <cellStyle name="Uwaga 2 21 41 3" xfId="38192" xr:uid="{00000000-0005-0000-0000-00003E950000}"/>
    <cellStyle name="Uwaga 2 21 42" xfId="38193" xr:uid="{00000000-0005-0000-0000-00003F950000}"/>
    <cellStyle name="Uwaga 2 21 42 2" xfId="38194" xr:uid="{00000000-0005-0000-0000-000040950000}"/>
    <cellStyle name="Uwaga 2 21 42 3" xfId="38195" xr:uid="{00000000-0005-0000-0000-000041950000}"/>
    <cellStyle name="Uwaga 2 21 43" xfId="38196" xr:uid="{00000000-0005-0000-0000-000042950000}"/>
    <cellStyle name="Uwaga 2 21 43 2" xfId="38197" xr:uid="{00000000-0005-0000-0000-000043950000}"/>
    <cellStyle name="Uwaga 2 21 43 3" xfId="38198" xr:uid="{00000000-0005-0000-0000-000044950000}"/>
    <cellStyle name="Uwaga 2 21 44" xfId="38199" xr:uid="{00000000-0005-0000-0000-000045950000}"/>
    <cellStyle name="Uwaga 2 21 44 2" xfId="38200" xr:uid="{00000000-0005-0000-0000-000046950000}"/>
    <cellStyle name="Uwaga 2 21 44 3" xfId="38201" xr:uid="{00000000-0005-0000-0000-000047950000}"/>
    <cellStyle name="Uwaga 2 21 45" xfId="38202" xr:uid="{00000000-0005-0000-0000-000048950000}"/>
    <cellStyle name="Uwaga 2 21 45 2" xfId="38203" xr:uid="{00000000-0005-0000-0000-000049950000}"/>
    <cellStyle name="Uwaga 2 21 45 3" xfId="38204" xr:uid="{00000000-0005-0000-0000-00004A950000}"/>
    <cellStyle name="Uwaga 2 21 46" xfId="38205" xr:uid="{00000000-0005-0000-0000-00004B950000}"/>
    <cellStyle name="Uwaga 2 21 46 2" xfId="38206" xr:uid="{00000000-0005-0000-0000-00004C950000}"/>
    <cellStyle name="Uwaga 2 21 46 3" xfId="38207" xr:uid="{00000000-0005-0000-0000-00004D950000}"/>
    <cellStyle name="Uwaga 2 21 47" xfId="38208" xr:uid="{00000000-0005-0000-0000-00004E950000}"/>
    <cellStyle name="Uwaga 2 21 47 2" xfId="38209" xr:uid="{00000000-0005-0000-0000-00004F950000}"/>
    <cellStyle name="Uwaga 2 21 47 3" xfId="38210" xr:uid="{00000000-0005-0000-0000-000050950000}"/>
    <cellStyle name="Uwaga 2 21 48" xfId="38211" xr:uid="{00000000-0005-0000-0000-000051950000}"/>
    <cellStyle name="Uwaga 2 21 48 2" xfId="38212" xr:uid="{00000000-0005-0000-0000-000052950000}"/>
    <cellStyle name="Uwaga 2 21 48 3" xfId="38213" xr:uid="{00000000-0005-0000-0000-000053950000}"/>
    <cellStyle name="Uwaga 2 21 49" xfId="38214" xr:uid="{00000000-0005-0000-0000-000054950000}"/>
    <cellStyle name="Uwaga 2 21 49 2" xfId="38215" xr:uid="{00000000-0005-0000-0000-000055950000}"/>
    <cellStyle name="Uwaga 2 21 49 3" xfId="38216" xr:uid="{00000000-0005-0000-0000-000056950000}"/>
    <cellStyle name="Uwaga 2 21 5" xfId="38217" xr:uid="{00000000-0005-0000-0000-000057950000}"/>
    <cellStyle name="Uwaga 2 21 5 2" xfId="38218" xr:uid="{00000000-0005-0000-0000-000058950000}"/>
    <cellStyle name="Uwaga 2 21 5 3" xfId="38219" xr:uid="{00000000-0005-0000-0000-000059950000}"/>
    <cellStyle name="Uwaga 2 21 5 4" xfId="38220" xr:uid="{00000000-0005-0000-0000-00005A950000}"/>
    <cellStyle name="Uwaga 2 21 50" xfId="38221" xr:uid="{00000000-0005-0000-0000-00005B950000}"/>
    <cellStyle name="Uwaga 2 21 50 2" xfId="38222" xr:uid="{00000000-0005-0000-0000-00005C950000}"/>
    <cellStyle name="Uwaga 2 21 50 3" xfId="38223" xr:uid="{00000000-0005-0000-0000-00005D950000}"/>
    <cellStyle name="Uwaga 2 21 51" xfId="38224" xr:uid="{00000000-0005-0000-0000-00005E950000}"/>
    <cellStyle name="Uwaga 2 21 51 2" xfId="38225" xr:uid="{00000000-0005-0000-0000-00005F950000}"/>
    <cellStyle name="Uwaga 2 21 51 3" xfId="38226" xr:uid="{00000000-0005-0000-0000-000060950000}"/>
    <cellStyle name="Uwaga 2 21 52" xfId="38227" xr:uid="{00000000-0005-0000-0000-000061950000}"/>
    <cellStyle name="Uwaga 2 21 52 2" xfId="38228" xr:uid="{00000000-0005-0000-0000-000062950000}"/>
    <cellStyle name="Uwaga 2 21 52 3" xfId="38229" xr:uid="{00000000-0005-0000-0000-000063950000}"/>
    <cellStyle name="Uwaga 2 21 53" xfId="38230" xr:uid="{00000000-0005-0000-0000-000064950000}"/>
    <cellStyle name="Uwaga 2 21 53 2" xfId="38231" xr:uid="{00000000-0005-0000-0000-000065950000}"/>
    <cellStyle name="Uwaga 2 21 53 3" xfId="38232" xr:uid="{00000000-0005-0000-0000-000066950000}"/>
    <cellStyle name="Uwaga 2 21 54" xfId="38233" xr:uid="{00000000-0005-0000-0000-000067950000}"/>
    <cellStyle name="Uwaga 2 21 54 2" xfId="38234" xr:uid="{00000000-0005-0000-0000-000068950000}"/>
    <cellStyle name="Uwaga 2 21 54 3" xfId="38235" xr:uid="{00000000-0005-0000-0000-000069950000}"/>
    <cellStyle name="Uwaga 2 21 55" xfId="38236" xr:uid="{00000000-0005-0000-0000-00006A950000}"/>
    <cellStyle name="Uwaga 2 21 55 2" xfId="38237" xr:uid="{00000000-0005-0000-0000-00006B950000}"/>
    <cellStyle name="Uwaga 2 21 55 3" xfId="38238" xr:uid="{00000000-0005-0000-0000-00006C950000}"/>
    <cellStyle name="Uwaga 2 21 56" xfId="38239" xr:uid="{00000000-0005-0000-0000-00006D950000}"/>
    <cellStyle name="Uwaga 2 21 56 2" xfId="38240" xr:uid="{00000000-0005-0000-0000-00006E950000}"/>
    <cellStyle name="Uwaga 2 21 56 3" xfId="38241" xr:uid="{00000000-0005-0000-0000-00006F950000}"/>
    <cellStyle name="Uwaga 2 21 57" xfId="38242" xr:uid="{00000000-0005-0000-0000-000070950000}"/>
    <cellStyle name="Uwaga 2 21 58" xfId="38243" xr:uid="{00000000-0005-0000-0000-000071950000}"/>
    <cellStyle name="Uwaga 2 21 6" xfId="38244" xr:uid="{00000000-0005-0000-0000-000072950000}"/>
    <cellStyle name="Uwaga 2 21 6 2" xfId="38245" xr:uid="{00000000-0005-0000-0000-000073950000}"/>
    <cellStyle name="Uwaga 2 21 6 3" xfId="38246" xr:uid="{00000000-0005-0000-0000-000074950000}"/>
    <cellStyle name="Uwaga 2 21 6 4" xfId="38247" xr:uid="{00000000-0005-0000-0000-000075950000}"/>
    <cellStyle name="Uwaga 2 21 7" xfId="38248" xr:uid="{00000000-0005-0000-0000-000076950000}"/>
    <cellStyle name="Uwaga 2 21 7 2" xfId="38249" xr:uid="{00000000-0005-0000-0000-000077950000}"/>
    <cellStyle name="Uwaga 2 21 7 3" xfId="38250" xr:uid="{00000000-0005-0000-0000-000078950000}"/>
    <cellStyle name="Uwaga 2 21 7 4" xfId="38251" xr:uid="{00000000-0005-0000-0000-000079950000}"/>
    <cellStyle name="Uwaga 2 21 8" xfId="38252" xr:uid="{00000000-0005-0000-0000-00007A950000}"/>
    <cellStyle name="Uwaga 2 21 8 2" xfId="38253" xr:uid="{00000000-0005-0000-0000-00007B950000}"/>
    <cellStyle name="Uwaga 2 21 8 3" xfId="38254" xr:uid="{00000000-0005-0000-0000-00007C950000}"/>
    <cellStyle name="Uwaga 2 21 8 4" xfId="38255" xr:uid="{00000000-0005-0000-0000-00007D950000}"/>
    <cellStyle name="Uwaga 2 21 9" xfId="38256" xr:uid="{00000000-0005-0000-0000-00007E950000}"/>
    <cellStyle name="Uwaga 2 21 9 2" xfId="38257" xr:uid="{00000000-0005-0000-0000-00007F950000}"/>
    <cellStyle name="Uwaga 2 21 9 3" xfId="38258" xr:uid="{00000000-0005-0000-0000-000080950000}"/>
    <cellStyle name="Uwaga 2 21 9 4" xfId="38259" xr:uid="{00000000-0005-0000-0000-000081950000}"/>
    <cellStyle name="Uwaga 2 22" xfId="38260" xr:uid="{00000000-0005-0000-0000-000082950000}"/>
    <cellStyle name="Uwaga 2 22 10" xfId="38261" xr:uid="{00000000-0005-0000-0000-000083950000}"/>
    <cellStyle name="Uwaga 2 22 10 2" xfId="38262" xr:uid="{00000000-0005-0000-0000-000084950000}"/>
    <cellStyle name="Uwaga 2 22 10 3" xfId="38263" xr:uid="{00000000-0005-0000-0000-000085950000}"/>
    <cellStyle name="Uwaga 2 22 10 4" xfId="38264" xr:uid="{00000000-0005-0000-0000-000086950000}"/>
    <cellStyle name="Uwaga 2 22 11" xfId="38265" xr:uid="{00000000-0005-0000-0000-000087950000}"/>
    <cellStyle name="Uwaga 2 22 11 2" xfId="38266" xr:uid="{00000000-0005-0000-0000-000088950000}"/>
    <cellStyle name="Uwaga 2 22 11 3" xfId="38267" xr:uid="{00000000-0005-0000-0000-000089950000}"/>
    <cellStyle name="Uwaga 2 22 11 4" xfId="38268" xr:uid="{00000000-0005-0000-0000-00008A950000}"/>
    <cellStyle name="Uwaga 2 22 12" xfId="38269" xr:uid="{00000000-0005-0000-0000-00008B950000}"/>
    <cellStyle name="Uwaga 2 22 12 2" xfId="38270" xr:uid="{00000000-0005-0000-0000-00008C950000}"/>
    <cellStyle name="Uwaga 2 22 12 3" xfId="38271" xr:uid="{00000000-0005-0000-0000-00008D950000}"/>
    <cellStyle name="Uwaga 2 22 12 4" xfId="38272" xr:uid="{00000000-0005-0000-0000-00008E950000}"/>
    <cellStyle name="Uwaga 2 22 13" xfId="38273" xr:uid="{00000000-0005-0000-0000-00008F950000}"/>
    <cellStyle name="Uwaga 2 22 13 2" xfId="38274" xr:uid="{00000000-0005-0000-0000-000090950000}"/>
    <cellStyle name="Uwaga 2 22 13 3" xfId="38275" xr:uid="{00000000-0005-0000-0000-000091950000}"/>
    <cellStyle name="Uwaga 2 22 13 4" xfId="38276" xr:uid="{00000000-0005-0000-0000-000092950000}"/>
    <cellStyle name="Uwaga 2 22 14" xfId="38277" xr:uid="{00000000-0005-0000-0000-000093950000}"/>
    <cellStyle name="Uwaga 2 22 14 2" xfId="38278" xr:uid="{00000000-0005-0000-0000-000094950000}"/>
    <cellStyle name="Uwaga 2 22 14 3" xfId="38279" xr:uid="{00000000-0005-0000-0000-000095950000}"/>
    <cellStyle name="Uwaga 2 22 14 4" xfId="38280" xr:uid="{00000000-0005-0000-0000-000096950000}"/>
    <cellStyle name="Uwaga 2 22 15" xfId="38281" xr:uid="{00000000-0005-0000-0000-000097950000}"/>
    <cellStyle name="Uwaga 2 22 15 2" xfId="38282" xr:uid="{00000000-0005-0000-0000-000098950000}"/>
    <cellStyle name="Uwaga 2 22 15 3" xfId="38283" xr:uid="{00000000-0005-0000-0000-000099950000}"/>
    <cellStyle name="Uwaga 2 22 15 4" xfId="38284" xr:uid="{00000000-0005-0000-0000-00009A950000}"/>
    <cellStyle name="Uwaga 2 22 16" xfId="38285" xr:uid="{00000000-0005-0000-0000-00009B950000}"/>
    <cellStyle name="Uwaga 2 22 16 2" xfId="38286" xr:uid="{00000000-0005-0000-0000-00009C950000}"/>
    <cellStyle name="Uwaga 2 22 16 3" xfId="38287" xr:uid="{00000000-0005-0000-0000-00009D950000}"/>
    <cellStyle name="Uwaga 2 22 16 4" xfId="38288" xr:uid="{00000000-0005-0000-0000-00009E950000}"/>
    <cellStyle name="Uwaga 2 22 17" xfId="38289" xr:uid="{00000000-0005-0000-0000-00009F950000}"/>
    <cellStyle name="Uwaga 2 22 17 2" xfId="38290" xr:uid="{00000000-0005-0000-0000-0000A0950000}"/>
    <cellStyle name="Uwaga 2 22 17 3" xfId="38291" xr:uid="{00000000-0005-0000-0000-0000A1950000}"/>
    <cellStyle name="Uwaga 2 22 17 4" xfId="38292" xr:uid="{00000000-0005-0000-0000-0000A2950000}"/>
    <cellStyle name="Uwaga 2 22 18" xfId="38293" xr:uid="{00000000-0005-0000-0000-0000A3950000}"/>
    <cellStyle name="Uwaga 2 22 18 2" xfId="38294" xr:uid="{00000000-0005-0000-0000-0000A4950000}"/>
    <cellStyle name="Uwaga 2 22 18 3" xfId="38295" xr:uid="{00000000-0005-0000-0000-0000A5950000}"/>
    <cellStyle name="Uwaga 2 22 18 4" xfId="38296" xr:uid="{00000000-0005-0000-0000-0000A6950000}"/>
    <cellStyle name="Uwaga 2 22 19" xfId="38297" xr:uid="{00000000-0005-0000-0000-0000A7950000}"/>
    <cellStyle name="Uwaga 2 22 19 2" xfId="38298" xr:uid="{00000000-0005-0000-0000-0000A8950000}"/>
    <cellStyle name="Uwaga 2 22 19 3" xfId="38299" xr:uid="{00000000-0005-0000-0000-0000A9950000}"/>
    <cellStyle name="Uwaga 2 22 19 4" xfId="38300" xr:uid="{00000000-0005-0000-0000-0000AA950000}"/>
    <cellStyle name="Uwaga 2 22 2" xfId="38301" xr:uid="{00000000-0005-0000-0000-0000AB950000}"/>
    <cellStyle name="Uwaga 2 22 2 2" xfId="38302" xr:uid="{00000000-0005-0000-0000-0000AC950000}"/>
    <cellStyle name="Uwaga 2 22 2 3" xfId="38303" xr:uid="{00000000-0005-0000-0000-0000AD950000}"/>
    <cellStyle name="Uwaga 2 22 2 4" xfId="38304" xr:uid="{00000000-0005-0000-0000-0000AE950000}"/>
    <cellStyle name="Uwaga 2 22 20" xfId="38305" xr:uid="{00000000-0005-0000-0000-0000AF950000}"/>
    <cellStyle name="Uwaga 2 22 20 2" xfId="38306" xr:uid="{00000000-0005-0000-0000-0000B0950000}"/>
    <cellStyle name="Uwaga 2 22 20 3" xfId="38307" xr:uid="{00000000-0005-0000-0000-0000B1950000}"/>
    <cellStyle name="Uwaga 2 22 20 4" xfId="38308" xr:uid="{00000000-0005-0000-0000-0000B2950000}"/>
    <cellStyle name="Uwaga 2 22 21" xfId="38309" xr:uid="{00000000-0005-0000-0000-0000B3950000}"/>
    <cellStyle name="Uwaga 2 22 21 2" xfId="38310" xr:uid="{00000000-0005-0000-0000-0000B4950000}"/>
    <cellStyle name="Uwaga 2 22 21 3" xfId="38311" xr:uid="{00000000-0005-0000-0000-0000B5950000}"/>
    <cellStyle name="Uwaga 2 22 22" xfId="38312" xr:uid="{00000000-0005-0000-0000-0000B6950000}"/>
    <cellStyle name="Uwaga 2 22 22 2" xfId="38313" xr:uid="{00000000-0005-0000-0000-0000B7950000}"/>
    <cellStyle name="Uwaga 2 22 22 3" xfId="38314" xr:uid="{00000000-0005-0000-0000-0000B8950000}"/>
    <cellStyle name="Uwaga 2 22 23" xfId="38315" xr:uid="{00000000-0005-0000-0000-0000B9950000}"/>
    <cellStyle name="Uwaga 2 22 23 2" xfId="38316" xr:uid="{00000000-0005-0000-0000-0000BA950000}"/>
    <cellStyle name="Uwaga 2 22 23 3" xfId="38317" xr:uid="{00000000-0005-0000-0000-0000BB950000}"/>
    <cellStyle name="Uwaga 2 22 24" xfId="38318" xr:uid="{00000000-0005-0000-0000-0000BC950000}"/>
    <cellStyle name="Uwaga 2 22 24 2" xfId="38319" xr:uid="{00000000-0005-0000-0000-0000BD950000}"/>
    <cellStyle name="Uwaga 2 22 24 3" xfId="38320" xr:uid="{00000000-0005-0000-0000-0000BE950000}"/>
    <cellStyle name="Uwaga 2 22 25" xfId="38321" xr:uid="{00000000-0005-0000-0000-0000BF950000}"/>
    <cellStyle name="Uwaga 2 22 25 2" xfId="38322" xr:uid="{00000000-0005-0000-0000-0000C0950000}"/>
    <cellStyle name="Uwaga 2 22 25 3" xfId="38323" xr:uid="{00000000-0005-0000-0000-0000C1950000}"/>
    <cellStyle name="Uwaga 2 22 26" xfId="38324" xr:uid="{00000000-0005-0000-0000-0000C2950000}"/>
    <cellStyle name="Uwaga 2 22 26 2" xfId="38325" xr:uid="{00000000-0005-0000-0000-0000C3950000}"/>
    <cellStyle name="Uwaga 2 22 26 3" xfId="38326" xr:uid="{00000000-0005-0000-0000-0000C4950000}"/>
    <cellStyle name="Uwaga 2 22 27" xfId="38327" xr:uid="{00000000-0005-0000-0000-0000C5950000}"/>
    <cellStyle name="Uwaga 2 22 27 2" xfId="38328" xr:uid="{00000000-0005-0000-0000-0000C6950000}"/>
    <cellStyle name="Uwaga 2 22 27 3" xfId="38329" xr:uid="{00000000-0005-0000-0000-0000C7950000}"/>
    <cellStyle name="Uwaga 2 22 28" xfId="38330" xr:uid="{00000000-0005-0000-0000-0000C8950000}"/>
    <cellStyle name="Uwaga 2 22 28 2" xfId="38331" xr:uid="{00000000-0005-0000-0000-0000C9950000}"/>
    <cellStyle name="Uwaga 2 22 28 3" xfId="38332" xr:uid="{00000000-0005-0000-0000-0000CA950000}"/>
    <cellStyle name="Uwaga 2 22 29" xfId="38333" xr:uid="{00000000-0005-0000-0000-0000CB950000}"/>
    <cellStyle name="Uwaga 2 22 29 2" xfId="38334" xr:uid="{00000000-0005-0000-0000-0000CC950000}"/>
    <cellStyle name="Uwaga 2 22 29 3" xfId="38335" xr:uid="{00000000-0005-0000-0000-0000CD950000}"/>
    <cellStyle name="Uwaga 2 22 3" xfId="38336" xr:uid="{00000000-0005-0000-0000-0000CE950000}"/>
    <cellStyle name="Uwaga 2 22 3 2" xfId="38337" xr:uid="{00000000-0005-0000-0000-0000CF950000}"/>
    <cellStyle name="Uwaga 2 22 3 3" xfId="38338" xr:uid="{00000000-0005-0000-0000-0000D0950000}"/>
    <cellStyle name="Uwaga 2 22 3 4" xfId="38339" xr:uid="{00000000-0005-0000-0000-0000D1950000}"/>
    <cellStyle name="Uwaga 2 22 30" xfId="38340" xr:uid="{00000000-0005-0000-0000-0000D2950000}"/>
    <cellStyle name="Uwaga 2 22 30 2" xfId="38341" xr:uid="{00000000-0005-0000-0000-0000D3950000}"/>
    <cellStyle name="Uwaga 2 22 30 3" xfId="38342" xr:uid="{00000000-0005-0000-0000-0000D4950000}"/>
    <cellStyle name="Uwaga 2 22 31" xfId="38343" xr:uid="{00000000-0005-0000-0000-0000D5950000}"/>
    <cellStyle name="Uwaga 2 22 31 2" xfId="38344" xr:uid="{00000000-0005-0000-0000-0000D6950000}"/>
    <cellStyle name="Uwaga 2 22 31 3" xfId="38345" xr:uid="{00000000-0005-0000-0000-0000D7950000}"/>
    <cellStyle name="Uwaga 2 22 32" xfId="38346" xr:uid="{00000000-0005-0000-0000-0000D8950000}"/>
    <cellStyle name="Uwaga 2 22 32 2" xfId="38347" xr:uid="{00000000-0005-0000-0000-0000D9950000}"/>
    <cellStyle name="Uwaga 2 22 32 3" xfId="38348" xr:uid="{00000000-0005-0000-0000-0000DA950000}"/>
    <cellStyle name="Uwaga 2 22 33" xfId="38349" xr:uid="{00000000-0005-0000-0000-0000DB950000}"/>
    <cellStyle name="Uwaga 2 22 33 2" xfId="38350" xr:uid="{00000000-0005-0000-0000-0000DC950000}"/>
    <cellStyle name="Uwaga 2 22 33 3" xfId="38351" xr:uid="{00000000-0005-0000-0000-0000DD950000}"/>
    <cellStyle name="Uwaga 2 22 34" xfId="38352" xr:uid="{00000000-0005-0000-0000-0000DE950000}"/>
    <cellStyle name="Uwaga 2 22 34 2" xfId="38353" xr:uid="{00000000-0005-0000-0000-0000DF950000}"/>
    <cellStyle name="Uwaga 2 22 34 3" xfId="38354" xr:uid="{00000000-0005-0000-0000-0000E0950000}"/>
    <cellStyle name="Uwaga 2 22 35" xfId="38355" xr:uid="{00000000-0005-0000-0000-0000E1950000}"/>
    <cellStyle name="Uwaga 2 22 35 2" xfId="38356" xr:uid="{00000000-0005-0000-0000-0000E2950000}"/>
    <cellStyle name="Uwaga 2 22 35 3" xfId="38357" xr:uid="{00000000-0005-0000-0000-0000E3950000}"/>
    <cellStyle name="Uwaga 2 22 36" xfId="38358" xr:uid="{00000000-0005-0000-0000-0000E4950000}"/>
    <cellStyle name="Uwaga 2 22 36 2" xfId="38359" xr:uid="{00000000-0005-0000-0000-0000E5950000}"/>
    <cellStyle name="Uwaga 2 22 36 3" xfId="38360" xr:uid="{00000000-0005-0000-0000-0000E6950000}"/>
    <cellStyle name="Uwaga 2 22 37" xfId="38361" xr:uid="{00000000-0005-0000-0000-0000E7950000}"/>
    <cellStyle name="Uwaga 2 22 37 2" xfId="38362" xr:uid="{00000000-0005-0000-0000-0000E8950000}"/>
    <cellStyle name="Uwaga 2 22 37 3" xfId="38363" xr:uid="{00000000-0005-0000-0000-0000E9950000}"/>
    <cellStyle name="Uwaga 2 22 38" xfId="38364" xr:uid="{00000000-0005-0000-0000-0000EA950000}"/>
    <cellStyle name="Uwaga 2 22 38 2" xfId="38365" xr:uid="{00000000-0005-0000-0000-0000EB950000}"/>
    <cellStyle name="Uwaga 2 22 38 3" xfId="38366" xr:uid="{00000000-0005-0000-0000-0000EC950000}"/>
    <cellStyle name="Uwaga 2 22 39" xfId="38367" xr:uid="{00000000-0005-0000-0000-0000ED950000}"/>
    <cellStyle name="Uwaga 2 22 39 2" xfId="38368" xr:uid="{00000000-0005-0000-0000-0000EE950000}"/>
    <cellStyle name="Uwaga 2 22 39 3" xfId="38369" xr:uid="{00000000-0005-0000-0000-0000EF950000}"/>
    <cellStyle name="Uwaga 2 22 4" xfId="38370" xr:uid="{00000000-0005-0000-0000-0000F0950000}"/>
    <cellStyle name="Uwaga 2 22 4 2" xfId="38371" xr:uid="{00000000-0005-0000-0000-0000F1950000}"/>
    <cellStyle name="Uwaga 2 22 4 3" xfId="38372" xr:uid="{00000000-0005-0000-0000-0000F2950000}"/>
    <cellStyle name="Uwaga 2 22 4 4" xfId="38373" xr:uid="{00000000-0005-0000-0000-0000F3950000}"/>
    <cellStyle name="Uwaga 2 22 40" xfId="38374" xr:uid="{00000000-0005-0000-0000-0000F4950000}"/>
    <cellStyle name="Uwaga 2 22 40 2" xfId="38375" xr:uid="{00000000-0005-0000-0000-0000F5950000}"/>
    <cellStyle name="Uwaga 2 22 40 3" xfId="38376" xr:uid="{00000000-0005-0000-0000-0000F6950000}"/>
    <cellStyle name="Uwaga 2 22 41" xfId="38377" xr:uid="{00000000-0005-0000-0000-0000F7950000}"/>
    <cellStyle name="Uwaga 2 22 41 2" xfId="38378" xr:uid="{00000000-0005-0000-0000-0000F8950000}"/>
    <cellStyle name="Uwaga 2 22 41 3" xfId="38379" xr:uid="{00000000-0005-0000-0000-0000F9950000}"/>
    <cellStyle name="Uwaga 2 22 42" xfId="38380" xr:uid="{00000000-0005-0000-0000-0000FA950000}"/>
    <cellStyle name="Uwaga 2 22 42 2" xfId="38381" xr:uid="{00000000-0005-0000-0000-0000FB950000}"/>
    <cellStyle name="Uwaga 2 22 42 3" xfId="38382" xr:uid="{00000000-0005-0000-0000-0000FC950000}"/>
    <cellStyle name="Uwaga 2 22 43" xfId="38383" xr:uid="{00000000-0005-0000-0000-0000FD950000}"/>
    <cellStyle name="Uwaga 2 22 43 2" xfId="38384" xr:uid="{00000000-0005-0000-0000-0000FE950000}"/>
    <cellStyle name="Uwaga 2 22 43 3" xfId="38385" xr:uid="{00000000-0005-0000-0000-0000FF950000}"/>
    <cellStyle name="Uwaga 2 22 44" xfId="38386" xr:uid="{00000000-0005-0000-0000-000000960000}"/>
    <cellStyle name="Uwaga 2 22 44 2" xfId="38387" xr:uid="{00000000-0005-0000-0000-000001960000}"/>
    <cellStyle name="Uwaga 2 22 44 3" xfId="38388" xr:uid="{00000000-0005-0000-0000-000002960000}"/>
    <cellStyle name="Uwaga 2 22 45" xfId="38389" xr:uid="{00000000-0005-0000-0000-000003960000}"/>
    <cellStyle name="Uwaga 2 22 45 2" xfId="38390" xr:uid="{00000000-0005-0000-0000-000004960000}"/>
    <cellStyle name="Uwaga 2 22 45 3" xfId="38391" xr:uid="{00000000-0005-0000-0000-000005960000}"/>
    <cellStyle name="Uwaga 2 22 46" xfId="38392" xr:uid="{00000000-0005-0000-0000-000006960000}"/>
    <cellStyle name="Uwaga 2 22 46 2" xfId="38393" xr:uid="{00000000-0005-0000-0000-000007960000}"/>
    <cellStyle name="Uwaga 2 22 46 3" xfId="38394" xr:uid="{00000000-0005-0000-0000-000008960000}"/>
    <cellStyle name="Uwaga 2 22 47" xfId="38395" xr:uid="{00000000-0005-0000-0000-000009960000}"/>
    <cellStyle name="Uwaga 2 22 47 2" xfId="38396" xr:uid="{00000000-0005-0000-0000-00000A960000}"/>
    <cellStyle name="Uwaga 2 22 47 3" xfId="38397" xr:uid="{00000000-0005-0000-0000-00000B960000}"/>
    <cellStyle name="Uwaga 2 22 48" xfId="38398" xr:uid="{00000000-0005-0000-0000-00000C960000}"/>
    <cellStyle name="Uwaga 2 22 48 2" xfId="38399" xr:uid="{00000000-0005-0000-0000-00000D960000}"/>
    <cellStyle name="Uwaga 2 22 48 3" xfId="38400" xr:uid="{00000000-0005-0000-0000-00000E960000}"/>
    <cellStyle name="Uwaga 2 22 49" xfId="38401" xr:uid="{00000000-0005-0000-0000-00000F960000}"/>
    <cellStyle name="Uwaga 2 22 49 2" xfId="38402" xr:uid="{00000000-0005-0000-0000-000010960000}"/>
    <cellStyle name="Uwaga 2 22 49 3" xfId="38403" xr:uid="{00000000-0005-0000-0000-000011960000}"/>
    <cellStyle name="Uwaga 2 22 5" xfId="38404" xr:uid="{00000000-0005-0000-0000-000012960000}"/>
    <cellStyle name="Uwaga 2 22 5 2" xfId="38405" xr:uid="{00000000-0005-0000-0000-000013960000}"/>
    <cellStyle name="Uwaga 2 22 5 3" xfId="38406" xr:uid="{00000000-0005-0000-0000-000014960000}"/>
    <cellStyle name="Uwaga 2 22 5 4" xfId="38407" xr:uid="{00000000-0005-0000-0000-000015960000}"/>
    <cellStyle name="Uwaga 2 22 50" xfId="38408" xr:uid="{00000000-0005-0000-0000-000016960000}"/>
    <cellStyle name="Uwaga 2 22 50 2" xfId="38409" xr:uid="{00000000-0005-0000-0000-000017960000}"/>
    <cellStyle name="Uwaga 2 22 50 3" xfId="38410" xr:uid="{00000000-0005-0000-0000-000018960000}"/>
    <cellStyle name="Uwaga 2 22 51" xfId="38411" xr:uid="{00000000-0005-0000-0000-000019960000}"/>
    <cellStyle name="Uwaga 2 22 51 2" xfId="38412" xr:uid="{00000000-0005-0000-0000-00001A960000}"/>
    <cellStyle name="Uwaga 2 22 51 3" xfId="38413" xr:uid="{00000000-0005-0000-0000-00001B960000}"/>
    <cellStyle name="Uwaga 2 22 52" xfId="38414" xr:uid="{00000000-0005-0000-0000-00001C960000}"/>
    <cellStyle name="Uwaga 2 22 52 2" xfId="38415" xr:uid="{00000000-0005-0000-0000-00001D960000}"/>
    <cellStyle name="Uwaga 2 22 52 3" xfId="38416" xr:uid="{00000000-0005-0000-0000-00001E960000}"/>
    <cellStyle name="Uwaga 2 22 53" xfId="38417" xr:uid="{00000000-0005-0000-0000-00001F960000}"/>
    <cellStyle name="Uwaga 2 22 53 2" xfId="38418" xr:uid="{00000000-0005-0000-0000-000020960000}"/>
    <cellStyle name="Uwaga 2 22 53 3" xfId="38419" xr:uid="{00000000-0005-0000-0000-000021960000}"/>
    <cellStyle name="Uwaga 2 22 54" xfId="38420" xr:uid="{00000000-0005-0000-0000-000022960000}"/>
    <cellStyle name="Uwaga 2 22 54 2" xfId="38421" xr:uid="{00000000-0005-0000-0000-000023960000}"/>
    <cellStyle name="Uwaga 2 22 54 3" xfId="38422" xr:uid="{00000000-0005-0000-0000-000024960000}"/>
    <cellStyle name="Uwaga 2 22 55" xfId="38423" xr:uid="{00000000-0005-0000-0000-000025960000}"/>
    <cellStyle name="Uwaga 2 22 55 2" xfId="38424" xr:uid="{00000000-0005-0000-0000-000026960000}"/>
    <cellStyle name="Uwaga 2 22 55 3" xfId="38425" xr:uid="{00000000-0005-0000-0000-000027960000}"/>
    <cellStyle name="Uwaga 2 22 56" xfId="38426" xr:uid="{00000000-0005-0000-0000-000028960000}"/>
    <cellStyle name="Uwaga 2 22 56 2" xfId="38427" xr:uid="{00000000-0005-0000-0000-000029960000}"/>
    <cellStyle name="Uwaga 2 22 56 3" xfId="38428" xr:uid="{00000000-0005-0000-0000-00002A960000}"/>
    <cellStyle name="Uwaga 2 22 57" xfId="38429" xr:uid="{00000000-0005-0000-0000-00002B960000}"/>
    <cellStyle name="Uwaga 2 22 58" xfId="38430" xr:uid="{00000000-0005-0000-0000-00002C960000}"/>
    <cellStyle name="Uwaga 2 22 6" xfId="38431" xr:uid="{00000000-0005-0000-0000-00002D960000}"/>
    <cellStyle name="Uwaga 2 22 6 2" xfId="38432" xr:uid="{00000000-0005-0000-0000-00002E960000}"/>
    <cellStyle name="Uwaga 2 22 6 3" xfId="38433" xr:uid="{00000000-0005-0000-0000-00002F960000}"/>
    <cellStyle name="Uwaga 2 22 6 4" xfId="38434" xr:uid="{00000000-0005-0000-0000-000030960000}"/>
    <cellStyle name="Uwaga 2 22 7" xfId="38435" xr:uid="{00000000-0005-0000-0000-000031960000}"/>
    <cellStyle name="Uwaga 2 22 7 2" xfId="38436" xr:uid="{00000000-0005-0000-0000-000032960000}"/>
    <cellStyle name="Uwaga 2 22 7 3" xfId="38437" xr:uid="{00000000-0005-0000-0000-000033960000}"/>
    <cellStyle name="Uwaga 2 22 7 4" xfId="38438" xr:uid="{00000000-0005-0000-0000-000034960000}"/>
    <cellStyle name="Uwaga 2 22 8" xfId="38439" xr:uid="{00000000-0005-0000-0000-000035960000}"/>
    <cellStyle name="Uwaga 2 22 8 2" xfId="38440" xr:uid="{00000000-0005-0000-0000-000036960000}"/>
    <cellStyle name="Uwaga 2 22 8 3" xfId="38441" xr:uid="{00000000-0005-0000-0000-000037960000}"/>
    <cellStyle name="Uwaga 2 22 8 4" xfId="38442" xr:uid="{00000000-0005-0000-0000-000038960000}"/>
    <cellStyle name="Uwaga 2 22 9" xfId="38443" xr:uid="{00000000-0005-0000-0000-000039960000}"/>
    <cellStyle name="Uwaga 2 22 9 2" xfId="38444" xr:uid="{00000000-0005-0000-0000-00003A960000}"/>
    <cellStyle name="Uwaga 2 22 9 3" xfId="38445" xr:uid="{00000000-0005-0000-0000-00003B960000}"/>
    <cellStyle name="Uwaga 2 22 9 4" xfId="38446" xr:uid="{00000000-0005-0000-0000-00003C960000}"/>
    <cellStyle name="Uwaga 2 23" xfId="38447" xr:uid="{00000000-0005-0000-0000-00003D960000}"/>
    <cellStyle name="Uwaga 2 23 10" xfId="38448" xr:uid="{00000000-0005-0000-0000-00003E960000}"/>
    <cellStyle name="Uwaga 2 23 10 2" xfId="38449" xr:uid="{00000000-0005-0000-0000-00003F960000}"/>
    <cellStyle name="Uwaga 2 23 10 3" xfId="38450" xr:uid="{00000000-0005-0000-0000-000040960000}"/>
    <cellStyle name="Uwaga 2 23 10 4" xfId="38451" xr:uid="{00000000-0005-0000-0000-000041960000}"/>
    <cellStyle name="Uwaga 2 23 11" xfId="38452" xr:uid="{00000000-0005-0000-0000-000042960000}"/>
    <cellStyle name="Uwaga 2 23 11 2" xfId="38453" xr:uid="{00000000-0005-0000-0000-000043960000}"/>
    <cellStyle name="Uwaga 2 23 11 3" xfId="38454" xr:uid="{00000000-0005-0000-0000-000044960000}"/>
    <cellStyle name="Uwaga 2 23 11 4" xfId="38455" xr:uid="{00000000-0005-0000-0000-000045960000}"/>
    <cellStyle name="Uwaga 2 23 12" xfId="38456" xr:uid="{00000000-0005-0000-0000-000046960000}"/>
    <cellStyle name="Uwaga 2 23 12 2" xfId="38457" xr:uid="{00000000-0005-0000-0000-000047960000}"/>
    <cellStyle name="Uwaga 2 23 12 3" xfId="38458" xr:uid="{00000000-0005-0000-0000-000048960000}"/>
    <cellStyle name="Uwaga 2 23 12 4" xfId="38459" xr:uid="{00000000-0005-0000-0000-000049960000}"/>
    <cellStyle name="Uwaga 2 23 13" xfId="38460" xr:uid="{00000000-0005-0000-0000-00004A960000}"/>
    <cellStyle name="Uwaga 2 23 13 2" xfId="38461" xr:uid="{00000000-0005-0000-0000-00004B960000}"/>
    <cellStyle name="Uwaga 2 23 13 3" xfId="38462" xr:uid="{00000000-0005-0000-0000-00004C960000}"/>
    <cellStyle name="Uwaga 2 23 13 4" xfId="38463" xr:uid="{00000000-0005-0000-0000-00004D960000}"/>
    <cellStyle name="Uwaga 2 23 14" xfId="38464" xr:uid="{00000000-0005-0000-0000-00004E960000}"/>
    <cellStyle name="Uwaga 2 23 14 2" xfId="38465" xr:uid="{00000000-0005-0000-0000-00004F960000}"/>
    <cellStyle name="Uwaga 2 23 14 3" xfId="38466" xr:uid="{00000000-0005-0000-0000-000050960000}"/>
    <cellStyle name="Uwaga 2 23 14 4" xfId="38467" xr:uid="{00000000-0005-0000-0000-000051960000}"/>
    <cellStyle name="Uwaga 2 23 15" xfId="38468" xr:uid="{00000000-0005-0000-0000-000052960000}"/>
    <cellStyle name="Uwaga 2 23 15 2" xfId="38469" xr:uid="{00000000-0005-0000-0000-000053960000}"/>
    <cellStyle name="Uwaga 2 23 15 3" xfId="38470" xr:uid="{00000000-0005-0000-0000-000054960000}"/>
    <cellStyle name="Uwaga 2 23 15 4" xfId="38471" xr:uid="{00000000-0005-0000-0000-000055960000}"/>
    <cellStyle name="Uwaga 2 23 16" xfId="38472" xr:uid="{00000000-0005-0000-0000-000056960000}"/>
    <cellStyle name="Uwaga 2 23 16 2" xfId="38473" xr:uid="{00000000-0005-0000-0000-000057960000}"/>
    <cellStyle name="Uwaga 2 23 16 3" xfId="38474" xr:uid="{00000000-0005-0000-0000-000058960000}"/>
    <cellStyle name="Uwaga 2 23 16 4" xfId="38475" xr:uid="{00000000-0005-0000-0000-000059960000}"/>
    <cellStyle name="Uwaga 2 23 17" xfId="38476" xr:uid="{00000000-0005-0000-0000-00005A960000}"/>
    <cellStyle name="Uwaga 2 23 17 2" xfId="38477" xr:uid="{00000000-0005-0000-0000-00005B960000}"/>
    <cellStyle name="Uwaga 2 23 17 3" xfId="38478" xr:uid="{00000000-0005-0000-0000-00005C960000}"/>
    <cellStyle name="Uwaga 2 23 17 4" xfId="38479" xr:uid="{00000000-0005-0000-0000-00005D960000}"/>
    <cellStyle name="Uwaga 2 23 18" xfId="38480" xr:uid="{00000000-0005-0000-0000-00005E960000}"/>
    <cellStyle name="Uwaga 2 23 18 2" xfId="38481" xr:uid="{00000000-0005-0000-0000-00005F960000}"/>
    <cellStyle name="Uwaga 2 23 18 3" xfId="38482" xr:uid="{00000000-0005-0000-0000-000060960000}"/>
    <cellStyle name="Uwaga 2 23 18 4" xfId="38483" xr:uid="{00000000-0005-0000-0000-000061960000}"/>
    <cellStyle name="Uwaga 2 23 19" xfId="38484" xr:uid="{00000000-0005-0000-0000-000062960000}"/>
    <cellStyle name="Uwaga 2 23 19 2" xfId="38485" xr:uid="{00000000-0005-0000-0000-000063960000}"/>
    <cellStyle name="Uwaga 2 23 19 3" xfId="38486" xr:uid="{00000000-0005-0000-0000-000064960000}"/>
    <cellStyle name="Uwaga 2 23 19 4" xfId="38487" xr:uid="{00000000-0005-0000-0000-000065960000}"/>
    <cellStyle name="Uwaga 2 23 2" xfId="38488" xr:uid="{00000000-0005-0000-0000-000066960000}"/>
    <cellStyle name="Uwaga 2 23 2 2" xfId="38489" xr:uid="{00000000-0005-0000-0000-000067960000}"/>
    <cellStyle name="Uwaga 2 23 2 3" xfId="38490" xr:uid="{00000000-0005-0000-0000-000068960000}"/>
    <cellStyle name="Uwaga 2 23 2 4" xfId="38491" xr:uid="{00000000-0005-0000-0000-000069960000}"/>
    <cellStyle name="Uwaga 2 23 20" xfId="38492" xr:uid="{00000000-0005-0000-0000-00006A960000}"/>
    <cellStyle name="Uwaga 2 23 20 2" xfId="38493" xr:uid="{00000000-0005-0000-0000-00006B960000}"/>
    <cellStyle name="Uwaga 2 23 20 3" xfId="38494" xr:uid="{00000000-0005-0000-0000-00006C960000}"/>
    <cellStyle name="Uwaga 2 23 20 4" xfId="38495" xr:uid="{00000000-0005-0000-0000-00006D960000}"/>
    <cellStyle name="Uwaga 2 23 21" xfId="38496" xr:uid="{00000000-0005-0000-0000-00006E960000}"/>
    <cellStyle name="Uwaga 2 23 21 2" xfId="38497" xr:uid="{00000000-0005-0000-0000-00006F960000}"/>
    <cellStyle name="Uwaga 2 23 21 3" xfId="38498" xr:uid="{00000000-0005-0000-0000-000070960000}"/>
    <cellStyle name="Uwaga 2 23 22" xfId="38499" xr:uid="{00000000-0005-0000-0000-000071960000}"/>
    <cellStyle name="Uwaga 2 23 22 2" xfId="38500" xr:uid="{00000000-0005-0000-0000-000072960000}"/>
    <cellStyle name="Uwaga 2 23 22 3" xfId="38501" xr:uid="{00000000-0005-0000-0000-000073960000}"/>
    <cellStyle name="Uwaga 2 23 23" xfId="38502" xr:uid="{00000000-0005-0000-0000-000074960000}"/>
    <cellStyle name="Uwaga 2 23 23 2" xfId="38503" xr:uid="{00000000-0005-0000-0000-000075960000}"/>
    <cellStyle name="Uwaga 2 23 23 3" xfId="38504" xr:uid="{00000000-0005-0000-0000-000076960000}"/>
    <cellStyle name="Uwaga 2 23 24" xfId="38505" xr:uid="{00000000-0005-0000-0000-000077960000}"/>
    <cellStyle name="Uwaga 2 23 24 2" xfId="38506" xr:uid="{00000000-0005-0000-0000-000078960000}"/>
    <cellStyle name="Uwaga 2 23 24 3" xfId="38507" xr:uid="{00000000-0005-0000-0000-000079960000}"/>
    <cellStyle name="Uwaga 2 23 25" xfId="38508" xr:uid="{00000000-0005-0000-0000-00007A960000}"/>
    <cellStyle name="Uwaga 2 23 25 2" xfId="38509" xr:uid="{00000000-0005-0000-0000-00007B960000}"/>
    <cellStyle name="Uwaga 2 23 25 3" xfId="38510" xr:uid="{00000000-0005-0000-0000-00007C960000}"/>
    <cellStyle name="Uwaga 2 23 26" xfId="38511" xr:uid="{00000000-0005-0000-0000-00007D960000}"/>
    <cellStyle name="Uwaga 2 23 26 2" xfId="38512" xr:uid="{00000000-0005-0000-0000-00007E960000}"/>
    <cellStyle name="Uwaga 2 23 26 3" xfId="38513" xr:uid="{00000000-0005-0000-0000-00007F960000}"/>
    <cellStyle name="Uwaga 2 23 27" xfId="38514" xr:uid="{00000000-0005-0000-0000-000080960000}"/>
    <cellStyle name="Uwaga 2 23 27 2" xfId="38515" xr:uid="{00000000-0005-0000-0000-000081960000}"/>
    <cellStyle name="Uwaga 2 23 27 3" xfId="38516" xr:uid="{00000000-0005-0000-0000-000082960000}"/>
    <cellStyle name="Uwaga 2 23 28" xfId="38517" xr:uid="{00000000-0005-0000-0000-000083960000}"/>
    <cellStyle name="Uwaga 2 23 28 2" xfId="38518" xr:uid="{00000000-0005-0000-0000-000084960000}"/>
    <cellStyle name="Uwaga 2 23 28 3" xfId="38519" xr:uid="{00000000-0005-0000-0000-000085960000}"/>
    <cellStyle name="Uwaga 2 23 29" xfId="38520" xr:uid="{00000000-0005-0000-0000-000086960000}"/>
    <cellStyle name="Uwaga 2 23 29 2" xfId="38521" xr:uid="{00000000-0005-0000-0000-000087960000}"/>
    <cellStyle name="Uwaga 2 23 29 3" xfId="38522" xr:uid="{00000000-0005-0000-0000-000088960000}"/>
    <cellStyle name="Uwaga 2 23 3" xfId="38523" xr:uid="{00000000-0005-0000-0000-000089960000}"/>
    <cellStyle name="Uwaga 2 23 3 2" xfId="38524" xr:uid="{00000000-0005-0000-0000-00008A960000}"/>
    <cellStyle name="Uwaga 2 23 3 3" xfId="38525" xr:uid="{00000000-0005-0000-0000-00008B960000}"/>
    <cellStyle name="Uwaga 2 23 3 4" xfId="38526" xr:uid="{00000000-0005-0000-0000-00008C960000}"/>
    <cellStyle name="Uwaga 2 23 30" xfId="38527" xr:uid="{00000000-0005-0000-0000-00008D960000}"/>
    <cellStyle name="Uwaga 2 23 30 2" xfId="38528" xr:uid="{00000000-0005-0000-0000-00008E960000}"/>
    <cellStyle name="Uwaga 2 23 30 3" xfId="38529" xr:uid="{00000000-0005-0000-0000-00008F960000}"/>
    <cellStyle name="Uwaga 2 23 31" xfId="38530" xr:uid="{00000000-0005-0000-0000-000090960000}"/>
    <cellStyle name="Uwaga 2 23 31 2" xfId="38531" xr:uid="{00000000-0005-0000-0000-000091960000}"/>
    <cellStyle name="Uwaga 2 23 31 3" xfId="38532" xr:uid="{00000000-0005-0000-0000-000092960000}"/>
    <cellStyle name="Uwaga 2 23 32" xfId="38533" xr:uid="{00000000-0005-0000-0000-000093960000}"/>
    <cellStyle name="Uwaga 2 23 32 2" xfId="38534" xr:uid="{00000000-0005-0000-0000-000094960000}"/>
    <cellStyle name="Uwaga 2 23 32 3" xfId="38535" xr:uid="{00000000-0005-0000-0000-000095960000}"/>
    <cellStyle name="Uwaga 2 23 33" xfId="38536" xr:uid="{00000000-0005-0000-0000-000096960000}"/>
    <cellStyle name="Uwaga 2 23 33 2" xfId="38537" xr:uid="{00000000-0005-0000-0000-000097960000}"/>
    <cellStyle name="Uwaga 2 23 33 3" xfId="38538" xr:uid="{00000000-0005-0000-0000-000098960000}"/>
    <cellStyle name="Uwaga 2 23 34" xfId="38539" xr:uid="{00000000-0005-0000-0000-000099960000}"/>
    <cellStyle name="Uwaga 2 23 34 2" xfId="38540" xr:uid="{00000000-0005-0000-0000-00009A960000}"/>
    <cellStyle name="Uwaga 2 23 34 3" xfId="38541" xr:uid="{00000000-0005-0000-0000-00009B960000}"/>
    <cellStyle name="Uwaga 2 23 35" xfId="38542" xr:uid="{00000000-0005-0000-0000-00009C960000}"/>
    <cellStyle name="Uwaga 2 23 35 2" xfId="38543" xr:uid="{00000000-0005-0000-0000-00009D960000}"/>
    <cellStyle name="Uwaga 2 23 35 3" xfId="38544" xr:uid="{00000000-0005-0000-0000-00009E960000}"/>
    <cellStyle name="Uwaga 2 23 36" xfId="38545" xr:uid="{00000000-0005-0000-0000-00009F960000}"/>
    <cellStyle name="Uwaga 2 23 36 2" xfId="38546" xr:uid="{00000000-0005-0000-0000-0000A0960000}"/>
    <cellStyle name="Uwaga 2 23 36 3" xfId="38547" xr:uid="{00000000-0005-0000-0000-0000A1960000}"/>
    <cellStyle name="Uwaga 2 23 37" xfId="38548" xr:uid="{00000000-0005-0000-0000-0000A2960000}"/>
    <cellStyle name="Uwaga 2 23 37 2" xfId="38549" xr:uid="{00000000-0005-0000-0000-0000A3960000}"/>
    <cellStyle name="Uwaga 2 23 37 3" xfId="38550" xr:uid="{00000000-0005-0000-0000-0000A4960000}"/>
    <cellStyle name="Uwaga 2 23 38" xfId="38551" xr:uid="{00000000-0005-0000-0000-0000A5960000}"/>
    <cellStyle name="Uwaga 2 23 38 2" xfId="38552" xr:uid="{00000000-0005-0000-0000-0000A6960000}"/>
    <cellStyle name="Uwaga 2 23 38 3" xfId="38553" xr:uid="{00000000-0005-0000-0000-0000A7960000}"/>
    <cellStyle name="Uwaga 2 23 39" xfId="38554" xr:uid="{00000000-0005-0000-0000-0000A8960000}"/>
    <cellStyle name="Uwaga 2 23 39 2" xfId="38555" xr:uid="{00000000-0005-0000-0000-0000A9960000}"/>
    <cellStyle name="Uwaga 2 23 39 3" xfId="38556" xr:uid="{00000000-0005-0000-0000-0000AA960000}"/>
    <cellStyle name="Uwaga 2 23 4" xfId="38557" xr:uid="{00000000-0005-0000-0000-0000AB960000}"/>
    <cellStyle name="Uwaga 2 23 4 2" xfId="38558" xr:uid="{00000000-0005-0000-0000-0000AC960000}"/>
    <cellStyle name="Uwaga 2 23 4 3" xfId="38559" xr:uid="{00000000-0005-0000-0000-0000AD960000}"/>
    <cellStyle name="Uwaga 2 23 4 4" xfId="38560" xr:uid="{00000000-0005-0000-0000-0000AE960000}"/>
    <cellStyle name="Uwaga 2 23 40" xfId="38561" xr:uid="{00000000-0005-0000-0000-0000AF960000}"/>
    <cellStyle name="Uwaga 2 23 40 2" xfId="38562" xr:uid="{00000000-0005-0000-0000-0000B0960000}"/>
    <cellStyle name="Uwaga 2 23 40 3" xfId="38563" xr:uid="{00000000-0005-0000-0000-0000B1960000}"/>
    <cellStyle name="Uwaga 2 23 41" xfId="38564" xr:uid="{00000000-0005-0000-0000-0000B2960000}"/>
    <cellStyle name="Uwaga 2 23 41 2" xfId="38565" xr:uid="{00000000-0005-0000-0000-0000B3960000}"/>
    <cellStyle name="Uwaga 2 23 41 3" xfId="38566" xr:uid="{00000000-0005-0000-0000-0000B4960000}"/>
    <cellStyle name="Uwaga 2 23 42" xfId="38567" xr:uid="{00000000-0005-0000-0000-0000B5960000}"/>
    <cellStyle name="Uwaga 2 23 42 2" xfId="38568" xr:uid="{00000000-0005-0000-0000-0000B6960000}"/>
    <cellStyle name="Uwaga 2 23 42 3" xfId="38569" xr:uid="{00000000-0005-0000-0000-0000B7960000}"/>
    <cellStyle name="Uwaga 2 23 43" xfId="38570" xr:uid="{00000000-0005-0000-0000-0000B8960000}"/>
    <cellStyle name="Uwaga 2 23 43 2" xfId="38571" xr:uid="{00000000-0005-0000-0000-0000B9960000}"/>
    <cellStyle name="Uwaga 2 23 43 3" xfId="38572" xr:uid="{00000000-0005-0000-0000-0000BA960000}"/>
    <cellStyle name="Uwaga 2 23 44" xfId="38573" xr:uid="{00000000-0005-0000-0000-0000BB960000}"/>
    <cellStyle name="Uwaga 2 23 44 2" xfId="38574" xr:uid="{00000000-0005-0000-0000-0000BC960000}"/>
    <cellStyle name="Uwaga 2 23 44 3" xfId="38575" xr:uid="{00000000-0005-0000-0000-0000BD960000}"/>
    <cellStyle name="Uwaga 2 23 45" xfId="38576" xr:uid="{00000000-0005-0000-0000-0000BE960000}"/>
    <cellStyle name="Uwaga 2 23 45 2" xfId="38577" xr:uid="{00000000-0005-0000-0000-0000BF960000}"/>
    <cellStyle name="Uwaga 2 23 45 3" xfId="38578" xr:uid="{00000000-0005-0000-0000-0000C0960000}"/>
    <cellStyle name="Uwaga 2 23 46" xfId="38579" xr:uid="{00000000-0005-0000-0000-0000C1960000}"/>
    <cellStyle name="Uwaga 2 23 46 2" xfId="38580" xr:uid="{00000000-0005-0000-0000-0000C2960000}"/>
    <cellStyle name="Uwaga 2 23 46 3" xfId="38581" xr:uid="{00000000-0005-0000-0000-0000C3960000}"/>
    <cellStyle name="Uwaga 2 23 47" xfId="38582" xr:uid="{00000000-0005-0000-0000-0000C4960000}"/>
    <cellStyle name="Uwaga 2 23 47 2" xfId="38583" xr:uid="{00000000-0005-0000-0000-0000C5960000}"/>
    <cellStyle name="Uwaga 2 23 47 3" xfId="38584" xr:uid="{00000000-0005-0000-0000-0000C6960000}"/>
    <cellStyle name="Uwaga 2 23 48" xfId="38585" xr:uid="{00000000-0005-0000-0000-0000C7960000}"/>
    <cellStyle name="Uwaga 2 23 48 2" xfId="38586" xr:uid="{00000000-0005-0000-0000-0000C8960000}"/>
    <cellStyle name="Uwaga 2 23 48 3" xfId="38587" xr:uid="{00000000-0005-0000-0000-0000C9960000}"/>
    <cellStyle name="Uwaga 2 23 49" xfId="38588" xr:uid="{00000000-0005-0000-0000-0000CA960000}"/>
    <cellStyle name="Uwaga 2 23 49 2" xfId="38589" xr:uid="{00000000-0005-0000-0000-0000CB960000}"/>
    <cellStyle name="Uwaga 2 23 49 3" xfId="38590" xr:uid="{00000000-0005-0000-0000-0000CC960000}"/>
    <cellStyle name="Uwaga 2 23 5" xfId="38591" xr:uid="{00000000-0005-0000-0000-0000CD960000}"/>
    <cellStyle name="Uwaga 2 23 5 2" xfId="38592" xr:uid="{00000000-0005-0000-0000-0000CE960000}"/>
    <cellStyle name="Uwaga 2 23 5 3" xfId="38593" xr:uid="{00000000-0005-0000-0000-0000CF960000}"/>
    <cellStyle name="Uwaga 2 23 5 4" xfId="38594" xr:uid="{00000000-0005-0000-0000-0000D0960000}"/>
    <cellStyle name="Uwaga 2 23 50" xfId="38595" xr:uid="{00000000-0005-0000-0000-0000D1960000}"/>
    <cellStyle name="Uwaga 2 23 50 2" xfId="38596" xr:uid="{00000000-0005-0000-0000-0000D2960000}"/>
    <cellStyle name="Uwaga 2 23 50 3" xfId="38597" xr:uid="{00000000-0005-0000-0000-0000D3960000}"/>
    <cellStyle name="Uwaga 2 23 51" xfId="38598" xr:uid="{00000000-0005-0000-0000-0000D4960000}"/>
    <cellStyle name="Uwaga 2 23 51 2" xfId="38599" xr:uid="{00000000-0005-0000-0000-0000D5960000}"/>
    <cellStyle name="Uwaga 2 23 51 3" xfId="38600" xr:uid="{00000000-0005-0000-0000-0000D6960000}"/>
    <cellStyle name="Uwaga 2 23 52" xfId="38601" xr:uid="{00000000-0005-0000-0000-0000D7960000}"/>
    <cellStyle name="Uwaga 2 23 52 2" xfId="38602" xr:uid="{00000000-0005-0000-0000-0000D8960000}"/>
    <cellStyle name="Uwaga 2 23 52 3" xfId="38603" xr:uid="{00000000-0005-0000-0000-0000D9960000}"/>
    <cellStyle name="Uwaga 2 23 53" xfId="38604" xr:uid="{00000000-0005-0000-0000-0000DA960000}"/>
    <cellStyle name="Uwaga 2 23 53 2" xfId="38605" xr:uid="{00000000-0005-0000-0000-0000DB960000}"/>
    <cellStyle name="Uwaga 2 23 53 3" xfId="38606" xr:uid="{00000000-0005-0000-0000-0000DC960000}"/>
    <cellStyle name="Uwaga 2 23 54" xfId="38607" xr:uid="{00000000-0005-0000-0000-0000DD960000}"/>
    <cellStyle name="Uwaga 2 23 54 2" xfId="38608" xr:uid="{00000000-0005-0000-0000-0000DE960000}"/>
    <cellStyle name="Uwaga 2 23 54 3" xfId="38609" xr:uid="{00000000-0005-0000-0000-0000DF960000}"/>
    <cellStyle name="Uwaga 2 23 55" xfId="38610" xr:uid="{00000000-0005-0000-0000-0000E0960000}"/>
    <cellStyle name="Uwaga 2 23 55 2" xfId="38611" xr:uid="{00000000-0005-0000-0000-0000E1960000}"/>
    <cellStyle name="Uwaga 2 23 55 3" xfId="38612" xr:uid="{00000000-0005-0000-0000-0000E2960000}"/>
    <cellStyle name="Uwaga 2 23 56" xfId="38613" xr:uid="{00000000-0005-0000-0000-0000E3960000}"/>
    <cellStyle name="Uwaga 2 23 56 2" xfId="38614" xr:uid="{00000000-0005-0000-0000-0000E4960000}"/>
    <cellStyle name="Uwaga 2 23 56 3" xfId="38615" xr:uid="{00000000-0005-0000-0000-0000E5960000}"/>
    <cellStyle name="Uwaga 2 23 57" xfId="38616" xr:uid="{00000000-0005-0000-0000-0000E6960000}"/>
    <cellStyle name="Uwaga 2 23 58" xfId="38617" xr:uid="{00000000-0005-0000-0000-0000E7960000}"/>
    <cellStyle name="Uwaga 2 23 6" xfId="38618" xr:uid="{00000000-0005-0000-0000-0000E8960000}"/>
    <cellStyle name="Uwaga 2 23 6 2" xfId="38619" xr:uid="{00000000-0005-0000-0000-0000E9960000}"/>
    <cellStyle name="Uwaga 2 23 6 3" xfId="38620" xr:uid="{00000000-0005-0000-0000-0000EA960000}"/>
    <cellStyle name="Uwaga 2 23 6 4" xfId="38621" xr:uid="{00000000-0005-0000-0000-0000EB960000}"/>
    <cellStyle name="Uwaga 2 23 7" xfId="38622" xr:uid="{00000000-0005-0000-0000-0000EC960000}"/>
    <cellStyle name="Uwaga 2 23 7 2" xfId="38623" xr:uid="{00000000-0005-0000-0000-0000ED960000}"/>
    <cellStyle name="Uwaga 2 23 7 3" xfId="38624" xr:uid="{00000000-0005-0000-0000-0000EE960000}"/>
    <cellStyle name="Uwaga 2 23 7 4" xfId="38625" xr:uid="{00000000-0005-0000-0000-0000EF960000}"/>
    <cellStyle name="Uwaga 2 23 8" xfId="38626" xr:uid="{00000000-0005-0000-0000-0000F0960000}"/>
    <cellStyle name="Uwaga 2 23 8 2" xfId="38627" xr:uid="{00000000-0005-0000-0000-0000F1960000}"/>
    <cellStyle name="Uwaga 2 23 8 3" xfId="38628" xr:uid="{00000000-0005-0000-0000-0000F2960000}"/>
    <cellStyle name="Uwaga 2 23 8 4" xfId="38629" xr:uid="{00000000-0005-0000-0000-0000F3960000}"/>
    <cellStyle name="Uwaga 2 23 9" xfId="38630" xr:uid="{00000000-0005-0000-0000-0000F4960000}"/>
    <cellStyle name="Uwaga 2 23 9 2" xfId="38631" xr:uid="{00000000-0005-0000-0000-0000F5960000}"/>
    <cellStyle name="Uwaga 2 23 9 3" xfId="38632" xr:uid="{00000000-0005-0000-0000-0000F6960000}"/>
    <cellStyle name="Uwaga 2 23 9 4" xfId="38633" xr:uid="{00000000-0005-0000-0000-0000F7960000}"/>
    <cellStyle name="Uwaga 2 24" xfId="38634" xr:uid="{00000000-0005-0000-0000-0000F8960000}"/>
    <cellStyle name="Uwaga 2 24 10" xfId="38635" xr:uid="{00000000-0005-0000-0000-0000F9960000}"/>
    <cellStyle name="Uwaga 2 24 10 2" xfId="38636" xr:uid="{00000000-0005-0000-0000-0000FA960000}"/>
    <cellStyle name="Uwaga 2 24 10 3" xfId="38637" xr:uid="{00000000-0005-0000-0000-0000FB960000}"/>
    <cellStyle name="Uwaga 2 24 10 4" xfId="38638" xr:uid="{00000000-0005-0000-0000-0000FC960000}"/>
    <cellStyle name="Uwaga 2 24 11" xfId="38639" xr:uid="{00000000-0005-0000-0000-0000FD960000}"/>
    <cellStyle name="Uwaga 2 24 11 2" xfId="38640" xr:uid="{00000000-0005-0000-0000-0000FE960000}"/>
    <cellStyle name="Uwaga 2 24 11 3" xfId="38641" xr:uid="{00000000-0005-0000-0000-0000FF960000}"/>
    <cellStyle name="Uwaga 2 24 11 4" xfId="38642" xr:uid="{00000000-0005-0000-0000-000000970000}"/>
    <cellStyle name="Uwaga 2 24 12" xfId="38643" xr:uid="{00000000-0005-0000-0000-000001970000}"/>
    <cellStyle name="Uwaga 2 24 12 2" xfId="38644" xr:uid="{00000000-0005-0000-0000-000002970000}"/>
    <cellStyle name="Uwaga 2 24 12 3" xfId="38645" xr:uid="{00000000-0005-0000-0000-000003970000}"/>
    <cellStyle name="Uwaga 2 24 12 4" xfId="38646" xr:uid="{00000000-0005-0000-0000-000004970000}"/>
    <cellStyle name="Uwaga 2 24 13" xfId="38647" xr:uid="{00000000-0005-0000-0000-000005970000}"/>
    <cellStyle name="Uwaga 2 24 13 2" xfId="38648" xr:uid="{00000000-0005-0000-0000-000006970000}"/>
    <cellStyle name="Uwaga 2 24 13 3" xfId="38649" xr:uid="{00000000-0005-0000-0000-000007970000}"/>
    <cellStyle name="Uwaga 2 24 13 4" xfId="38650" xr:uid="{00000000-0005-0000-0000-000008970000}"/>
    <cellStyle name="Uwaga 2 24 14" xfId="38651" xr:uid="{00000000-0005-0000-0000-000009970000}"/>
    <cellStyle name="Uwaga 2 24 14 2" xfId="38652" xr:uid="{00000000-0005-0000-0000-00000A970000}"/>
    <cellStyle name="Uwaga 2 24 14 3" xfId="38653" xr:uid="{00000000-0005-0000-0000-00000B970000}"/>
    <cellStyle name="Uwaga 2 24 14 4" xfId="38654" xr:uid="{00000000-0005-0000-0000-00000C970000}"/>
    <cellStyle name="Uwaga 2 24 15" xfId="38655" xr:uid="{00000000-0005-0000-0000-00000D970000}"/>
    <cellStyle name="Uwaga 2 24 15 2" xfId="38656" xr:uid="{00000000-0005-0000-0000-00000E970000}"/>
    <cellStyle name="Uwaga 2 24 15 3" xfId="38657" xr:uid="{00000000-0005-0000-0000-00000F970000}"/>
    <cellStyle name="Uwaga 2 24 15 4" xfId="38658" xr:uid="{00000000-0005-0000-0000-000010970000}"/>
    <cellStyle name="Uwaga 2 24 16" xfId="38659" xr:uid="{00000000-0005-0000-0000-000011970000}"/>
    <cellStyle name="Uwaga 2 24 16 2" xfId="38660" xr:uid="{00000000-0005-0000-0000-000012970000}"/>
    <cellStyle name="Uwaga 2 24 16 3" xfId="38661" xr:uid="{00000000-0005-0000-0000-000013970000}"/>
    <cellStyle name="Uwaga 2 24 16 4" xfId="38662" xr:uid="{00000000-0005-0000-0000-000014970000}"/>
    <cellStyle name="Uwaga 2 24 17" xfId="38663" xr:uid="{00000000-0005-0000-0000-000015970000}"/>
    <cellStyle name="Uwaga 2 24 17 2" xfId="38664" xr:uid="{00000000-0005-0000-0000-000016970000}"/>
    <cellStyle name="Uwaga 2 24 17 3" xfId="38665" xr:uid="{00000000-0005-0000-0000-000017970000}"/>
    <cellStyle name="Uwaga 2 24 17 4" xfId="38666" xr:uid="{00000000-0005-0000-0000-000018970000}"/>
    <cellStyle name="Uwaga 2 24 18" xfId="38667" xr:uid="{00000000-0005-0000-0000-000019970000}"/>
    <cellStyle name="Uwaga 2 24 18 2" xfId="38668" xr:uid="{00000000-0005-0000-0000-00001A970000}"/>
    <cellStyle name="Uwaga 2 24 18 3" xfId="38669" xr:uid="{00000000-0005-0000-0000-00001B970000}"/>
    <cellStyle name="Uwaga 2 24 18 4" xfId="38670" xr:uid="{00000000-0005-0000-0000-00001C970000}"/>
    <cellStyle name="Uwaga 2 24 19" xfId="38671" xr:uid="{00000000-0005-0000-0000-00001D970000}"/>
    <cellStyle name="Uwaga 2 24 19 2" xfId="38672" xr:uid="{00000000-0005-0000-0000-00001E970000}"/>
    <cellStyle name="Uwaga 2 24 19 3" xfId="38673" xr:uid="{00000000-0005-0000-0000-00001F970000}"/>
    <cellStyle name="Uwaga 2 24 19 4" xfId="38674" xr:uid="{00000000-0005-0000-0000-000020970000}"/>
    <cellStyle name="Uwaga 2 24 2" xfId="38675" xr:uid="{00000000-0005-0000-0000-000021970000}"/>
    <cellStyle name="Uwaga 2 24 2 2" xfId="38676" xr:uid="{00000000-0005-0000-0000-000022970000}"/>
    <cellStyle name="Uwaga 2 24 2 3" xfId="38677" xr:uid="{00000000-0005-0000-0000-000023970000}"/>
    <cellStyle name="Uwaga 2 24 2 4" xfId="38678" xr:uid="{00000000-0005-0000-0000-000024970000}"/>
    <cellStyle name="Uwaga 2 24 20" xfId="38679" xr:uid="{00000000-0005-0000-0000-000025970000}"/>
    <cellStyle name="Uwaga 2 24 20 2" xfId="38680" xr:uid="{00000000-0005-0000-0000-000026970000}"/>
    <cellStyle name="Uwaga 2 24 20 3" xfId="38681" xr:uid="{00000000-0005-0000-0000-000027970000}"/>
    <cellStyle name="Uwaga 2 24 20 4" xfId="38682" xr:uid="{00000000-0005-0000-0000-000028970000}"/>
    <cellStyle name="Uwaga 2 24 21" xfId="38683" xr:uid="{00000000-0005-0000-0000-000029970000}"/>
    <cellStyle name="Uwaga 2 24 21 2" xfId="38684" xr:uid="{00000000-0005-0000-0000-00002A970000}"/>
    <cellStyle name="Uwaga 2 24 21 3" xfId="38685" xr:uid="{00000000-0005-0000-0000-00002B970000}"/>
    <cellStyle name="Uwaga 2 24 22" xfId="38686" xr:uid="{00000000-0005-0000-0000-00002C970000}"/>
    <cellStyle name="Uwaga 2 24 22 2" xfId="38687" xr:uid="{00000000-0005-0000-0000-00002D970000}"/>
    <cellStyle name="Uwaga 2 24 22 3" xfId="38688" xr:uid="{00000000-0005-0000-0000-00002E970000}"/>
    <cellStyle name="Uwaga 2 24 23" xfId="38689" xr:uid="{00000000-0005-0000-0000-00002F970000}"/>
    <cellStyle name="Uwaga 2 24 23 2" xfId="38690" xr:uid="{00000000-0005-0000-0000-000030970000}"/>
    <cellStyle name="Uwaga 2 24 23 3" xfId="38691" xr:uid="{00000000-0005-0000-0000-000031970000}"/>
    <cellStyle name="Uwaga 2 24 24" xfId="38692" xr:uid="{00000000-0005-0000-0000-000032970000}"/>
    <cellStyle name="Uwaga 2 24 24 2" xfId="38693" xr:uid="{00000000-0005-0000-0000-000033970000}"/>
    <cellStyle name="Uwaga 2 24 24 3" xfId="38694" xr:uid="{00000000-0005-0000-0000-000034970000}"/>
    <cellStyle name="Uwaga 2 24 25" xfId="38695" xr:uid="{00000000-0005-0000-0000-000035970000}"/>
    <cellStyle name="Uwaga 2 24 25 2" xfId="38696" xr:uid="{00000000-0005-0000-0000-000036970000}"/>
    <cellStyle name="Uwaga 2 24 25 3" xfId="38697" xr:uid="{00000000-0005-0000-0000-000037970000}"/>
    <cellStyle name="Uwaga 2 24 26" xfId="38698" xr:uid="{00000000-0005-0000-0000-000038970000}"/>
    <cellStyle name="Uwaga 2 24 26 2" xfId="38699" xr:uid="{00000000-0005-0000-0000-000039970000}"/>
    <cellStyle name="Uwaga 2 24 26 3" xfId="38700" xr:uid="{00000000-0005-0000-0000-00003A970000}"/>
    <cellStyle name="Uwaga 2 24 27" xfId="38701" xr:uid="{00000000-0005-0000-0000-00003B970000}"/>
    <cellStyle name="Uwaga 2 24 27 2" xfId="38702" xr:uid="{00000000-0005-0000-0000-00003C970000}"/>
    <cellStyle name="Uwaga 2 24 27 3" xfId="38703" xr:uid="{00000000-0005-0000-0000-00003D970000}"/>
    <cellStyle name="Uwaga 2 24 28" xfId="38704" xr:uid="{00000000-0005-0000-0000-00003E970000}"/>
    <cellStyle name="Uwaga 2 24 28 2" xfId="38705" xr:uid="{00000000-0005-0000-0000-00003F970000}"/>
    <cellStyle name="Uwaga 2 24 28 3" xfId="38706" xr:uid="{00000000-0005-0000-0000-000040970000}"/>
    <cellStyle name="Uwaga 2 24 29" xfId="38707" xr:uid="{00000000-0005-0000-0000-000041970000}"/>
    <cellStyle name="Uwaga 2 24 29 2" xfId="38708" xr:uid="{00000000-0005-0000-0000-000042970000}"/>
    <cellStyle name="Uwaga 2 24 29 3" xfId="38709" xr:uid="{00000000-0005-0000-0000-000043970000}"/>
    <cellStyle name="Uwaga 2 24 3" xfId="38710" xr:uid="{00000000-0005-0000-0000-000044970000}"/>
    <cellStyle name="Uwaga 2 24 3 2" xfId="38711" xr:uid="{00000000-0005-0000-0000-000045970000}"/>
    <cellStyle name="Uwaga 2 24 3 3" xfId="38712" xr:uid="{00000000-0005-0000-0000-000046970000}"/>
    <cellStyle name="Uwaga 2 24 3 4" xfId="38713" xr:uid="{00000000-0005-0000-0000-000047970000}"/>
    <cellStyle name="Uwaga 2 24 30" xfId="38714" xr:uid="{00000000-0005-0000-0000-000048970000}"/>
    <cellStyle name="Uwaga 2 24 30 2" xfId="38715" xr:uid="{00000000-0005-0000-0000-000049970000}"/>
    <cellStyle name="Uwaga 2 24 30 3" xfId="38716" xr:uid="{00000000-0005-0000-0000-00004A970000}"/>
    <cellStyle name="Uwaga 2 24 31" xfId="38717" xr:uid="{00000000-0005-0000-0000-00004B970000}"/>
    <cellStyle name="Uwaga 2 24 31 2" xfId="38718" xr:uid="{00000000-0005-0000-0000-00004C970000}"/>
    <cellStyle name="Uwaga 2 24 31 3" xfId="38719" xr:uid="{00000000-0005-0000-0000-00004D970000}"/>
    <cellStyle name="Uwaga 2 24 32" xfId="38720" xr:uid="{00000000-0005-0000-0000-00004E970000}"/>
    <cellStyle name="Uwaga 2 24 32 2" xfId="38721" xr:uid="{00000000-0005-0000-0000-00004F970000}"/>
    <cellStyle name="Uwaga 2 24 32 3" xfId="38722" xr:uid="{00000000-0005-0000-0000-000050970000}"/>
    <cellStyle name="Uwaga 2 24 33" xfId="38723" xr:uid="{00000000-0005-0000-0000-000051970000}"/>
    <cellStyle name="Uwaga 2 24 33 2" xfId="38724" xr:uid="{00000000-0005-0000-0000-000052970000}"/>
    <cellStyle name="Uwaga 2 24 33 3" xfId="38725" xr:uid="{00000000-0005-0000-0000-000053970000}"/>
    <cellStyle name="Uwaga 2 24 34" xfId="38726" xr:uid="{00000000-0005-0000-0000-000054970000}"/>
    <cellStyle name="Uwaga 2 24 34 2" xfId="38727" xr:uid="{00000000-0005-0000-0000-000055970000}"/>
    <cellStyle name="Uwaga 2 24 34 3" xfId="38728" xr:uid="{00000000-0005-0000-0000-000056970000}"/>
    <cellStyle name="Uwaga 2 24 35" xfId="38729" xr:uid="{00000000-0005-0000-0000-000057970000}"/>
    <cellStyle name="Uwaga 2 24 35 2" xfId="38730" xr:uid="{00000000-0005-0000-0000-000058970000}"/>
    <cellStyle name="Uwaga 2 24 35 3" xfId="38731" xr:uid="{00000000-0005-0000-0000-000059970000}"/>
    <cellStyle name="Uwaga 2 24 36" xfId="38732" xr:uid="{00000000-0005-0000-0000-00005A970000}"/>
    <cellStyle name="Uwaga 2 24 36 2" xfId="38733" xr:uid="{00000000-0005-0000-0000-00005B970000}"/>
    <cellStyle name="Uwaga 2 24 36 3" xfId="38734" xr:uid="{00000000-0005-0000-0000-00005C970000}"/>
    <cellStyle name="Uwaga 2 24 37" xfId="38735" xr:uid="{00000000-0005-0000-0000-00005D970000}"/>
    <cellStyle name="Uwaga 2 24 37 2" xfId="38736" xr:uid="{00000000-0005-0000-0000-00005E970000}"/>
    <cellStyle name="Uwaga 2 24 37 3" xfId="38737" xr:uid="{00000000-0005-0000-0000-00005F970000}"/>
    <cellStyle name="Uwaga 2 24 38" xfId="38738" xr:uid="{00000000-0005-0000-0000-000060970000}"/>
    <cellStyle name="Uwaga 2 24 38 2" xfId="38739" xr:uid="{00000000-0005-0000-0000-000061970000}"/>
    <cellStyle name="Uwaga 2 24 38 3" xfId="38740" xr:uid="{00000000-0005-0000-0000-000062970000}"/>
    <cellStyle name="Uwaga 2 24 39" xfId="38741" xr:uid="{00000000-0005-0000-0000-000063970000}"/>
    <cellStyle name="Uwaga 2 24 39 2" xfId="38742" xr:uid="{00000000-0005-0000-0000-000064970000}"/>
    <cellStyle name="Uwaga 2 24 39 3" xfId="38743" xr:uid="{00000000-0005-0000-0000-000065970000}"/>
    <cellStyle name="Uwaga 2 24 4" xfId="38744" xr:uid="{00000000-0005-0000-0000-000066970000}"/>
    <cellStyle name="Uwaga 2 24 4 2" xfId="38745" xr:uid="{00000000-0005-0000-0000-000067970000}"/>
    <cellStyle name="Uwaga 2 24 4 3" xfId="38746" xr:uid="{00000000-0005-0000-0000-000068970000}"/>
    <cellStyle name="Uwaga 2 24 4 4" xfId="38747" xr:uid="{00000000-0005-0000-0000-000069970000}"/>
    <cellStyle name="Uwaga 2 24 40" xfId="38748" xr:uid="{00000000-0005-0000-0000-00006A970000}"/>
    <cellStyle name="Uwaga 2 24 40 2" xfId="38749" xr:uid="{00000000-0005-0000-0000-00006B970000}"/>
    <cellStyle name="Uwaga 2 24 40 3" xfId="38750" xr:uid="{00000000-0005-0000-0000-00006C970000}"/>
    <cellStyle name="Uwaga 2 24 41" xfId="38751" xr:uid="{00000000-0005-0000-0000-00006D970000}"/>
    <cellStyle name="Uwaga 2 24 41 2" xfId="38752" xr:uid="{00000000-0005-0000-0000-00006E970000}"/>
    <cellStyle name="Uwaga 2 24 41 3" xfId="38753" xr:uid="{00000000-0005-0000-0000-00006F970000}"/>
    <cellStyle name="Uwaga 2 24 42" xfId="38754" xr:uid="{00000000-0005-0000-0000-000070970000}"/>
    <cellStyle name="Uwaga 2 24 42 2" xfId="38755" xr:uid="{00000000-0005-0000-0000-000071970000}"/>
    <cellStyle name="Uwaga 2 24 42 3" xfId="38756" xr:uid="{00000000-0005-0000-0000-000072970000}"/>
    <cellStyle name="Uwaga 2 24 43" xfId="38757" xr:uid="{00000000-0005-0000-0000-000073970000}"/>
    <cellStyle name="Uwaga 2 24 43 2" xfId="38758" xr:uid="{00000000-0005-0000-0000-000074970000}"/>
    <cellStyle name="Uwaga 2 24 43 3" xfId="38759" xr:uid="{00000000-0005-0000-0000-000075970000}"/>
    <cellStyle name="Uwaga 2 24 44" xfId="38760" xr:uid="{00000000-0005-0000-0000-000076970000}"/>
    <cellStyle name="Uwaga 2 24 44 2" xfId="38761" xr:uid="{00000000-0005-0000-0000-000077970000}"/>
    <cellStyle name="Uwaga 2 24 44 3" xfId="38762" xr:uid="{00000000-0005-0000-0000-000078970000}"/>
    <cellStyle name="Uwaga 2 24 45" xfId="38763" xr:uid="{00000000-0005-0000-0000-000079970000}"/>
    <cellStyle name="Uwaga 2 24 45 2" xfId="38764" xr:uid="{00000000-0005-0000-0000-00007A970000}"/>
    <cellStyle name="Uwaga 2 24 45 3" xfId="38765" xr:uid="{00000000-0005-0000-0000-00007B970000}"/>
    <cellStyle name="Uwaga 2 24 46" xfId="38766" xr:uid="{00000000-0005-0000-0000-00007C970000}"/>
    <cellStyle name="Uwaga 2 24 46 2" xfId="38767" xr:uid="{00000000-0005-0000-0000-00007D970000}"/>
    <cellStyle name="Uwaga 2 24 46 3" xfId="38768" xr:uid="{00000000-0005-0000-0000-00007E970000}"/>
    <cellStyle name="Uwaga 2 24 47" xfId="38769" xr:uid="{00000000-0005-0000-0000-00007F970000}"/>
    <cellStyle name="Uwaga 2 24 47 2" xfId="38770" xr:uid="{00000000-0005-0000-0000-000080970000}"/>
    <cellStyle name="Uwaga 2 24 47 3" xfId="38771" xr:uid="{00000000-0005-0000-0000-000081970000}"/>
    <cellStyle name="Uwaga 2 24 48" xfId="38772" xr:uid="{00000000-0005-0000-0000-000082970000}"/>
    <cellStyle name="Uwaga 2 24 48 2" xfId="38773" xr:uid="{00000000-0005-0000-0000-000083970000}"/>
    <cellStyle name="Uwaga 2 24 48 3" xfId="38774" xr:uid="{00000000-0005-0000-0000-000084970000}"/>
    <cellStyle name="Uwaga 2 24 49" xfId="38775" xr:uid="{00000000-0005-0000-0000-000085970000}"/>
    <cellStyle name="Uwaga 2 24 49 2" xfId="38776" xr:uid="{00000000-0005-0000-0000-000086970000}"/>
    <cellStyle name="Uwaga 2 24 49 3" xfId="38777" xr:uid="{00000000-0005-0000-0000-000087970000}"/>
    <cellStyle name="Uwaga 2 24 5" xfId="38778" xr:uid="{00000000-0005-0000-0000-000088970000}"/>
    <cellStyle name="Uwaga 2 24 5 2" xfId="38779" xr:uid="{00000000-0005-0000-0000-000089970000}"/>
    <cellStyle name="Uwaga 2 24 5 3" xfId="38780" xr:uid="{00000000-0005-0000-0000-00008A970000}"/>
    <cellStyle name="Uwaga 2 24 5 4" xfId="38781" xr:uid="{00000000-0005-0000-0000-00008B970000}"/>
    <cellStyle name="Uwaga 2 24 50" xfId="38782" xr:uid="{00000000-0005-0000-0000-00008C970000}"/>
    <cellStyle name="Uwaga 2 24 50 2" xfId="38783" xr:uid="{00000000-0005-0000-0000-00008D970000}"/>
    <cellStyle name="Uwaga 2 24 50 3" xfId="38784" xr:uid="{00000000-0005-0000-0000-00008E970000}"/>
    <cellStyle name="Uwaga 2 24 51" xfId="38785" xr:uid="{00000000-0005-0000-0000-00008F970000}"/>
    <cellStyle name="Uwaga 2 24 51 2" xfId="38786" xr:uid="{00000000-0005-0000-0000-000090970000}"/>
    <cellStyle name="Uwaga 2 24 51 3" xfId="38787" xr:uid="{00000000-0005-0000-0000-000091970000}"/>
    <cellStyle name="Uwaga 2 24 52" xfId="38788" xr:uid="{00000000-0005-0000-0000-000092970000}"/>
    <cellStyle name="Uwaga 2 24 52 2" xfId="38789" xr:uid="{00000000-0005-0000-0000-000093970000}"/>
    <cellStyle name="Uwaga 2 24 52 3" xfId="38790" xr:uid="{00000000-0005-0000-0000-000094970000}"/>
    <cellStyle name="Uwaga 2 24 53" xfId="38791" xr:uid="{00000000-0005-0000-0000-000095970000}"/>
    <cellStyle name="Uwaga 2 24 53 2" xfId="38792" xr:uid="{00000000-0005-0000-0000-000096970000}"/>
    <cellStyle name="Uwaga 2 24 53 3" xfId="38793" xr:uid="{00000000-0005-0000-0000-000097970000}"/>
    <cellStyle name="Uwaga 2 24 54" xfId="38794" xr:uid="{00000000-0005-0000-0000-000098970000}"/>
    <cellStyle name="Uwaga 2 24 54 2" xfId="38795" xr:uid="{00000000-0005-0000-0000-000099970000}"/>
    <cellStyle name="Uwaga 2 24 54 3" xfId="38796" xr:uid="{00000000-0005-0000-0000-00009A970000}"/>
    <cellStyle name="Uwaga 2 24 55" xfId="38797" xr:uid="{00000000-0005-0000-0000-00009B970000}"/>
    <cellStyle name="Uwaga 2 24 55 2" xfId="38798" xr:uid="{00000000-0005-0000-0000-00009C970000}"/>
    <cellStyle name="Uwaga 2 24 55 3" xfId="38799" xr:uid="{00000000-0005-0000-0000-00009D970000}"/>
    <cellStyle name="Uwaga 2 24 56" xfId="38800" xr:uid="{00000000-0005-0000-0000-00009E970000}"/>
    <cellStyle name="Uwaga 2 24 56 2" xfId="38801" xr:uid="{00000000-0005-0000-0000-00009F970000}"/>
    <cellStyle name="Uwaga 2 24 56 3" xfId="38802" xr:uid="{00000000-0005-0000-0000-0000A0970000}"/>
    <cellStyle name="Uwaga 2 24 57" xfId="38803" xr:uid="{00000000-0005-0000-0000-0000A1970000}"/>
    <cellStyle name="Uwaga 2 24 58" xfId="38804" xr:uid="{00000000-0005-0000-0000-0000A2970000}"/>
    <cellStyle name="Uwaga 2 24 6" xfId="38805" xr:uid="{00000000-0005-0000-0000-0000A3970000}"/>
    <cellStyle name="Uwaga 2 24 6 2" xfId="38806" xr:uid="{00000000-0005-0000-0000-0000A4970000}"/>
    <cellStyle name="Uwaga 2 24 6 3" xfId="38807" xr:uid="{00000000-0005-0000-0000-0000A5970000}"/>
    <cellStyle name="Uwaga 2 24 6 4" xfId="38808" xr:uid="{00000000-0005-0000-0000-0000A6970000}"/>
    <cellStyle name="Uwaga 2 24 7" xfId="38809" xr:uid="{00000000-0005-0000-0000-0000A7970000}"/>
    <cellStyle name="Uwaga 2 24 7 2" xfId="38810" xr:uid="{00000000-0005-0000-0000-0000A8970000}"/>
    <cellStyle name="Uwaga 2 24 7 3" xfId="38811" xr:uid="{00000000-0005-0000-0000-0000A9970000}"/>
    <cellStyle name="Uwaga 2 24 7 4" xfId="38812" xr:uid="{00000000-0005-0000-0000-0000AA970000}"/>
    <cellStyle name="Uwaga 2 24 8" xfId="38813" xr:uid="{00000000-0005-0000-0000-0000AB970000}"/>
    <cellStyle name="Uwaga 2 24 8 2" xfId="38814" xr:uid="{00000000-0005-0000-0000-0000AC970000}"/>
    <cellStyle name="Uwaga 2 24 8 3" xfId="38815" xr:uid="{00000000-0005-0000-0000-0000AD970000}"/>
    <cellStyle name="Uwaga 2 24 8 4" xfId="38816" xr:uid="{00000000-0005-0000-0000-0000AE970000}"/>
    <cellStyle name="Uwaga 2 24 9" xfId="38817" xr:uid="{00000000-0005-0000-0000-0000AF970000}"/>
    <cellStyle name="Uwaga 2 24 9 2" xfId="38818" xr:uid="{00000000-0005-0000-0000-0000B0970000}"/>
    <cellStyle name="Uwaga 2 24 9 3" xfId="38819" xr:uid="{00000000-0005-0000-0000-0000B1970000}"/>
    <cellStyle name="Uwaga 2 24 9 4" xfId="38820" xr:uid="{00000000-0005-0000-0000-0000B2970000}"/>
    <cellStyle name="Uwaga 2 25" xfId="38821" xr:uid="{00000000-0005-0000-0000-0000B3970000}"/>
    <cellStyle name="Uwaga 2 25 10" xfId="38822" xr:uid="{00000000-0005-0000-0000-0000B4970000}"/>
    <cellStyle name="Uwaga 2 25 10 2" xfId="38823" xr:uid="{00000000-0005-0000-0000-0000B5970000}"/>
    <cellStyle name="Uwaga 2 25 10 3" xfId="38824" xr:uid="{00000000-0005-0000-0000-0000B6970000}"/>
    <cellStyle name="Uwaga 2 25 10 4" xfId="38825" xr:uid="{00000000-0005-0000-0000-0000B7970000}"/>
    <cellStyle name="Uwaga 2 25 11" xfId="38826" xr:uid="{00000000-0005-0000-0000-0000B8970000}"/>
    <cellStyle name="Uwaga 2 25 11 2" xfId="38827" xr:uid="{00000000-0005-0000-0000-0000B9970000}"/>
    <cellStyle name="Uwaga 2 25 11 3" xfId="38828" xr:uid="{00000000-0005-0000-0000-0000BA970000}"/>
    <cellStyle name="Uwaga 2 25 11 4" xfId="38829" xr:uid="{00000000-0005-0000-0000-0000BB970000}"/>
    <cellStyle name="Uwaga 2 25 12" xfId="38830" xr:uid="{00000000-0005-0000-0000-0000BC970000}"/>
    <cellStyle name="Uwaga 2 25 12 2" xfId="38831" xr:uid="{00000000-0005-0000-0000-0000BD970000}"/>
    <cellStyle name="Uwaga 2 25 12 3" xfId="38832" xr:uid="{00000000-0005-0000-0000-0000BE970000}"/>
    <cellStyle name="Uwaga 2 25 12 4" xfId="38833" xr:uid="{00000000-0005-0000-0000-0000BF970000}"/>
    <cellStyle name="Uwaga 2 25 13" xfId="38834" xr:uid="{00000000-0005-0000-0000-0000C0970000}"/>
    <cellStyle name="Uwaga 2 25 13 2" xfId="38835" xr:uid="{00000000-0005-0000-0000-0000C1970000}"/>
    <cellStyle name="Uwaga 2 25 13 3" xfId="38836" xr:uid="{00000000-0005-0000-0000-0000C2970000}"/>
    <cellStyle name="Uwaga 2 25 13 4" xfId="38837" xr:uid="{00000000-0005-0000-0000-0000C3970000}"/>
    <cellStyle name="Uwaga 2 25 14" xfId="38838" xr:uid="{00000000-0005-0000-0000-0000C4970000}"/>
    <cellStyle name="Uwaga 2 25 14 2" xfId="38839" xr:uid="{00000000-0005-0000-0000-0000C5970000}"/>
    <cellStyle name="Uwaga 2 25 14 3" xfId="38840" xr:uid="{00000000-0005-0000-0000-0000C6970000}"/>
    <cellStyle name="Uwaga 2 25 14 4" xfId="38841" xr:uid="{00000000-0005-0000-0000-0000C7970000}"/>
    <cellStyle name="Uwaga 2 25 15" xfId="38842" xr:uid="{00000000-0005-0000-0000-0000C8970000}"/>
    <cellStyle name="Uwaga 2 25 15 2" xfId="38843" xr:uid="{00000000-0005-0000-0000-0000C9970000}"/>
    <cellStyle name="Uwaga 2 25 15 3" xfId="38844" xr:uid="{00000000-0005-0000-0000-0000CA970000}"/>
    <cellStyle name="Uwaga 2 25 15 4" xfId="38845" xr:uid="{00000000-0005-0000-0000-0000CB970000}"/>
    <cellStyle name="Uwaga 2 25 16" xfId="38846" xr:uid="{00000000-0005-0000-0000-0000CC970000}"/>
    <cellStyle name="Uwaga 2 25 16 2" xfId="38847" xr:uid="{00000000-0005-0000-0000-0000CD970000}"/>
    <cellStyle name="Uwaga 2 25 16 3" xfId="38848" xr:uid="{00000000-0005-0000-0000-0000CE970000}"/>
    <cellStyle name="Uwaga 2 25 16 4" xfId="38849" xr:uid="{00000000-0005-0000-0000-0000CF970000}"/>
    <cellStyle name="Uwaga 2 25 17" xfId="38850" xr:uid="{00000000-0005-0000-0000-0000D0970000}"/>
    <cellStyle name="Uwaga 2 25 17 2" xfId="38851" xr:uid="{00000000-0005-0000-0000-0000D1970000}"/>
    <cellStyle name="Uwaga 2 25 17 3" xfId="38852" xr:uid="{00000000-0005-0000-0000-0000D2970000}"/>
    <cellStyle name="Uwaga 2 25 17 4" xfId="38853" xr:uid="{00000000-0005-0000-0000-0000D3970000}"/>
    <cellStyle name="Uwaga 2 25 18" xfId="38854" xr:uid="{00000000-0005-0000-0000-0000D4970000}"/>
    <cellStyle name="Uwaga 2 25 18 2" xfId="38855" xr:uid="{00000000-0005-0000-0000-0000D5970000}"/>
    <cellStyle name="Uwaga 2 25 18 3" xfId="38856" xr:uid="{00000000-0005-0000-0000-0000D6970000}"/>
    <cellStyle name="Uwaga 2 25 18 4" xfId="38857" xr:uid="{00000000-0005-0000-0000-0000D7970000}"/>
    <cellStyle name="Uwaga 2 25 19" xfId="38858" xr:uid="{00000000-0005-0000-0000-0000D8970000}"/>
    <cellStyle name="Uwaga 2 25 19 2" xfId="38859" xr:uid="{00000000-0005-0000-0000-0000D9970000}"/>
    <cellStyle name="Uwaga 2 25 19 3" xfId="38860" xr:uid="{00000000-0005-0000-0000-0000DA970000}"/>
    <cellStyle name="Uwaga 2 25 19 4" xfId="38861" xr:uid="{00000000-0005-0000-0000-0000DB970000}"/>
    <cellStyle name="Uwaga 2 25 2" xfId="38862" xr:uid="{00000000-0005-0000-0000-0000DC970000}"/>
    <cellStyle name="Uwaga 2 25 2 2" xfId="38863" xr:uid="{00000000-0005-0000-0000-0000DD970000}"/>
    <cellStyle name="Uwaga 2 25 2 3" xfId="38864" xr:uid="{00000000-0005-0000-0000-0000DE970000}"/>
    <cellStyle name="Uwaga 2 25 2 4" xfId="38865" xr:uid="{00000000-0005-0000-0000-0000DF970000}"/>
    <cellStyle name="Uwaga 2 25 20" xfId="38866" xr:uid="{00000000-0005-0000-0000-0000E0970000}"/>
    <cellStyle name="Uwaga 2 25 20 2" xfId="38867" xr:uid="{00000000-0005-0000-0000-0000E1970000}"/>
    <cellStyle name="Uwaga 2 25 20 3" xfId="38868" xr:uid="{00000000-0005-0000-0000-0000E2970000}"/>
    <cellStyle name="Uwaga 2 25 20 4" xfId="38869" xr:uid="{00000000-0005-0000-0000-0000E3970000}"/>
    <cellStyle name="Uwaga 2 25 21" xfId="38870" xr:uid="{00000000-0005-0000-0000-0000E4970000}"/>
    <cellStyle name="Uwaga 2 25 21 2" xfId="38871" xr:uid="{00000000-0005-0000-0000-0000E5970000}"/>
    <cellStyle name="Uwaga 2 25 21 3" xfId="38872" xr:uid="{00000000-0005-0000-0000-0000E6970000}"/>
    <cellStyle name="Uwaga 2 25 22" xfId="38873" xr:uid="{00000000-0005-0000-0000-0000E7970000}"/>
    <cellStyle name="Uwaga 2 25 22 2" xfId="38874" xr:uid="{00000000-0005-0000-0000-0000E8970000}"/>
    <cellStyle name="Uwaga 2 25 22 3" xfId="38875" xr:uid="{00000000-0005-0000-0000-0000E9970000}"/>
    <cellStyle name="Uwaga 2 25 23" xfId="38876" xr:uid="{00000000-0005-0000-0000-0000EA970000}"/>
    <cellStyle name="Uwaga 2 25 23 2" xfId="38877" xr:uid="{00000000-0005-0000-0000-0000EB970000}"/>
    <cellStyle name="Uwaga 2 25 23 3" xfId="38878" xr:uid="{00000000-0005-0000-0000-0000EC970000}"/>
    <cellStyle name="Uwaga 2 25 24" xfId="38879" xr:uid="{00000000-0005-0000-0000-0000ED970000}"/>
    <cellStyle name="Uwaga 2 25 24 2" xfId="38880" xr:uid="{00000000-0005-0000-0000-0000EE970000}"/>
    <cellStyle name="Uwaga 2 25 24 3" xfId="38881" xr:uid="{00000000-0005-0000-0000-0000EF970000}"/>
    <cellStyle name="Uwaga 2 25 25" xfId="38882" xr:uid="{00000000-0005-0000-0000-0000F0970000}"/>
    <cellStyle name="Uwaga 2 25 25 2" xfId="38883" xr:uid="{00000000-0005-0000-0000-0000F1970000}"/>
    <cellStyle name="Uwaga 2 25 25 3" xfId="38884" xr:uid="{00000000-0005-0000-0000-0000F2970000}"/>
    <cellStyle name="Uwaga 2 25 26" xfId="38885" xr:uid="{00000000-0005-0000-0000-0000F3970000}"/>
    <cellStyle name="Uwaga 2 25 26 2" xfId="38886" xr:uid="{00000000-0005-0000-0000-0000F4970000}"/>
    <cellStyle name="Uwaga 2 25 26 3" xfId="38887" xr:uid="{00000000-0005-0000-0000-0000F5970000}"/>
    <cellStyle name="Uwaga 2 25 27" xfId="38888" xr:uid="{00000000-0005-0000-0000-0000F6970000}"/>
    <cellStyle name="Uwaga 2 25 27 2" xfId="38889" xr:uid="{00000000-0005-0000-0000-0000F7970000}"/>
    <cellStyle name="Uwaga 2 25 27 3" xfId="38890" xr:uid="{00000000-0005-0000-0000-0000F8970000}"/>
    <cellStyle name="Uwaga 2 25 28" xfId="38891" xr:uid="{00000000-0005-0000-0000-0000F9970000}"/>
    <cellStyle name="Uwaga 2 25 28 2" xfId="38892" xr:uid="{00000000-0005-0000-0000-0000FA970000}"/>
    <cellStyle name="Uwaga 2 25 28 3" xfId="38893" xr:uid="{00000000-0005-0000-0000-0000FB970000}"/>
    <cellStyle name="Uwaga 2 25 29" xfId="38894" xr:uid="{00000000-0005-0000-0000-0000FC970000}"/>
    <cellStyle name="Uwaga 2 25 29 2" xfId="38895" xr:uid="{00000000-0005-0000-0000-0000FD970000}"/>
    <cellStyle name="Uwaga 2 25 29 3" xfId="38896" xr:uid="{00000000-0005-0000-0000-0000FE970000}"/>
    <cellStyle name="Uwaga 2 25 3" xfId="38897" xr:uid="{00000000-0005-0000-0000-0000FF970000}"/>
    <cellStyle name="Uwaga 2 25 3 2" xfId="38898" xr:uid="{00000000-0005-0000-0000-000000980000}"/>
    <cellStyle name="Uwaga 2 25 3 3" xfId="38899" xr:uid="{00000000-0005-0000-0000-000001980000}"/>
    <cellStyle name="Uwaga 2 25 3 4" xfId="38900" xr:uid="{00000000-0005-0000-0000-000002980000}"/>
    <cellStyle name="Uwaga 2 25 30" xfId="38901" xr:uid="{00000000-0005-0000-0000-000003980000}"/>
    <cellStyle name="Uwaga 2 25 30 2" xfId="38902" xr:uid="{00000000-0005-0000-0000-000004980000}"/>
    <cellStyle name="Uwaga 2 25 30 3" xfId="38903" xr:uid="{00000000-0005-0000-0000-000005980000}"/>
    <cellStyle name="Uwaga 2 25 31" xfId="38904" xr:uid="{00000000-0005-0000-0000-000006980000}"/>
    <cellStyle name="Uwaga 2 25 31 2" xfId="38905" xr:uid="{00000000-0005-0000-0000-000007980000}"/>
    <cellStyle name="Uwaga 2 25 31 3" xfId="38906" xr:uid="{00000000-0005-0000-0000-000008980000}"/>
    <cellStyle name="Uwaga 2 25 32" xfId="38907" xr:uid="{00000000-0005-0000-0000-000009980000}"/>
    <cellStyle name="Uwaga 2 25 32 2" xfId="38908" xr:uid="{00000000-0005-0000-0000-00000A980000}"/>
    <cellStyle name="Uwaga 2 25 32 3" xfId="38909" xr:uid="{00000000-0005-0000-0000-00000B980000}"/>
    <cellStyle name="Uwaga 2 25 33" xfId="38910" xr:uid="{00000000-0005-0000-0000-00000C980000}"/>
    <cellStyle name="Uwaga 2 25 33 2" xfId="38911" xr:uid="{00000000-0005-0000-0000-00000D980000}"/>
    <cellStyle name="Uwaga 2 25 33 3" xfId="38912" xr:uid="{00000000-0005-0000-0000-00000E980000}"/>
    <cellStyle name="Uwaga 2 25 34" xfId="38913" xr:uid="{00000000-0005-0000-0000-00000F980000}"/>
    <cellStyle name="Uwaga 2 25 34 2" xfId="38914" xr:uid="{00000000-0005-0000-0000-000010980000}"/>
    <cellStyle name="Uwaga 2 25 34 3" xfId="38915" xr:uid="{00000000-0005-0000-0000-000011980000}"/>
    <cellStyle name="Uwaga 2 25 35" xfId="38916" xr:uid="{00000000-0005-0000-0000-000012980000}"/>
    <cellStyle name="Uwaga 2 25 35 2" xfId="38917" xr:uid="{00000000-0005-0000-0000-000013980000}"/>
    <cellStyle name="Uwaga 2 25 35 3" xfId="38918" xr:uid="{00000000-0005-0000-0000-000014980000}"/>
    <cellStyle name="Uwaga 2 25 36" xfId="38919" xr:uid="{00000000-0005-0000-0000-000015980000}"/>
    <cellStyle name="Uwaga 2 25 36 2" xfId="38920" xr:uid="{00000000-0005-0000-0000-000016980000}"/>
    <cellStyle name="Uwaga 2 25 36 3" xfId="38921" xr:uid="{00000000-0005-0000-0000-000017980000}"/>
    <cellStyle name="Uwaga 2 25 37" xfId="38922" xr:uid="{00000000-0005-0000-0000-000018980000}"/>
    <cellStyle name="Uwaga 2 25 37 2" xfId="38923" xr:uid="{00000000-0005-0000-0000-000019980000}"/>
    <cellStyle name="Uwaga 2 25 37 3" xfId="38924" xr:uid="{00000000-0005-0000-0000-00001A980000}"/>
    <cellStyle name="Uwaga 2 25 38" xfId="38925" xr:uid="{00000000-0005-0000-0000-00001B980000}"/>
    <cellStyle name="Uwaga 2 25 38 2" xfId="38926" xr:uid="{00000000-0005-0000-0000-00001C980000}"/>
    <cellStyle name="Uwaga 2 25 38 3" xfId="38927" xr:uid="{00000000-0005-0000-0000-00001D980000}"/>
    <cellStyle name="Uwaga 2 25 39" xfId="38928" xr:uid="{00000000-0005-0000-0000-00001E980000}"/>
    <cellStyle name="Uwaga 2 25 39 2" xfId="38929" xr:uid="{00000000-0005-0000-0000-00001F980000}"/>
    <cellStyle name="Uwaga 2 25 39 3" xfId="38930" xr:uid="{00000000-0005-0000-0000-000020980000}"/>
    <cellStyle name="Uwaga 2 25 4" xfId="38931" xr:uid="{00000000-0005-0000-0000-000021980000}"/>
    <cellStyle name="Uwaga 2 25 4 2" xfId="38932" xr:uid="{00000000-0005-0000-0000-000022980000}"/>
    <cellStyle name="Uwaga 2 25 4 3" xfId="38933" xr:uid="{00000000-0005-0000-0000-000023980000}"/>
    <cellStyle name="Uwaga 2 25 4 4" xfId="38934" xr:uid="{00000000-0005-0000-0000-000024980000}"/>
    <cellStyle name="Uwaga 2 25 40" xfId="38935" xr:uid="{00000000-0005-0000-0000-000025980000}"/>
    <cellStyle name="Uwaga 2 25 40 2" xfId="38936" xr:uid="{00000000-0005-0000-0000-000026980000}"/>
    <cellStyle name="Uwaga 2 25 40 3" xfId="38937" xr:uid="{00000000-0005-0000-0000-000027980000}"/>
    <cellStyle name="Uwaga 2 25 41" xfId="38938" xr:uid="{00000000-0005-0000-0000-000028980000}"/>
    <cellStyle name="Uwaga 2 25 41 2" xfId="38939" xr:uid="{00000000-0005-0000-0000-000029980000}"/>
    <cellStyle name="Uwaga 2 25 41 3" xfId="38940" xr:uid="{00000000-0005-0000-0000-00002A980000}"/>
    <cellStyle name="Uwaga 2 25 42" xfId="38941" xr:uid="{00000000-0005-0000-0000-00002B980000}"/>
    <cellStyle name="Uwaga 2 25 42 2" xfId="38942" xr:uid="{00000000-0005-0000-0000-00002C980000}"/>
    <cellStyle name="Uwaga 2 25 42 3" xfId="38943" xr:uid="{00000000-0005-0000-0000-00002D980000}"/>
    <cellStyle name="Uwaga 2 25 43" xfId="38944" xr:uid="{00000000-0005-0000-0000-00002E980000}"/>
    <cellStyle name="Uwaga 2 25 43 2" xfId="38945" xr:uid="{00000000-0005-0000-0000-00002F980000}"/>
    <cellStyle name="Uwaga 2 25 43 3" xfId="38946" xr:uid="{00000000-0005-0000-0000-000030980000}"/>
    <cellStyle name="Uwaga 2 25 44" xfId="38947" xr:uid="{00000000-0005-0000-0000-000031980000}"/>
    <cellStyle name="Uwaga 2 25 44 2" xfId="38948" xr:uid="{00000000-0005-0000-0000-000032980000}"/>
    <cellStyle name="Uwaga 2 25 44 3" xfId="38949" xr:uid="{00000000-0005-0000-0000-000033980000}"/>
    <cellStyle name="Uwaga 2 25 45" xfId="38950" xr:uid="{00000000-0005-0000-0000-000034980000}"/>
    <cellStyle name="Uwaga 2 25 45 2" xfId="38951" xr:uid="{00000000-0005-0000-0000-000035980000}"/>
    <cellStyle name="Uwaga 2 25 45 3" xfId="38952" xr:uid="{00000000-0005-0000-0000-000036980000}"/>
    <cellStyle name="Uwaga 2 25 46" xfId="38953" xr:uid="{00000000-0005-0000-0000-000037980000}"/>
    <cellStyle name="Uwaga 2 25 46 2" xfId="38954" xr:uid="{00000000-0005-0000-0000-000038980000}"/>
    <cellStyle name="Uwaga 2 25 46 3" xfId="38955" xr:uid="{00000000-0005-0000-0000-000039980000}"/>
    <cellStyle name="Uwaga 2 25 47" xfId="38956" xr:uid="{00000000-0005-0000-0000-00003A980000}"/>
    <cellStyle name="Uwaga 2 25 47 2" xfId="38957" xr:uid="{00000000-0005-0000-0000-00003B980000}"/>
    <cellStyle name="Uwaga 2 25 47 3" xfId="38958" xr:uid="{00000000-0005-0000-0000-00003C980000}"/>
    <cellStyle name="Uwaga 2 25 48" xfId="38959" xr:uid="{00000000-0005-0000-0000-00003D980000}"/>
    <cellStyle name="Uwaga 2 25 48 2" xfId="38960" xr:uid="{00000000-0005-0000-0000-00003E980000}"/>
    <cellStyle name="Uwaga 2 25 48 3" xfId="38961" xr:uid="{00000000-0005-0000-0000-00003F980000}"/>
    <cellStyle name="Uwaga 2 25 49" xfId="38962" xr:uid="{00000000-0005-0000-0000-000040980000}"/>
    <cellStyle name="Uwaga 2 25 49 2" xfId="38963" xr:uid="{00000000-0005-0000-0000-000041980000}"/>
    <cellStyle name="Uwaga 2 25 49 3" xfId="38964" xr:uid="{00000000-0005-0000-0000-000042980000}"/>
    <cellStyle name="Uwaga 2 25 5" xfId="38965" xr:uid="{00000000-0005-0000-0000-000043980000}"/>
    <cellStyle name="Uwaga 2 25 5 2" xfId="38966" xr:uid="{00000000-0005-0000-0000-000044980000}"/>
    <cellStyle name="Uwaga 2 25 5 3" xfId="38967" xr:uid="{00000000-0005-0000-0000-000045980000}"/>
    <cellStyle name="Uwaga 2 25 5 4" xfId="38968" xr:uid="{00000000-0005-0000-0000-000046980000}"/>
    <cellStyle name="Uwaga 2 25 50" xfId="38969" xr:uid="{00000000-0005-0000-0000-000047980000}"/>
    <cellStyle name="Uwaga 2 25 50 2" xfId="38970" xr:uid="{00000000-0005-0000-0000-000048980000}"/>
    <cellStyle name="Uwaga 2 25 50 3" xfId="38971" xr:uid="{00000000-0005-0000-0000-000049980000}"/>
    <cellStyle name="Uwaga 2 25 51" xfId="38972" xr:uid="{00000000-0005-0000-0000-00004A980000}"/>
    <cellStyle name="Uwaga 2 25 51 2" xfId="38973" xr:uid="{00000000-0005-0000-0000-00004B980000}"/>
    <cellStyle name="Uwaga 2 25 51 3" xfId="38974" xr:uid="{00000000-0005-0000-0000-00004C980000}"/>
    <cellStyle name="Uwaga 2 25 52" xfId="38975" xr:uid="{00000000-0005-0000-0000-00004D980000}"/>
    <cellStyle name="Uwaga 2 25 52 2" xfId="38976" xr:uid="{00000000-0005-0000-0000-00004E980000}"/>
    <cellStyle name="Uwaga 2 25 52 3" xfId="38977" xr:uid="{00000000-0005-0000-0000-00004F980000}"/>
    <cellStyle name="Uwaga 2 25 53" xfId="38978" xr:uid="{00000000-0005-0000-0000-000050980000}"/>
    <cellStyle name="Uwaga 2 25 53 2" xfId="38979" xr:uid="{00000000-0005-0000-0000-000051980000}"/>
    <cellStyle name="Uwaga 2 25 53 3" xfId="38980" xr:uid="{00000000-0005-0000-0000-000052980000}"/>
    <cellStyle name="Uwaga 2 25 54" xfId="38981" xr:uid="{00000000-0005-0000-0000-000053980000}"/>
    <cellStyle name="Uwaga 2 25 54 2" xfId="38982" xr:uid="{00000000-0005-0000-0000-000054980000}"/>
    <cellStyle name="Uwaga 2 25 54 3" xfId="38983" xr:uid="{00000000-0005-0000-0000-000055980000}"/>
    <cellStyle name="Uwaga 2 25 55" xfId="38984" xr:uid="{00000000-0005-0000-0000-000056980000}"/>
    <cellStyle name="Uwaga 2 25 55 2" xfId="38985" xr:uid="{00000000-0005-0000-0000-000057980000}"/>
    <cellStyle name="Uwaga 2 25 55 3" xfId="38986" xr:uid="{00000000-0005-0000-0000-000058980000}"/>
    <cellStyle name="Uwaga 2 25 56" xfId="38987" xr:uid="{00000000-0005-0000-0000-000059980000}"/>
    <cellStyle name="Uwaga 2 25 56 2" xfId="38988" xr:uid="{00000000-0005-0000-0000-00005A980000}"/>
    <cellStyle name="Uwaga 2 25 56 3" xfId="38989" xr:uid="{00000000-0005-0000-0000-00005B980000}"/>
    <cellStyle name="Uwaga 2 25 57" xfId="38990" xr:uid="{00000000-0005-0000-0000-00005C980000}"/>
    <cellStyle name="Uwaga 2 25 58" xfId="38991" xr:uid="{00000000-0005-0000-0000-00005D980000}"/>
    <cellStyle name="Uwaga 2 25 6" xfId="38992" xr:uid="{00000000-0005-0000-0000-00005E980000}"/>
    <cellStyle name="Uwaga 2 25 6 2" xfId="38993" xr:uid="{00000000-0005-0000-0000-00005F980000}"/>
    <cellStyle name="Uwaga 2 25 6 3" xfId="38994" xr:uid="{00000000-0005-0000-0000-000060980000}"/>
    <cellStyle name="Uwaga 2 25 6 4" xfId="38995" xr:uid="{00000000-0005-0000-0000-000061980000}"/>
    <cellStyle name="Uwaga 2 25 7" xfId="38996" xr:uid="{00000000-0005-0000-0000-000062980000}"/>
    <cellStyle name="Uwaga 2 25 7 2" xfId="38997" xr:uid="{00000000-0005-0000-0000-000063980000}"/>
    <cellStyle name="Uwaga 2 25 7 3" xfId="38998" xr:uid="{00000000-0005-0000-0000-000064980000}"/>
    <cellStyle name="Uwaga 2 25 7 4" xfId="38999" xr:uid="{00000000-0005-0000-0000-000065980000}"/>
    <cellStyle name="Uwaga 2 25 8" xfId="39000" xr:uid="{00000000-0005-0000-0000-000066980000}"/>
    <cellStyle name="Uwaga 2 25 8 2" xfId="39001" xr:uid="{00000000-0005-0000-0000-000067980000}"/>
    <cellStyle name="Uwaga 2 25 8 3" xfId="39002" xr:uid="{00000000-0005-0000-0000-000068980000}"/>
    <cellStyle name="Uwaga 2 25 8 4" xfId="39003" xr:uid="{00000000-0005-0000-0000-000069980000}"/>
    <cellStyle name="Uwaga 2 25 9" xfId="39004" xr:uid="{00000000-0005-0000-0000-00006A980000}"/>
    <cellStyle name="Uwaga 2 25 9 2" xfId="39005" xr:uid="{00000000-0005-0000-0000-00006B980000}"/>
    <cellStyle name="Uwaga 2 25 9 3" xfId="39006" xr:uid="{00000000-0005-0000-0000-00006C980000}"/>
    <cellStyle name="Uwaga 2 25 9 4" xfId="39007" xr:uid="{00000000-0005-0000-0000-00006D980000}"/>
    <cellStyle name="Uwaga 2 26" xfId="39008" xr:uid="{00000000-0005-0000-0000-00006E980000}"/>
    <cellStyle name="Uwaga 2 26 10" xfId="39009" xr:uid="{00000000-0005-0000-0000-00006F980000}"/>
    <cellStyle name="Uwaga 2 26 10 2" xfId="39010" xr:uid="{00000000-0005-0000-0000-000070980000}"/>
    <cellStyle name="Uwaga 2 26 10 3" xfId="39011" xr:uid="{00000000-0005-0000-0000-000071980000}"/>
    <cellStyle name="Uwaga 2 26 10 4" xfId="39012" xr:uid="{00000000-0005-0000-0000-000072980000}"/>
    <cellStyle name="Uwaga 2 26 11" xfId="39013" xr:uid="{00000000-0005-0000-0000-000073980000}"/>
    <cellStyle name="Uwaga 2 26 11 2" xfId="39014" xr:uid="{00000000-0005-0000-0000-000074980000}"/>
    <cellStyle name="Uwaga 2 26 11 3" xfId="39015" xr:uid="{00000000-0005-0000-0000-000075980000}"/>
    <cellStyle name="Uwaga 2 26 11 4" xfId="39016" xr:uid="{00000000-0005-0000-0000-000076980000}"/>
    <cellStyle name="Uwaga 2 26 12" xfId="39017" xr:uid="{00000000-0005-0000-0000-000077980000}"/>
    <cellStyle name="Uwaga 2 26 12 2" xfId="39018" xr:uid="{00000000-0005-0000-0000-000078980000}"/>
    <cellStyle name="Uwaga 2 26 12 3" xfId="39019" xr:uid="{00000000-0005-0000-0000-000079980000}"/>
    <cellStyle name="Uwaga 2 26 12 4" xfId="39020" xr:uid="{00000000-0005-0000-0000-00007A980000}"/>
    <cellStyle name="Uwaga 2 26 13" xfId="39021" xr:uid="{00000000-0005-0000-0000-00007B980000}"/>
    <cellStyle name="Uwaga 2 26 13 2" xfId="39022" xr:uid="{00000000-0005-0000-0000-00007C980000}"/>
    <cellStyle name="Uwaga 2 26 13 3" xfId="39023" xr:uid="{00000000-0005-0000-0000-00007D980000}"/>
    <cellStyle name="Uwaga 2 26 13 4" xfId="39024" xr:uid="{00000000-0005-0000-0000-00007E980000}"/>
    <cellStyle name="Uwaga 2 26 14" xfId="39025" xr:uid="{00000000-0005-0000-0000-00007F980000}"/>
    <cellStyle name="Uwaga 2 26 14 2" xfId="39026" xr:uid="{00000000-0005-0000-0000-000080980000}"/>
    <cellStyle name="Uwaga 2 26 14 3" xfId="39027" xr:uid="{00000000-0005-0000-0000-000081980000}"/>
    <cellStyle name="Uwaga 2 26 14 4" xfId="39028" xr:uid="{00000000-0005-0000-0000-000082980000}"/>
    <cellStyle name="Uwaga 2 26 15" xfId="39029" xr:uid="{00000000-0005-0000-0000-000083980000}"/>
    <cellStyle name="Uwaga 2 26 15 2" xfId="39030" xr:uid="{00000000-0005-0000-0000-000084980000}"/>
    <cellStyle name="Uwaga 2 26 15 3" xfId="39031" xr:uid="{00000000-0005-0000-0000-000085980000}"/>
    <cellStyle name="Uwaga 2 26 15 4" xfId="39032" xr:uid="{00000000-0005-0000-0000-000086980000}"/>
    <cellStyle name="Uwaga 2 26 16" xfId="39033" xr:uid="{00000000-0005-0000-0000-000087980000}"/>
    <cellStyle name="Uwaga 2 26 16 2" xfId="39034" xr:uid="{00000000-0005-0000-0000-000088980000}"/>
    <cellStyle name="Uwaga 2 26 16 3" xfId="39035" xr:uid="{00000000-0005-0000-0000-000089980000}"/>
    <cellStyle name="Uwaga 2 26 16 4" xfId="39036" xr:uid="{00000000-0005-0000-0000-00008A980000}"/>
    <cellStyle name="Uwaga 2 26 17" xfId="39037" xr:uid="{00000000-0005-0000-0000-00008B980000}"/>
    <cellStyle name="Uwaga 2 26 17 2" xfId="39038" xr:uid="{00000000-0005-0000-0000-00008C980000}"/>
    <cellStyle name="Uwaga 2 26 17 3" xfId="39039" xr:uid="{00000000-0005-0000-0000-00008D980000}"/>
    <cellStyle name="Uwaga 2 26 17 4" xfId="39040" xr:uid="{00000000-0005-0000-0000-00008E980000}"/>
    <cellStyle name="Uwaga 2 26 18" xfId="39041" xr:uid="{00000000-0005-0000-0000-00008F980000}"/>
    <cellStyle name="Uwaga 2 26 18 2" xfId="39042" xr:uid="{00000000-0005-0000-0000-000090980000}"/>
    <cellStyle name="Uwaga 2 26 18 3" xfId="39043" xr:uid="{00000000-0005-0000-0000-000091980000}"/>
    <cellStyle name="Uwaga 2 26 18 4" xfId="39044" xr:uid="{00000000-0005-0000-0000-000092980000}"/>
    <cellStyle name="Uwaga 2 26 19" xfId="39045" xr:uid="{00000000-0005-0000-0000-000093980000}"/>
    <cellStyle name="Uwaga 2 26 19 2" xfId="39046" xr:uid="{00000000-0005-0000-0000-000094980000}"/>
    <cellStyle name="Uwaga 2 26 19 3" xfId="39047" xr:uid="{00000000-0005-0000-0000-000095980000}"/>
    <cellStyle name="Uwaga 2 26 19 4" xfId="39048" xr:uid="{00000000-0005-0000-0000-000096980000}"/>
    <cellStyle name="Uwaga 2 26 2" xfId="39049" xr:uid="{00000000-0005-0000-0000-000097980000}"/>
    <cellStyle name="Uwaga 2 26 2 2" xfId="39050" xr:uid="{00000000-0005-0000-0000-000098980000}"/>
    <cellStyle name="Uwaga 2 26 2 3" xfId="39051" xr:uid="{00000000-0005-0000-0000-000099980000}"/>
    <cellStyle name="Uwaga 2 26 2 4" xfId="39052" xr:uid="{00000000-0005-0000-0000-00009A980000}"/>
    <cellStyle name="Uwaga 2 26 20" xfId="39053" xr:uid="{00000000-0005-0000-0000-00009B980000}"/>
    <cellStyle name="Uwaga 2 26 20 2" xfId="39054" xr:uid="{00000000-0005-0000-0000-00009C980000}"/>
    <cellStyle name="Uwaga 2 26 20 3" xfId="39055" xr:uid="{00000000-0005-0000-0000-00009D980000}"/>
    <cellStyle name="Uwaga 2 26 20 4" xfId="39056" xr:uid="{00000000-0005-0000-0000-00009E980000}"/>
    <cellStyle name="Uwaga 2 26 21" xfId="39057" xr:uid="{00000000-0005-0000-0000-00009F980000}"/>
    <cellStyle name="Uwaga 2 26 21 2" xfId="39058" xr:uid="{00000000-0005-0000-0000-0000A0980000}"/>
    <cellStyle name="Uwaga 2 26 21 3" xfId="39059" xr:uid="{00000000-0005-0000-0000-0000A1980000}"/>
    <cellStyle name="Uwaga 2 26 22" xfId="39060" xr:uid="{00000000-0005-0000-0000-0000A2980000}"/>
    <cellStyle name="Uwaga 2 26 22 2" xfId="39061" xr:uid="{00000000-0005-0000-0000-0000A3980000}"/>
    <cellStyle name="Uwaga 2 26 22 3" xfId="39062" xr:uid="{00000000-0005-0000-0000-0000A4980000}"/>
    <cellStyle name="Uwaga 2 26 23" xfId="39063" xr:uid="{00000000-0005-0000-0000-0000A5980000}"/>
    <cellStyle name="Uwaga 2 26 23 2" xfId="39064" xr:uid="{00000000-0005-0000-0000-0000A6980000}"/>
    <cellStyle name="Uwaga 2 26 23 3" xfId="39065" xr:uid="{00000000-0005-0000-0000-0000A7980000}"/>
    <cellStyle name="Uwaga 2 26 24" xfId="39066" xr:uid="{00000000-0005-0000-0000-0000A8980000}"/>
    <cellStyle name="Uwaga 2 26 24 2" xfId="39067" xr:uid="{00000000-0005-0000-0000-0000A9980000}"/>
    <cellStyle name="Uwaga 2 26 24 3" xfId="39068" xr:uid="{00000000-0005-0000-0000-0000AA980000}"/>
    <cellStyle name="Uwaga 2 26 25" xfId="39069" xr:uid="{00000000-0005-0000-0000-0000AB980000}"/>
    <cellStyle name="Uwaga 2 26 25 2" xfId="39070" xr:uid="{00000000-0005-0000-0000-0000AC980000}"/>
    <cellStyle name="Uwaga 2 26 25 3" xfId="39071" xr:uid="{00000000-0005-0000-0000-0000AD980000}"/>
    <cellStyle name="Uwaga 2 26 26" xfId="39072" xr:uid="{00000000-0005-0000-0000-0000AE980000}"/>
    <cellStyle name="Uwaga 2 26 26 2" xfId="39073" xr:uid="{00000000-0005-0000-0000-0000AF980000}"/>
    <cellStyle name="Uwaga 2 26 26 3" xfId="39074" xr:uid="{00000000-0005-0000-0000-0000B0980000}"/>
    <cellStyle name="Uwaga 2 26 27" xfId="39075" xr:uid="{00000000-0005-0000-0000-0000B1980000}"/>
    <cellStyle name="Uwaga 2 26 27 2" xfId="39076" xr:uid="{00000000-0005-0000-0000-0000B2980000}"/>
    <cellStyle name="Uwaga 2 26 27 3" xfId="39077" xr:uid="{00000000-0005-0000-0000-0000B3980000}"/>
    <cellStyle name="Uwaga 2 26 28" xfId="39078" xr:uid="{00000000-0005-0000-0000-0000B4980000}"/>
    <cellStyle name="Uwaga 2 26 28 2" xfId="39079" xr:uid="{00000000-0005-0000-0000-0000B5980000}"/>
    <cellStyle name="Uwaga 2 26 28 3" xfId="39080" xr:uid="{00000000-0005-0000-0000-0000B6980000}"/>
    <cellStyle name="Uwaga 2 26 29" xfId="39081" xr:uid="{00000000-0005-0000-0000-0000B7980000}"/>
    <cellStyle name="Uwaga 2 26 29 2" xfId="39082" xr:uid="{00000000-0005-0000-0000-0000B8980000}"/>
    <cellStyle name="Uwaga 2 26 29 3" xfId="39083" xr:uid="{00000000-0005-0000-0000-0000B9980000}"/>
    <cellStyle name="Uwaga 2 26 3" xfId="39084" xr:uid="{00000000-0005-0000-0000-0000BA980000}"/>
    <cellStyle name="Uwaga 2 26 3 2" xfId="39085" xr:uid="{00000000-0005-0000-0000-0000BB980000}"/>
    <cellStyle name="Uwaga 2 26 3 3" xfId="39086" xr:uid="{00000000-0005-0000-0000-0000BC980000}"/>
    <cellStyle name="Uwaga 2 26 3 4" xfId="39087" xr:uid="{00000000-0005-0000-0000-0000BD980000}"/>
    <cellStyle name="Uwaga 2 26 30" xfId="39088" xr:uid="{00000000-0005-0000-0000-0000BE980000}"/>
    <cellStyle name="Uwaga 2 26 30 2" xfId="39089" xr:uid="{00000000-0005-0000-0000-0000BF980000}"/>
    <cellStyle name="Uwaga 2 26 30 3" xfId="39090" xr:uid="{00000000-0005-0000-0000-0000C0980000}"/>
    <cellStyle name="Uwaga 2 26 31" xfId="39091" xr:uid="{00000000-0005-0000-0000-0000C1980000}"/>
    <cellStyle name="Uwaga 2 26 31 2" xfId="39092" xr:uid="{00000000-0005-0000-0000-0000C2980000}"/>
    <cellStyle name="Uwaga 2 26 31 3" xfId="39093" xr:uid="{00000000-0005-0000-0000-0000C3980000}"/>
    <cellStyle name="Uwaga 2 26 32" xfId="39094" xr:uid="{00000000-0005-0000-0000-0000C4980000}"/>
    <cellStyle name="Uwaga 2 26 32 2" xfId="39095" xr:uid="{00000000-0005-0000-0000-0000C5980000}"/>
    <cellStyle name="Uwaga 2 26 32 3" xfId="39096" xr:uid="{00000000-0005-0000-0000-0000C6980000}"/>
    <cellStyle name="Uwaga 2 26 33" xfId="39097" xr:uid="{00000000-0005-0000-0000-0000C7980000}"/>
    <cellStyle name="Uwaga 2 26 33 2" xfId="39098" xr:uid="{00000000-0005-0000-0000-0000C8980000}"/>
    <cellStyle name="Uwaga 2 26 33 3" xfId="39099" xr:uid="{00000000-0005-0000-0000-0000C9980000}"/>
    <cellStyle name="Uwaga 2 26 34" xfId="39100" xr:uid="{00000000-0005-0000-0000-0000CA980000}"/>
    <cellStyle name="Uwaga 2 26 34 2" xfId="39101" xr:uid="{00000000-0005-0000-0000-0000CB980000}"/>
    <cellStyle name="Uwaga 2 26 34 3" xfId="39102" xr:uid="{00000000-0005-0000-0000-0000CC980000}"/>
    <cellStyle name="Uwaga 2 26 35" xfId="39103" xr:uid="{00000000-0005-0000-0000-0000CD980000}"/>
    <cellStyle name="Uwaga 2 26 35 2" xfId="39104" xr:uid="{00000000-0005-0000-0000-0000CE980000}"/>
    <cellStyle name="Uwaga 2 26 35 3" xfId="39105" xr:uid="{00000000-0005-0000-0000-0000CF980000}"/>
    <cellStyle name="Uwaga 2 26 36" xfId="39106" xr:uid="{00000000-0005-0000-0000-0000D0980000}"/>
    <cellStyle name="Uwaga 2 26 36 2" xfId="39107" xr:uid="{00000000-0005-0000-0000-0000D1980000}"/>
    <cellStyle name="Uwaga 2 26 36 3" xfId="39108" xr:uid="{00000000-0005-0000-0000-0000D2980000}"/>
    <cellStyle name="Uwaga 2 26 37" xfId="39109" xr:uid="{00000000-0005-0000-0000-0000D3980000}"/>
    <cellStyle name="Uwaga 2 26 37 2" xfId="39110" xr:uid="{00000000-0005-0000-0000-0000D4980000}"/>
    <cellStyle name="Uwaga 2 26 37 3" xfId="39111" xr:uid="{00000000-0005-0000-0000-0000D5980000}"/>
    <cellStyle name="Uwaga 2 26 38" xfId="39112" xr:uid="{00000000-0005-0000-0000-0000D6980000}"/>
    <cellStyle name="Uwaga 2 26 38 2" xfId="39113" xr:uid="{00000000-0005-0000-0000-0000D7980000}"/>
    <cellStyle name="Uwaga 2 26 38 3" xfId="39114" xr:uid="{00000000-0005-0000-0000-0000D8980000}"/>
    <cellStyle name="Uwaga 2 26 39" xfId="39115" xr:uid="{00000000-0005-0000-0000-0000D9980000}"/>
    <cellStyle name="Uwaga 2 26 39 2" xfId="39116" xr:uid="{00000000-0005-0000-0000-0000DA980000}"/>
    <cellStyle name="Uwaga 2 26 39 3" xfId="39117" xr:uid="{00000000-0005-0000-0000-0000DB980000}"/>
    <cellStyle name="Uwaga 2 26 4" xfId="39118" xr:uid="{00000000-0005-0000-0000-0000DC980000}"/>
    <cellStyle name="Uwaga 2 26 4 2" xfId="39119" xr:uid="{00000000-0005-0000-0000-0000DD980000}"/>
    <cellStyle name="Uwaga 2 26 4 3" xfId="39120" xr:uid="{00000000-0005-0000-0000-0000DE980000}"/>
    <cellStyle name="Uwaga 2 26 4 4" xfId="39121" xr:uid="{00000000-0005-0000-0000-0000DF980000}"/>
    <cellStyle name="Uwaga 2 26 40" xfId="39122" xr:uid="{00000000-0005-0000-0000-0000E0980000}"/>
    <cellStyle name="Uwaga 2 26 40 2" xfId="39123" xr:uid="{00000000-0005-0000-0000-0000E1980000}"/>
    <cellStyle name="Uwaga 2 26 40 3" xfId="39124" xr:uid="{00000000-0005-0000-0000-0000E2980000}"/>
    <cellStyle name="Uwaga 2 26 41" xfId="39125" xr:uid="{00000000-0005-0000-0000-0000E3980000}"/>
    <cellStyle name="Uwaga 2 26 41 2" xfId="39126" xr:uid="{00000000-0005-0000-0000-0000E4980000}"/>
    <cellStyle name="Uwaga 2 26 41 3" xfId="39127" xr:uid="{00000000-0005-0000-0000-0000E5980000}"/>
    <cellStyle name="Uwaga 2 26 42" xfId="39128" xr:uid="{00000000-0005-0000-0000-0000E6980000}"/>
    <cellStyle name="Uwaga 2 26 42 2" xfId="39129" xr:uid="{00000000-0005-0000-0000-0000E7980000}"/>
    <cellStyle name="Uwaga 2 26 42 3" xfId="39130" xr:uid="{00000000-0005-0000-0000-0000E8980000}"/>
    <cellStyle name="Uwaga 2 26 43" xfId="39131" xr:uid="{00000000-0005-0000-0000-0000E9980000}"/>
    <cellStyle name="Uwaga 2 26 43 2" xfId="39132" xr:uid="{00000000-0005-0000-0000-0000EA980000}"/>
    <cellStyle name="Uwaga 2 26 43 3" xfId="39133" xr:uid="{00000000-0005-0000-0000-0000EB980000}"/>
    <cellStyle name="Uwaga 2 26 44" xfId="39134" xr:uid="{00000000-0005-0000-0000-0000EC980000}"/>
    <cellStyle name="Uwaga 2 26 44 2" xfId="39135" xr:uid="{00000000-0005-0000-0000-0000ED980000}"/>
    <cellStyle name="Uwaga 2 26 44 3" xfId="39136" xr:uid="{00000000-0005-0000-0000-0000EE980000}"/>
    <cellStyle name="Uwaga 2 26 45" xfId="39137" xr:uid="{00000000-0005-0000-0000-0000EF980000}"/>
    <cellStyle name="Uwaga 2 26 45 2" xfId="39138" xr:uid="{00000000-0005-0000-0000-0000F0980000}"/>
    <cellStyle name="Uwaga 2 26 45 3" xfId="39139" xr:uid="{00000000-0005-0000-0000-0000F1980000}"/>
    <cellStyle name="Uwaga 2 26 46" xfId="39140" xr:uid="{00000000-0005-0000-0000-0000F2980000}"/>
    <cellStyle name="Uwaga 2 26 46 2" xfId="39141" xr:uid="{00000000-0005-0000-0000-0000F3980000}"/>
    <cellStyle name="Uwaga 2 26 46 3" xfId="39142" xr:uid="{00000000-0005-0000-0000-0000F4980000}"/>
    <cellStyle name="Uwaga 2 26 47" xfId="39143" xr:uid="{00000000-0005-0000-0000-0000F5980000}"/>
    <cellStyle name="Uwaga 2 26 47 2" xfId="39144" xr:uid="{00000000-0005-0000-0000-0000F6980000}"/>
    <cellStyle name="Uwaga 2 26 47 3" xfId="39145" xr:uid="{00000000-0005-0000-0000-0000F7980000}"/>
    <cellStyle name="Uwaga 2 26 48" xfId="39146" xr:uid="{00000000-0005-0000-0000-0000F8980000}"/>
    <cellStyle name="Uwaga 2 26 48 2" xfId="39147" xr:uid="{00000000-0005-0000-0000-0000F9980000}"/>
    <cellStyle name="Uwaga 2 26 48 3" xfId="39148" xr:uid="{00000000-0005-0000-0000-0000FA980000}"/>
    <cellStyle name="Uwaga 2 26 49" xfId="39149" xr:uid="{00000000-0005-0000-0000-0000FB980000}"/>
    <cellStyle name="Uwaga 2 26 49 2" xfId="39150" xr:uid="{00000000-0005-0000-0000-0000FC980000}"/>
    <cellStyle name="Uwaga 2 26 49 3" xfId="39151" xr:uid="{00000000-0005-0000-0000-0000FD980000}"/>
    <cellStyle name="Uwaga 2 26 5" xfId="39152" xr:uid="{00000000-0005-0000-0000-0000FE980000}"/>
    <cellStyle name="Uwaga 2 26 5 2" xfId="39153" xr:uid="{00000000-0005-0000-0000-0000FF980000}"/>
    <cellStyle name="Uwaga 2 26 5 3" xfId="39154" xr:uid="{00000000-0005-0000-0000-000000990000}"/>
    <cellStyle name="Uwaga 2 26 5 4" xfId="39155" xr:uid="{00000000-0005-0000-0000-000001990000}"/>
    <cellStyle name="Uwaga 2 26 50" xfId="39156" xr:uid="{00000000-0005-0000-0000-000002990000}"/>
    <cellStyle name="Uwaga 2 26 50 2" xfId="39157" xr:uid="{00000000-0005-0000-0000-000003990000}"/>
    <cellStyle name="Uwaga 2 26 50 3" xfId="39158" xr:uid="{00000000-0005-0000-0000-000004990000}"/>
    <cellStyle name="Uwaga 2 26 51" xfId="39159" xr:uid="{00000000-0005-0000-0000-000005990000}"/>
    <cellStyle name="Uwaga 2 26 51 2" xfId="39160" xr:uid="{00000000-0005-0000-0000-000006990000}"/>
    <cellStyle name="Uwaga 2 26 51 3" xfId="39161" xr:uid="{00000000-0005-0000-0000-000007990000}"/>
    <cellStyle name="Uwaga 2 26 52" xfId="39162" xr:uid="{00000000-0005-0000-0000-000008990000}"/>
    <cellStyle name="Uwaga 2 26 52 2" xfId="39163" xr:uid="{00000000-0005-0000-0000-000009990000}"/>
    <cellStyle name="Uwaga 2 26 52 3" xfId="39164" xr:uid="{00000000-0005-0000-0000-00000A990000}"/>
    <cellStyle name="Uwaga 2 26 53" xfId="39165" xr:uid="{00000000-0005-0000-0000-00000B990000}"/>
    <cellStyle name="Uwaga 2 26 53 2" xfId="39166" xr:uid="{00000000-0005-0000-0000-00000C990000}"/>
    <cellStyle name="Uwaga 2 26 53 3" xfId="39167" xr:uid="{00000000-0005-0000-0000-00000D990000}"/>
    <cellStyle name="Uwaga 2 26 54" xfId="39168" xr:uid="{00000000-0005-0000-0000-00000E990000}"/>
    <cellStyle name="Uwaga 2 26 54 2" xfId="39169" xr:uid="{00000000-0005-0000-0000-00000F990000}"/>
    <cellStyle name="Uwaga 2 26 54 3" xfId="39170" xr:uid="{00000000-0005-0000-0000-000010990000}"/>
    <cellStyle name="Uwaga 2 26 55" xfId="39171" xr:uid="{00000000-0005-0000-0000-000011990000}"/>
    <cellStyle name="Uwaga 2 26 55 2" xfId="39172" xr:uid="{00000000-0005-0000-0000-000012990000}"/>
    <cellStyle name="Uwaga 2 26 55 3" xfId="39173" xr:uid="{00000000-0005-0000-0000-000013990000}"/>
    <cellStyle name="Uwaga 2 26 56" xfId="39174" xr:uid="{00000000-0005-0000-0000-000014990000}"/>
    <cellStyle name="Uwaga 2 26 56 2" xfId="39175" xr:uid="{00000000-0005-0000-0000-000015990000}"/>
    <cellStyle name="Uwaga 2 26 56 3" xfId="39176" xr:uid="{00000000-0005-0000-0000-000016990000}"/>
    <cellStyle name="Uwaga 2 26 57" xfId="39177" xr:uid="{00000000-0005-0000-0000-000017990000}"/>
    <cellStyle name="Uwaga 2 26 58" xfId="39178" xr:uid="{00000000-0005-0000-0000-000018990000}"/>
    <cellStyle name="Uwaga 2 26 6" xfId="39179" xr:uid="{00000000-0005-0000-0000-000019990000}"/>
    <cellStyle name="Uwaga 2 26 6 2" xfId="39180" xr:uid="{00000000-0005-0000-0000-00001A990000}"/>
    <cellStyle name="Uwaga 2 26 6 3" xfId="39181" xr:uid="{00000000-0005-0000-0000-00001B990000}"/>
    <cellStyle name="Uwaga 2 26 6 4" xfId="39182" xr:uid="{00000000-0005-0000-0000-00001C990000}"/>
    <cellStyle name="Uwaga 2 26 7" xfId="39183" xr:uid="{00000000-0005-0000-0000-00001D990000}"/>
    <cellStyle name="Uwaga 2 26 7 2" xfId="39184" xr:uid="{00000000-0005-0000-0000-00001E990000}"/>
    <cellStyle name="Uwaga 2 26 7 3" xfId="39185" xr:uid="{00000000-0005-0000-0000-00001F990000}"/>
    <cellStyle name="Uwaga 2 26 7 4" xfId="39186" xr:uid="{00000000-0005-0000-0000-000020990000}"/>
    <cellStyle name="Uwaga 2 26 8" xfId="39187" xr:uid="{00000000-0005-0000-0000-000021990000}"/>
    <cellStyle name="Uwaga 2 26 8 2" xfId="39188" xr:uid="{00000000-0005-0000-0000-000022990000}"/>
    <cellStyle name="Uwaga 2 26 8 3" xfId="39189" xr:uid="{00000000-0005-0000-0000-000023990000}"/>
    <cellStyle name="Uwaga 2 26 8 4" xfId="39190" xr:uid="{00000000-0005-0000-0000-000024990000}"/>
    <cellStyle name="Uwaga 2 26 9" xfId="39191" xr:uid="{00000000-0005-0000-0000-000025990000}"/>
    <cellStyle name="Uwaga 2 26 9 2" xfId="39192" xr:uid="{00000000-0005-0000-0000-000026990000}"/>
    <cellStyle name="Uwaga 2 26 9 3" xfId="39193" xr:uid="{00000000-0005-0000-0000-000027990000}"/>
    <cellStyle name="Uwaga 2 26 9 4" xfId="39194" xr:uid="{00000000-0005-0000-0000-000028990000}"/>
    <cellStyle name="Uwaga 2 27" xfId="39195" xr:uid="{00000000-0005-0000-0000-000029990000}"/>
    <cellStyle name="Uwaga 2 27 10" xfId="39196" xr:uid="{00000000-0005-0000-0000-00002A990000}"/>
    <cellStyle name="Uwaga 2 27 10 2" xfId="39197" xr:uid="{00000000-0005-0000-0000-00002B990000}"/>
    <cellStyle name="Uwaga 2 27 10 3" xfId="39198" xr:uid="{00000000-0005-0000-0000-00002C990000}"/>
    <cellStyle name="Uwaga 2 27 10 4" xfId="39199" xr:uid="{00000000-0005-0000-0000-00002D990000}"/>
    <cellStyle name="Uwaga 2 27 11" xfId="39200" xr:uid="{00000000-0005-0000-0000-00002E990000}"/>
    <cellStyle name="Uwaga 2 27 11 2" xfId="39201" xr:uid="{00000000-0005-0000-0000-00002F990000}"/>
    <cellStyle name="Uwaga 2 27 11 3" xfId="39202" xr:uid="{00000000-0005-0000-0000-000030990000}"/>
    <cellStyle name="Uwaga 2 27 11 4" xfId="39203" xr:uid="{00000000-0005-0000-0000-000031990000}"/>
    <cellStyle name="Uwaga 2 27 12" xfId="39204" xr:uid="{00000000-0005-0000-0000-000032990000}"/>
    <cellStyle name="Uwaga 2 27 12 2" xfId="39205" xr:uid="{00000000-0005-0000-0000-000033990000}"/>
    <cellStyle name="Uwaga 2 27 12 3" xfId="39206" xr:uid="{00000000-0005-0000-0000-000034990000}"/>
    <cellStyle name="Uwaga 2 27 12 4" xfId="39207" xr:uid="{00000000-0005-0000-0000-000035990000}"/>
    <cellStyle name="Uwaga 2 27 13" xfId="39208" xr:uid="{00000000-0005-0000-0000-000036990000}"/>
    <cellStyle name="Uwaga 2 27 13 2" xfId="39209" xr:uid="{00000000-0005-0000-0000-000037990000}"/>
    <cellStyle name="Uwaga 2 27 13 3" xfId="39210" xr:uid="{00000000-0005-0000-0000-000038990000}"/>
    <cellStyle name="Uwaga 2 27 13 4" xfId="39211" xr:uid="{00000000-0005-0000-0000-000039990000}"/>
    <cellStyle name="Uwaga 2 27 14" xfId="39212" xr:uid="{00000000-0005-0000-0000-00003A990000}"/>
    <cellStyle name="Uwaga 2 27 14 2" xfId="39213" xr:uid="{00000000-0005-0000-0000-00003B990000}"/>
    <cellStyle name="Uwaga 2 27 14 3" xfId="39214" xr:uid="{00000000-0005-0000-0000-00003C990000}"/>
    <cellStyle name="Uwaga 2 27 14 4" xfId="39215" xr:uid="{00000000-0005-0000-0000-00003D990000}"/>
    <cellStyle name="Uwaga 2 27 15" xfId="39216" xr:uid="{00000000-0005-0000-0000-00003E990000}"/>
    <cellStyle name="Uwaga 2 27 15 2" xfId="39217" xr:uid="{00000000-0005-0000-0000-00003F990000}"/>
    <cellStyle name="Uwaga 2 27 15 3" xfId="39218" xr:uid="{00000000-0005-0000-0000-000040990000}"/>
    <cellStyle name="Uwaga 2 27 15 4" xfId="39219" xr:uid="{00000000-0005-0000-0000-000041990000}"/>
    <cellStyle name="Uwaga 2 27 16" xfId="39220" xr:uid="{00000000-0005-0000-0000-000042990000}"/>
    <cellStyle name="Uwaga 2 27 16 2" xfId="39221" xr:uid="{00000000-0005-0000-0000-000043990000}"/>
    <cellStyle name="Uwaga 2 27 16 3" xfId="39222" xr:uid="{00000000-0005-0000-0000-000044990000}"/>
    <cellStyle name="Uwaga 2 27 16 4" xfId="39223" xr:uid="{00000000-0005-0000-0000-000045990000}"/>
    <cellStyle name="Uwaga 2 27 17" xfId="39224" xr:uid="{00000000-0005-0000-0000-000046990000}"/>
    <cellStyle name="Uwaga 2 27 17 2" xfId="39225" xr:uid="{00000000-0005-0000-0000-000047990000}"/>
    <cellStyle name="Uwaga 2 27 17 3" xfId="39226" xr:uid="{00000000-0005-0000-0000-000048990000}"/>
    <cellStyle name="Uwaga 2 27 17 4" xfId="39227" xr:uid="{00000000-0005-0000-0000-000049990000}"/>
    <cellStyle name="Uwaga 2 27 18" xfId="39228" xr:uid="{00000000-0005-0000-0000-00004A990000}"/>
    <cellStyle name="Uwaga 2 27 18 2" xfId="39229" xr:uid="{00000000-0005-0000-0000-00004B990000}"/>
    <cellStyle name="Uwaga 2 27 18 3" xfId="39230" xr:uid="{00000000-0005-0000-0000-00004C990000}"/>
    <cellStyle name="Uwaga 2 27 18 4" xfId="39231" xr:uid="{00000000-0005-0000-0000-00004D990000}"/>
    <cellStyle name="Uwaga 2 27 19" xfId="39232" xr:uid="{00000000-0005-0000-0000-00004E990000}"/>
    <cellStyle name="Uwaga 2 27 19 2" xfId="39233" xr:uid="{00000000-0005-0000-0000-00004F990000}"/>
    <cellStyle name="Uwaga 2 27 19 3" xfId="39234" xr:uid="{00000000-0005-0000-0000-000050990000}"/>
    <cellStyle name="Uwaga 2 27 19 4" xfId="39235" xr:uid="{00000000-0005-0000-0000-000051990000}"/>
    <cellStyle name="Uwaga 2 27 2" xfId="39236" xr:uid="{00000000-0005-0000-0000-000052990000}"/>
    <cellStyle name="Uwaga 2 27 2 2" xfId="39237" xr:uid="{00000000-0005-0000-0000-000053990000}"/>
    <cellStyle name="Uwaga 2 27 2 3" xfId="39238" xr:uid="{00000000-0005-0000-0000-000054990000}"/>
    <cellStyle name="Uwaga 2 27 2 4" xfId="39239" xr:uid="{00000000-0005-0000-0000-000055990000}"/>
    <cellStyle name="Uwaga 2 27 20" xfId="39240" xr:uid="{00000000-0005-0000-0000-000056990000}"/>
    <cellStyle name="Uwaga 2 27 20 2" xfId="39241" xr:uid="{00000000-0005-0000-0000-000057990000}"/>
    <cellStyle name="Uwaga 2 27 20 3" xfId="39242" xr:uid="{00000000-0005-0000-0000-000058990000}"/>
    <cellStyle name="Uwaga 2 27 20 4" xfId="39243" xr:uid="{00000000-0005-0000-0000-000059990000}"/>
    <cellStyle name="Uwaga 2 27 21" xfId="39244" xr:uid="{00000000-0005-0000-0000-00005A990000}"/>
    <cellStyle name="Uwaga 2 27 21 2" xfId="39245" xr:uid="{00000000-0005-0000-0000-00005B990000}"/>
    <cellStyle name="Uwaga 2 27 21 3" xfId="39246" xr:uid="{00000000-0005-0000-0000-00005C990000}"/>
    <cellStyle name="Uwaga 2 27 22" xfId="39247" xr:uid="{00000000-0005-0000-0000-00005D990000}"/>
    <cellStyle name="Uwaga 2 27 22 2" xfId="39248" xr:uid="{00000000-0005-0000-0000-00005E990000}"/>
    <cellStyle name="Uwaga 2 27 22 3" xfId="39249" xr:uid="{00000000-0005-0000-0000-00005F990000}"/>
    <cellStyle name="Uwaga 2 27 23" xfId="39250" xr:uid="{00000000-0005-0000-0000-000060990000}"/>
    <cellStyle name="Uwaga 2 27 23 2" xfId="39251" xr:uid="{00000000-0005-0000-0000-000061990000}"/>
    <cellStyle name="Uwaga 2 27 23 3" xfId="39252" xr:uid="{00000000-0005-0000-0000-000062990000}"/>
    <cellStyle name="Uwaga 2 27 24" xfId="39253" xr:uid="{00000000-0005-0000-0000-000063990000}"/>
    <cellStyle name="Uwaga 2 27 24 2" xfId="39254" xr:uid="{00000000-0005-0000-0000-000064990000}"/>
    <cellStyle name="Uwaga 2 27 24 3" xfId="39255" xr:uid="{00000000-0005-0000-0000-000065990000}"/>
    <cellStyle name="Uwaga 2 27 25" xfId="39256" xr:uid="{00000000-0005-0000-0000-000066990000}"/>
    <cellStyle name="Uwaga 2 27 25 2" xfId="39257" xr:uid="{00000000-0005-0000-0000-000067990000}"/>
    <cellStyle name="Uwaga 2 27 25 3" xfId="39258" xr:uid="{00000000-0005-0000-0000-000068990000}"/>
    <cellStyle name="Uwaga 2 27 26" xfId="39259" xr:uid="{00000000-0005-0000-0000-000069990000}"/>
    <cellStyle name="Uwaga 2 27 26 2" xfId="39260" xr:uid="{00000000-0005-0000-0000-00006A990000}"/>
    <cellStyle name="Uwaga 2 27 26 3" xfId="39261" xr:uid="{00000000-0005-0000-0000-00006B990000}"/>
    <cellStyle name="Uwaga 2 27 27" xfId="39262" xr:uid="{00000000-0005-0000-0000-00006C990000}"/>
    <cellStyle name="Uwaga 2 27 27 2" xfId="39263" xr:uid="{00000000-0005-0000-0000-00006D990000}"/>
    <cellStyle name="Uwaga 2 27 27 3" xfId="39264" xr:uid="{00000000-0005-0000-0000-00006E990000}"/>
    <cellStyle name="Uwaga 2 27 28" xfId="39265" xr:uid="{00000000-0005-0000-0000-00006F990000}"/>
    <cellStyle name="Uwaga 2 27 28 2" xfId="39266" xr:uid="{00000000-0005-0000-0000-000070990000}"/>
    <cellStyle name="Uwaga 2 27 28 3" xfId="39267" xr:uid="{00000000-0005-0000-0000-000071990000}"/>
    <cellStyle name="Uwaga 2 27 29" xfId="39268" xr:uid="{00000000-0005-0000-0000-000072990000}"/>
    <cellStyle name="Uwaga 2 27 29 2" xfId="39269" xr:uid="{00000000-0005-0000-0000-000073990000}"/>
    <cellStyle name="Uwaga 2 27 29 3" xfId="39270" xr:uid="{00000000-0005-0000-0000-000074990000}"/>
    <cellStyle name="Uwaga 2 27 3" xfId="39271" xr:uid="{00000000-0005-0000-0000-000075990000}"/>
    <cellStyle name="Uwaga 2 27 3 2" xfId="39272" xr:uid="{00000000-0005-0000-0000-000076990000}"/>
    <cellStyle name="Uwaga 2 27 3 3" xfId="39273" xr:uid="{00000000-0005-0000-0000-000077990000}"/>
    <cellStyle name="Uwaga 2 27 3 4" xfId="39274" xr:uid="{00000000-0005-0000-0000-000078990000}"/>
    <cellStyle name="Uwaga 2 27 30" xfId="39275" xr:uid="{00000000-0005-0000-0000-000079990000}"/>
    <cellStyle name="Uwaga 2 27 30 2" xfId="39276" xr:uid="{00000000-0005-0000-0000-00007A990000}"/>
    <cellStyle name="Uwaga 2 27 30 3" xfId="39277" xr:uid="{00000000-0005-0000-0000-00007B990000}"/>
    <cellStyle name="Uwaga 2 27 31" xfId="39278" xr:uid="{00000000-0005-0000-0000-00007C990000}"/>
    <cellStyle name="Uwaga 2 27 31 2" xfId="39279" xr:uid="{00000000-0005-0000-0000-00007D990000}"/>
    <cellStyle name="Uwaga 2 27 31 3" xfId="39280" xr:uid="{00000000-0005-0000-0000-00007E990000}"/>
    <cellStyle name="Uwaga 2 27 32" xfId="39281" xr:uid="{00000000-0005-0000-0000-00007F990000}"/>
    <cellStyle name="Uwaga 2 27 32 2" xfId="39282" xr:uid="{00000000-0005-0000-0000-000080990000}"/>
    <cellStyle name="Uwaga 2 27 32 3" xfId="39283" xr:uid="{00000000-0005-0000-0000-000081990000}"/>
    <cellStyle name="Uwaga 2 27 33" xfId="39284" xr:uid="{00000000-0005-0000-0000-000082990000}"/>
    <cellStyle name="Uwaga 2 27 33 2" xfId="39285" xr:uid="{00000000-0005-0000-0000-000083990000}"/>
    <cellStyle name="Uwaga 2 27 33 3" xfId="39286" xr:uid="{00000000-0005-0000-0000-000084990000}"/>
    <cellStyle name="Uwaga 2 27 34" xfId="39287" xr:uid="{00000000-0005-0000-0000-000085990000}"/>
    <cellStyle name="Uwaga 2 27 34 2" xfId="39288" xr:uid="{00000000-0005-0000-0000-000086990000}"/>
    <cellStyle name="Uwaga 2 27 34 3" xfId="39289" xr:uid="{00000000-0005-0000-0000-000087990000}"/>
    <cellStyle name="Uwaga 2 27 35" xfId="39290" xr:uid="{00000000-0005-0000-0000-000088990000}"/>
    <cellStyle name="Uwaga 2 27 35 2" xfId="39291" xr:uid="{00000000-0005-0000-0000-000089990000}"/>
    <cellStyle name="Uwaga 2 27 35 3" xfId="39292" xr:uid="{00000000-0005-0000-0000-00008A990000}"/>
    <cellStyle name="Uwaga 2 27 36" xfId="39293" xr:uid="{00000000-0005-0000-0000-00008B990000}"/>
    <cellStyle name="Uwaga 2 27 36 2" xfId="39294" xr:uid="{00000000-0005-0000-0000-00008C990000}"/>
    <cellStyle name="Uwaga 2 27 36 3" xfId="39295" xr:uid="{00000000-0005-0000-0000-00008D990000}"/>
    <cellStyle name="Uwaga 2 27 37" xfId="39296" xr:uid="{00000000-0005-0000-0000-00008E990000}"/>
    <cellStyle name="Uwaga 2 27 37 2" xfId="39297" xr:uid="{00000000-0005-0000-0000-00008F990000}"/>
    <cellStyle name="Uwaga 2 27 37 3" xfId="39298" xr:uid="{00000000-0005-0000-0000-000090990000}"/>
    <cellStyle name="Uwaga 2 27 38" xfId="39299" xr:uid="{00000000-0005-0000-0000-000091990000}"/>
    <cellStyle name="Uwaga 2 27 38 2" xfId="39300" xr:uid="{00000000-0005-0000-0000-000092990000}"/>
    <cellStyle name="Uwaga 2 27 38 3" xfId="39301" xr:uid="{00000000-0005-0000-0000-000093990000}"/>
    <cellStyle name="Uwaga 2 27 39" xfId="39302" xr:uid="{00000000-0005-0000-0000-000094990000}"/>
    <cellStyle name="Uwaga 2 27 39 2" xfId="39303" xr:uid="{00000000-0005-0000-0000-000095990000}"/>
    <cellStyle name="Uwaga 2 27 39 3" xfId="39304" xr:uid="{00000000-0005-0000-0000-000096990000}"/>
    <cellStyle name="Uwaga 2 27 4" xfId="39305" xr:uid="{00000000-0005-0000-0000-000097990000}"/>
    <cellStyle name="Uwaga 2 27 4 2" xfId="39306" xr:uid="{00000000-0005-0000-0000-000098990000}"/>
    <cellStyle name="Uwaga 2 27 4 3" xfId="39307" xr:uid="{00000000-0005-0000-0000-000099990000}"/>
    <cellStyle name="Uwaga 2 27 4 4" xfId="39308" xr:uid="{00000000-0005-0000-0000-00009A990000}"/>
    <cellStyle name="Uwaga 2 27 40" xfId="39309" xr:uid="{00000000-0005-0000-0000-00009B990000}"/>
    <cellStyle name="Uwaga 2 27 40 2" xfId="39310" xr:uid="{00000000-0005-0000-0000-00009C990000}"/>
    <cellStyle name="Uwaga 2 27 40 3" xfId="39311" xr:uid="{00000000-0005-0000-0000-00009D990000}"/>
    <cellStyle name="Uwaga 2 27 41" xfId="39312" xr:uid="{00000000-0005-0000-0000-00009E990000}"/>
    <cellStyle name="Uwaga 2 27 41 2" xfId="39313" xr:uid="{00000000-0005-0000-0000-00009F990000}"/>
    <cellStyle name="Uwaga 2 27 41 3" xfId="39314" xr:uid="{00000000-0005-0000-0000-0000A0990000}"/>
    <cellStyle name="Uwaga 2 27 42" xfId="39315" xr:uid="{00000000-0005-0000-0000-0000A1990000}"/>
    <cellStyle name="Uwaga 2 27 42 2" xfId="39316" xr:uid="{00000000-0005-0000-0000-0000A2990000}"/>
    <cellStyle name="Uwaga 2 27 42 3" xfId="39317" xr:uid="{00000000-0005-0000-0000-0000A3990000}"/>
    <cellStyle name="Uwaga 2 27 43" xfId="39318" xr:uid="{00000000-0005-0000-0000-0000A4990000}"/>
    <cellStyle name="Uwaga 2 27 43 2" xfId="39319" xr:uid="{00000000-0005-0000-0000-0000A5990000}"/>
    <cellStyle name="Uwaga 2 27 43 3" xfId="39320" xr:uid="{00000000-0005-0000-0000-0000A6990000}"/>
    <cellStyle name="Uwaga 2 27 44" xfId="39321" xr:uid="{00000000-0005-0000-0000-0000A7990000}"/>
    <cellStyle name="Uwaga 2 27 44 2" xfId="39322" xr:uid="{00000000-0005-0000-0000-0000A8990000}"/>
    <cellStyle name="Uwaga 2 27 44 3" xfId="39323" xr:uid="{00000000-0005-0000-0000-0000A9990000}"/>
    <cellStyle name="Uwaga 2 27 45" xfId="39324" xr:uid="{00000000-0005-0000-0000-0000AA990000}"/>
    <cellStyle name="Uwaga 2 27 45 2" xfId="39325" xr:uid="{00000000-0005-0000-0000-0000AB990000}"/>
    <cellStyle name="Uwaga 2 27 45 3" xfId="39326" xr:uid="{00000000-0005-0000-0000-0000AC990000}"/>
    <cellStyle name="Uwaga 2 27 46" xfId="39327" xr:uid="{00000000-0005-0000-0000-0000AD990000}"/>
    <cellStyle name="Uwaga 2 27 46 2" xfId="39328" xr:uid="{00000000-0005-0000-0000-0000AE990000}"/>
    <cellStyle name="Uwaga 2 27 46 3" xfId="39329" xr:uid="{00000000-0005-0000-0000-0000AF990000}"/>
    <cellStyle name="Uwaga 2 27 47" xfId="39330" xr:uid="{00000000-0005-0000-0000-0000B0990000}"/>
    <cellStyle name="Uwaga 2 27 47 2" xfId="39331" xr:uid="{00000000-0005-0000-0000-0000B1990000}"/>
    <cellStyle name="Uwaga 2 27 47 3" xfId="39332" xr:uid="{00000000-0005-0000-0000-0000B2990000}"/>
    <cellStyle name="Uwaga 2 27 48" xfId="39333" xr:uid="{00000000-0005-0000-0000-0000B3990000}"/>
    <cellStyle name="Uwaga 2 27 48 2" xfId="39334" xr:uid="{00000000-0005-0000-0000-0000B4990000}"/>
    <cellStyle name="Uwaga 2 27 48 3" xfId="39335" xr:uid="{00000000-0005-0000-0000-0000B5990000}"/>
    <cellStyle name="Uwaga 2 27 49" xfId="39336" xr:uid="{00000000-0005-0000-0000-0000B6990000}"/>
    <cellStyle name="Uwaga 2 27 49 2" xfId="39337" xr:uid="{00000000-0005-0000-0000-0000B7990000}"/>
    <cellStyle name="Uwaga 2 27 49 3" xfId="39338" xr:uid="{00000000-0005-0000-0000-0000B8990000}"/>
    <cellStyle name="Uwaga 2 27 5" xfId="39339" xr:uid="{00000000-0005-0000-0000-0000B9990000}"/>
    <cellStyle name="Uwaga 2 27 5 2" xfId="39340" xr:uid="{00000000-0005-0000-0000-0000BA990000}"/>
    <cellStyle name="Uwaga 2 27 5 3" xfId="39341" xr:uid="{00000000-0005-0000-0000-0000BB990000}"/>
    <cellStyle name="Uwaga 2 27 5 4" xfId="39342" xr:uid="{00000000-0005-0000-0000-0000BC990000}"/>
    <cellStyle name="Uwaga 2 27 50" xfId="39343" xr:uid="{00000000-0005-0000-0000-0000BD990000}"/>
    <cellStyle name="Uwaga 2 27 50 2" xfId="39344" xr:uid="{00000000-0005-0000-0000-0000BE990000}"/>
    <cellStyle name="Uwaga 2 27 50 3" xfId="39345" xr:uid="{00000000-0005-0000-0000-0000BF990000}"/>
    <cellStyle name="Uwaga 2 27 51" xfId="39346" xr:uid="{00000000-0005-0000-0000-0000C0990000}"/>
    <cellStyle name="Uwaga 2 27 51 2" xfId="39347" xr:uid="{00000000-0005-0000-0000-0000C1990000}"/>
    <cellStyle name="Uwaga 2 27 51 3" xfId="39348" xr:uid="{00000000-0005-0000-0000-0000C2990000}"/>
    <cellStyle name="Uwaga 2 27 52" xfId="39349" xr:uid="{00000000-0005-0000-0000-0000C3990000}"/>
    <cellStyle name="Uwaga 2 27 52 2" xfId="39350" xr:uid="{00000000-0005-0000-0000-0000C4990000}"/>
    <cellStyle name="Uwaga 2 27 52 3" xfId="39351" xr:uid="{00000000-0005-0000-0000-0000C5990000}"/>
    <cellStyle name="Uwaga 2 27 53" xfId="39352" xr:uid="{00000000-0005-0000-0000-0000C6990000}"/>
    <cellStyle name="Uwaga 2 27 53 2" xfId="39353" xr:uid="{00000000-0005-0000-0000-0000C7990000}"/>
    <cellStyle name="Uwaga 2 27 53 3" xfId="39354" xr:uid="{00000000-0005-0000-0000-0000C8990000}"/>
    <cellStyle name="Uwaga 2 27 54" xfId="39355" xr:uid="{00000000-0005-0000-0000-0000C9990000}"/>
    <cellStyle name="Uwaga 2 27 54 2" xfId="39356" xr:uid="{00000000-0005-0000-0000-0000CA990000}"/>
    <cellStyle name="Uwaga 2 27 54 3" xfId="39357" xr:uid="{00000000-0005-0000-0000-0000CB990000}"/>
    <cellStyle name="Uwaga 2 27 55" xfId="39358" xr:uid="{00000000-0005-0000-0000-0000CC990000}"/>
    <cellStyle name="Uwaga 2 27 55 2" xfId="39359" xr:uid="{00000000-0005-0000-0000-0000CD990000}"/>
    <cellStyle name="Uwaga 2 27 55 3" xfId="39360" xr:uid="{00000000-0005-0000-0000-0000CE990000}"/>
    <cellStyle name="Uwaga 2 27 56" xfId="39361" xr:uid="{00000000-0005-0000-0000-0000CF990000}"/>
    <cellStyle name="Uwaga 2 27 56 2" xfId="39362" xr:uid="{00000000-0005-0000-0000-0000D0990000}"/>
    <cellStyle name="Uwaga 2 27 56 3" xfId="39363" xr:uid="{00000000-0005-0000-0000-0000D1990000}"/>
    <cellStyle name="Uwaga 2 27 57" xfId="39364" xr:uid="{00000000-0005-0000-0000-0000D2990000}"/>
    <cellStyle name="Uwaga 2 27 58" xfId="39365" xr:uid="{00000000-0005-0000-0000-0000D3990000}"/>
    <cellStyle name="Uwaga 2 27 6" xfId="39366" xr:uid="{00000000-0005-0000-0000-0000D4990000}"/>
    <cellStyle name="Uwaga 2 27 6 2" xfId="39367" xr:uid="{00000000-0005-0000-0000-0000D5990000}"/>
    <cellStyle name="Uwaga 2 27 6 3" xfId="39368" xr:uid="{00000000-0005-0000-0000-0000D6990000}"/>
    <cellStyle name="Uwaga 2 27 6 4" xfId="39369" xr:uid="{00000000-0005-0000-0000-0000D7990000}"/>
    <cellStyle name="Uwaga 2 27 7" xfId="39370" xr:uid="{00000000-0005-0000-0000-0000D8990000}"/>
    <cellStyle name="Uwaga 2 27 7 2" xfId="39371" xr:uid="{00000000-0005-0000-0000-0000D9990000}"/>
    <cellStyle name="Uwaga 2 27 7 3" xfId="39372" xr:uid="{00000000-0005-0000-0000-0000DA990000}"/>
    <cellStyle name="Uwaga 2 27 7 4" xfId="39373" xr:uid="{00000000-0005-0000-0000-0000DB990000}"/>
    <cellStyle name="Uwaga 2 27 8" xfId="39374" xr:uid="{00000000-0005-0000-0000-0000DC990000}"/>
    <cellStyle name="Uwaga 2 27 8 2" xfId="39375" xr:uid="{00000000-0005-0000-0000-0000DD990000}"/>
    <cellStyle name="Uwaga 2 27 8 3" xfId="39376" xr:uid="{00000000-0005-0000-0000-0000DE990000}"/>
    <cellStyle name="Uwaga 2 27 8 4" xfId="39377" xr:uid="{00000000-0005-0000-0000-0000DF990000}"/>
    <cellStyle name="Uwaga 2 27 9" xfId="39378" xr:uid="{00000000-0005-0000-0000-0000E0990000}"/>
    <cellStyle name="Uwaga 2 27 9 2" xfId="39379" xr:uid="{00000000-0005-0000-0000-0000E1990000}"/>
    <cellStyle name="Uwaga 2 27 9 3" xfId="39380" xr:uid="{00000000-0005-0000-0000-0000E2990000}"/>
    <cellStyle name="Uwaga 2 27 9 4" xfId="39381" xr:uid="{00000000-0005-0000-0000-0000E3990000}"/>
    <cellStyle name="Uwaga 2 28" xfId="39382" xr:uid="{00000000-0005-0000-0000-0000E4990000}"/>
    <cellStyle name="Uwaga 2 28 10" xfId="39383" xr:uid="{00000000-0005-0000-0000-0000E5990000}"/>
    <cellStyle name="Uwaga 2 28 10 2" xfId="39384" xr:uid="{00000000-0005-0000-0000-0000E6990000}"/>
    <cellStyle name="Uwaga 2 28 10 3" xfId="39385" xr:uid="{00000000-0005-0000-0000-0000E7990000}"/>
    <cellStyle name="Uwaga 2 28 10 4" xfId="39386" xr:uid="{00000000-0005-0000-0000-0000E8990000}"/>
    <cellStyle name="Uwaga 2 28 11" xfId="39387" xr:uid="{00000000-0005-0000-0000-0000E9990000}"/>
    <cellStyle name="Uwaga 2 28 11 2" xfId="39388" xr:uid="{00000000-0005-0000-0000-0000EA990000}"/>
    <cellStyle name="Uwaga 2 28 11 3" xfId="39389" xr:uid="{00000000-0005-0000-0000-0000EB990000}"/>
    <cellStyle name="Uwaga 2 28 11 4" xfId="39390" xr:uid="{00000000-0005-0000-0000-0000EC990000}"/>
    <cellStyle name="Uwaga 2 28 12" xfId="39391" xr:uid="{00000000-0005-0000-0000-0000ED990000}"/>
    <cellStyle name="Uwaga 2 28 12 2" xfId="39392" xr:uid="{00000000-0005-0000-0000-0000EE990000}"/>
    <cellStyle name="Uwaga 2 28 12 3" xfId="39393" xr:uid="{00000000-0005-0000-0000-0000EF990000}"/>
    <cellStyle name="Uwaga 2 28 12 4" xfId="39394" xr:uid="{00000000-0005-0000-0000-0000F0990000}"/>
    <cellStyle name="Uwaga 2 28 13" xfId="39395" xr:uid="{00000000-0005-0000-0000-0000F1990000}"/>
    <cellStyle name="Uwaga 2 28 13 2" xfId="39396" xr:uid="{00000000-0005-0000-0000-0000F2990000}"/>
    <cellStyle name="Uwaga 2 28 13 3" xfId="39397" xr:uid="{00000000-0005-0000-0000-0000F3990000}"/>
    <cellStyle name="Uwaga 2 28 13 4" xfId="39398" xr:uid="{00000000-0005-0000-0000-0000F4990000}"/>
    <cellStyle name="Uwaga 2 28 14" xfId="39399" xr:uid="{00000000-0005-0000-0000-0000F5990000}"/>
    <cellStyle name="Uwaga 2 28 14 2" xfId="39400" xr:uid="{00000000-0005-0000-0000-0000F6990000}"/>
    <cellStyle name="Uwaga 2 28 14 3" xfId="39401" xr:uid="{00000000-0005-0000-0000-0000F7990000}"/>
    <cellStyle name="Uwaga 2 28 14 4" xfId="39402" xr:uid="{00000000-0005-0000-0000-0000F8990000}"/>
    <cellStyle name="Uwaga 2 28 15" xfId="39403" xr:uid="{00000000-0005-0000-0000-0000F9990000}"/>
    <cellStyle name="Uwaga 2 28 15 2" xfId="39404" xr:uid="{00000000-0005-0000-0000-0000FA990000}"/>
    <cellStyle name="Uwaga 2 28 15 3" xfId="39405" xr:uid="{00000000-0005-0000-0000-0000FB990000}"/>
    <cellStyle name="Uwaga 2 28 15 4" xfId="39406" xr:uid="{00000000-0005-0000-0000-0000FC990000}"/>
    <cellStyle name="Uwaga 2 28 16" xfId="39407" xr:uid="{00000000-0005-0000-0000-0000FD990000}"/>
    <cellStyle name="Uwaga 2 28 16 2" xfId="39408" xr:uid="{00000000-0005-0000-0000-0000FE990000}"/>
    <cellStyle name="Uwaga 2 28 16 3" xfId="39409" xr:uid="{00000000-0005-0000-0000-0000FF990000}"/>
    <cellStyle name="Uwaga 2 28 16 4" xfId="39410" xr:uid="{00000000-0005-0000-0000-0000009A0000}"/>
    <cellStyle name="Uwaga 2 28 17" xfId="39411" xr:uid="{00000000-0005-0000-0000-0000019A0000}"/>
    <cellStyle name="Uwaga 2 28 17 2" xfId="39412" xr:uid="{00000000-0005-0000-0000-0000029A0000}"/>
    <cellStyle name="Uwaga 2 28 17 3" xfId="39413" xr:uid="{00000000-0005-0000-0000-0000039A0000}"/>
    <cellStyle name="Uwaga 2 28 17 4" xfId="39414" xr:uid="{00000000-0005-0000-0000-0000049A0000}"/>
    <cellStyle name="Uwaga 2 28 18" xfId="39415" xr:uid="{00000000-0005-0000-0000-0000059A0000}"/>
    <cellStyle name="Uwaga 2 28 18 2" xfId="39416" xr:uid="{00000000-0005-0000-0000-0000069A0000}"/>
    <cellStyle name="Uwaga 2 28 18 3" xfId="39417" xr:uid="{00000000-0005-0000-0000-0000079A0000}"/>
    <cellStyle name="Uwaga 2 28 18 4" xfId="39418" xr:uid="{00000000-0005-0000-0000-0000089A0000}"/>
    <cellStyle name="Uwaga 2 28 19" xfId="39419" xr:uid="{00000000-0005-0000-0000-0000099A0000}"/>
    <cellStyle name="Uwaga 2 28 19 2" xfId="39420" xr:uid="{00000000-0005-0000-0000-00000A9A0000}"/>
    <cellStyle name="Uwaga 2 28 19 3" xfId="39421" xr:uid="{00000000-0005-0000-0000-00000B9A0000}"/>
    <cellStyle name="Uwaga 2 28 19 4" xfId="39422" xr:uid="{00000000-0005-0000-0000-00000C9A0000}"/>
    <cellStyle name="Uwaga 2 28 2" xfId="39423" xr:uid="{00000000-0005-0000-0000-00000D9A0000}"/>
    <cellStyle name="Uwaga 2 28 2 2" xfId="39424" xr:uid="{00000000-0005-0000-0000-00000E9A0000}"/>
    <cellStyle name="Uwaga 2 28 2 3" xfId="39425" xr:uid="{00000000-0005-0000-0000-00000F9A0000}"/>
    <cellStyle name="Uwaga 2 28 2 4" xfId="39426" xr:uid="{00000000-0005-0000-0000-0000109A0000}"/>
    <cellStyle name="Uwaga 2 28 20" xfId="39427" xr:uid="{00000000-0005-0000-0000-0000119A0000}"/>
    <cellStyle name="Uwaga 2 28 20 2" xfId="39428" xr:uid="{00000000-0005-0000-0000-0000129A0000}"/>
    <cellStyle name="Uwaga 2 28 20 3" xfId="39429" xr:uid="{00000000-0005-0000-0000-0000139A0000}"/>
    <cellStyle name="Uwaga 2 28 20 4" xfId="39430" xr:uid="{00000000-0005-0000-0000-0000149A0000}"/>
    <cellStyle name="Uwaga 2 28 21" xfId="39431" xr:uid="{00000000-0005-0000-0000-0000159A0000}"/>
    <cellStyle name="Uwaga 2 28 21 2" xfId="39432" xr:uid="{00000000-0005-0000-0000-0000169A0000}"/>
    <cellStyle name="Uwaga 2 28 21 3" xfId="39433" xr:uid="{00000000-0005-0000-0000-0000179A0000}"/>
    <cellStyle name="Uwaga 2 28 22" xfId="39434" xr:uid="{00000000-0005-0000-0000-0000189A0000}"/>
    <cellStyle name="Uwaga 2 28 22 2" xfId="39435" xr:uid="{00000000-0005-0000-0000-0000199A0000}"/>
    <cellStyle name="Uwaga 2 28 22 3" xfId="39436" xr:uid="{00000000-0005-0000-0000-00001A9A0000}"/>
    <cellStyle name="Uwaga 2 28 23" xfId="39437" xr:uid="{00000000-0005-0000-0000-00001B9A0000}"/>
    <cellStyle name="Uwaga 2 28 23 2" xfId="39438" xr:uid="{00000000-0005-0000-0000-00001C9A0000}"/>
    <cellStyle name="Uwaga 2 28 23 3" xfId="39439" xr:uid="{00000000-0005-0000-0000-00001D9A0000}"/>
    <cellStyle name="Uwaga 2 28 24" xfId="39440" xr:uid="{00000000-0005-0000-0000-00001E9A0000}"/>
    <cellStyle name="Uwaga 2 28 24 2" xfId="39441" xr:uid="{00000000-0005-0000-0000-00001F9A0000}"/>
    <cellStyle name="Uwaga 2 28 24 3" xfId="39442" xr:uid="{00000000-0005-0000-0000-0000209A0000}"/>
    <cellStyle name="Uwaga 2 28 25" xfId="39443" xr:uid="{00000000-0005-0000-0000-0000219A0000}"/>
    <cellStyle name="Uwaga 2 28 25 2" xfId="39444" xr:uid="{00000000-0005-0000-0000-0000229A0000}"/>
    <cellStyle name="Uwaga 2 28 25 3" xfId="39445" xr:uid="{00000000-0005-0000-0000-0000239A0000}"/>
    <cellStyle name="Uwaga 2 28 26" xfId="39446" xr:uid="{00000000-0005-0000-0000-0000249A0000}"/>
    <cellStyle name="Uwaga 2 28 26 2" xfId="39447" xr:uid="{00000000-0005-0000-0000-0000259A0000}"/>
    <cellStyle name="Uwaga 2 28 26 3" xfId="39448" xr:uid="{00000000-0005-0000-0000-0000269A0000}"/>
    <cellStyle name="Uwaga 2 28 27" xfId="39449" xr:uid="{00000000-0005-0000-0000-0000279A0000}"/>
    <cellStyle name="Uwaga 2 28 27 2" xfId="39450" xr:uid="{00000000-0005-0000-0000-0000289A0000}"/>
    <cellStyle name="Uwaga 2 28 27 3" xfId="39451" xr:uid="{00000000-0005-0000-0000-0000299A0000}"/>
    <cellStyle name="Uwaga 2 28 28" xfId="39452" xr:uid="{00000000-0005-0000-0000-00002A9A0000}"/>
    <cellStyle name="Uwaga 2 28 28 2" xfId="39453" xr:uid="{00000000-0005-0000-0000-00002B9A0000}"/>
    <cellStyle name="Uwaga 2 28 28 3" xfId="39454" xr:uid="{00000000-0005-0000-0000-00002C9A0000}"/>
    <cellStyle name="Uwaga 2 28 29" xfId="39455" xr:uid="{00000000-0005-0000-0000-00002D9A0000}"/>
    <cellStyle name="Uwaga 2 28 29 2" xfId="39456" xr:uid="{00000000-0005-0000-0000-00002E9A0000}"/>
    <cellStyle name="Uwaga 2 28 29 3" xfId="39457" xr:uid="{00000000-0005-0000-0000-00002F9A0000}"/>
    <cellStyle name="Uwaga 2 28 3" xfId="39458" xr:uid="{00000000-0005-0000-0000-0000309A0000}"/>
    <cellStyle name="Uwaga 2 28 3 2" xfId="39459" xr:uid="{00000000-0005-0000-0000-0000319A0000}"/>
    <cellStyle name="Uwaga 2 28 3 3" xfId="39460" xr:uid="{00000000-0005-0000-0000-0000329A0000}"/>
    <cellStyle name="Uwaga 2 28 3 4" xfId="39461" xr:uid="{00000000-0005-0000-0000-0000339A0000}"/>
    <cellStyle name="Uwaga 2 28 30" xfId="39462" xr:uid="{00000000-0005-0000-0000-0000349A0000}"/>
    <cellStyle name="Uwaga 2 28 30 2" xfId="39463" xr:uid="{00000000-0005-0000-0000-0000359A0000}"/>
    <cellStyle name="Uwaga 2 28 30 3" xfId="39464" xr:uid="{00000000-0005-0000-0000-0000369A0000}"/>
    <cellStyle name="Uwaga 2 28 31" xfId="39465" xr:uid="{00000000-0005-0000-0000-0000379A0000}"/>
    <cellStyle name="Uwaga 2 28 31 2" xfId="39466" xr:uid="{00000000-0005-0000-0000-0000389A0000}"/>
    <cellStyle name="Uwaga 2 28 31 3" xfId="39467" xr:uid="{00000000-0005-0000-0000-0000399A0000}"/>
    <cellStyle name="Uwaga 2 28 32" xfId="39468" xr:uid="{00000000-0005-0000-0000-00003A9A0000}"/>
    <cellStyle name="Uwaga 2 28 32 2" xfId="39469" xr:uid="{00000000-0005-0000-0000-00003B9A0000}"/>
    <cellStyle name="Uwaga 2 28 32 3" xfId="39470" xr:uid="{00000000-0005-0000-0000-00003C9A0000}"/>
    <cellStyle name="Uwaga 2 28 33" xfId="39471" xr:uid="{00000000-0005-0000-0000-00003D9A0000}"/>
    <cellStyle name="Uwaga 2 28 33 2" xfId="39472" xr:uid="{00000000-0005-0000-0000-00003E9A0000}"/>
    <cellStyle name="Uwaga 2 28 33 3" xfId="39473" xr:uid="{00000000-0005-0000-0000-00003F9A0000}"/>
    <cellStyle name="Uwaga 2 28 34" xfId="39474" xr:uid="{00000000-0005-0000-0000-0000409A0000}"/>
    <cellStyle name="Uwaga 2 28 34 2" xfId="39475" xr:uid="{00000000-0005-0000-0000-0000419A0000}"/>
    <cellStyle name="Uwaga 2 28 34 3" xfId="39476" xr:uid="{00000000-0005-0000-0000-0000429A0000}"/>
    <cellStyle name="Uwaga 2 28 35" xfId="39477" xr:uid="{00000000-0005-0000-0000-0000439A0000}"/>
    <cellStyle name="Uwaga 2 28 35 2" xfId="39478" xr:uid="{00000000-0005-0000-0000-0000449A0000}"/>
    <cellStyle name="Uwaga 2 28 35 3" xfId="39479" xr:uid="{00000000-0005-0000-0000-0000459A0000}"/>
    <cellStyle name="Uwaga 2 28 36" xfId="39480" xr:uid="{00000000-0005-0000-0000-0000469A0000}"/>
    <cellStyle name="Uwaga 2 28 36 2" xfId="39481" xr:uid="{00000000-0005-0000-0000-0000479A0000}"/>
    <cellStyle name="Uwaga 2 28 36 3" xfId="39482" xr:uid="{00000000-0005-0000-0000-0000489A0000}"/>
    <cellStyle name="Uwaga 2 28 37" xfId="39483" xr:uid="{00000000-0005-0000-0000-0000499A0000}"/>
    <cellStyle name="Uwaga 2 28 37 2" xfId="39484" xr:uid="{00000000-0005-0000-0000-00004A9A0000}"/>
    <cellStyle name="Uwaga 2 28 37 3" xfId="39485" xr:uid="{00000000-0005-0000-0000-00004B9A0000}"/>
    <cellStyle name="Uwaga 2 28 38" xfId="39486" xr:uid="{00000000-0005-0000-0000-00004C9A0000}"/>
    <cellStyle name="Uwaga 2 28 38 2" xfId="39487" xr:uid="{00000000-0005-0000-0000-00004D9A0000}"/>
    <cellStyle name="Uwaga 2 28 38 3" xfId="39488" xr:uid="{00000000-0005-0000-0000-00004E9A0000}"/>
    <cellStyle name="Uwaga 2 28 39" xfId="39489" xr:uid="{00000000-0005-0000-0000-00004F9A0000}"/>
    <cellStyle name="Uwaga 2 28 39 2" xfId="39490" xr:uid="{00000000-0005-0000-0000-0000509A0000}"/>
    <cellStyle name="Uwaga 2 28 39 3" xfId="39491" xr:uid="{00000000-0005-0000-0000-0000519A0000}"/>
    <cellStyle name="Uwaga 2 28 4" xfId="39492" xr:uid="{00000000-0005-0000-0000-0000529A0000}"/>
    <cellStyle name="Uwaga 2 28 4 2" xfId="39493" xr:uid="{00000000-0005-0000-0000-0000539A0000}"/>
    <cellStyle name="Uwaga 2 28 4 3" xfId="39494" xr:uid="{00000000-0005-0000-0000-0000549A0000}"/>
    <cellStyle name="Uwaga 2 28 4 4" xfId="39495" xr:uid="{00000000-0005-0000-0000-0000559A0000}"/>
    <cellStyle name="Uwaga 2 28 40" xfId="39496" xr:uid="{00000000-0005-0000-0000-0000569A0000}"/>
    <cellStyle name="Uwaga 2 28 40 2" xfId="39497" xr:uid="{00000000-0005-0000-0000-0000579A0000}"/>
    <cellStyle name="Uwaga 2 28 40 3" xfId="39498" xr:uid="{00000000-0005-0000-0000-0000589A0000}"/>
    <cellStyle name="Uwaga 2 28 41" xfId="39499" xr:uid="{00000000-0005-0000-0000-0000599A0000}"/>
    <cellStyle name="Uwaga 2 28 41 2" xfId="39500" xr:uid="{00000000-0005-0000-0000-00005A9A0000}"/>
    <cellStyle name="Uwaga 2 28 41 3" xfId="39501" xr:uid="{00000000-0005-0000-0000-00005B9A0000}"/>
    <cellStyle name="Uwaga 2 28 42" xfId="39502" xr:uid="{00000000-0005-0000-0000-00005C9A0000}"/>
    <cellStyle name="Uwaga 2 28 42 2" xfId="39503" xr:uid="{00000000-0005-0000-0000-00005D9A0000}"/>
    <cellStyle name="Uwaga 2 28 42 3" xfId="39504" xr:uid="{00000000-0005-0000-0000-00005E9A0000}"/>
    <cellStyle name="Uwaga 2 28 43" xfId="39505" xr:uid="{00000000-0005-0000-0000-00005F9A0000}"/>
    <cellStyle name="Uwaga 2 28 43 2" xfId="39506" xr:uid="{00000000-0005-0000-0000-0000609A0000}"/>
    <cellStyle name="Uwaga 2 28 43 3" xfId="39507" xr:uid="{00000000-0005-0000-0000-0000619A0000}"/>
    <cellStyle name="Uwaga 2 28 44" xfId="39508" xr:uid="{00000000-0005-0000-0000-0000629A0000}"/>
    <cellStyle name="Uwaga 2 28 44 2" xfId="39509" xr:uid="{00000000-0005-0000-0000-0000639A0000}"/>
    <cellStyle name="Uwaga 2 28 44 3" xfId="39510" xr:uid="{00000000-0005-0000-0000-0000649A0000}"/>
    <cellStyle name="Uwaga 2 28 45" xfId="39511" xr:uid="{00000000-0005-0000-0000-0000659A0000}"/>
    <cellStyle name="Uwaga 2 28 45 2" xfId="39512" xr:uid="{00000000-0005-0000-0000-0000669A0000}"/>
    <cellStyle name="Uwaga 2 28 45 3" xfId="39513" xr:uid="{00000000-0005-0000-0000-0000679A0000}"/>
    <cellStyle name="Uwaga 2 28 46" xfId="39514" xr:uid="{00000000-0005-0000-0000-0000689A0000}"/>
    <cellStyle name="Uwaga 2 28 46 2" xfId="39515" xr:uid="{00000000-0005-0000-0000-0000699A0000}"/>
    <cellStyle name="Uwaga 2 28 46 3" xfId="39516" xr:uid="{00000000-0005-0000-0000-00006A9A0000}"/>
    <cellStyle name="Uwaga 2 28 47" xfId="39517" xr:uid="{00000000-0005-0000-0000-00006B9A0000}"/>
    <cellStyle name="Uwaga 2 28 47 2" xfId="39518" xr:uid="{00000000-0005-0000-0000-00006C9A0000}"/>
    <cellStyle name="Uwaga 2 28 47 3" xfId="39519" xr:uid="{00000000-0005-0000-0000-00006D9A0000}"/>
    <cellStyle name="Uwaga 2 28 48" xfId="39520" xr:uid="{00000000-0005-0000-0000-00006E9A0000}"/>
    <cellStyle name="Uwaga 2 28 48 2" xfId="39521" xr:uid="{00000000-0005-0000-0000-00006F9A0000}"/>
    <cellStyle name="Uwaga 2 28 48 3" xfId="39522" xr:uid="{00000000-0005-0000-0000-0000709A0000}"/>
    <cellStyle name="Uwaga 2 28 49" xfId="39523" xr:uid="{00000000-0005-0000-0000-0000719A0000}"/>
    <cellStyle name="Uwaga 2 28 49 2" xfId="39524" xr:uid="{00000000-0005-0000-0000-0000729A0000}"/>
    <cellStyle name="Uwaga 2 28 49 3" xfId="39525" xr:uid="{00000000-0005-0000-0000-0000739A0000}"/>
    <cellStyle name="Uwaga 2 28 5" xfId="39526" xr:uid="{00000000-0005-0000-0000-0000749A0000}"/>
    <cellStyle name="Uwaga 2 28 5 2" xfId="39527" xr:uid="{00000000-0005-0000-0000-0000759A0000}"/>
    <cellStyle name="Uwaga 2 28 5 3" xfId="39528" xr:uid="{00000000-0005-0000-0000-0000769A0000}"/>
    <cellStyle name="Uwaga 2 28 5 4" xfId="39529" xr:uid="{00000000-0005-0000-0000-0000779A0000}"/>
    <cellStyle name="Uwaga 2 28 50" xfId="39530" xr:uid="{00000000-0005-0000-0000-0000789A0000}"/>
    <cellStyle name="Uwaga 2 28 50 2" xfId="39531" xr:uid="{00000000-0005-0000-0000-0000799A0000}"/>
    <cellStyle name="Uwaga 2 28 50 3" xfId="39532" xr:uid="{00000000-0005-0000-0000-00007A9A0000}"/>
    <cellStyle name="Uwaga 2 28 51" xfId="39533" xr:uid="{00000000-0005-0000-0000-00007B9A0000}"/>
    <cellStyle name="Uwaga 2 28 51 2" xfId="39534" xr:uid="{00000000-0005-0000-0000-00007C9A0000}"/>
    <cellStyle name="Uwaga 2 28 51 3" xfId="39535" xr:uid="{00000000-0005-0000-0000-00007D9A0000}"/>
    <cellStyle name="Uwaga 2 28 52" xfId="39536" xr:uid="{00000000-0005-0000-0000-00007E9A0000}"/>
    <cellStyle name="Uwaga 2 28 52 2" xfId="39537" xr:uid="{00000000-0005-0000-0000-00007F9A0000}"/>
    <cellStyle name="Uwaga 2 28 52 3" xfId="39538" xr:uid="{00000000-0005-0000-0000-0000809A0000}"/>
    <cellStyle name="Uwaga 2 28 53" xfId="39539" xr:uid="{00000000-0005-0000-0000-0000819A0000}"/>
    <cellStyle name="Uwaga 2 28 53 2" xfId="39540" xr:uid="{00000000-0005-0000-0000-0000829A0000}"/>
    <cellStyle name="Uwaga 2 28 53 3" xfId="39541" xr:uid="{00000000-0005-0000-0000-0000839A0000}"/>
    <cellStyle name="Uwaga 2 28 54" xfId="39542" xr:uid="{00000000-0005-0000-0000-0000849A0000}"/>
    <cellStyle name="Uwaga 2 28 54 2" xfId="39543" xr:uid="{00000000-0005-0000-0000-0000859A0000}"/>
    <cellStyle name="Uwaga 2 28 54 3" xfId="39544" xr:uid="{00000000-0005-0000-0000-0000869A0000}"/>
    <cellStyle name="Uwaga 2 28 55" xfId="39545" xr:uid="{00000000-0005-0000-0000-0000879A0000}"/>
    <cellStyle name="Uwaga 2 28 55 2" xfId="39546" xr:uid="{00000000-0005-0000-0000-0000889A0000}"/>
    <cellStyle name="Uwaga 2 28 55 3" xfId="39547" xr:uid="{00000000-0005-0000-0000-0000899A0000}"/>
    <cellStyle name="Uwaga 2 28 56" xfId="39548" xr:uid="{00000000-0005-0000-0000-00008A9A0000}"/>
    <cellStyle name="Uwaga 2 28 56 2" xfId="39549" xr:uid="{00000000-0005-0000-0000-00008B9A0000}"/>
    <cellStyle name="Uwaga 2 28 56 3" xfId="39550" xr:uid="{00000000-0005-0000-0000-00008C9A0000}"/>
    <cellStyle name="Uwaga 2 28 57" xfId="39551" xr:uid="{00000000-0005-0000-0000-00008D9A0000}"/>
    <cellStyle name="Uwaga 2 28 58" xfId="39552" xr:uid="{00000000-0005-0000-0000-00008E9A0000}"/>
    <cellStyle name="Uwaga 2 28 6" xfId="39553" xr:uid="{00000000-0005-0000-0000-00008F9A0000}"/>
    <cellStyle name="Uwaga 2 28 6 2" xfId="39554" xr:uid="{00000000-0005-0000-0000-0000909A0000}"/>
    <cellStyle name="Uwaga 2 28 6 3" xfId="39555" xr:uid="{00000000-0005-0000-0000-0000919A0000}"/>
    <cellStyle name="Uwaga 2 28 6 4" xfId="39556" xr:uid="{00000000-0005-0000-0000-0000929A0000}"/>
    <cellStyle name="Uwaga 2 28 7" xfId="39557" xr:uid="{00000000-0005-0000-0000-0000939A0000}"/>
    <cellStyle name="Uwaga 2 28 7 2" xfId="39558" xr:uid="{00000000-0005-0000-0000-0000949A0000}"/>
    <cellStyle name="Uwaga 2 28 7 3" xfId="39559" xr:uid="{00000000-0005-0000-0000-0000959A0000}"/>
    <cellStyle name="Uwaga 2 28 7 4" xfId="39560" xr:uid="{00000000-0005-0000-0000-0000969A0000}"/>
    <cellStyle name="Uwaga 2 28 8" xfId="39561" xr:uid="{00000000-0005-0000-0000-0000979A0000}"/>
    <cellStyle name="Uwaga 2 28 8 2" xfId="39562" xr:uid="{00000000-0005-0000-0000-0000989A0000}"/>
    <cellStyle name="Uwaga 2 28 8 3" xfId="39563" xr:uid="{00000000-0005-0000-0000-0000999A0000}"/>
    <cellStyle name="Uwaga 2 28 8 4" xfId="39564" xr:uid="{00000000-0005-0000-0000-00009A9A0000}"/>
    <cellStyle name="Uwaga 2 28 9" xfId="39565" xr:uid="{00000000-0005-0000-0000-00009B9A0000}"/>
    <cellStyle name="Uwaga 2 28 9 2" xfId="39566" xr:uid="{00000000-0005-0000-0000-00009C9A0000}"/>
    <cellStyle name="Uwaga 2 28 9 3" xfId="39567" xr:uid="{00000000-0005-0000-0000-00009D9A0000}"/>
    <cellStyle name="Uwaga 2 28 9 4" xfId="39568" xr:uid="{00000000-0005-0000-0000-00009E9A0000}"/>
    <cellStyle name="Uwaga 2 29" xfId="39569" xr:uid="{00000000-0005-0000-0000-00009F9A0000}"/>
    <cellStyle name="Uwaga 2 29 2" xfId="39570" xr:uid="{00000000-0005-0000-0000-0000A09A0000}"/>
    <cellStyle name="Uwaga 2 3" xfId="39571" xr:uid="{00000000-0005-0000-0000-0000A19A0000}"/>
    <cellStyle name="Uwaga 2 3 10" xfId="39572" xr:uid="{00000000-0005-0000-0000-0000A29A0000}"/>
    <cellStyle name="Uwaga 2 3 10 2" xfId="39573" xr:uid="{00000000-0005-0000-0000-0000A39A0000}"/>
    <cellStyle name="Uwaga 2 3 10 3" xfId="39574" xr:uid="{00000000-0005-0000-0000-0000A49A0000}"/>
    <cellStyle name="Uwaga 2 3 10 4" xfId="39575" xr:uid="{00000000-0005-0000-0000-0000A59A0000}"/>
    <cellStyle name="Uwaga 2 3 11" xfId="39576" xr:uid="{00000000-0005-0000-0000-0000A69A0000}"/>
    <cellStyle name="Uwaga 2 3 11 2" xfId="39577" xr:uid="{00000000-0005-0000-0000-0000A79A0000}"/>
    <cellStyle name="Uwaga 2 3 11 3" xfId="39578" xr:uid="{00000000-0005-0000-0000-0000A89A0000}"/>
    <cellStyle name="Uwaga 2 3 11 4" xfId="39579" xr:uid="{00000000-0005-0000-0000-0000A99A0000}"/>
    <cellStyle name="Uwaga 2 3 12" xfId="39580" xr:uid="{00000000-0005-0000-0000-0000AA9A0000}"/>
    <cellStyle name="Uwaga 2 3 12 2" xfId="39581" xr:uid="{00000000-0005-0000-0000-0000AB9A0000}"/>
    <cellStyle name="Uwaga 2 3 12 3" xfId="39582" xr:uid="{00000000-0005-0000-0000-0000AC9A0000}"/>
    <cellStyle name="Uwaga 2 3 12 4" xfId="39583" xr:uid="{00000000-0005-0000-0000-0000AD9A0000}"/>
    <cellStyle name="Uwaga 2 3 13" xfId="39584" xr:uid="{00000000-0005-0000-0000-0000AE9A0000}"/>
    <cellStyle name="Uwaga 2 3 13 2" xfId="39585" xr:uid="{00000000-0005-0000-0000-0000AF9A0000}"/>
    <cellStyle name="Uwaga 2 3 13 3" xfId="39586" xr:uid="{00000000-0005-0000-0000-0000B09A0000}"/>
    <cellStyle name="Uwaga 2 3 13 4" xfId="39587" xr:uid="{00000000-0005-0000-0000-0000B19A0000}"/>
    <cellStyle name="Uwaga 2 3 14" xfId="39588" xr:uid="{00000000-0005-0000-0000-0000B29A0000}"/>
    <cellStyle name="Uwaga 2 3 14 2" xfId="39589" xr:uid="{00000000-0005-0000-0000-0000B39A0000}"/>
    <cellStyle name="Uwaga 2 3 14 3" xfId="39590" xr:uid="{00000000-0005-0000-0000-0000B49A0000}"/>
    <cellStyle name="Uwaga 2 3 14 4" xfId="39591" xr:uid="{00000000-0005-0000-0000-0000B59A0000}"/>
    <cellStyle name="Uwaga 2 3 15" xfId="39592" xr:uid="{00000000-0005-0000-0000-0000B69A0000}"/>
    <cellStyle name="Uwaga 2 3 15 2" xfId="39593" xr:uid="{00000000-0005-0000-0000-0000B79A0000}"/>
    <cellStyle name="Uwaga 2 3 15 3" xfId="39594" xr:uid="{00000000-0005-0000-0000-0000B89A0000}"/>
    <cellStyle name="Uwaga 2 3 15 4" xfId="39595" xr:uid="{00000000-0005-0000-0000-0000B99A0000}"/>
    <cellStyle name="Uwaga 2 3 16" xfId="39596" xr:uid="{00000000-0005-0000-0000-0000BA9A0000}"/>
    <cellStyle name="Uwaga 2 3 16 2" xfId="39597" xr:uid="{00000000-0005-0000-0000-0000BB9A0000}"/>
    <cellStyle name="Uwaga 2 3 16 3" xfId="39598" xr:uid="{00000000-0005-0000-0000-0000BC9A0000}"/>
    <cellStyle name="Uwaga 2 3 16 4" xfId="39599" xr:uid="{00000000-0005-0000-0000-0000BD9A0000}"/>
    <cellStyle name="Uwaga 2 3 17" xfId="39600" xr:uid="{00000000-0005-0000-0000-0000BE9A0000}"/>
    <cellStyle name="Uwaga 2 3 17 2" xfId="39601" xr:uid="{00000000-0005-0000-0000-0000BF9A0000}"/>
    <cellStyle name="Uwaga 2 3 17 3" xfId="39602" xr:uid="{00000000-0005-0000-0000-0000C09A0000}"/>
    <cellStyle name="Uwaga 2 3 17 4" xfId="39603" xr:uid="{00000000-0005-0000-0000-0000C19A0000}"/>
    <cellStyle name="Uwaga 2 3 18" xfId="39604" xr:uid="{00000000-0005-0000-0000-0000C29A0000}"/>
    <cellStyle name="Uwaga 2 3 18 2" xfId="39605" xr:uid="{00000000-0005-0000-0000-0000C39A0000}"/>
    <cellStyle name="Uwaga 2 3 18 3" xfId="39606" xr:uid="{00000000-0005-0000-0000-0000C49A0000}"/>
    <cellStyle name="Uwaga 2 3 18 4" xfId="39607" xr:uid="{00000000-0005-0000-0000-0000C59A0000}"/>
    <cellStyle name="Uwaga 2 3 19" xfId="39608" xr:uid="{00000000-0005-0000-0000-0000C69A0000}"/>
    <cellStyle name="Uwaga 2 3 19 2" xfId="39609" xr:uid="{00000000-0005-0000-0000-0000C79A0000}"/>
    <cellStyle name="Uwaga 2 3 19 3" xfId="39610" xr:uid="{00000000-0005-0000-0000-0000C89A0000}"/>
    <cellStyle name="Uwaga 2 3 19 4" xfId="39611" xr:uid="{00000000-0005-0000-0000-0000C99A0000}"/>
    <cellStyle name="Uwaga 2 3 2" xfId="39612" xr:uid="{00000000-0005-0000-0000-0000CA9A0000}"/>
    <cellStyle name="Uwaga 2 3 2 2" xfId="39613" xr:uid="{00000000-0005-0000-0000-0000CB9A0000}"/>
    <cellStyle name="Uwaga 2 3 2 3" xfId="39614" xr:uid="{00000000-0005-0000-0000-0000CC9A0000}"/>
    <cellStyle name="Uwaga 2 3 2 4" xfId="39615" xr:uid="{00000000-0005-0000-0000-0000CD9A0000}"/>
    <cellStyle name="Uwaga 2 3 20" xfId="39616" xr:uid="{00000000-0005-0000-0000-0000CE9A0000}"/>
    <cellStyle name="Uwaga 2 3 20 2" xfId="39617" xr:uid="{00000000-0005-0000-0000-0000CF9A0000}"/>
    <cellStyle name="Uwaga 2 3 20 3" xfId="39618" xr:uid="{00000000-0005-0000-0000-0000D09A0000}"/>
    <cellStyle name="Uwaga 2 3 20 4" xfId="39619" xr:uid="{00000000-0005-0000-0000-0000D19A0000}"/>
    <cellStyle name="Uwaga 2 3 21" xfId="39620" xr:uid="{00000000-0005-0000-0000-0000D29A0000}"/>
    <cellStyle name="Uwaga 2 3 21 2" xfId="39621" xr:uid="{00000000-0005-0000-0000-0000D39A0000}"/>
    <cellStyle name="Uwaga 2 3 21 3" xfId="39622" xr:uid="{00000000-0005-0000-0000-0000D49A0000}"/>
    <cellStyle name="Uwaga 2 3 22" xfId="39623" xr:uid="{00000000-0005-0000-0000-0000D59A0000}"/>
    <cellStyle name="Uwaga 2 3 22 2" xfId="39624" xr:uid="{00000000-0005-0000-0000-0000D69A0000}"/>
    <cellStyle name="Uwaga 2 3 22 3" xfId="39625" xr:uid="{00000000-0005-0000-0000-0000D79A0000}"/>
    <cellStyle name="Uwaga 2 3 23" xfId="39626" xr:uid="{00000000-0005-0000-0000-0000D89A0000}"/>
    <cellStyle name="Uwaga 2 3 23 2" xfId="39627" xr:uid="{00000000-0005-0000-0000-0000D99A0000}"/>
    <cellStyle name="Uwaga 2 3 23 3" xfId="39628" xr:uid="{00000000-0005-0000-0000-0000DA9A0000}"/>
    <cellStyle name="Uwaga 2 3 24" xfId="39629" xr:uid="{00000000-0005-0000-0000-0000DB9A0000}"/>
    <cellStyle name="Uwaga 2 3 24 2" xfId="39630" xr:uid="{00000000-0005-0000-0000-0000DC9A0000}"/>
    <cellStyle name="Uwaga 2 3 24 3" xfId="39631" xr:uid="{00000000-0005-0000-0000-0000DD9A0000}"/>
    <cellStyle name="Uwaga 2 3 25" xfId="39632" xr:uid="{00000000-0005-0000-0000-0000DE9A0000}"/>
    <cellStyle name="Uwaga 2 3 25 2" xfId="39633" xr:uid="{00000000-0005-0000-0000-0000DF9A0000}"/>
    <cellStyle name="Uwaga 2 3 25 3" xfId="39634" xr:uid="{00000000-0005-0000-0000-0000E09A0000}"/>
    <cellStyle name="Uwaga 2 3 26" xfId="39635" xr:uid="{00000000-0005-0000-0000-0000E19A0000}"/>
    <cellStyle name="Uwaga 2 3 26 2" xfId="39636" xr:uid="{00000000-0005-0000-0000-0000E29A0000}"/>
    <cellStyle name="Uwaga 2 3 26 3" xfId="39637" xr:uid="{00000000-0005-0000-0000-0000E39A0000}"/>
    <cellStyle name="Uwaga 2 3 27" xfId="39638" xr:uid="{00000000-0005-0000-0000-0000E49A0000}"/>
    <cellStyle name="Uwaga 2 3 27 2" xfId="39639" xr:uid="{00000000-0005-0000-0000-0000E59A0000}"/>
    <cellStyle name="Uwaga 2 3 27 3" xfId="39640" xr:uid="{00000000-0005-0000-0000-0000E69A0000}"/>
    <cellStyle name="Uwaga 2 3 28" xfId="39641" xr:uid="{00000000-0005-0000-0000-0000E79A0000}"/>
    <cellStyle name="Uwaga 2 3 28 2" xfId="39642" xr:uid="{00000000-0005-0000-0000-0000E89A0000}"/>
    <cellStyle name="Uwaga 2 3 28 3" xfId="39643" xr:uid="{00000000-0005-0000-0000-0000E99A0000}"/>
    <cellStyle name="Uwaga 2 3 29" xfId="39644" xr:uid="{00000000-0005-0000-0000-0000EA9A0000}"/>
    <cellStyle name="Uwaga 2 3 29 2" xfId="39645" xr:uid="{00000000-0005-0000-0000-0000EB9A0000}"/>
    <cellStyle name="Uwaga 2 3 29 3" xfId="39646" xr:uid="{00000000-0005-0000-0000-0000EC9A0000}"/>
    <cellStyle name="Uwaga 2 3 3" xfId="39647" xr:uid="{00000000-0005-0000-0000-0000ED9A0000}"/>
    <cellStyle name="Uwaga 2 3 3 2" xfId="39648" xr:uid="{00000000-0005-0000-0000-0000EE9A0000}"/>
    <cellStyle name="Uwaga 2 3 3 3" xfId="39649" xr:uid="{00000000-0005-0000-0000-0000EF9A0000}"/>
    <cellStyle name="Uwaga 2 3 3 4" xfId="39650" xr:uid="{00000000-0005-0000-0000-0000F09A0000}"/>
    <cellStyle name="Uwaga 2 3 30" xfId="39651" xr:uid="{00000000-0005-0000-0000-0000F19A0000}"/>
    <cellStyle name="Uwaga 2 3 30 2" xfId="39652" xr:uid="{00000000-0005-0000-0000-0000F29A0000}"/>
    <cellStyle name="Uwaga 2 3 30 3" xfId="39653" xr:uid="{00000000-0005-0000-0000-0000F39A0000}"/>
    <cellStyle name="Uwaga 2 3 31" xfId="39654" xr:uid="{00000000-0005-0000-0000-0000F49A0000}"/>
    <cellStyle name="Uwaga 2 3 31 2" xfId="39655" xr:uid="{00000000-0005-0000-0000-0000F59A0000}"/>
    <cellStyle name="Uwaga 2 3 31 3" xfId="39656" xr:uid="{00000000-0005-0000-0000-0000F69A0000}"/>
    <cellStyle name="Uwaga 2 3 32" xfId="39657" xr:uid="{00000000-0005-0000-0000-0000F79A0000}"/>
    <cellStyle name="Uwaga 2 3 32 2" xfId="39658" xr:uid="{00000000-0005-0000-0000-0000F89A0000}"/>
    <cellStyle name="Uwaga 2 3 32 3" xfId="39659" xr:uid="{00000000-0005-0000-0000-0000F99A0000}"/>
    <cellStyle name="Uwaga 2 3 33" xfId="39660" xr:uid="{00000000-0005-0000-0000-0000FA9A0000}"/>
    <cellStyle name="Uwaga 2 3 33 2" xfId="39661" xr:uid="{00000000-0005-0000-0000-0000FB9A0000}"/>
    <cellStyle name="Uwaga 2 3 33 3" xfId="39662" xr:uid="{00000000-0005-0000-0000-0000FC9A0000}"/>
    <cellStyle name="Uwaga 2 3 34" xfId="39663" xr:uid="{00000000-0005-0000-0000-0000FD9A0000}"/>
    <cellStyle name="Uwaga 2 3 34 2" xfId="39664" xr:uid="{00000000-0005-0000-0000-0000FE9A0000}"/>
    <cellStyle name="Uwaga 2 3 34 3" xfId="39665" xr:uid="{00000000-0005-0000-0000-0000FF9A0000}"/>
    <cellStyle name="Uwaga 2 3 35" xfId="39666" xr:uid="{00000000-0005-0000-0000-0000009B0000}"/>
    <cellStyle name="Uwaga 2 3 35 2" xfId="39667" xr:uid="{00000000-0005-0000-0000-0000019B0000}"/>
    <cellStyle name="Uwaga 2 3 35 3" xfId="39668" xr:uid="{00000000-0005-0000-0000-0000029B0000}"/>
    <cellStyle name="Uwaga 2 3 36" xfId="39669" xr:uid="{00000000-0005-0000-0000-0000039B0000}"/>
    <cellStyle name="Uwaga 2 3 36 2" xfId="39670" xr:uid="{00000000-0005-0000-0000-0000049B0000}"/>
    <cellStyle name="Uwaga 2 3 36 3" xfId="39671" xr:uid="{00000000-0005-0000-0000-0000059B0000}"/>
    <cellStyle name="Uwaga 2 3 37" xfId="39672" xr:uid="{00000000-0005-0000-0000-0000069B0000}"/>
    <cellStyle name="Uwaga 2 3 37 2" xfId="39673" xr:uid="{00000000-0005-0000-0000-0000079B0000}"/>
    <cellStyle name="Uwaga 2 3 37 3" xfId="39674" xr:uid="{00000000-0005-0000-0000-0000089B0000}"/>
    <cellStyle name="Uwaga 2 3 38" xfId="39675" xr:uid="{00000000-0005-0000-0000-0000099B0000}"/>
    <cellStyle name="Uwaga 2 3 38 2" xfId="39676" xr:uid="{00000000-0005-0000-0000-00000A9B0000}"/>
    <cellStyle name="Uwaga 2 3 38 3" xfId="39677" xr:uid="{00000000-0005-0000-0000-00000B9B0000}"/>
    <cellStyle name="Uwaga 2 3 39" xfId="39678" xr:uid="{00000000-0005-0000-0000-00000C9B0000}"/>
    <cellStyle name="Uwaga 2 3 39 2" xfId="39679" xr:uid="{00000000-0005-0000-0000-00000D9B0000}"/>
    <cellStyle name="Uwaga 2 3 39 3" xfId="39680" xr:uid="{00000000-0005-0000-0000-00000E9B0000}"/>
    <cellStyle name="Uwaga 2 3 4" xfId="39681" xr:uid="{00000000-0005-0000-0000-00000F9B0000}"/>
    <cellStyle name="Uwaga 2 3 4 2" xfId="39682" xr:uid="{00000000-0005-0000-0000-0000109B0000}"/>
    <cellStyle name="Uwaga 2 3 4 3" xfId="39683" xr:uid="{00000000-0005-0000-0000-0000119B0000}"/>
    <cellStyle name="Uwaga 2 3 4 4" xfId="39684" xr:uid="{00000000-0005-0000-0000-0000129B0000}"/>
    <cellStyle name="Uwaga 2 3 40" xfId="39685" xr:uid="{00000000-0005-0000-0000-0000139B0000}"/>
    <cellStyle name="Uwaga 2 3 40 2" xfId="39686" xr:uid="{00000000-0005-0000-0000-0000149B0000}"/>
    <cellStyle name="Uwaga 2 3 40 3" xfId="39687" xr:uid="{00000000-0005-0000-0000-0000159B0000}"/>
    <cellStyle name="Uwaga 2 3 41" xfId="39688" xr:uid="{00000000-0005-0000-0000-0000169B0000}"/>
    <cellStyle name="Uwaga 2 3 41 2" xfId="39689" xr:uid="{00000000-0005-0000-0000-0000179B0000}"/>
    <cellStyle name="Uwaga 2 3 41 3" xfId="39690" xr:uid="{00000000-0005-0000-0000-0000189B0000}"/>
    <cellStyle name="Uwaga 2 3 42" xfId="39691" xr:uid="{00000000-0005-0000-0000-0000199B0000}"/>
    <cellStyle name="Uwaga 2 3 42 2" xfId="39692" xr:uid="{00000000-0005-0000-0000-00001A9B0000}"/>
    <cellStyle name="Uwaga 2 3 42 3" xfId="39693" xr:uid="{00000000-0005-0000-0000-00001B9B0000}"/>
    <cellStyle name="Uwaga 2 3 43" xfId="39694" xr:uid="{00000000-0005-0000-0000-00001C9B0000}"/>
    <cellStyle name="Uwaga 2 3 43 2" xfId="39695" xr:uid="{00000000-0005-0000-0000-00001D9B0000}"/>
    <cellStyle name="Uwaga 2 3 43 3" xfId="39696" xr:uid="{00000000-0005-0000-0000-00001E9B0000}"/>
    <cellStyle name="Uwaga 2 3 44" xfId="39697" xr:uid="{00000000-0005-0000-0000-00001F9B0000}"/>
    <cellStyle name="Uwaga 2 3 44 2" xfId="39698" xr:uid="{00000000-0005-0000-0000-0000209B0000}"/>
    <cellStyle name="Uwaga 2 3 44 3" xfId="39699" xr:uid="{00000000-0005-0000-0000-0000219B0000}"/>
    <cellStyle name="Uwaga 2 3 45" xfId="39700" xr:uid="{00000000-0005-0000-0000-0000229B0000}"/>
    <cellStyle name="Uwaga 2 3 45 2" xfId="39701" xr:uid="{00000000-0005-0000-0000-0000239B0000}"/>
    <cellStyle name="Uwaga 2 3 45 3" xfId="39702" xr:uid="{00000000-0005-0000-0000-0000249B0000}"/>
    <cellStyle name="Uwaga 2 3 46" xfId="39703" xr:uid="{00000000-0005-0000-0000-0000259B0000}"/>
    <cellStyle name="Uwaga 2 3 46 2" xfId="39704" xr:uid="{00000000-0005-0000-0000-0000269B0000}"/>
    <cellStyle name="Uwaga 2 3 46 3" xfId="39705" xr:uid="{00000000-0005-0000-0000-0000279B0000}"/>
    <cellStyle name="Uwaga 2 3 47" xfId="39706" xr:uid="{00000000-0005-0000-0000-0000289B0000}"/>
    <cellStyle name="Uwaga 2 3 47 2" xfId="39707" xr:uid="{00000000-0005-0000-0000-0000299B0000}"/>
    <cellStyle name="Uwaga 2 3 47 3" xfId="39708" xr:uid="{00000000-0005-0000-0000-00002A9B0000}"/>
    <cellStyle name="Uwaga 2 3 48" xfId="39709" xr:uid="{00000000-0005-0000-0000-00002B9B0000}"/>
    <cellStyle name="Uwaga 2 3 48 2" xfId="39710" xr:uid="{00000000-0005-0000-0000-00002C9B0000}"/>
    <cellStyle name="Uwaga 2 3 48 3" xfId="39711" xr:uid="{00000000-0005-0000-0000-00002D9B0000}"/>
    <cellStyle name="Uwaga 2 3 49" xfId="39712" xr:uid="{00000000-0005-0000-0000-00002E9B0000}"/>
    <cellStyle name="Uwaga 2 3 49 2" xfId="39713" xr:uid="{00000000-0005-0000-0000-00002F9B0000}"/>
    <cellStyle name="Uwaga 2 3 49 3" xfId="39714" xr:uid="{00000000-0005-0000-0000-0000309B0000}"/>
    <cellStyle name="Uwaga 2 3 5" xfId="39715" xr:uid="{00000000-0005-0000-0000-0000319B0000}"/>
    <cellStyle name="Uwaga 2 3 5 2" xfId="39716" xr:uid="{00000000-0005-0000-0000-0000329B0000}"/>
    <cellStyle name="Uwaga 2 3 5 3" xfId="39717" xr:uid="{00000000-0005-0000-0000-0000339B0000}"/>
    <cellStyle name="Uwaga 2 3 5 4" xfId="39718" xr:uid="{00000000-0005-0000-0000-0000349B0000}"/>
    <cellStyle name="Uwaga 2 3 50" xfId="39719" xr:uid="{00000000-0005-0000-0000-0000359B0000}"/>
    <cellStyle name="Uwaga 2 3 50 2" xfId="39720" xr:uid="{00000000-0005-0000-0000-0000369B0000}"/>
    <cellStyle name="Uwaga 2 3 50 3" xfId="39721" xr:uid="{00000000-0005-0000-0000-0000379B0000}"/>
    <cellStyle name="Uwaga 2 3 51" xfId="39722" xr:uid="{00000000-0005-0000-0000-0000389B0000}"/>
    <cellStyle name="Uwaga 2 3 51 2" xfId="39723" xr:uid="{00000000-0005-0000-0000-0000399B0000}"/>
    <cellStyle name="Uwaga 2 3 51 3" xfId="39724" xr:uid="{00000000-0005-0000-0000-00003A9B0000}"/>
    <cellStyle name="Uwaga 2 3 52" xfId="39725" xr:uid="{00000000-0005-0000-0000-00003B9B0000}"/>
    <cellStyle name="Uwaga 2 3 52 2" xfId="39726" xr:uid="{00000000-0005-0000-0000-00003C9B0000}"/>
    <cellStyle name="Uwaga 2 3 52 3" xfId="39727" xr:uid="{00000000-0005-0000-0000-00003D9B0000}"/>
    <cellStyle name="Uwaga 2 3 53" xfId="39728" xr:uid="{00000000-0005-0000-0000-00003E9B0000}"/>
    <cellStyle name="Uwaga 2 3 53 2" xfId="39729" xr:uid="{00000000-0005-0000-0000-00003F9B0000}"/>
    <cellStyle name="Uwaga 2 3 53 3" xfId="39730" xr:uid="{00000000-0005-0000-0000-0000409B0000}"/>
    <cellStyle name="Uwaga 2 3 54" xfId="39731" xr:uid="{00000000-0005-0000-0000-0000419B0000}"/>
    <cellStyle name="Uwaga 2 3 54 2" xfId="39732" xr:uid="{00000000-0005-0000-0000-0000429B0000}"/>
    <cellStyle name="Uwaga 2 3 54 3" xfId="39733" xr:uid="{00000000-0005-0000-0000-0000439B0000}"/>
    <cellStyle name="Uwaga 2 3 55" xfId="39734" xr:uid="{00000000-0005-0000-0000-0000449B0000}"/>
    <cellStyle name="Uwaga 2 3 55 2" xfId="39735" xr:uid="{00000000-0005-0000-0000-0000459B0000}"/>
    <cellStyle name="Uwaga 2 3 55 3" xfId="39736" xr:uid="{00000000-0005-0000-0000-0000469B0000}"/>
    <cellStyle name="Uwaga 2 3 56" xfId="39737" xr:uid="{00000000-0005-0000-0000-0000479B0000}"/>
    <cellStyle name="Uwaga 2 3 56 2" xfId="39738" xr:uid="{00000000-0005-0000-0000-0000489B0000}"/>
    <cellStyle name="Uwaga 2 3 56 3" xfId="39739" xr:uid="{00000000-0005-0000-0000-0000499B0000}"/>
    <cellStyle name="Uwaga 2 3 57" xfId="39740" xr:uid="{00000000-0005-0000-0000-00004A9B0000}"/>
    <cellStyle name="Uwaga 2 3 58" xfId="39741" xr:uid="{00000000-0005-0000-0000-00004B9B0000}"/>
    <cellStyle name="Uwaga 2 3 59" xfId="39742" xr:uid="{00000000-0005-0000-0000-00004C9B0000}"/>
    <cellStyle name="Uwaga 2 3 6" xfId="39743" xr:uid="{00000000-0005-0000-0000-00004D9B0000}"/>
    <cellStyle name="Uwaga 2 3 6 2" xfId="39744" xr:uid="{00000000-0005-0000-0000-00004E9B0000}"/>
    <cellStyle name="Uwaga 2 3 6 3" xfId="39745" xr:uid="{00000000-0005-0000-0000-00004F9B0000}"/>
    <cellStyle name="Uwaga 2 3 6 4" xfId="39746" xr:uid="{00000000-0005-0000-0000-0000509B0000}"/>
    <cellStyle name="Uwaga 2 3 7" xfId="39747" xr:uid="{00000000-0005-0000-0000-0000519B0000}"/>
    <cellStyle name="Uwaga 2 3 7 2" xfId="39748" xr:uid="{00000000-0005-0000-0000-0000529B0000}"/>
    <cellStyle name="Uwaga 2 3 7 3" xfId="39749" xr:uid="{00000000-0005-0000-0000-0000539B0000}"/>
    <cellStyle name="Uwaga 2 3 7 4" xfId="39750" xr:uid="{00000000-0005-0000-0000-0000549B0000}"/>
    <cellStyle name="Uwaga 2 3 8" xfId="39751" xr:uid="{00000000-0005-0000-0000-0000559B0000}"/>
    <cellStyle name="Uwaga 2 3 8 2" xfId="39752" xr:uid="{00000000-0005-0000-0000-0000569B0000}"/>
    <cellStyle name="Uwaga 2 3 8 3" xfId="39753" xr:uid="{00000000-0005-0000-0000-0000579B0000}"/>
    <cellStyle name="Uwaga 2 3 8 4" xfId="39754" xr:uid="{00000000-0005-0000-0000-0000589B0000}"/>
    <cellStyle name="Uwaga 2 3 9" xfId="39755" xr:uid="{00000000-0005-0000-0000-0000599B0000}"/>
    <cellStyle name="Uwaga 2 3 9 2" xfId="39756" xr:uid="{00000000-0005-0000-0000-00005A9B0000}"/>
    <cellStyle name="Uwaga 2 3 9 3" xfId="39757" xr:uid="{00000000-0005-0000-0000-00005B9B0000}"/>
    <cellStyle name="Uwaga 2 3 9 4" xfId="39758" xr:uid="{00000000-0005-0000-0000-00005C9B0000}"/>
    <cellStyle name="Uwaga 2 30" xfId="39759" xr:uid="{00000000-0005-0000-0000-00005D9B0000}"/>
    <cellStyle name="Uwaga 2 30 2" xfId="39760" xr:uid="{00000000-0005-0000-0000-00005E9B0000}"/>
    <cellStyle name="Uwaga 2 31" xfId="39761" xr:uid="{00000000-0005-0000-0000-00005F9B0000}"/>
    <cellStyle name="Uwaga 2 31 2" xfId="39762" xr:uid="{00000000-0005-0000-0000-0000609B0000}"/>
    <cellStyle name="Uwaga 2 31 3" xfId="39763" xr:uid="{00000000-0005-0000-0000-0000619B0000}"/>
    <cellStyle name="Uwaga 2 31 4" xfId="39764" xr:uid="{00000000-0005-0000-0000-0000629B0000}"/>
    <cellStyle name="Uwaga 2 32" xfId="39765" xr:uid="{00000000-0005-0000-0000-0000639B0000}"/>
    <cellStyle name="Uwaga 2 32 2" xfId="39766" xr:uid="{00000000-0005-0000-0000-0000649B0000}"/>
    <cellStyle name="Uwaga 2 32 3" xfId="39767" xr:uid="{00000000-0005-0000-0000-0000659B0000}"/>
    <cellStyle name="Uwaga 2 32 4" xfId="39768" xr:uid="{00000000-0005-0000-0000-0000669B0000}"/>
    <cellStyle name="Uwaga 2 33" xfId="39769" xr:uid="{00000000-0005-0000-0000-0000679B0000}"/>
    <cellStyle name="Uwaga 2 33 2" xfId="39770" xr:uid="{00000000-0005-0000-0000-0000689B0000}"/>
    <cellStyle name="Uwaga 2 33 3" xfId="39771" xr:uid="{00000000-0005-0000-0000-0000699B0000}"/>
    <cellStyle name="Uwaga 2 33 4" xfId="39772" xr:uid="{00000000-0005-0000-0000-00006A9B0000}"/>
    <cellStyle name="Uwaga 2 34" xfId="39773" xr:uid="{00000000-0005-0000-0000-00006B9B0000}"/>
    <cellStyle name="Uwaga 2 34 2" xfId="39774" xr:uid="{00000000-0005-0000-0000-00006C9B0000}"/>
    <cellStyle name="Uwaga 2 34 3" xfId="39775" xr:uid="{00000000-0005-0000-0000-00006D9B0000}"/>
    <cellStyle name="Uwaga 2 34 4" xfId="39776" xr:uid="{00000000-0005-0000-0000-00006E9B0000}"/>
    <cellStyle name="Uwaga 2 35" xfId="39777" xr:uid="{00000000-0005-0000-0000-00006F9B0000}"/>
    <cellStyle name="Uwaga 2 35 2" xfId="39778" xr:uid="{00000000-0005-0000-0000-0000709B0000}"/>
    <cellStyle name="Uwaga 2 35 3" xfId="39779" xr:uid="{00000000-0005-0000-0000-0000719B0000}"/>
    <cellStyle name="Uwaga 2 35 4" xfId="39780" xr:uid="{00000000-0005-0000-0000-0000729B0000}"/>
    <cellStyle name="Uwaga 2 36" xfId="39781" xr:uid="{00000000-0005-0000-0000-0000739B0000}"/>
    <cellStyle name="Uwaga 2 36 2" xfId="39782" xr:uid="{00000000-0005-0000-0000-0000749B0000}"/>
    <cellStyle name="Uwaga 2 36 3" xfId="39783" xr:uid="{00000000-0005-0000-0000-0000759B0000}"/>
    <cellStyle name="Uwaga 2 36 4" xfId="39784" xr:uid="{00000000-0005-0000-0000-0000769B0000}"/>
    <cellStyle name="Uwaga 2 37" xfId="39785" xr:uid="{00000000-0005-0000-0000-0000779B0000}"/>
    <cellStyle name="Uwaga 2 37 2" xfId="39786" xr:uid="{00000000-0005-0000-0000-0000789B0000}"/>
    <cellStyle name="Uwaga 2 37 3" xfId="39787" xr:uid="{00000000-0005-0000-0000-0000799B0000}"/>
    <cellStyle name="Uwaga 2 37 4" xfId="39788" xr:uid="{00000000-0005-0000-0000-00007A9B0000}"/>
    <cellStyle name="Uwaga 2 38" xfId="39789" xr:uid="{00000000-0005-0000-0000-00007B9B0000}"/>
    <cellStyle name="Uwaga 2 38 2" xfId="39790" xr:uid="{00000000-0005-0000-0000-00007C9B0000}"/>
    <cellStyle name="Uwaga 2 38 3" xfId="39791" xr:uid="{00000000-0005-0000-0000-00007D9B0000}"/>
    <cellStyle name="Uwaga 2 38 4" xfId="39792" xr:uid="{00000000-0005-0000-0000-00007E9B0000}"/>
    <cellStyle name="Uwaga 2 39" xfId="39793" xr:uid="{00000000-0005-0000-0000-00007F9B0000}"/>
    <cellStyle name="Uwaga 2 39 2" xfId="39794" xr:uid="{00000000-0005-0000-0000-0000809B0000}"/>
    <cellStyle name="Uwaga 2 39 3" xfId="39795" xr:uid="{00000000-0005-0000-0000-0000819B0000}"/>
    <cellStyle name="Uwaga 2 39 4" xfId="39796" xr:uid="{00000000-0005-0000-0000-0000829B0000}"/>
    <cellStyle name="Uwaga 2 4" xfId="39797" xr:uid="{00000000-0005-0000-0000-0000839B0000}"/>
    <cellStyle name="Uwaga 2 4 10" xfId="39798" xr:uid="{00000000-0005-0000-0000-0000849B0000}"/>
    <cellStyle name="Uwaga 2 4 10 2" xfId="39799" xr:uid="{00000000-0005-0000-0000-0000859B0000}"/>
    <cellStyle name="Uwaga 2 4 10 3" xfId="39800" xr:uid="{00000000-0005-0000-0000-0000869B0000}"/>
    <cellStyle name="Uwaga 2 4 10 4" xfId="39801" xr:uid="{00000000-0005-0000-0000-0000879B0000}"/>
    <cellStyle name="Uwaga 2 4 11" xfId="39802" xr:uid="{00000000-0005-0000-0000-0000889B0000}"/>
    <cellStyle name="Uwaga 2 4 11 2" xfId="39803" xr:uid="{00000000-0005-0000-0000-0000899B0000}"/>
    <cellStyle name="Uwaga 2 4 11 3" xfId="39804" xr:uid="{00000000-0005-0000-0000-00008A9B0000}"/>
    <cellStyle name="Uwaga 2 4 11 4" xfId="39805" xr:uid="{00000000-0005-0000-0000-00008B9B0000}"/>
    <cellStyle name="Uwaga 2 4 12" xfId="39806" xr:uid="{00000000-0005-0000-0000-00008C9B0000}"/>
    <cellStyle name="Uwaga 2 4 12 2" xfId="39807" xr:uid="{00000000-0005-0000-0000-00008D9B0000}"/>
    <cellStyle name="Uwaga 2 4 12 3" xfId="39808" xr:uid="{00000000-0005-0000-0000-00008E9B0000}"/>
    <cellStyle name="Uwaga 2 4 12 4" xfId="39809" xr:uid="{00000000-0005-0000-0000-00008F9B0000}"/>
    <cellStyle name="Uwaga 2 4 13" xfId="39810" xr:uid="{00000000-0005-0000-0000-0000909B0000}"/>
    <cellStyle name="Uwaga 2 4 13 2" xfId="39811" xr:uid="{00000000-0005-0000-0000-0000919B0000}"/>
    <cellStyle name="Uwaga 2 4 13 3" xfId="39812" xr:uid="{00000000-0005-0000-0000-0000929B0000}"/>
    <cellStyle name="Uwaga 2 4 13 4" xfId="39813" xr:uid="{00000000-0005-0000-0000-0000939B0000}"/>
    <cellStyle name="Uwaga 2 4 14" xfId="39814" xr:uid="{00000000-0005-0000-0000-0000949B0000}"/>
    <cellStyle name="Uwaga 2 4 14 2" xfId="39815" xr:uid="{00000000-0005-0000-0000-0000959B0000}"/>
    <cellStyle name="Uwaga 2 4 14 3" xfId="39816" xr:uid="{00000000-0005-0000-0000-0000969B0000}"/>
    <cellStyle name="Uwaga 2 4 14 4" xfId="39817" xr:uid="{00000000-0005-0000-0000-0000979B0000}"/>
    <cellStyle name="Uwaga 2 4 15" xfId="39818" xr:uid="{00000000-0005-0000-0000-0000989B0000}"/>
    <cellStyle name="Uwaga 2 4 15 2" xfId="39819" xr:uid="{00000000-0005-0000-0000-0000999B0000}"/>
    <cellStyle name="Uwaga 2 4 15 3" xfId="39820" xr:uid="{00000000-0005-0000-0000-00009A9B0000}"/>
    <cellStyle name="Uwaga 2 4 15 4" xfId="39821" xr:uid="{00000000-0005-0000-0000-00009B9B0000}"/>
    <cellStyle name="Uwaga 2 4 16" xfId="39822" xr:uid="{00000000-0005-0000-0000-00009C9B0000}"/>
    <cellStyle name="Uwaga 2 4 16 2" xfId="39823" xr:uid="{00000000-0005-0000-0000-00009D9B0000}"/>
    <cellStyle name="Uwaga 2 4 16 3" xfId="39824" xr:uid="{00000000-0005-0000-0000-00009E9B0000}"/>
    <cellStyle name="Uwaga 2 4 16 4" xfId="39825" xr:uid="{00000000-0005-0000-0000-00009F9B0000}"/>
    <cellStyle name="Uwaga 2 4 17" xfId="39826" xr:uid="{00000000-0005-0000-0000-0000A09B0000}"/>
    <cellStyle name="Uwaga 2 4 17 2" xfId="39827" xr:uid="{00000000-0005-0000-0000-0000A19B0000}"/>
    <cellStyle name="Uwaga 2 4 17 3" xfId="39828" xr:uid="{00000000-0005-0000-0000-0000A29B0000}"/>
    <cellStyle name="Uwaga 2 4 17 4" xfId="39829" xr:uid="{00000000-0005-0000-0000-0000A39B0000}"/>
    <cellStyle name="Uwaga 2 4 18" xfId="39830" xr:uid="{00000000-0005-0000-0000-0000A49B0000}"/>
    <cellStyle name="Uwaga 2 4 18 2" xfId="39831" xr:uid="{00000000-0005-0000-0000-0000A59B0000}"/>
    <cellStyle name="Uwaga 2 4 18 3" xfId="39832" xr:uid="{00000000-0005-0000-0000-0000A69B0000}"/>
    <cellStyle name="Uwaga 2 4 18 4" xfId="39833" xr:uid="{00000000-0005-0000-0000-0000A79B0000}"/>
    <cellStyle name="Uwaga 2 4 19" xfId="39834" xr:uid="{00000000-0005-0000-0000-0000A89B0000}"/>
    <cellStyle name="Uwaga 2 4 19 2" xfId="39835" xr:uid="{00000000-0005-0000-0000-0000A99B0000}"/>
    <cellStyle name="Uwaga 2 4 19 3" xfId="39836" xr:uid="{00000000-0005-0000-0000-0000AA9B0000}"/>
    <cellStyle name="Uwaga 2 4 19 4" xfId="39837" xr:uid="{00000000-0005-0000-0000-0000AB9B0000}"/>
    <cellStyle name="Uwaga 2 4 2" xfId="39838" xr:uid="{00000000-0005-0000-0000-0000AC9B0000}"/>
    <cellStyle name="Uwaga 2 4 2 2" xfId="39839" xr:uid="{00000000-0005-0000-0000-0000AD9B0000}"/>
    <cellStyle name="Uwaga 2 4 2 3" xfId="39840" xr:uid="{00000000-0005-0000-0000-0000AE9B0000}"/>
    <cellStyle name="Uwaga 2 4 2 4" xfId="39841" xr:uid="{00000000-0005-0000-0000-0000AF9B0000}"/>
    <cellStyle name="Uwaga 2 4 20" xfId="39842" xr:uid="{00000000-0005-0000-0000-0000B09B0000}"/>
    <cellStyle name="Uwaga 2 4 20 2" xfId="39843" xr:uid="{00000000-0005-0000-0000-0000B19B0000}"/>
    <cellStyle name="Uwaga 2 4 20 3" xfId="39844" xr:uid="{00000000-0005-0000-0000-0000B29B0000}"/>
    <cellStyle name="Uwaga 2 4 20 4" xfId="39845" xr:uid="{00000000-0005-0000-0000-0000B39B0000}"/>
    <cellStyle name="Uwaga 2 4 21" xfId="39846" xr:uid="{00000000-0005-0000-0000-0000B49B0000}"/>
    <cellStyle name="Uwaga 2 4 21 2" xfId="39847" xr:uid="{00000000-0005-0000-0000-0000B59B0000}"/>
    <cellStyle name="Uwaga 2 4 21 3" xfId="39848" xr:uid="{00000000-0005-0000-0000-0000B69B0000}"/>
    <cellStyle name="Uwaga 2 4 22" xfId="39849" xr:uid="{00000000-0005-0000-0000-0000B79B0000}"/>
    <cellStyle name="Uwaga 2 4 22 2" xfId="39850" xr:uid="{00000000-0005-0000-0000-0000B89B0000}"/>
    <cellStyle name="Uwaga 2 4 22 3" xfId="39851" xr:uid="{00000000-0005-0000-0000-0000B99B0000}"/>
    <cellStyle name="Uwaga 2 4 23" xfId="39852" xr:uid="{00000000-0005-0000-0000-0000BA9B0000}"/>
    <cellStyle name="Uwaga 2 4 23 2" xfId="39853" xr:uid="{00000000-0005-0000-0000-0000BB9B0000}"/>
    <cellStyle name="Uwaga 2 4 23 3" xfId="39854" xr:uid="{00000000-0005-0000-0000-0000BC9B0000}"/>
    <cellStyle name="Uwaga 2 4 24" xfId="39855" xr:uid="{00000000-0005-0000-0000-0000BD9B0000}"/>
    <cellStyle name="Uwaga 2 4 24 2" xfId="39856" xr:uid="{00000000-0005-0000-0000-0000BE9B0000}"/>
    <cellStyle name="Uwaga 2 4 24 3" xfId="39857" xr:uid="{00000000-0005-0000-0000-0000BF9B0000}"/>
    <cellStyle name="Uwaga 2 4 25" xfId="39858" xr:uid="{00000000-0005-0000-0000-0000C09B0000}"/>
    <cellStyle name="Uwaga 2 4 25 2" xfId="39859" xr:uid="{00000000-0005-0000-0000-0000C19B0000}"/>
    <cellStyle name="Uwaga 2 4 25 3" xfId="39860" xr:uid="{00000000-0005-0000-0000-0000C29B0000}"/>
    <cellStyle name="Uwaga 2 4 26" xfId="39861" xr:uid="{00000000-0005-0000-0000-0000C39B0000}"/>
    <cellStyle name="Uwaga 2 4 26 2" xfId="39862" xr:uid="{00000000-0005-0000-0000-0000C49B0000}"/>
    <cellStyle name="Uwaga 2 4 26 3" xfId="39863" xr:uid="{00000000-0005-0000-0000-0000C59B0000}"/>
    <cellStyle name="Uwaga 2 4 27" xfId="39864" xr:uid="{00000000-0005-0000-0000-0000C69B0000}"/>
    <cellStyle name="Uwaga 2 4 27 2" xfId="39865" xr:uid="{00000000-0005-0000-0000-0000C79B0000}"/>
    <cellStyle name="Uwaga 2 4 27 3" xfId="39866" xr:uid="{00000000-0005-0000-0000-0000C89B0000}"/>
    <cellStyle name="Uwaga 2 4 28" xfId="39867" xr:uid="{00000000-0005-0000-0000-0000C99B0000}"/>
    <cellStyle name="Uwaga 2 4 28 2" xfId="39868" xr:uid="{00000000-0005-0000-0000-0000CA9B0000}"/>
    <cellStyle name="Uwaga 2 4 28 3" xfId="39869" xr:uid="{00000000-0005-0000-0000-0000CB9B0000}"/>
    <cellStyle name="Uwaga 2 4 29" xfId="39870" xr:uid="{00000000-0005-0000-0000-0000CC9B0000}"/>
    <cellStyle name="Uwaga 2 4 29 2" xfId="39871" xr:uid="{00000000-0005-0000-0000-0000CD9B0000}"/>
    <cellStyle name="Uwaga 2 4 29 3" xfId="39872" xr:uid="{00000000-0005-0000-0000-0000CE9B0000}"/>
    <cellStyle name="Uwaga 2 4 3" xfId="39873" xr:uid="{00000000-0005-0000-0000-0000CF9B0000}"/>
    <cellStyle name="Uwaga 2 4 3 2" xfId="39874" xr:uid="{00000000-0005-0000-0000-0000D09B0000}"/>
    <cellStyle name="Uwaga 2 4 3 3" xfId="39875" xr:uid="{00000000-0005-0000-0000-0000D19B0000}"/>
    <cellStyle name="Uwaga 2 4 3 4" xfId="39876" xr:uid="{00000000-0005-0000-0000-0000D29B0000}"/>
    <cellStyle name="Uwaga 2 4 30" xfId="39877" xr:uid="{00000000-0005-0000-0000-0000D39B0000}"/>
    <cellStyle name="Uwaga 2 4 30 2" xfId="39878" xr:uid="{00000000-0005-0000-0000-0000D49B0000}"/>
    <cellStyle name="Uwaga 2 4 30 3" xfId="39879" xr:uid="{00000000-0005-0000-0000-0000D59B0000}"/>
    <cellStyle name="Uwaga 2 4 31" xfId="39880" xr:uid="{00000000-0005-0000-0000-0000D69B0000}"/>
    <cellStyle name="Uwaga 2 4 31 2" xfId="39881" xr:uid="{00000000-0005-0000-0000-0000D79B0000}"/>
    <cellStyle name="Uwaga 2 4 31 3" xfId="39882" xr:uid="{00000000-0005-0000-0000-0000D89B0000}"/>
    <cellStyle name="Uwaga 2 4 32" xfId="39883" xr:uid="{00000000-0005-0000-0000-0000D99B0000}"/>
    <cellStyle name="Uwaga 2 4 32 2" xfId="39884" xr:uid="{00000000-0005-0000-0000-0000DA9B0000}"/>
    <cellStyle name="Uwaga 2 4 32 3" xfId="39885" xr:uid="{00000000-0005-0000-0000-0000DB9B0000}"/>
    <cellStyle name="Uwaga 2 4 33" xfId="39886" xr:uid="{00000000-0005-0000-0000-0000DC9B0000}"/>
    <cellStyle name="Uwaga 2 4 33 2" xfId="39887" xr:uid="{00000000-0005-0000-0000-0000DD9B0000}"/>
    <cellStyle name="Uwaga 2 4 33 3" xfId="39888" xr:uid="{00000000-0005-0000-0000-0000DE9B0000}"/>
    <cellStyle name="Uwaga 2 4 34" xfId="39889" xr:uid="{00000000-0005-0000-0000-0000DF9B0000}"/>
    <cellStyle name="Uwaga 2 4 34 2" xfId="39890" xr:uid="{00000000-0005-0000-0000-0000E09B0000}"/>
    <cellStyle name="Uwaga 2 4 34 3" xfId="39891" xr:uid="{00000000-0005-0000-0000-0000E19B0000}"/>
    <cellStyle name="Uwaga 2 4 35" xfId="39892" xr:uid="{00000000-0005-0000-0000-0000E29B0000}"/>
    <cellStyle name="Uwaga 2 4 35 2" xfId="39893" xr:uid="{00000000-0005-0000-0000-0000E39B0000}"/>
    <cellStyle name="Uwaga 2 4 35 3" xfId="39894" xr:uid="{00000000-0005-0000-0000-0000E49B0000}"/>
    <cellStyle name="Uwaga 2 4 36" xfId="39895" xr:uid="{00000000-0005-0000-0000-0000E59B0000}"/>
    <cellStyle name="Uwaga 2 4 36 2" xfId="39896" xr:uid="{00000000-0005-0000-0000-0000E69B0000}"/>
    <cellStyle name="Uwaga 2 4 36 3" xfId="39897" xr:uid="{00000000-0005-0000-0000-0000E79B0000}"/>
    <cellStyle name="Uwaga 2 4 37" xfId="39898" xr:uid="{00000000-0005-0000-0000-0000E89B0000}"/>
    <cellStyle name="Uwaga 2 4 37 2" xfId="39899" xr:uid="{00000000-0005-0000-0000-0000E99B0000}"/>
    <cellStyle name="Uwaga 2 4 37 3" xfId="39900" xr:uid="{00000000-0005-0000-0000-0000EA9B0000}"/>
    <cellStyle name="Uwaga 2 4 38" xfId="39901" xr:uid="{00000000-0005-0000-0000-0000EB9B0000}"/>
    <cellStyle name="Uwaga 2 4 38 2" xfId="39902" xr:uid="{00000000-0005-0000-0000-0000EC9B0000}"/>
    <cellStyle name="Uwaga 2 4 38 3" xfId="39903" xr:uid="{00000000-0005-0000-0000-0000ED9B0000}"/>
    <cellStyle name="Uwaga 2 4 39" xfId="39904" xr:uid="{00000000-0005-0000-0000-0000EE9B0000}"/>
    <cellStyle name="Uwaga 2 4 39 2" xfId="39905" xr:uid="{00000000-0005-0000-0000-0000EF9B0000}"/>
    <cellStyle name="Uwaga 2 4 39 3" xfId="39906" xr:uid="{00000000-0005-0000-0000-0000F09B0000}"/>
    <cellStyle name="Uwaga 2 4 4" xfId="39907" xr:uid="{00000000-0005-0000-0000-0000F19B0000}"/>
    <cellStyle name="Uwaga 2 4 4 2" xfId="39908" xr:uid="{00000000-0005-0000-0000-0000F29B0000}"/>
    <cellStyle name="Uwaga 2 4 4 3" xfId="39909" xr:uid="{00000000-0005-0000-0000-0000F39B0000}"/>
    <cellStyle name="Uwaga 2 4 4 4" xfId="39910" xr:uid="{00000000-0005-0000-0000-0000F49B0000}"/>
    <cellStyle name="Uwaga 2 4 40" xfId="39911" xr:uid="{00000000-0005-0000-0000-0000F59B0000}"/>
    <cellStyle name="Uwaga 2 4 40 2" xfId="39912" xr:uid="{00000000-0005-0000-0000-0000F69B0000}"/>
    <cellStyle name="Uwaga 2 4 40 3" xfId="39913" xr:uid="{00000000-0005-0000-0000-0000F79B0000}"/>
    <cellStyle name="Uwaga 2 4 41" xfId="39914" xr:uid="{00000000-0005-0000-0000-0000F89B0000}"/>
    <cellStyle name="Uwaga 2 4 41 2" xfId="39915" xr:uid="{00000000-0005-0000-0000-0000F99B0000}"/>
    <cellStyle name="Uwaga 2 4 41 3" xfId="39916" xr:uid="{00000000-0005-0000-0000-0000FA9B0000}"/>
    <cellStyle name="Uwaga 2 4 42" xfId="39917" xr:uid="{00000000-0005-0000-0000-0000FB9B0000}"/>
    <cellStyle name="Uwaga 2 4 42 2" xfId="39918" xr:uid="{00000000-0005-0000-0000-0000FC9B0000}"/>
    <cellStyle name="Uwaga 2 4 42 3" xfId="39919" xr:uid="{00000000-0005-0000-0000-0000FD9B0000}"/>
    <cellStyle name="Uwaga 2 4 43" xfId="39920" xr:uid="{00000000-0005-0000-0000-0000FE9B0000}"/>
    <cellStyle name="Uwaga 2 4 43 2" xfId="39921" xr:uid="{00000000-0005-0000-0000-0000FF9B0000}"/>
    <cellStyle name="Uwaga 2 4 43 3" xfId="39922" xr:uid="{00000000-0005-0000-0000-0000009C0000}"/>
    <cellStyle name="Uwaga 2 4 44" xfId="39923" xr:uid="{00000000-0005-0000-0000-0000019C0000}"/>
    <cellStyle name="Uwaga 2 4 44 2" xfId="39924" xr:uid="{00000000-0005-0000-0000-0000029C0000}"/>
    <cellStyle name="Uwaga 2 4 44 3" xfId="39925" xr:uid="{00000000-0005-0000-0000-0000039C0000}"/>
    <cellStyle name="Uwaga 2 4 45" xfId="39926" xr:uid="{00000000-0005-0000-0000-0000049C0000}"/>
    <cellStyle name="Uwaga 2 4 45 2" xfId="39927" xr:uid="{00000000-0005-0000-0000-0000059C0000}"/>
    <cellStyle name="Uwaga 2 4 45 3" xfId="39928" xr:uid="{00000000-0005-0000-0000-0000069C0000}"/>
    <cellStyle name="Uwaga 2 4 46" xfId="39929" xr:uid="{00000000-0005-0000-0000-0000079C0000}"/>
    <cellStyle name="Uwaga 2 4 46 2" xfId="39930" xr:uid="{00000000-0005-0000-0000-0000089C0000}"/>
    <cellStyle name="Uwaga 2 4 46 3" xfId="39931" xr:uid="{00000000-0005-0000-0000-0000099C0000}"/>
    <cellStyle name="Uwaga 2 4 47" xfId="39932" xr:uid="{00000000-0005-0000-0000-00000A9C0000}"/>
    <cellStyle name="Uwaga 2 4 47 2" xfId="39933" xr:uid="{00000000-0005-0000-0000-00000B9C0000}"/>
    <cellStyle name="Uwaga 2 4 47 3" xfId="39934" xr:uid="{00000000-0005-0000-0000-00000C9C0000}"/>
    <cellStyle name="Uwaga 2 4 48" xfId="39935" xr:uid="{00000000-0005-0000-0000-00000D9C0000}"/>
    <cellStyle name="Uwaga 2 4 48 2" xfId="39936" xr:uid="{00000000-0005-0000-0000-00000E9C0000}"/>
    <cellStyle name="Uwaga 2 4 48 3" xfId="39937" xr:uid="{00000000-0005-0000-0000-00000F9C0000}"/>
    <cellStyle name="Uwaga 2 4 49" xfId="39938" xr:uid="{00000000-0005-0000-0000-0000109C0000}"/>
    <cellStyle name="Uwaga 2 4 49 2" xfId="39939" xr:uid="{00000000-0005-0000-0000-0000119C0000}"/>
    <cellStyle name="Uwaga 2 4 49 3" xfId="39940" xr:uid="{00000000-0005-0000-0000-0000129C0000}"/>
    <cellStyle name="Uwaga 2 4 5" xfId="39941" xr:uid="{00000000-0005-0000-0000-0000139C0000}"/>
    <cellStyle name="Uwaga 2 4 5 2" xfId="39942" xr:uid="{00000000-0005-0000-0000-0000149C0000}"/>
    <cellStyle name="Uwaga 2 4 5 3" xfId="39943" xr:uid="{00000000-0005-0000-0000-0000159C0000}"/>
    <cellStyle name="Uwaga 2 4 5 4" xfId="39944" xr:uid="{00000000-0005-0000-0000-0000169C0000}"/>
    <cellStyle name="Uwaga 2 4 50" xfId="39945" xr:uid="{00000000-0005-0000-0000-0000179C0000}"/>
    <cellStyle name="Uwaga 2 4 50 2" xfId="39946" xr:uid="{00000000-0005-0000-0000-0000189C0000}"/>
    <cellStyle name="Uwaga 2 4 50 3" xfId="39947" xr:uid="{00000000-0005-0000-0000-0000199C0000}"/>
    <cellStyle name="Uwaga 2 4 51" xfId="39948" xr:uid="{00000000-0005-0000-0000-00001A9C0000}"/>
    <cellStyle name="Uwaga 2 4 51 2" xfId="39949" xr:uid="{00000000-0005-0000-0000-00001B9C0000}"/>
    <cellStyle name="Uwaga 2 4 51 3" xfId="39950" xr:uid="{00000000-0005-0000-0000-00001C9C0000}"/>
    <cellStyle name="Uwaga 2 4 52" xfId="39951" xr:uid="{00000000-0005-0000-0000-00001D9C0000}"/>
    <cellStyle name="Uwaga 2 4 52 2" xfId="39952" xr:uid="{00000000-0005-0000-0000-00001E9C0000}"/>
    <cellStyle name="Uwaga 2 4 52 3" xfId="39953" xr:uid="{00000000-0005-0000-0000-00001F9C0000}"/>
    <cellStyle name="Uwaga 2 4 53" xfId="39954" xr:uid="{00000000-0005-0000-0000-0000209C0000}"/>
    <cellStyle name="Uwaga 2 4 53 2" xfId="39955" xr:uid="{00000000-0005-0000-0000-0000219C0000}"/>
    <cellStyle name="Uwaga 2 4 53 3" xfId="39956" xr:uid="{00000000-0005-0000-0000-0000229C0000}"/>
    <cellStyle name="Uwaga 2 4 54" xfId="39957" xr:uid="{00000000-0005-0000-0000-0000239C0000}"/>
    <cellStyle name="Uwaga 2 4 54 2" xfId="39958" xr:uid="{00000000-0005-0000-0000-0000249C0000}"/>
    <cellStyle name="Uwaga 2 4 54 3" xfId="39959" xr:uid="{00000000-0005-0000-0000-0000259C0000}"/>
    <cellStyle name="Uwaga 2 4 55" xfId="39960" xr:uid="{00000000-0005-0000-0000-0000269C0000}"/>
    <cellStyle name="Uwaga 2 4 55 2" xfId="39961" xr:uid="{00000000-0005-0000-0000-0000279C0000}"/>
    <cellStyle name="Uwaga 2 4 55 3" xfId="39962" xr:uid="{00000000-0005-0000-0000-0000289C0000}"/>
    <cellStyle name="Uwaga 2 4 56" xfId="39963" xr:uid="{00000000-0005-0000-0000-0000299C0000}"/>
    <cellStyle name="Uwaga 2 4 56 2" xfId="39964" xr:uid="{00000000-0005-0000-0000-00002A9C0000}"/>
    <cellStyle name="Uwaga 2 4 56 3" xfId="39965" xr:uid="{00000000-0005-0000-0000-00002B9C0000}"/>
    <cellStyle name="Uwaga 2 4 57" xfId="39966" xr:uid="{00000000-0005-0000-0000-00002C9C0000}"/>
    <cellStyle name="Uwaga 2 4 58" xfId="39967" xr:uid="{00000000-0005-0000-0000-00002D9C0000}"/>
    <cellStyle name="Uwaga 2 4 59" xfId="39968" xr:uid="{00000000-0005-0000-0000-00002E9C0000}"/>
    <cellStyle name="Uwaga 2 4 6" xfId="39969" xr:uid="{00000000-0005-0000-0000-00002F9C0000}"/>
    <cellStyle name="Uwaga 2 4 6 2" xfId="39970" xr:uid="{00000000-0005-0000-0000-0000309C0000}"/>
    <cellStyle name="Uwaga 2 4 6 3" xfId="39971" xr:uid="{00000000-0005-0000-0000-0000319C0000}"/>
    <cellStyle name="Uwaga 2 4 6 4" xfId="39972" xr:uid="{00000000-0005-0000-0000-0000329C0000}"/>
    <cellStyle name="Uwaga 2 4 7" xfId="39973" xr:uid="{00000000-0005-0000-0000-0000339C0000}"/>
    <cellStyle name="Uwaga 2 4 7 2" xfId="39974" xr:uid="{00000000-0005-0000-0000-0000349C0000}"/>
    <cellStyle name="Uwaga 2 4 7 3" xfId="39975" xr:uid="{00000000-0005-0000-0000-0000359C0000}"/>
    <cellStyle name="Uwaga 2 4 7 4" xfId="39976" xr:uid="{00000000-0005-0000-0000-0000369C0000}"/>
    <cellStyle name="Uwaga 2 4 8" xfId="39977" xr:uid="{00000000-0005-0000-0000-0000379C0000}"/>
    <cellStyle name="Uwaga 2 4 8 2" xfId="39978" xr:uid="{00000000-0005-0000-0000-0000389C0000}"/>
    <cellStyle name="Uwaga 2 4 8 3" xfId="39979" xr:uid="{00000000-0005-0000-0000-0000399C0000}"/>
    <cellStyle name="Uwaga 2 4 8 4" xfId="39980" xr:uid="{00000000-0005-0000-0000-00003A9C0000}"/>
    <cellStyle name="Uwaga 2 4 9" xfId="39981" xr:uid="{00000000-0005-0000-0000-00003B9C0000}"/>
    <cellStyle name="Uwaga 2 4 9 2" xfId="39982" xr:uid="{00000000-0005-0000-0000-00003C9C0000}"/>
    <cellStyle name="Uwaga 2 4 9 3" xfId="39983" xr:uid="{00000000-0005-0000-0000-00003D9C0000}"/>
    <cellStyle name="Uwaga 2 4 9 4" xfId="39984" xr:uid="{00000000-0005-0000-0000-00003E9C0000}"/>
    <cellStyle name="Uwaga 2 40" xfId="39985" xr:uid="{00000000-0005-0000-0000-00003F9C0000}"/>
    <cellStyle name="Uwaga 2 40 2" xfId="39986" xr:uid="{00000000-0005-0000-0000-0000409C0000}"/>
    <cellStyle name="Uwaga 2 40 3" xfId="39987" xr:uid="{00000000-0005-0000-0000-0000419C0000}"/>
    <cellStyle name="Uwaga 2 40 4" xfId="39988" xr:uid="{00000000-0005-0000-0000-0000429C0000}"/>
    <cellStyle name="Uwaga 2 41" xfId="39989" xr:uid="{00000000-0005-0000-0000-0000439C0000}"/>
    <cellStyle name="Uwaga 2 41 2" xfId="39990" xr:uid="{00000000-0005-0000-0000-0000449C0000}"/>
    <cellStyle name="Uwaga 2 41 3" xfId="39991" xr:uid="{00000000-0005-0000-0000-0000459C0000}"/>
    <cellStyle name="Uwaga 2 41 4" xfId="39992" xr:uid="{00000000-0005-0000-0000-0000469C0000}"/>
    <cellStyle name="Uwaga 2 42" xfId="39993" xr:uid="{00000000-0005-0000-0000-0000479C0000}"/>
    <cellStyle name="Uwaga 2 42 2" xfId="39994" xr:uid="{00000000-0005-0000-0000-0000489C0000}"/>
    <cellStyle name="Uwaga 2 42 3" xfId="39995" xr:uid="{00000000-0005-0000-0000-0000499C0000}"/>
    <cellStyle name="Uwaga 2 42 4" xfId="39996" xr:uid="{00000000-0005-0000-0000-00004A9C0000}"/>
    <cellStyle name="Uwaga 2 43" xfId="39997" xr:uid="{00000000-0005-0000-0000-00004B9C0000}"/>
    <cellStyle name="Uwaga 2 43 2" xfId="39998" xr:uid="{00000000-0005-0000-0000-00004C9C0000}"/>
    <cellStyle name="Uwaga 2 43 3" xfId="39999" xr:uid="{00000000-0005-0000-0000-00004D9C0000}"/>
    <cellStyle name="Uwaga 2 43 4" xfId="40000" xr:uid="{00000000-0005-0000-0000-00004E9C0000}"/>
    <cellStyle name="Uwaga 2 44" xfId="40001" xr:uid="{00000000-0005-0000-0000-00004F9C0000}"/>
    <cellStyle name="Uwaga 2 44 2" xfId="40002" xr:uid="{00000000-0005-0000-0000-0000509C0000}"/>
    <cellStyle name="Uwaga 2 44 3" xfId="40003" xr:uid="{00000000-0005-0000-0000-0000519C0000}"/>
    <cellStyle name="Uwaga 2 44 4" xfId="40004" xr:uid="{00000000-0005-0000-0000-0000529C0000}"/>
    <cellStyle name="Uwaga 2 45" xfId="40005" xr:uid="{00000000-0005-0000-0000-0000539C0000}"/>
    <cellStyle name="Uwaga 2 45 2" xfId="40006" xr:uid="{00000000-0005-0000-0000-0000549C0000}"/>
    <cellStyle name="Uwaga 2 45 3" xfId="40007" xr:uid="{00000000-0005-0000-0000-0000559C0000}"/>
    <cellStyle name="Uwaga 2 45 4" xfId="40008" xr:uid="{00000000-0005-0000-0000-0000569C0000}"/>
    <cellStyle name="Uwaga 2 46" xfId="40009" xr:uid="{00000000-0005-0000-0000-0000579C0000}"/>
    <cellStyle name="Uwaga 2 46 2" xfId="40010" xr:uid="{00000000-0005-0000-0000-0000589C0000}"/>
    <cellStyle name="Uwaga 2 46 3" xfId="40011" xr:uid="{00000000-0005-0000-0000-0000599C0000}"/>
    <cellStyle name="Uwaga 2 46 4" xfId="40012" xr:uid="{00000000-0005-0000-0000-00005A9C0000}"/>
    <cellStyle name="Uwaga 2 47" xfId="40013" xr:uid="{00000000-0005-0000-0000-00005B9C0000}"/>
    <cellStyle name="Uwaga 2 47 2" xfId="40014" xr:uid="{00000000-0005-0000-0000-00005C9C0000}"/>
    <cellStyle name="Uwaga 2 47 3" xfId="40015" xr:uid="{00000000-0005-0000-0000-00005D9C0000}"/>
    <cellStyle name="Uwaga 2 47 4" xfId="40016" xr:uid="{00000000-0005-0000-0000-00005E9C0000}"/>
    <cellStyle name="Uwaga 2 48" xfId="40017" xr:uid="{00000000-0005-0000-0000-00005F9C0000}"/>
    <cellStyle name="Uwaga 2 48 2" xfId="40018" xr:uid="{00000000-0005-0000-0000-0000609C0000}"/>
    <cellStyle name="Uwaga 2 48 3" xfId="40019" xr:uid="{00000000-0005-0000-0000-0000619C0000}"/>
    <cellStyle name="Uwaga 2 48 4" xfId="40020" xr:uid="{00000000-0005-0000-0000-0000629C0000}"/>
    <cellStyle name="Uwaga 2 49" xfId="40021" xr:uid="{00000000-0005-0000-0000-0000639C0000}"/>
    <cellStyle name="Uwaga 2 49 2" xfId="40022" xr:uid="{00000000-0005-0000-0000-0000649C0000}"/>
    <cellStyle name="Uwaga 2 49 3" xfId="40023" xr:uid="{00000000-0005-0000-0000-0000659C0000}"/>
    <cellStyle name="Uwaga 2 49 4" xfId="40024" xr:uid="{00000000-0005-0000-0000-0000669C0000}"/>
    <cellStyle name="Uwaga 2 5" xfId="40025" xr:uid="{00000000-0005-0000-0000-0000679C0000}"/>
    <cellStyle name="Uwaga 2 5 10" xfId="40026" xr:uid="{00000000-0005-0000-0000-0000689C0000}"/>
    <cellStyle name="Uwaga 2 5 10 2" xfId="40027" xr:uid="{00000000-0005-0000-0000-0000699C0000}"/>
    <cellStyle name="Uwaga 2 5 10 3" xfId="40028" xr:uid="{00000000-0005-0000-0000-00006A9C0000}"/>
    <cellStyle name="Uwaga 2 5 10 4" xfId="40029" xr:uid="{00000000-0005-0000-0000-00006B9C0000}"/>
    <cellStyle name="Uwaga 2 5 11" xfId="40030" xr:uid="{00000000-0005-0000-0000-00006C9C0000}"/>
    <cellStyle name="Uwaga 2 5 11 2" xfId="40031" xr:uid="{00000000-0005-0000-0000-00006D9C0000}"/>
    <cellStyle name="Uwaga 2 5 11 3" xfId="40032" xr:uid="{00000000-0005-0000-0000-00006E9C0000}"/>
    <cellStyle name="Uwaga 2 5 11 4" xfId="40033" xr:uid="{00000000-0005-0000-0000-00006F9C0000}"/>
    <cellStyle name="Uwaga 2 5 12" xfId="40034" xr:uid="{00000000-0005-0000-0000-0000709C0000}"/>
    <cellStyle name="Uwaga 2 5 12 2" xfId="40035" xr:uid="{00000000-0005-0000-0000-0000719C0000}"/>
    <cellStyle name="Uwaga 2 5 12 3" xfId="40036" xr:uid="{00000000-0005-0000-0000-0000729C0000}"/>
    <cellStyle name="Uwaga 2 5 12 4" xfId="40037" xr:uid="{00000000-0005-0000-0000-0000739C0000}"/>
    <cellStyle name="Uwaga 2 5 13" xfId="40038" xr:uid="{00000000-0005-0000-0000-0000749C0000}"/>
    <cellStyle name="Uwaga 2 5 13 2" xfId="40039" xr:uid="{00000000-0005-0000-0000-0000759C0000}"/>
    <cellStyle name="Uwaga 2 5 13 3" xfId="40040" xr:uid="{00000000-0005-0000-0000-0000769C0000}"/>
    <cellStyle name="Uwaga 2 5 13 4" xfId="40041" xr:uid="{00000000-0005-0000-0000-0000779C0000}"/>
    <cellStyle name="Uwaga 2 5 14" xfId="40042" xr:uid="{00000000-0005-0000-0000-0000789C0000}"/>
    <cellStyle name="Uwaga 2 5 14 2" xfId="40043" xr:uid="{00000000-0005-0000-0000-0000799C0000}"/>
    <cellStyle name="Uwaga 2 5 14 3" xfId="40044" xr:uid="{00000000-0005-0000-0000-00007A9C0000}"/>
    <cellStyle name="Uwaga 2 5 14 4" xfId="40045" xr:uid="{00000000-0005-0000-0000-00007B9C0000}"/>
    <cellStyle name="Uwaga 2 5 15" xfId="40046" xr:uid="{00000000-0005-0000-0000-00007C9C0000}"/>
    <cellStyle name="Uwaga 2 5 15 2" xfId="40047" xr:uid="{00000000-0005-0000-0000-00007D9C0000}"/>
    <cellStyle name="Uwaga 2 5 15 3" xfId="40048" xr:uid="{00000000-0005-0000-0000-00007E9C0000}"/>
    <cellStyle name="Uwaga 2 5 15 4" xfId="40049" xr:uid="{00000000-0005-0000-0000-00007F9C0000}"/>
    <cellStyle name="Uwaga 2 5 16" xfId="40050" xr:uid="{00000000-0005-0000-0000-0000809C0000}"/>
    <cellStyle name="Uwaga 2 5 16 2" xfId="40051" xr:uid="{00000000-0005-0000-0000-0000819C0000}"/>
    <cellStyle name="Uwaga 2 5 16 3" xfId="40052" xr:uid="{00000000-0005-0000-0000-0000829C0000}"/>
    <cellStyle name="Uwaga 2 5 16 4" xfId="40053" xr:uid="{00000000-0005-0000-0000-0000839C0000}"/>
    <cellStyle name="Uwaga 2 5 17" xfId="40054" xr:uid="{00000000-0005-0000-0000-0000849C0000}"/>
    <cellStyle name="Uwaga 2 5 17 2" xfId="40055" xr:uid="{00000000-0005-0000-0000-0000859C0000}"/>
    <cellStyle name="Uwaga 2 5 17 3" xfId="40056" xr:uid="{00000000-0005-0000-0000-0000869C0000}"/>
    <cellStyle name="Uwaga 2 5 17 4" xfId="40057" xr:uid="{00000000-0005-0000-0000-0000879C0000}"/>
    <cellStyle name="Uwaga 2 5 18" xfId="40058" xr:uid="{00000000-0005-0000-0000-0000889C0000}"/>
    <cellStyle name="Uwaga 2 5 18 2" xfId="40059" xr:uid="{00000000-0005-0000-0000-0000899C0000}"/>
    <cellStyle name="Uwaga 2 5 18 3" xfId="40060" xr:uid="{00000000-0005-0000-0000-00008A9C0000}"/>
    <cellStyle name="Uwaga 2 5 18 4" xfId="40061" xr:uid="{00000000-0005-0000-0000-00008B9C0000}"/>
    <cellStyle name="Uwaga 2 5 19" xfId="40062" xr:uid="{00000000-0005-0000-0000-00008C9C0000}"/>
    <cellStyle name="Uwaga 2 5 19 2" xfId="40063" xr:uid="{00000000-0005-0000-0000-00008D9C0000}"/>
    <cellStyle name="Uwaga 2 5 19 3" xfId="40064" xr:uid="{00000000-0005-0000-0000-00008E9C0000}"/>
    <cellStyle name="Uwaga 2 5 19 4" xfId="40065" xr:uid="{00000000-0005-0000-0000-00008F9C0000}"/>
    <cellStyle name="Uwaga 2 5 2" xfId="40066" xr:uid="{00000000-0005-0000-0000-0000909C0000}"/>
    <cellStyle name="Uwaga 2 5 2 2" xfId="40067" xr:uid="{00000000-0005-0000-0000-0000919C0000}"/>
    <cellStyle name="Uwaga 2 5 2 3" xfId="40068" xr:uid="{00000000-0005-0000-0000-0000929C0000}"/>
    <cellStyle name="Uwaga 2 5 2 4" xfId="40069" xr:uid="{00000000-0005-0000-0000-0000939C0000}"/>
    <cellStyle name="Uwaga 2 5 20" xfId="40070" xr:uid="{00000000-0005-0000-0000-0000949C0000}"/>
    <cellStyle name="Uwaga 2 5 20 2" xfId="40071" xr:uid="{00000000-0005-0000-0000-0000959C0000}"/>
    <cellStyle name="Uwaga 2 5 20 3" xfId="40072" xr:uid="{00000000-0005-0000-0000-0000969C0000}"/>
    <cellStyle name="Uwaga 2 5 20 4" xfId="40073" xr:uid="{00000000-0005-0000-0000-0000979C0000}"/>
    <cellStyle name="Uwaga 2 5 21" xfId="40074" xr:uid="{00000000-0005-0000-0000-0000989C0000}"/>
    <cellStyle name="Uwaga 2 5 21 2" xfId="40075" xr:uid="{00000000-0005-0000-0000-0000999C0000}"/>
    <cellStyle name="Uwaga 2 5 21 3" xfId="40076" xr:uid="{00000000-0005-0000-0000-00009A9C0000}"/>
    <cellStyle name="Uwaga 2 5 22" xfId="40077" xr:uid="{00000000-0005-0000-0000-00009B9C0000}"/>
    <cellStyle name="Uwaga 2 5 22 2" xfId="40078" xr:uid="{00000000-0005-0000-0000-00009C9C0000}"/>
    <cellStyle name="Uwaga 2 5 22 3" xfId="40079" xr:uid="{00000000-0005-0000-0000-00009D9C0000}"/>
    <cellStyle name="Uwaga 2 5 23" xfId="40080" xr:uid="{00000000-0005-0000-0000-00009E9C0000}"/>
    <cellStyle name="Uwaga 2 5 23 2" xfId="40081" xr:uid="{00000000-0005-0000-0000-00009F9C0000}"/>
    <cellStyle name="Uwaga 2 5 23 3" xfId="40082" xr:uid="{00000000-0005-0000-0000-0000A09C0000}"/>
    <cellStyle name="Uwaga 2 5 24" xfId="40083" xr:uid="{00000000-0005-0000-0000-0000A19C0000}"/>
    <cellStyle name="Uwaga 2 5 24 2" xfId="40084" xr:uid="{00000000-0005-0000-0000-0000A29C0000}"/>
    <cellStyle name="Uwaga 2 5 24 3" xfId="40085" xr:uid="{00000000-0005-0000-0000-0000A39C0000}"/>
    <cellStyle name="Uwaga 2 5 25" xfId="40086" xr:uid="{00000000-0005-0000-0000-0000A49C0000}"/>
    <cellStyle name="Uwaga 2 5 25 2" xfId="40087" xr:uid="{00000000-0005-0000-0000-0000A59C0000}"/>
    <cellStyle name="Uwaga 2 5 25 3" xfId="40088" xr:uid="{00000000-0005-0000-0000-0000A69C0000}"/>
    <cellStyle name="Uwaga 2 5 26" xfId="40089" xr:uid="{00000000-0005-0000-0000-0000A79C0000}"/>
    <cellStyle name="Uwaga 2 5 26 2" xfId="40090" xr:uid="{00000000-0005-0000-0000-0000A89C0000}"/>
    <cellStyle name="Uwaga 2 5 26 3" xfId="40091" xr:uid="{00000000-0005-0000-0000-0000A99C0000}"/>
    <cellStyle name="Uwaga 2 5 27" xfId="40092" xr:uid="{00000000-0005-0000-0000-0000AA9C0000}"/>
    <cellStyle name="Uwaga 2 5 27 2" xfId="40093" xr:uid="{00000000-0005-0000-0000-0000AB9C0000}"/>
    <cellStyle name="Uwaga 2 5 27 3" xfId="40094" xr:uid="{00000000-0005-0000-0000-0000AC9C0000}"/>
    <cellStyle name="Uwaga 2 5 28" xfId="40095" xr:uid="{00000000-0005-0000-0000-0000AD9C0000}"/>
    <cellStyle name="Uwaga 2 5 28 2" xfId="40096" xr:uid="{00000000-0005-0000-0000-0000AE9C0000}"/>
    <cellStyle name="Uwaga 2 5 28 3" xfId="40097" xr:uid="{00000000-0005-0000-0000-0000AF9C0000}"/>
    <cellStyle name="Uwaga 2 5 29" xfId="40098" xr:uid="{00000000-0005-0000-0000-0000B09C0000}"/>
    <cellStyle name="Uwaga 2 5 29 2" xfId="40099" xr:uid="{00000000-0005-0000-0000-0000B19C0000}"/>
    <cellStyle name="Uwaga 2 5 29 3" xfId="40100" xr:uid="{00000000-0005-0000-0000-0000B29C0000}"/>
    <cellStyle name="Uwaga 2 5 3" xfId="40101" xr:uid="{00000000-0005-0000-0000-0000B39C0000}"/>
    <cellStyle name="Uwaga 2 5 3 2" xfId="40102" xr:uid="{00000000-0005-0000-0000-0000B49C0000}"/>
    <cellStyle name="Uwaga 2 5 3 3" xfId="40103" xr:uid="{00000000-0005-0000-0000-0000B59C0000}"/>
    <cellStyle name="Uwaga 2 5 3 4" xfId="40104" xr:uid="{00000000-0005-0000-0000-0000B69C0000}"/>
    <cellStyle name="Uwaga 2 5 30" xfId="40105" xr:uid="{00000000-0005-0000-0000-0000B79C0000}"/>
    <cellStyle name="Uwaga 2 5 30 2" xfId="40106" xr:uid="{00000000-0005-0000-0000-0000B89C0000}"/>
    <cellStyle name="Uwaga 2 5 30 3" xfId="40107" xr:uid="{00000000-0005-0000-0000-0000B99C0000}"/>
    <cellStyle name="Uwaga 2 5 31" xfId="40108" xr:uid="{00000000-0005-0000-0000-0000BA9C0000}"/>
    <cellStyle name="Uwaga 2 5 31 2" xfId="40109" xr:uid="{00000000-0005-0000-0000-0000BB9C0000}"/>
    <cellStyle name="Uwaga 2 5 31 3" xfId="40110" xr:uid="{00000000-0005-0000-0000-0000BC9C0000}"/>
    <cellStyle name="Uwaga 2 5 32" xfId="40111" xr:uid="{00000000-0005-0000-0000-0000BD9C0000}"/>
    <cellStyle name="Uwaga 2 5 32 2" xfId="40112" xr:uid="{00000000-0005-0000-0000-0000BE9C0000}"/>
    <cellStyle name="Uwaga 2 5 32 3" xfId="40113" xr:uid="{00000000-0005-0000-0000-0000BF9C0000}"/>
    <cellStyle name="Uwaga 2 5 33" xfId="40114" xr:uid="{00000000-0005-0000-0000-0000C09C0000}"/>
    <cellStyle name="Uwaga 2 5 33 2" xfId="40115" xr:uid="{00000000-0005-0000-0000-0000C19C0000}"/>
    <cellStyle name="Uwaga 2 5 33 3" xfId="40116" xr:uid="{00000000-0005-0000-0000-0000C29C0000}"/>
    <cellStyle name="Uwaga 2 5 34" xfId="40117" xr:uid="{00000000-0005-0000-0000-0000C39C0000}"/>
    <cellStyle name="Uwaga 2 5 34 2" xfId="40118" xr:uid="{00000000-0005-0000-0000-0000C49C0000}"/>
    <cellStyle name="Uwaga 2 5 34 3" xfId="40119" xr:uid="{00000000-0005-0000-0000-0000C59C0000}"/>
    <cellStyle name="Uwaga 2 5 35" xfId="40120" xr:uid="{00000000-0005-0000-0000-0000C69C0000}"/>
    <cellStyle name="Uwaga 2 5 35 2" xfId="40121" xr:uid="{00000000-0005-0000-0000-0000C79C0000}"/>
    <cellStyle name="Uwaga 2 5 35 3" xfId="40122" xr:uid="{00000000-0005-0000-0000-0000C89C0000}"/>
    <cellStyle name="Uwaga 2 5 36" xfId="40123" xr:uid="{00000000-0005-0000-0000-0000C99C0000}"/>
    <cellStyle name="Uwaga 2 5 36 2" xfId="40124" xr:uid="{00000000-0005-0000-0000-0000CA9C0000}"/>
    <cellStyle name="Uwaga 2 5 36 3" xfId="40125" xr:uid="{00000000-0005-0000-0000-0000CB9C0000}"/>
    <cellStyle name="Uwaga 2 5 37" xfId="40126" xr:uid="{00000000-0005-0000-0000-0000CC9C0000}"/>
    <cellStyle name="Uwaga 2 5 37 2" xfId="40127" xr:uid="{00000000-0005-0000-0000-0000CD9C0000}"/>
    <cellStyle name="Uwaga 2 5 37 3" xfId="40128" xr:uid="{00000000-0005-0000-0000-0000CE9C0000}"/>
    <cellStyle name="Uwaga 2 5 38" xfId="40129" xr:uid="{00000000-0005-0000-0000-0000CF9C0000}"/>
    <cellStyle name="Uwaga 2 5 38 2" xfId="40130" xr:uid="{00000000-0005-0000-0000-0000D09C0000}"/>
    <cellStyle name="Uwaga 2 5 38 3" xfId="40131" xr:uid="{00000000-0005-0000-0000-0000D19C0000}"/>
    <cellStyle name="Uwaga 2 5 39" xfId="40132" xr:uid="{00000000-0005-0000-0000-0000D29C0000}"/>
    <cellStyle name="Uwaga 2 5 39 2" xfId="40133" xr:uid="{00000000-0005-0000-0000-0000D39C0000}"/>
    <cellStyle name="Uwaga 2 5 39 3" xfId="40134" xr:uid="{00000000-0005-0000-0000-0000D49C0000}"/>
    <cellStyle name="Uwaga 2 5 4" xfId="40135" xr:uid="{00000000-0005-0000-0000-0000D59C0000}"/>
    <cellStyle name="Uwaga 2 5 4 2" xfId="40136" xr:uid="{00000000-0005-0000-0000-0000D69C0000}"/>
    <cellStyle name="Uwaga 2 5 4 3" xfId="40137" xr:uid="{00000000-0005-0000-0000-0000D79C0000}"/>
    <cellStyle name="Uwaga 2 5 4 4" xfId="40138" xr:uid="{00000000-0005-0000-0000-0000D89C0000}"/>
    <cellStyle name="Uwaga 2 5 40" xfId="40139" xr:uid="{00000000-0005-0000-0000-0000D99C0000}"/>
    <cellStyle name="Uwaga 2 5 40 2" xfId="40140" xr:uid="{00000000-0005-0000-0000-0000DA9C0000}"/>
    <cellStyle name="Uwaga 2 5 40 3" xfId="40141" xr:uid="{00000000-0005-0000-0000-0000DB9C0000}"/>
    <cellStyle name="Uwaga 2 5 41" xfId="40142" xr:uid="{00000000-0005-0000-0000-0000DC9C0000}"/>
    <cellStyle name="Uwaga 2 5 41 2" xfId="40143" xr:uid="{00000000-0005-0000-0000-0000DD9C0000}"/>
    <cellStyle name="Uwaga 2 5 41 3" xfId="40144" xr:uid="{00000000-0005-0000-0000-0000DE9C0000}"/>
    <cellStyle name="Uwaga 2 5 42" xfId="40145" xr:uid="{00000000-0005-0000-0000-0000DF9C0000}"/>
    <cellStyle name="Uwaga 2 5 42 2" xfId="40146" xr:uid="{00000000-0005-0000-0000-0000E09C0000}"/>
    <cellStyle name="Uwaga 2 5 42 3" xfId="40147" xr:uid="{00000000-0005-0000-0000-0000E19C0000}"/>
    <cellStyle name="Uwaga 2 5 43" xfId="40148" xr:uid="{00000000-0005-0000-0000-0000E29C0000}"/>
    <cellStyle name="Uwaga 2 5 43 2" xfId="40149" xr:uid="{00000000-0005-0000-0000-0000E39C0000}"/>
    <cellStyle name="Uwaga 2 5 43 3" xfId="40150" xr:uid="{00000000-0005-0000-0000-0000E49C0000}"/>
    <cellStyle name="Uwaga 2 5 44" xfId="40151" xr:uid="{00000000-0005-0000-0000-0000E59C0000}"/>
    <cellStyle name="Uwaga 2 5 44 2" xfId="40152" xr:uid="{00000000-0005-0000-0000-0000E69C0000}"/>
    <cellStyle name="Uwaga 2 5 44 3" xfId="40153" xr:uid="{00000000-0005-0000-0000-0000E79C0000}"/>
    <cellStyle name="Uwaga 2 5 45" xfId="40154" xr:uid="{00000000-0005-0000-0000-0000E89C0000}"/>
    <cellStyle name="Uwaga 2 5 45 2" xfId="40155" xr:uid="{00000000-0005-0000-0000-0000E99C0000}"/>
    <cellStyle name="Uwaga 2 5 45 3" xfId="40156" xr:uid="{00000000-0005-0000-0000-0000EA9C0000}"/>
    <cellStyle name="Uwaga 2 5 46" xfId="40157" xr:uid="{00000000-0005-0000-0000-0000EB9C0000}"/>
    <cellStyle name="Uwaga 2 5 46 2" xfId="40158" xr:uid="{00000000-0005-0000-0000-0000EC9C0000}"/>
    <cellStyle name="Uwaga 2 5 46 3" xfId="40159" xr:uid="{00000000-0005-0000-0000-0000ED9C0000}"/>
    <cellStyle name="Uwaga 2 5 47" xfId="40160" xr:uid="{00000000-0005-0000-0000-0000EE9C0000}"/>
    <cellStyle name="Uwaga 2 5 47 2" xfId="40161" xr:uid="{00000000-0005-0000-0000-0000EF9C0000}"/>
    <cellStyle name="Uwaga 2 5 47 3" xfId="40162" xr:uid="{00000000-0005-0000-0000-0000F09C0000}"/>
    <cellStyle name="Uwaga 2 5 48" xfId="40163" xr:uid="{00000000-0005-0000-0000-0000F19C0000}"/>
    <cellStyle name="Uwaga 2 5 48 2" xfId="40164" xr:uid="{00000000-0005-0000-0000-0000F29C0000}"/>
    <cellStyle name="Uwaga 2 5 48 3" xfId="40165" xr:uid="{00000000-0005-0000-0000-0000F39C0000}"/>
    <cellStyle name="Uwaga 2 5 49" xfId="40166" xr:uid="{00000000-0005-0000-0000-0000F49C0000}"/>
    <cellStyle name="Uwaga 2 5 49 2" xfId="40167" xr:uid="{00000000-0005-0000-0000-0000F59C0000}"/>
    <cellStyle name="Uwaga 2 5 49 3" xfId="40168" xr:uid="{00000000-0005-0000-0000-0000F69C0000}"/>
    <cellStyle name="Uwaga 2 5 5" xfId="40169" xr:uid="{00000000-0005-0000-0000-0000F79C0000}"/>
    <cellStyle name="Uwaga 2 5 5 2" xfId="40170" xr:uid="{00000000-0005-0000-0000-0000F89C0000}"/>
    <cellStyle name="Uwaga 2 5 5 3" xfId="40171" xr:uid="{00000000-0005-0000-0000-0000F99C0000}"/>
    <cellStyle name="Uwaga 2 5 5 4" xfId="40172" xr:uid="{00000000-0005-0000-0000-0000FA9C0000}"/>
    <cellStyle name="Uwaga 2 5 50" xfId="40173" xr:uid="{00000000-0005-0000-0000-0000FB9C0000}"/>
    <cellStyle name="Uwaga 2 5 50 2" xfId="40174" xr:uid="{00000000-0005-0000-0000-0000FC9C0000}"/>
    <cellStyle name="Uwaga 2 5 50 3" xfId="40175" xr:uid="{00000000-0005-0000-0000-0000FD9C0000}"/>
    <cellStyle name="Uwaga 2 5 51" xfId="40176" xr:uid="{00000000-0005-0000-0000-0000FE9C0000}"/>
    <cellStyle name="Uwaga 2 5 51 2" xfId="40177" xr:uid="{00000000-0005-0000-0000-0000FF9C0000}"/>
    <cellStyle name="Uwaga 2 5 51 3" xfId="40178" xr:uid="{00000000-0005-0000-0000-0000009D0000}"/>
    <cellStyle name="Uwaga 2 5 52" xfId="40179" xr:uid="{00000000-0005-0000-0000-0000019D0000}"/>
    <cellStyle name="Uwaga 2 5 52 2" xfId="40180" xr:uid="{00000000-0005-0000-0000-0000029D0000}"/>
    <cellStyle name="Uwaga 2 5 52 3" xfId="40181" xr:uid="{00000000-0005-0000-0000-0000039D0000}"/>
    <cellStyle name="Uwaga 2 5 53" xfId="40182" xr:uid="{00000000-0005-0000-0000-0000049D0000}"/>
    <cellStyle name="Uwaga 2 5 53 2" xfId="40183" xr:uid="{00000000-0005-0000-0000-0000059D0000}"/>
    <cellStyle name="Uwaga 2 5 53 3" xfId="40184" xr:uid="{00000000-0005-0000-0000-0000069D0000}"/>
    <cellStyle name="Uwaga 2 5 54" xfId="40185" xr:uid="{00000000-0005-0000-0000-0000079D0000}"/>
    <cellStyle name="Uwaga 2 5 54 2" xfId="40186" xr:uid="{00000000-0005-0000-0000-0000089D0000}"/>
    <cellStyle name="Uwaga 2 5 54 3" xfId="40187" xr:uid="{00000000-0005-0000-0000-0000099D0000}"/>
    <cellStyle name="Uwaga 2 5 55" xfId="40188" xr:uid="{00000000-0005-0000-0000-00000A9D0000}"/>
    <cellStyle name="Uwaga 2 5 55 2" xfId="40189" xr:uid="{00000000-0005-0000-0000-00000B9D0000}"/>
    <cellStyle name="Uwaga 2 5 55 3" xfId="40190" xr:uid="{00000000-0005-0000-0000-00000C9D0000}"/>
    <cellStyle name="Uwaga 2 5 56" xfId="40191" xr:uid="{00000000-0005-0000-0000-00000D9D0000}"/>
    <cellStyle name="Uwaga 2 5 56 2" xfId="40192" xr:uid="{00000000-0005-0000-0000-00000E9D0000}"/>
    <cellStyle name="Uwaga 2 5 56 3" xfId="40193" xr:uid="{00000000-0005-0000-0000-00000F9D0000}"/>
    <cellStyle name="Uwaga 2 5 57" xfId="40194" xr:uid="{00000000-0005-0000-0000-0000109D0000}"/>
    <cellStyle name="Uwaga 2 5 58" xfId="40195" xr:uid="{00000000-0005-0000-0000-0000119D0000}"/>
    <cellStyle name="Uwaga 2 5 6" xfId="40196" xr:uid="{00000000-0005-0000-0000-0000129D0000}"/>
    <cellStyle name="Uwaga 2 5 6 2" xfId="40197" xr:uid="{00000000-0005-0000-0000-0000139D0000}"/>
    <cellStyle name="Uwaga 2 5 6 3" xfId="40198" xr:uid="{00000000-0005-0000-0000-0000149D0000}"/>
    <cellStyle name="Uwaga 2 5 6 4" xfId="40199" xr:uid="{00000000-0005-0000-0000-0000159D0000}"/>
    <cellStyle name="Uwaga 2 5 7" xfId="40200" xr:uid="{00000000-0005-0000-0000-0000169D0000}"/>
    <cellStyle name="Uwaga 2 5 7 2" xfId="40201" xr:uid="{00000000-0005-0000-0000-0000179D0000}"/>
    <cellStyle name="Uwaga 2 5 7 3" xfId="40202" xr:uid="{00000000-0005-0000-0000-0000189D0000}"/>
    <cellStyle name="Uwaga 2 5 7 4" xfId="40203" xr:uid="{00000000-0005-0000-0000-0000199D0000}"/>
    <cellStyle name="Uwaga 2 5 8" xfId="40204" xr:uid="{00000000-0005-0000-0000-00001A9D0000}"/>
    <cellStyle name="Uwaga 2 5 8 2" xfId="40205" xr:uid="{00000000-0005-0000-0000-00001B9D0000}"/>
    <cellStyle name="Uwaga 2 5 8 3" xfId="40206" xr:uid="{00000000-0005-0000-0000-00001C9D0000}"/>
    <cellStyle name="Uwaga 2 5 8 4" xfId="40207" xr:uid="{00000000-0005-0000-0000-00001D9D0000}"/>
    <cellStyle name="Uwaga 2 5 9" xfId="40208" xr:uid="{00000000-0005-0000-0000-00001E9D0000}"/>
    <cellStyle name="Uwaga 2 5 9 2" xfId="40209" xr:uid="{00000000-0005-0000-0000-00001F9D0000}"/>
    <cellStyle name="Uwaga 2 5 9 3" xfId="40210" xr:uid="{00000000-0005-0000-0000-0000209D0000}"/>
    <cellStyle name="Uwaga 2 5 9 4" xfId="40211" xr:uid="{00000000-0005-0000-0000-0000219D0000}"/>
    <cellStyle name="Uwaga 2 50" xfId="40212" xr:uid="{00000000-0005-0000-0000-0000229D0000}"/>
    <cellStyle name="Uwaga 2 50 2" xfId="40213" xr:uid="{00000000-0005-0000-0000-0000239D0000}"/>
    <cellStyle name="Uwaga 2 50 3" xfId="40214" xr:uid="{00000000-0005-0000-0000-0000249D0000}"/>
    <cellStyle name="Uwaga 2 50 4" xfId="40215" xr:uid="{00000000-0005-0000-0000-0000259D0000}"/>
    <cellStyle name="Uwaga 2 51" xfId="40216" xr:uid="{00000000-0005-0000-0000-0000269D0000}"/>
    <cellStyle name="Uwaga 2 51 2" xfId="40217" xr:uid="{00000000-0005-0000-0000-0000279D0000}"/>
    <cellStyle name="Uwaga 2 51 3" xfId="40218" xr:uid="{00000000-0005-0000-0000-0000289D0000}"/>
    <cellStyle name="Uwaga 2 51 4" xfId="40219" xr:uid="{00000000-0005-0000-0000-0000299D0000}"/>
    <cellStyle name="Uwaga 2 52" xfId="40220" xr:uid="{00000000-0005-0000-0000-00002A9D0000}"/>
    <cellStyle name="Uwaga 2 52 2" xfId="40221" xr:uid="{00000000-0005-0000-0000-00002B9D0000}"/>
    <cellStyle name="Uwaga 2 52 3" xfId="40222" xr:uid="{00000000-0005-0000-0000-00002C9D0000}"/>
    <cellStyle name="Uwaga 2 52 4" xfId="40223" xr:uid="{00000000-0005-0000-0000-00002D9D0000}"/>
    <cellStyle name="Uwaga 2 53" xfId="40224" xr:uid="{00000000-0005-0000-0000-00002E9D0000}"/>
    <cellStyle name="Uwaga 2 53 2" xfId="40225" xr:uid="{00000000-0005-0000-0000-00002F9D0000}"/>
    <cellStyle name="Uwaga 2 53 3" xfId="40226" xr:uid="{00000000-0005-0000-0000-0000309D0000}"/>
    <cellStyle name="Uwaga 2 53 4" xfId="40227" xr:uid="{00000000-0005-0000-0000-0000319D0000}"/>
    <cellStyle name="Uwaga 2 54" xfId="40228" xr:uid="{00000000-0005-0000-0000-0000329D0000}"/>
    <cellStyle name="Uwaga 2 54 2" xfId="40229" xr:uid="{00000000-0005-0000-0000-0000339D0000}"/>
    <cellStyle name="Uwaga 2 54 3" xfId="40230" xr:uid="{00000000-0005-0000-0000-0000349D0000}"/>
    <cellStyle name="Uwaga 2 54 4" xfId="40231" xr:uid="{00000000-0005-0000-0000-0000359D0000}"/>
    <cellStyle name="Uwaga 2 55" xfId="40232" xr:uid="{00000000-0005-0000-0000-0000369D0000}"/>
    <cellStyle name="Uwaga 2 55 2" xfId="40233" xr:uid="{00000000-0005-0000-0000-0000379D0000}"/>
    <cellStyle name="Uwaga 2 55 3" xfId="40234" xr:uid="{00000000-0005-0000-0000-0000389D0000}"/>
    <cellStyle name="Uwaga 2 55 4" xfId="40235" xr:uid="{00000000-0005-0000-0000-0000399D0000}"/>
    <cellStyle name="Uwaga 2 56" xfId="40236" xr:uid="{00000000-0005-0000-0000-00003A9D0000}"/>
    <cellStyle name="Uwaga 2 56 2" xfId="40237" xr:uid="{00000000-0005-0000-0000-00003B9D0000}"/>
    <cellStyle name="Uwaga 2 56 3" xfId="40238" xr:uid="{00000000-0005-0000-0000-00003C9D0000}"/>
    <cellStyle name="Uwaga 2 56 4" xfId="40239" xr:uid="{00000000-0005-0000-0000-00003D9D0000}"/>
    <cellStyle name="Uwaga 2 57" xfId="40240" xr:uid="{00000000-0005-0000-0000-00003E9D0000}"/>
    <cellStyle name="Uwaga 2 57 2" xfId="40241" xr:uid="{00000000-0005-0000-0000-00003F9D0000}"/>
    <cellStyle name="Uwaga 2 57 3" xfId="40242" xr:uid="{00000000-0005-0000-0000-0000409D0000}"/>
    <cellStyle name="Uwaga 2 57 4" xfId="40243" xr:uid="{00000000-0005-0000-0000-0000419D0000}"/>
    <cellStyle name="Uwaga 2 58" xfId="40244" xr:uid="{00000000-0005-0000-0000-0000429D0000}"/>
    <cellStyle name="Uwaga 2 58 2" xfId="40245" xr:uid="{00000000-0005-0000-0000-0000439D0000}"/>
    <cellStyle name="Uwaga 2 58 3" xfId="40246" xr:uid="{00000000-0005-0000-0000-0000449D0000}"/>
    <cellStyle name="Uwaga 2 58 4" xfId="40247" xr:uid="{00000000-0005-0000-0000-0000459D0000}"/>
    <cellStyle name="Uwaga 2 59" xfId="40248" xr:uid="{00000000-0005-0000-0000-0000469D0000}"/>
    <cellStyle name="Uwaga 2 59 2" xfId="40249" xr:uid="{00000000-0005-0000-0000-0000479D0000}"/>
    <cellStyle name="Uwaga 2 59 3" xfId="40250" xr:uid="{00000000-0005-0000-0000-0000489D0000}"/>
    <cellStyle name="Uwaga 2 59 4" xfId="40251" xr:uid="{00000000-0005-0000-0000-0000499D0000}"/>
    <cellStyle name="Uwaga 2 6" xfId="40252" xr:uid="{00000000-0005-0000-0000-00004A9D0000}"/>
    <cellStyle name="Uwaga 2 6 10" xfId="40253" xr:uid="{00000000-0005-0000-0000-00004B9D0000}"/>
    <cellStyle name="Uwaga 2 6 10 2" xfId="40254" xr:uid="{00000000-0005-0000-0000-00004C9D0000}"/>
    <cellStyle name="Uwaga 2 6 10 3" xfId="40255" xr:uid="{00000000-0005-0000-0000-00004D9D0000}"/>
    <cellStyle name="Uwaga 2 6 10 4" xfId="40256" xr:uid="{00000000-0005-0000-0000-00004E9D0000}"/>
    <cellStyle name="Uwaga 2 6 11" xfId="40257" xr:uid="{00000000-0005-0000-0000-00004F9D0000}"/>
    <cellStyle name="Uwaga 2 6 11 2" xfId="40258" xr:uid="{00000000-0005-0000-0000-0000509D0000}"/>
    <cellStyle name="Uwaga 2 6 11 3" xfId="40259" xr:uid="{00000000-0005-0000-0000-0000519D0000}"/>
    <cellStyle name="Uwaga 2 6 11 4" xfId="40260" xr:uid="{00000000-0005-0000-0000-0000529D0000}"/>
    <cellStyle name="Uwaga 2 6 12" xfId="40261" xr:uid="{00000000-0005-0000-0000-0000539D0000}"/>
    <cellStyle name="Uwaga 2 6 12 2" xfId="40262" xr:uid="{00000000-0005-0000-0000-0000549D0000}"/>
    <cellStyle name="Uwaga 2 6 12 3" xfId="40263" xr:uid="{00000000-0005-0000-0000-0000559D0000}"/>
    <cellStyle name="Uwaga 2 6 12 4" xfId="40264" xr:uid="{00000000-0005-0000-0000-0000569D0000}"/>
    <cellStyle name="Uwaga 2 6 13" xfId="40265" xr:uid="{00000000-0005-0000-0000-0000579D0000}"/>
    <cellStyle name="Uwaga 2 6 13 2" xfId="40266" xr:uid="{00000000-0005-0000-0000-0000589D0000}"/>
    <cellStyle name="Uwaga 2 6 13 3" xfId="40267" xr:uid="{00000000-0005-0000-0000-0000599D0000}"/>
    <cellStyle name="Uwaga 2 6 13 4" xfId="40268" xr:uid="{00000000-0005-0000-0000-00005A9D0000}"/>
    <cellStyle name="Uwaga 2 6 14" xfId="40269" xr:uid="{00000000-0005-0000-0000-00005B9D0000}"/>
    <cellStyle name="Uwaga 2 6 14 2" xfId="40270" xr:uid="{00000000-0005-0000-0000-00005C9D0000}"/>
    <cellStyle name="Uwaga 2 6 14 3" xfId="40271" xr:uid="{00000000-0005-0000-0000-00005D9D0000}"/>
    <cellStyle name="Uwaga 2 6 14 4" xfId="40272" xr:uid="{00000000-0005-0000-0000-00005E9D0000}"/>
    <cellStyle name="Uwaga 2 6 15" xfId="40273" xr:uid="{00000000-0005-0000-0000-00005F9D0000}"/>
    <cellStyle name="Uwaga 2 6 15 2" xfId="40274" xr:uid="{00000000-0005-0000-0000-0000609D0000}"/>
    <cellStyle name="Uwaga 2 6 15 3" xfId="40275" xr:uid="{00000000-0005-0000-0000-0000619D0000}"/>
    <cellStyle name="Uwaga 2 6 15 4" xfId="40276" xr:uid="{00000000-0005-0000-0000-0000629D0000}"/>
    <cellStyle name="Uwaga 2 6 16" xfId="40277" xr:uid="{00000000-0005-0000-0000-0000639D0000}"/>
    <cellStyle name="Uwaga 2 6 16 2" xfId="40278" xr:uid="{00000000-0005-0000-0000-0000649D0000}"/>
    <cellStyle name="Uwaga 2 6 16 3" xfId="40279" xr:uid="{00000000-0005-0000-0000-0000659D0000}"/>
    <cellStyle name="Uwaga 2 6 16 4" xfId="40280" xr:uid="{00000000-0005-0000-0000-0000669D0000}"/>
    <cellStyle name="Uwaga 2 6 17" xfId="40281" xr:uid="{00000000-0005-0000-0000-0000679D0000}"/>
    <cellStyle name="Uwaga 2 6 17 2" xfId="40282" xr:uid="{00000000-0005-0000-0000-0000689D0000}"/>
    <cellStyle name="Uwaga 2 6 17 3" xfId="40283" xr:uid="{00000000-0005-0000-0000-0000699D0000}"/>
    <cellStyle name="Uwaga 2 6 17 4" xfId="40284" xr:uid="{00000000-0005-0000-0000-00006A9D0000}"/>
    <cellStyle name="Uwaga 2 6 18" xfId="40285" xr:uid="{00000000-0005-0000-0000-00006B9D0000}"/>
    <cellStyle name="Uwaga 2 6 18 2" xfId="40286" xr:uid="{00000000-0005-0000-0000-00006C9D0000}"/>
    <cellStyle name="Uwaga 2 6 18 3" xfId="40287" xr:uid="{00000000-0005-0000-0000-00006D9D0000}"/>
    <cellStyle name="Uwaga 2 6 18 4" xfId="40288" xr:uid="{00000000-0005-0000-0000-00006E9D0000}"/>
    <cellStyle name="Uwaga 2 6 19" xfId="40289" xr:uid="{00000000-0005-0000-0000-00006F9D0000}"/>
    <cellStyle name="Uwaga 2 6 19 2" xfId="40290" xr:uid="{00000000-0005-0000-0000-0000709D0000}"/>
    <cellStyle name="Uwaga 2 6 19 3" xfId="40291" xr:uid="{00000000-0005-0000-0000-0000719D0000}"/>
    <cellStyle name="Uwaga 2 6 19 4" xfId="40292" xr:uid="{00000000-0005-0000-0000-0000729D0000}"/>
    <cellStyle name="Uwaga 2 6 2" xfId="40293" xr:uid="{00000000-0005-0000-0000-0000739D0000}"/>
    <cellStyle name="Uwaga 2 6 2 2" xfId="40294" xr:uid="{00000000-0005-0000-0000-0000749D0000}"/>
    <cellStyle name="Uwaga 2 6 2 3" xfId="40295" xr:uid="{00000000-0005-0000-0000-0000759D0000}"/>
    <cellStyle name="Uwaga 2 6 2 4" xfId="40296" xr:uid="{00000000-0005-0000-0000-0000769D0000}"/>
    <cellStyle name="Uwaga 2 6 20" xfId="40297" xr:uid="{00000000-0005-0000-0000-0000779D0000}"/>
    <cellStyle name="Uwaga 2 6 20 2" xfId="40298" xr:uid="{00000000-0005-0000-0000-0000789D0000}"/>
    <cellStyle name="Uwaga 2 6 20 3" xfId="40299" xr:uid="{00000000-0005-0000-0000-0000799D0000}"/>
    <cellStyle name="Uwaga 2 6 20 4" xfId="40300" xr:uid="{00000000-0005-0000-0000-00007A9D0000}"/>
    <cellStyle name="Uwaga 2 6 21" xfId="40301" xr:uid="{00000000-0005-0000-0000-00007B9D0000}"/>
    <cellStyle name="Uwaga 2 6 21 2" xfId="40302" xr:uid="{00000000-0005-0000-0000-00007C9D0000}"/>
    <cellStyle name="Uwaga 2 6 21 3" xfId="40303" xr:uid="{00000000-0005-0000-0000-00007D9D0000}"/>
    <cellStyle name="Uwaga 2 6 22" xfId="40304" xr:uid="{00000000-0005-0000-0000-00007E9D0000}"/>
    <cellStyle name="Uwaga 2 6 22 2" xfId="40305" xr:uid="{00000000-0005-0000-0000-00007F9D0000}"/>
    <cellStyle name="Uwaga 2 6 22 3" xfId="40306" xr:uid="{00000000-0005-0000-0000-0000809D0000}"/>
    <cellStyle name="Uwaga 2 6 23" xfId="40307" xr:uid="{00000000-0005-0000-0000-0000819D0000}"/>
    <cellStyle name="Uwaga 2 6 23 2" xfId="40308" xr:uid="{00000000-0005-0000-0000-0000829D0000}"/>
    <cellStyle name="Uwaga 2 6 23 3" xfId="40309" xr:uid="{00000000-0005-0000-0000-0000839D0000}"/>
    <cellStyle name="Uwaga 2 6 24" xfId="40310" xr:uid="{00000000-0005-0000-0000-0000849D0000}"/>
    <cellStyle name="Uwaga 2 6 24 2" xfId="40311" xr:uid="{00000000-0005-0000-0000-0000859D0000}"/>
    <cellStyle name="Uwaga 2 6 24 3" xfId="40312" xr:uid="{00000000-0005-0000-0000-0000869D0000}"/>
    <cellStyle name="Uwaga 2 6 25" xfId="40313" xr:uid="{00000000-0005-0000-0000-0000879D0000}"/>
    <cellStyle name="Uwaga 2 6 25 2" xfId="40314" xr:uid="{00000000-0005-0000-0000-0000889D0000}"/>
    <cellStyle name="Uwaga 2 6 25 3" xfId="40315" xr:uid="{00000000-0005-0000-0000-0000899D0000}"/>
    <cellStyle name="Uwaga 2 6 26" xfId="40316" xr:uid="{00000000-0005-0000-0000-00008A9D0000}"/>
    <cellStyle name="Uwaga 2 6 26 2" xfId="40317" xr:uid="{00000000-0005-0000-0000-00008B9D0000}"/>
    <cellStyle name="Uwaga 2 6 26 3" xfId="40318" xr:uid="{00000000-0005-0000-0000-00008C9D0000}"/>
    <cellStyle name="Uwaga 2 6 27" xfId="40319" xr:uid="{00000000-0005-0000-0000-00008D9D0000}"/>
    <cellStyle name="Uwaga 2 6 27 2" xfId="40320" xr:uid="{00000000-0005-0000-0000-00008E9D0000}"/>
    <cellStyle name="Uwaga 2 6 27 3" xfId="40321" xr:uid="{00000000-0005-0000-0000-00008F9D0000}"/>
    <cellStyle name="Uwaga 2 6 28" xfId="40322" xr:uid="{00000000-0005-0000-0000-0000909D0000}"/>
    <cellStyle name="Uwaga 2 6 28 2" xfId="40323" xr:uid="{00000000-0005-0000-0000-0000919D0000}"/>
    <cellStyle name="Uwaga 2 6 28 3" xfId="40324" xr:uid="{00000000-0005-0000-0000-0000929D0000}"/>
    <cellStyle name="Uwaga 2 6 29" xfId="40325" xr:uid="{00000000-0005-0000-0000-0000939D0000}"/>
    <cellStyle name="Uwaga 2 6 29 2" xfId="40326" xr:uid="{00000000-0005-0000-0000-0000949D0000}"/>
    <cellStyle name="Uwaga 2 6 29 3" xfId="40327" xr:uid="{00000000-0005-0000-0000-0000959D0000}"/>
    <cellStyle name="Uwaga 2 6 3" xfId="40328" xr:uid="{00000000-0005-0000-0000-0000969D0000}"/>
    <cellStyle name="Uwaga 2 6 3 2" xfId="40329" xr:uid="{00000000-0005-0000-0000-0000979D0000}"/>
    <cellStyle name="Uwaga 2 6 3 3" xfId="40330" xr:uid="{00000000-0005-0000-0000-0000989D0000}"/>
    <cellStyle name="Uwaga 2 6 3 4" xfId="40331" xr:uid="{00000000-0005-0000-0000-0000999D0000}"/>
    <cellStyle name="Uwaga 2 6 30" xfId="40332" xr:uid="{00000000-0005-0000-0000-00009A9D0000}"/>
    <cellStyle name="Uwaga 2 6 30 2" xfId="40333" xr:uid="{00000000-0005-0000-0000-00009B9D0000}"/>
    <cellStyle name="Uwaga 2 6 30 3" xfId="40334" xr:uid="{00000000-0005-0000-0000-00009C9D0000}"/>
    <cellStyle name="Uwaga 2 6 31" xfId="40335" xr:uid="{00000000-0005-0000-0000-00009D9D0000}"/>
    <cellStyle name="Uwaga 2 6 31 2" xfId="40336" xr:uid="{00000000-0005-0000-0000-00009E9D0000}"/>
    <cellStyle name="Uwaga 2 6 31 3" xfId="40337" xr:uid="{00000000-0005-0000-0000-00009F9D0000}"/>
    <cellStyle name="Uwaga 2 6 32" xfId="40338" xr:uid="{00000000-0005-0000-0000-0000A09D0000}"/>
    <cellStyle name="Uwaga 2 6 32 2" xfId="40339" xr:uid="{00000000-0005-0000-0000-0000A19D0000}"/>
    <cellStyle name="Uwaga 2 6 32 3" xfId="40340" xr:uid="{00000000-0005-0000-0000-0000A29D0000}"/>
    <cellStyle name="Uwaga 2 6 33" xfId="40341" xr:uid="{00000000-0005-0000-0000-0000A39D0000}"/>
    <cellStyle name="Uwaga 2 6 33 2" xfId="40342" xr:uid="{00000000-0005-0000-0000-0000A49D0000}"/>
    <cellStyle name="Uwaga 2 6 33 3" xfId="40343" xr:uid="{00000000-0005-0000-0000-0000A59D0000}"/>
    <cellStyle name="Uwaga 2 6 34" xfId="40344" xr:uid="{00000000-0005-0000-0000-0000A69D0000}"/>
    <cellStyle name="Uwaga 2 6 34 2" xfId="40345" xr:uid="{00000000-0005-0000-0000-0000A79D0000}"/>
    <cellStyle name="Uwaga 2 6 34 3" xfId="40346" xr:uid="{00000000-0005-0000-0000-0000A89D0000}"/>
    <cellStyle name="Uwaga 2 6 35" xfId="40347" xr:uid="{00000000-0005-0000-0000-0000A99D0000}"/>
    <cellStyle name="Uwaga 2 6 35 2" xfId="40348" xr:uid="{00000000-0005-0000-0000-0000AA9D0000}"/>
    <cellStyle name="Uwaga 2 6 35 3" xfId="40349" xr:uid="{00000000-0005-0000-0000-0000AB9D0000}"/>
    <cellStyle name="Uwaga 2 6 36" xfId="40350" xr:uid="{00000000-0005-0000-0000-0000AC9D0000}"/>
    <cellStyle name="Uwaga 2 6 36 2" xfId="40351" xr:uid="{00000000-0005-0000-0000-0000AD9D0000}"/>
    <cellStyle name="Uwaga 2 6 36 3" xfId="40352" xr:uid="{00000000-0005-0000-0000-0000AE9D0000}"/>
    <cellStyle name="Uwaga 2 6 37" xfId="40353" xr:uid="{00000000-0005-0000-0000-0000AF9D0000}"/>
    <cellStyle name="Uwaga 2 6 37 2" xfId="40354" xr:uid="{00000000-0005-0000-0000-0000B09D0000}"/>
    <cellStyle name="Uwaga 2 6 37 3" xfId="40355" xr:uid="{00000000-0005-0000-0000-0000B19D0000}"/>
    <cellStyle name="Uwaga 2 6 38" xfId="40356" xr:uid="{00000000-0005-0000-0000-0000B29D0000}"/>
    <cellStyle name="Uwaga 2 6 38 2" xfId="40357" xr:uid="{00000000-0005-0000-0000-0000B39D0000}"/>
    <cellStyle name="Uwaga 2 6 38 3" xfId="40358" xr:uid="{00000000-0005-0000-0000-0000B49D0000}"/>
    <cellStyle name="Uwaga 2 6 39" xfId="40359" xr:uid="{00000000-0005-0000-0000-0000B59D0000}"/>
    <cellStyle name="Uwaga 2 6 39 2" xfId="40360" xr:uid="{00000000-0005-0000-0000-0000B69D0000}"/>
    <cellStyle name="Uwaga 2 6 39 3" xfId="40361" xr:uid="{00000000-0005-0000-0000-0000B79D0000}"/>
    <cellStyle name="Uwaga 2 6 4" xfId="40362" xr:uid="{00000000-0005-0000-0000-0000B89D0000}"/>
    <cellStyle name="Uwaga 2 6 4 2" xfId="40363" xr:uid="{00000000-0005-0000-0000-0000B99D0000}"/>
    <cellStyle name="Uwaga 2 6 4 3" xfId="40364" xr:uid="{00000000-0005-0000-0000-0000BA9D0000}"/>
    <cellStyle name="Uwaga 2 6 4 4" xfId="40365" xr:uid="{00000000-0005-0000-0000-0000BB9D0000}"/>
    <cellStyle name="Uwaga 2 6 40" xfId="40366" xr:uid="{00000000-0005-0000-0000-0000BC9D0000}"/>
    <cellStyle name="Uwaga 2 6 40 2" xfId="40367" xr:uid="{00000000-0005-0000-0000-0000BD9D0000}"/>
    <cellStyle name="Uwaga 2 6 40 3" xfId="40368" xr:uid="{00000000-0005-0000-0000-0000BE9D0000}"/>
    <cellStyle name="Uwaga 2 6 41" xfId="40369" xr:uid="{00000000-0005-0000-0000-0000BF9D0000}"/>
    <cellStyle name="Uwaga 2 6 41 2" xfId="40370" xr:uid="{00000000-0005-0000-0000-0000C09D0000}"/>
    <cellStyle name="Uwaga 2 6 41 3" xfId="40371" xr:uid="{00000000-0005-0000-0000-0000C19D0000}"/>
    <cellStyle name="Uwaga 2 6 42" xfId="40372" xr:uid="{00000000-0005-0000-0000-0000C29D0000}"/>
    <cellStyle name="Uwaga 2 6 42 2" xfId="40373" xr:uid="{00000000-0005-0000-0000-0000C39D0000}"/>
    <cellStyle name="Uwaga 2 6 42 3" xfId="40374" xr:uid="{00000000-0005-0000-0000-0000C49D0000}"/>
    <cellStyle name="Uwaga 2 6 43" xfId="40375" xr:uid="{00000000-0005-0000-0000-0000C59D0000}"/>
    <cellStyle name="Uwaga 2 6 43 2" xfId="40376" xr:uid="{00000000-0005-0000-0000-0000C69D0000}"/>
    <cellStyle name="Uwaga 2 6 43 3" xfId="40377" xr:uid="{00000000-0005-0000-0000-0000C79D0000}"/>
    <cellStyle name="Uwaga 2 6 44" xfId="40378" xr:uid="{00000000-0005-0000-0000-0000C89D0000}"/>
    <cellStyle name="Uwaga 2 6 44 2" xfId="40379" xr:uid="{00000000-0005-0000-0000-0000C99D0000}"/>
    <cellStyle name="Uwaga 2 6 44 3" xfId="40380" xr:uid="{00000000-0005-0000-0000-0000CA9D0000}"/>
    <cellStyle name="Uwaga 2 6 45" xfId="40381" xr:uid="{00000000-0005-0000-0000-0000CB9D0000}"/>
    <cellStyle name="Uwaga 2 6 45 2" xfId="40382" xr:uid="{00000000-0005-0000-0000-0000CC9D0000}"/>
    <cellStyle name="Uwaga 2 6 45 3" xfId="40383" xr:uid="{00000000-0005-0000-0000-0000CD9D0000}"/>
    <cellStyle name="Uwaga 2 6 46" xfId="40384" xr:uid="{00000000-0005-0000-0000-0000CE9D0000}"/>
    <cellStyle name="Uwaga 2 6 46 2" xfId="40385" xr:uid="{00000000-0005-0000-0000-0000CF9D0000}"/>
    <cellStyle name="Uwaga 2 6 46 3" xfId="40386" xr:uid="{00000000-0005-0000-0000-0000D09D0000}"/>
    <cellStyle name="Uwaga 2 6 47" xfId="40387" xr:uid="{00000000-0005-0000-0000-0000D19D0000}"/>
    <cellStyle name="Uwaga 2 6 47 2" xfId="40388" xr:uid="{00000000-0005-0000-0000-0000D29D0000}"/>
    <cellStyle name="Uwaga 2 6 47 3" xfId="40389" xr:uid="{00000000-0005-0000-0000-0000D39D0000}"/>
    <cellStyle name="Uwaga 2 6 48" xfId="40390" xr:uid="{00000000-0005-0000-0000-0000D49D0000}"/>
    <cellStyle name="Uwaga 2 6 48 2" xfId="40391" xr:uid="{00000000-0005-0000-0000-0000D59D0000}"/>
    <cellStyle name="Uwaga 2 6 48 3" xfId="40392" xr:uid="{00000000-0005-0000-0000-0000D69D0000}"/>
    <cellStyle name="Uwaga 2 6 49" xfId="40393" xr:uid="{00000000-0005-0000-0000-0000D79D0000}"/>
    <cellStyle name="Uwaga 2 6 49 2" xfId="40394" xr:uid="{00000000-0005-0000-0000-0000D89D0000}"/>
    <cellStyle name="Uwaga 2 6 49 3" xfId="40395" xr:uid="{00000000-0005-0000-0000-0000D99D0000}"/>
    <cellStyle name="Uwaga 2 6 5" xfId="40396" xr:uid="{00000000-0005-0000-0000-0000DA9D0000}"/>
    <cellStyle name="Uwaga 2 6 5 2" xfId="40397" xr:uid="{00000000-0005-0000-0000-0000DB9D0000}"/>
    <cellStyle name="Uwaga 2 6 5 3" xfId="40398" xr:uid="{00000000-0005-0000-0000-0000DC9D0000}"/>
    <cellStyle name="Uwaga 2 6 5 4" xfId="40399" xr:uid="{00000000-0005-0000-0000-0000DD9D0000}"/>
    <cellStyle name="Uwaga 2 6 50" xfId="40400" xr:uid="{00000000-0005-0000-0000-0000DE9D0000}"/>
    <cellStyle name="Uwaga 2 6 50 2" xfId="40401" xr:uid="{00000000-0005-0000-0000-0000DF9D0000}"/>
    <cellStyle name="Uwaga 2 6 50 3" xfId="40402" xr:uid="{00000000-0005-0000-0000-0000E09D0000}"/>
    <cellStyle name="Uwaga 2 6 51" xfId="40403" xr:uid="{00000000-0005-0000-0000-0000E19D0000}"/>
    <cellStyle name="Uwaga 2 6 51 2" xfId="40404" xr:uid="{00000000-0005-0000-0000-0000E29D0000}"/>
    <cellStyle name="Uwaga 2 6 51 3" xfId="40405" xr:uid="{00000000-0005-0000-0000-0000E39D0000}"/>
    <cellStyle name="Uwaga 2 6 52" xfId="40406" xr:uid="{00000000-0005-0000-0000-0000E49D0000}"/>
    <cellStyle name="Uwaga 2 6 52 2" xfId="40407" xr:uid="{00000000-0005-0000-0000-0000E59D0000}"/>
    <cellStyle name="Uwaga 2 6 52 3" xfId="40408" xr:uid="{00000000-0005-0000-0000-0000E69D0000}"/>
    <cellStyle name="Uwaga 2 6 53" xfId="40409" xr:uid="{00000000-0005-0000-0000-0000E79D0000}"/>
    <cellStyle name="Uwaga 2 6 53 2" xfId="40410" xr:uid="{00000000-0005-0000-0000-0000E89D0000}"/>
    <cellStyle name="Uwaga 2 6 53 3" xfId="40411" xr:uid="{00000000-0005-0000-0000-0000E99D0000}"/>
    <cellStyle name="Uwaga 2 6 54" xfId="40412" xr:uid="{00000000-0005-0000-0000-0000EA9D0000}"/>
    <cellStyle name="Uwaga 2 6 54 2" xfId="40413" xr:uid="{00000000-0005-0000-0000-0000EB9D0000}"/>
    <cellStyle name="Uwaga 2 6 54 3" xfId="40414" xr:uid="{00000000-0005-0000-0000-0000EC9D0000}"/>
    <cellStyle name="Uwaga 2 6 55" xfId="40415" xr:uid="{00000000-0005-0000-0000-0000ED9D0000}"/>
    <cellStyle name="Uwaga 2 6 55 2" xfId="40416" xr:uid="{00000000-0005-0000-0000-0000EE9D0000}"/>
    <cellStyle name="Uwaga 2 6 55 3" xfId="40417" xr:uid="{00000000-0005-0000-0000-0000EF9D0000}"/>
    <cellStyle name="Uwaga 2 6 56" xfId="40418" xr:uid="{00000000-0005-0000-0000-0000F09D0000}"/>
    <cellStyle name="Uwaga 2 6 56 2" xfId="40419" xr:uid="{00000000-0005-0000-0000-0000F19D0000}"/>
    <cellStyle name="Uwaga 2 6 56 3" xfId="40420" xr:uid="{00000000-0005-0000-0000-0000F29D0000}"/>
    <cellStyle name="Uwaga 2 6 57" xfId="40421" xr:uid="{00000000-0005-0000-0000-0000F39D0000}"/>
    <cellStyle name="Uwaga 2 6 58" xfId="40422" xr:uid="{00000000-0005-0000-0000-0000F49D0000}"/>
    <cellStyle name="Uwaga 2 6 6" xfId="40423" xr:uid="{00000000-0005-0000-0000-0000F59D0000}"/>
    <cellStyle name="Uwaga 2 6 6 2" xfId="40424" xr:uid="{00000000-0005-0000-0000-0000F69D0000}"/>
    <cellStyle name="Uwaga 2 6 6 3" xfId="40425" xr:uid="{00000000-0005-0000-0000-0000F79D0000}"/>
    <cellStyle name="Uwaga 2 6 6 4" xfId="40426" xr:uid="{00000000-0005-0000-0000-0000F89D0000}"/>
    <cellStyle name="Uwaga 2 6 7" xfId="40427" xr:uid="{00000000-0005-0000-0000-0000F99D0000}"/>
    <cellStyle name="Uwaga 2 6 7 2" xfId="40428" xr:uid="{00000000-0005-0000-0000-0000FA9D0000}"/>
    <cellStyle name="Uwaga 2 6 7 3" xfId="40429" xr:uid="{00000000-0005-0000-0000-0000FB9D0000}"/>
    <cellStyle name="Uwaga 2 6 7 4" xfId="40430" xr:uid="{00000000-0005-0000-0000-0000FC9D0000}"/>
    <cellStyle name="Uwaga 2 6 8" xfId="40431" xr:uid="{00000000-0005-0000-0000-0000FD9D0000}"/>
    <cellStyle name="Uwaga 2 6 8 2" xfId="40432" xr:uid="{00000000-0005-0000-0000-0000FE9D0000}"/>
    <cellStyle name="Uwaga 2 6 8 3" xfId="40433" xr:uid="{00000000-0005-0000-0000-0000FF9D0000}"/>
    <cellStyle name="Uwaga 2 6 8 4" xfId="40434" xr:uid="{00000000-0005-0000-0000-0000009E0000}"/>
    <cellStyle name="Uwaga 2 6 9" xfId="40435" xr:uid="{00000000-0005-0000-0000-0000019E0000}"/>
    <cellStyle name="Uwaga 2 6 9 2" xfId="40436" xr:uid="{00000000-0005-0000-0000-0000029E0000}"/>
    <cellStyle name="Uwaga 2 6 9 3" xfId="40437" xr:uid="{00000000-0005-0000-0000-0000039E0000}"/>
    <cellStyle name="Uwaga 2 6 9 4" xfId="40438" xr:uid="{00000000-0005-0000-0000-0000049E0000}"/>
    <cellStyle name="Uwaga 2 60" xfId="40439" xr:uid="{00000000-0005-0000-0000-0000059E0000}"/>
    <cellStyle name="Uwaga 2 60 2" xfId="40440" xr:uid="{00000000-0005-0000-0000-0000069E0000}"/>
    <cellStyle name="Uwaga 2 60 3" xfId="40441" xr:uid="{00000000-0005-0000-0000-0000079E0000}"/>
    <cellStyle name="Uwaga 2 60 4" xfId="40442" xr:uid="{00000000-0005-0000-0000-0000089E0000}"/>
    <cellStyle name="Uwaga 2 61" xfId="40443" xr:uid="{00000000-0005-0000-0000-0000099E0000}"/>
    <cellStyle name="Uwaga 2 61 2" xfId="40444" xr:uid="{00000000-0005-0000-0000-00000A9E0000}"/>
    <cellStyle name="Uwaga 2 61 3" xfId="40445" xr:uid="{00000000-0005-0000-0000-00000B9E0000}"/>
    <cellStyle name="Uwaga 2 61 4" xfId="40446" xr:uid="{00000000-0005-0000-0000-00000C9E0000}"/>
    <cellStyle name="Uwaga 2 62" xfId="40447" xr:uid="{00000000-0005-0000-0000-00000D9E0000}"/>
    <cellStyle name="Uwaga 2 62 2" xfId="40448" xr:uid="{00000000-0005-0000-0000-00000E9E0000}"/>
    <cellStyle name="Uwaga 2 62 3" xfId="40449" xr:uid="{00000000-0005-0000-0000-00000F9E0000}"/>
    <cellStyle name="Uwaga 2 62 4" xfId="40450" xr:uid="{00000000-0005-0000-0000-0000109E0000}"/>
    <cellStyle name="Uwaga 2 63" xfId="40451" xr:uid="{00000000-0005-0000-0000-0000119E0000}"/>
    <cellStyle name="Uwaga 2 63 2" xfId="40452" xr:uid="{00000000-0005-0000-0000-0000129E0000}"/>
    <cellStyle name="Uwaga 2 63 3" xfId="40453" xr:uid="{00000000-0005-0000-0000-0000139E0000}"/>
    <cellStyle name="Uwaga 2 63 4" xfId="40454" xr:uid="{00000000-0005-0000-0000-0000149E0000}"/>
    <cellStyle name="Uwaga 2 64" xfId="40455" xr:uid="{00000000-0005-0000-0000-0000159E0000}"/>
    <cellStyle name="Uwaga 2 64 2" xfId="40456" xr:uid="{00000000-0005-0000-0000-0000169E0000}"/>
    <cellStyle name="Uwaga 2 64 3" xfId="40457" xr:uid="{00000000-0005-0000-0000-0000179E0000}"/>
    <cellStyle name="Uwaga 2 64 4" xfId="40458" xr:uid="{00000000-0005-0000-0000-0000189E0000}"/>
    <cellStyle name="Uwaga 2 65" xfId="40459" xr:uid="{00000000-0005-0000-0000-0000199E0000}"/>
    <cellStyle name="Uwaga 2 65 2" xfId="40460" xr:uid="{00000000-0005-0000-0000-00001A9E0000}"/>
    <cellStyle name="Uwaga 2 65 3" xfId="40461" xr:uid="{00000000-0005-0000-0000-00001B9E0000}"/>
    <cellStyle name="Uwaga 2 65 4" xfId="40462" xr:uid="{00000000-0005-0000-0000-00001C9E0000}"/>
    <cellStyle name="Uwaga 2 66" xfId="40463" xr:uid="{00000000-0005-0000-0000-00001D9E0000}"/>
    <cellStyle name="Uwaga 2 66 2" xfId="40464" xr:uid="{00000000-0005-0000-0000-00001E9E0000}"/>
    <cellStyle name="Uwaga 2 66 3" xfId="40465" xr:uid="{00000000-0005-0000-0000-00001F9E0000}"/>
    <cellStyle name="Uwaga 2 66 4" xfId="40466" xr:uid="{00000000-0005-0000-0000-0000209E0000}"/>
    <cellStyle name="Uwaga 2 67" xfId="40467" xr:uid="{00000000-0005-0000-0000-0000219E0000}"/>
    <cellStyle name="Uwaga 2 67 2" xfId="40468" xr:uid="{00000000-0005-0000-0000-0000229E0000}"/>
    <cellStyle name="Uwaga 2 67 3" xfId="40469" xr:uid="{00000000-0005-0000-0000-0000239E0000}"/>
    <cellStyle name="Uwaga 2 67 4" xfId="40470" xr:uid="{00000000-0005-0000-0000-0000249E0000}"/>
    <cellStyle name="Uwaga 2 68" xfId="40471" xr:uid="{00000000-0005-0000-0000-0000259E0000}"/>
    <cellStyle name="Uwaga 2 68 2" xfId="40472" xr:uid="{00000000-0005-0000-0000-0000269E0000}"/>
    <cellStyle name="Uwaga 2 68 3" xfId="40473" xr:uid="{00000000-0005-0000-0000-0000279E0000}"/>
    <cellStyle name="Uwaga 2 68 4" xfId="40474" xr:uid="{00000000-0005-0000-0000-0000289E0000}"/>
    <cellStyle name="Uwaga 2 69" xfId="40475" xr:uid="{00000000-0005-0000-0000-0000299E0000}"/>
    <cellStyle name="Uwaga 2 69 2" xfId="40476" xr:uid="{00000000-0005-0000-0000-00002A9E0000}"/>
    <cellStyle name="Uwaga 2 69 3" xfId="40477" xr:uid="{00000000-0005-0000-0000-00002B9E0000}"/>
    <cellStyle name="Uwaga 2 69 4" xfId="40478" xr:uid="{00000000-0005-0000-0000-00002C9E0000}"/>
    <cellStyle name="Uwaga 2 7" xfId="40479" xr:uid="{00000000-0005-0000-0000-00002D9E0000}"/>
    <cellStyle name="Uwaga 2 7 10" xfId="40480" xr:uid="{00000000-0005-0000-0000-00002E9E0000}"/>
    <cellStyle name="Uwaga 2 7 10 2" xfId="40481" xr:uid="{00000000-0005-0000-0000-00002F9E0000}"/>
    <cellStyle name="Uwaga 2 7 10 3" xfId="40482" xr:uid="{00000000-0005-0000-0000-0000309E0000}"/>
    <cellStyle name="Uwaga 2 7 10 4" xfId="40483" xr:uid="{00000000-0005-0000-0000-0000319E0000}"/>
    <cellStyle name="Uwaga 2 7 11" xfId="40484" xr:uid="{00000000-0005-0000-0000-0000329E0000}"/>
    <cellStyle name="Uwaga 2 7 11 2" xfId="40485" xr:uid="{00000000-0005-0000-0000-0000339E0000}"/>
    <cellStyle name="Uwaga 2 7 11 3" xfId="40486" xr:uid="{00000000-0005-0000-0000-0000349E0000}"/>
    <cellStyle name="Uwaga 2 7 11 4" xfId="40487" xr:uid="{00000000-0005-0000-0000-0000359E0000}"/>
    <cellStyle name="Uwaga 2 7 12" xfId="40488" xr:uid="{00000000-0005-0000-0000-0000369E0000}"/>
    <cellStyle name="Uwaga 2 7 12 2" xfId="40489" xr:uid="{00000000-0005-0000-0000-0000379E0000}"/>
    <cellStyle name="Uwaga 2 7 12 3" xfId="40490" xr:uid="{00000000-0005-0000-0000-0000389E0000}"/>
    <cellStyle name="Uwaga 2 7 12 4" xfId="40491" xr:uid="{00000000-0005-0000-0000-0000399E0000}"/>
    <cellStyle name="Uwaga 2 7 13" xfId="40492" xr:uid="{00000000-0005-0000-0000-00003A9E0000}"/>
    <cellStyle name="Uwaga 2 7 13 2" xfId="40493" xr:uid="{00000000-0005-0000-0000-00003B9E0000}"/>
    <cellStyle name="Uwaga 2 7 13 3" xfId="40494" xr:uid="{00000000-0005-0000-0000-00003C9E0000}"/>
    <cellStyle name="Uwaga 2 7 13 4" xfId="40495" xr:uid="{00000000-0005-0000-0000-00003D9E0000}"/>
    <cellStyle name="Uwaga 2 7 14" xfId="40496" xr:uid="{00000000-0005-0000-0000-00003E9E0000}"/>
    <cellStyle name="Uwaga 2 7 14 2" xfId="40497" xr:uid="{00000000-0005-0000-0000-00003F9E0000}"/>
    <cellStyle name="Uwaga 2 7 14 3" xfId="40498" xr:uid="{00000000-0005-0000-0000-0000409E0000}"/>
    <cellStyle name="Uwaga 2 7 14 4" xfId="40499" xr:uid="{00000000-0005-0000-0000-0000419E0000}"/>
    <cellStyle name="Uwaga 2 7 15" xfId="40500" xr:uid="{00000000-0005-0000-0000-0000429E0000}"/>
    <cellStyle name="Uwaga 2 7 15 2" xfId="40501" xr:uid="{00000000-0005-0000-0000-0000439E0000}"/>
    <cellStyle name="Uwaga 2 7 15 3" xfId="40502" xr:uid="{00000000-0005-0000-0000-0000449E0000}"/>
    <cellStyle name="Uwaga 2 7 15 4" xfId="40503" xr:uid="{00000000-0005-0000-0000-0000459E0000}"/>
    <cellStyle name="Uwaga 2 7 16" xfId="40504" xr:uid="{00000000-0005-0000-0000-0000469E0000}"/>
    <cellStyle name="Uwaga 2 7 16 2" xfId="40505" xr:uid="{00000000-0005-0000-0000-0000479E0000}"/>
    <cellStyle name="Uwaga 2 7 16 3" xfId="40506" xr:uid="{00000000-0005-0000-0000-0000489E0000}"/>
    <cellStyle name="Uwaga 2 7 16 4" xfId="40507" xr:uid="{00000000-0005-0000-0000-0000499E0000}"/>
    <cellStyle name="Uwaga 2 7 17" xfId="40508" xr:uid="{00000000-0005-0000-0000-00004A9E0000}"/>
    <cellStyle name="Uwaga 2 7 17 2" xfId="40509" xr:uid="{00000000-0005-0000-0000-00004B9E0000}"/>
    <cellStyle name="Uwaga 2 7 17 3" xfId="40510" xr:uid="{00000000-0005-0000-0000-00004C9E0000}"/>
    <cellStyle name="Uwaga 2 7 17 4" xfId="40511" xr:uid="{00000000-0005-0000-0000-00004D9E0000}"/>
    <cellStyle name="Uwaga 2 7 18" xfId="40512" xr:uid="{00000000-0005-0000-0000-00004E9E0000}"/>
    <cellStyle name="Uwaga 2 7 18 2" xfId="40513" xr:uid="{00000000-0005-0000-0000-00004F9E0000}"/>
    <cellStyle name="Uwaga 2 7 18 3" xfId="40514" xr:uid="{00000000-0005-0000-0000-0000509E0000}"/>
    <cellStyle name="Uwaga 2 7 18 4" xfId="40515" xr:uid="{00000000-0005-0000-0000-0000519E0000}"/>
    <cellStyle name="Uwaga 2 7 19" xfId="40516" xr:uid="{00000000-0005-0000-0000-0000529E0000}"/>
    <cellStyle name="Uwaga 2 7 19 2" xfId="40517" xr:uid="{00000000-0005-0000-0000-0000539E0000}"/>
    <cellStyle name="Uwaga 2 7 19 3" xfId="40518" xr:uid="{00000000-0005-0000-0000-0000549E0000}"/>
    <cellStyle name="Uwaga 2 7 19 4" xfId="40519" xr:uid="{00000000-0005-0000-0000-0000559E0000}"/>
    <cellStyle name="Uwaga 2 7 2" xfId="40520" xr:uid="{00000000-0005-0000-0000-0000569E0000}"/>
    <cellStyle name="Uwaga 2 7 2 2" xfId="40521" xr:uid="{00000000-0005-0000-0000-0000579E0000}"/>
    <cellStyle name="Uwaga 2 7 2 3" xfId="40522" xr:uid="{00000000-0005-0000-0000-0000589E0000}"/>
    <cellStyle name="Uwaga 2 7 2 4" xfId="40523" xr:uid="{00000000-0005-0000-0000-0000599E0000}"/>
    <cellStyle name="Uwaga 2 7 20" xfId="40524" xr:uid="{00000000-0005-0000-0000-00005A9E0000}"/>
    <cellStyle name="Uwaga 2 7 20 2" xfId="40525" xr:uid="{00000000-0005-0000-0000-00005B9E0000}"/>
    <cellStyle name="Uwaga 2 7 20 3" xfId="40526" xr:uid="{00000000-0005-0000-0000-00005C9E0000}"/>
    <cellStyle name="Uwaga 2 7 20 4" xfId="40527" xr:uid="{00000000-0005-0000-0000-00005D9E0000}"/>
    <cellStyle name="Uwaga 2 7 21" xfId="40528" xr:uid="{00000000-0005-0000-0000-00005E9E0000}"/>
    <cellStyle name="Uwaga 2 7 21 2" xfId="40529" xr:uid="{00000000-0005-0000-0000-00005F9E0000}"/>
    <cellStyle name="Uwaga 2 7 21 3" xfId="40530" xr:uid="{00000000-0005-0000-0000-0000609E0000}"/>
    <cellStyle name="Uwaga 2 7 22" xfId="40531" xr:uid="{00000000-0005-0000-0000-0000619E0000}"/>
    <cellStyle name="Uwaga 2 7 22 2" xfId="40532" xr:uid="{00000000-0005-0000-0000-0000629E0000}"/>
    <cellStyle name="Uwaga 2 7 22 3" xfId="40533" xr:uid="{00000000-0005-0000-0000-0000639E0000}"/>
    <cellStyle name="Uwaga 2 7 23" xfId="40534" xr:uid="{00000000-0005-0000-0000-0000649E0000}"/>
    <cellStyle name="Uwaga 2 7 23 2" xfId="40535" xr:uid="{00000000-0005-0000-0000-0000659E0000}"/>
    <cellStyle name="Uwaga 2 7 23 3" xfId="40536" xr:uid="{00000000-0005-0000-0000-0000669E0000}"/>
    <cellStyle name="Uwaga 2 7 24" xfId="40537" xr:uid="{00000000-0005-0000-0000-0000679E0000}"/>
    <cellStyle name="Uwaga 2 7 24 2" xfId="40538" xr:uid="{00000000-0005-0000-0000-0000689E0000}"/>
    <cellStyle name="Uwaga 2 7 24 3" xfId="40539" xr:uid="{00000000-0005-0000-0000-0000699E0000}"/>
    <cellStyle name="Uwaga 2 7 25" xfId="40540" xr:uid="{00000000-0005-0000-0000-00006A9E0000}"/>
    <cellStyle name="Uwaga 2 7 25 2" xfId="40541" xr:uid="{00000000-0005-0000-0000-00006B9E0000}"/>
    <cellStyle name="Uwaga 2 7 25 3" xfId="40542" xr:uid="{00000000-0005-0000-0000-00006C9E0000}"/>
    <cellStyle name="Uwaga 2 7 26" xfId="40543" xr:uid="{00000000-0005-0000-0000-00006D9E0000}"/>
    <cellStyle name="Uwaga 2 7 26 2" xfId="40544" xr:uid="{00000000-0005-0000-0000-00006E9E0000}"/>
    <cellStyle name="Uwaga 2 7 26 3" xfId="40545" xr:uid="{00000000-0005-0000-0000-00006F9E0000}"/>
    <cellStyle name="Uwaga 2 7 27" xfId="40546" xr:uid="{00000000-0005-0000-0000-0000709E0000}"/>
    <cellStyle name="Uwaga 2 7 27 2" xfId="40547" xr:uid="{00000000-0005-0000-0000-0000719E0000}"/>
    <cellStyle name="Uwaga 2 7 27 3" xfId="40548" xr:uid="{00000000-0005-0000-0000-0000729E0000}"/>
    <cellStyle name="Uwaga 2 7 28" xfId="40549" xr:uid="{00000000-0005-0000-0000-0000739E0000}"/>
    <cellStyle name="Uwaga 2 7 28 2" xfId="40550" xr:uid="{00000000-0005-0000-0000-0000749E0000}"/>
    <cellStyle name="Uwaga 2 7 28 3" xfId="40551" xr:uid="{00000000-0005-0000-0000-0000759E0000}"/>
    <cellStyle name="Uwaga 2 7 29" xfId="40552" xr:uid="{00000000-0005-0000-0000-0000769E0000}"/>
    <cellStyle name="Uwaga 2 7 29 2" xfId="40553" xr:uid="{00000000-0005-0000-0000-0000779E0000}"/>
    <cellStyle name="Uwaga 2 7 29 3" xfId="40554" xr:uid="{00000000-0005-0000-0000-0000789E0000}"/>
    <cellStyle name="Uwaga 2 7 3" xfId="40555" xr:uid="{00000000-0005-0000-0000-0000799E0000}"/>
    <cellStyle name="Uwaga 2 7 3 2" xfId="40556" xr:uid="{00000000-0005-0000-0000-00007A9E0000}"/>
    <cellStyle name="Uwaga 2 7 3 3" xfId="40557" xr:uid="{00000000-0005-0000-0000-00007B9E0000}"/>
    <cellStyle name="Uwaga 2 7 3 4" xfId="40558" xr:uid="{00000000-0005-0000-0000-00007C9E0000}"/>
    <cellStyle name="Uwaga 2 7 30" xfId="40559" xr:uid="{00000000-0005-0000-0000-00007D9E0000}"/>
    <cellStyle name="Uwaga 2 7 30 2" xfId="40560" xr:uid="{00000000-0005-0000-0000-00007E9E0000}"/>
    <cellStyle name="Uwaga 2 7 30 3" xfId="40561" xr:uid="{00000000-0005-0000-0000-00007F9E0000}"/>
    <cellStyle name="Uwaga 2 7 31" xfId="40562" xr:uid="{00000000-0005-0000-0000-0000809E0000}"/>
    <cellStyle name="Uwaga 2 7 31 2" xfId="40563" xr:uid="{00000000-0005-0000-0000-0000819E0000}"/>
    <cellStyle name="Uwaga 2 7 31 3" xfId="40564" xr:uid="{00000000-0005-0000-0000-0000829E0000}"/>
    <cellStyle name="Uwaga 2 7 32" xfId="40565" xr:uid="{00000000-0005-0000-0000-0000839E0000}"/>
    <cellStyle name="Uwaga 2 7 32 2" xfId="40566" xr:uid="{00000000-0005-0000-0000-0000849E0000}"/>
    <cellStyle name="Uwaga 2 7 32 3" xfId="40567" xr:uid="{00000000-0005-0000-0000-0000859E0000}"/>
    <cellStyle name="Uwaga 2 7 33" xfId="40568" xr:uid="{00000000-0005-0000-0000-0000869E0000}"/>
    <cellStyle name="Uwaga 2 7 33 2" xfId="40569" xr:uid="{00000000-0005-0000-0000-0000879E0000}"/>
    <cellStyle name="Uwaga 2 7 33 3" xfId="40570" xr:uid="{00000000-0005-0000-0000-0000889E0000}"/>
    <cellStyle name="Uwaga 2 7 34" xfId="40571" xr:uid="{00000000-0005-0000-0000-0000899E0000}"/>
    <cellStyle name="Uwaga 2 7 34 2" xfId="40572" xr:uid="{00000000-0005-0000-0000-00008A9E0000}"/>
    <cellStyle name="Uwaga 2 7 34 3" xfId="40573" xr:uid="{00000000-0005-0000-0000-00008B9E0000}"/>
    <cellStyle name="Uwaga 2 7 35" xfId="40574" xr:uid="{00000000-0005-0000-0000-00008C9E0000}"/>
    <cellStyle name="Uwaga 2 7 35 2" xfId="40575" xr:uid="{00000000-0005-0000-0000-00008D9E0000}"/>
    <cellStyle name="Uwaga 2 7 35 3" xfId="40576" xr:uid="{00000000-0005-0000-0000-00008E9E0000}"/>
    <cellStyle name="Uwaga 2 7 36" xfId="40577" xr:uid="{00000000-0005-0000-0000-00008F9E0000}"/>
    <cellStyle name="Uwaga 2 7 36 2" xfId="40578" xr:uid="{00000000-0005-0000-0000-0000909E0000}"/>
    <cellStyle name="Uwaga 2 7 36 3" xfId="40579" xr:uid="{00000000-0005-0000-0000-0000919E0000}"/>
    <cellStyle name="Uwaga 2 7 37" xfId="40580" xr:uid="{00000000-0005-0000-0000-0000929E0000}"/>
    <cellStyle name="Uwaga 2 7 37 2" xfId="40581" xr:uid="{00000000-0005-0000-0000-0000939E0000}"/>
    <cellStyle name="Uwaga 2 7 37 3" xfId="40582" xr:uid="{00000000-0005-0000-0000-0000949E0000}"/>
    <cellStyle name="Uwaga 2 7 38" xfId="40583" xr:uid="{00000000-0005-0000-0000-0000959E0000}"/>
    <cellStyle name="Uwaga 2 7 38 2" xfId="40584" xr:uid="{00000000-0005-0000-0000-0000969E0000}"/>
    <cellStyle name="Uwaga 2 7 38 3" xfId="40585" xr:uid="{00000000-0005-0000-0000-0000979E0000}"/>
    <cellStyle name="Uwaga 2 7 39" xfId="40586" xr:uid="{00000000-0005-0000-0000-0000989E0000}"/>
    <cellStyle name="Uwaga 2 7 39 2" xfId="40587" xr:uid="{00000000-0005-0000-0000-0000999E0000}"/>
    <cellStyle name="Uwaga 2 7 39 3" xfId="40588" xr:uid="{00000000-0005-0000-0000-00009A9E0000}"/>
    <cellStyle name="Uwaga 2 7 4" xfId="40589" xr:uid="{00000000-0005-0000-0000-00009B9E0000}"/>
    <cellStyle name="Uwaga 2 7 4 2" xfId="40590" xr:uid="{00000000-0005-0000-0000-00009C9E0000}"/>
    <cellStyle name="Uwaga 2 7 4 3" xfId="40591" xr:uid="{00000000-0005-0000-0000-00009D9E0000}"/>
    <cellStyle name="Uwaga 2 7 4 4" xfId="40592" xr:uid="{00000000-0005-0000-0000-00009E9E0000}"/>
    <cellStyle name="Uwaga 2 7 40" xfId="40593" xr:uid="{00000000-0005-0000-0000-00009F9E0000}"/>
    <cellStyle name="Uwaga 2 7 40 2" xfId="40594" xr:uid="{00000000-0005-0000-0000-0000A09E0000}"/>
    <cellStyle name="Uwaga 2 7 40 3" xfId="40595" xr:uid="{00000000-0005-0000-0000-0000A19E0000}"/>
    <cellStyle name="Uwaga 2 7 41" xfId="40596" xr:uid="{00000000-0005-0000-0000-0000A29E0000}"/>
    <cellStyle name="Uwaga 2 7 41 2" xfId="40597" xr:uid="{00000000-0005-0000-0000-0000A39E0000}"/>
    <cellStyle name="Uwaga 2 7 41 3" xfId="40598" xr:uid="{00000000-0005-0000-0000-0000A49E0000}"/>
    <cellStyle name="Uwaga 2 7 42" xfId="40599" xr:uid="{00000000-0005-0000-0000-0000A59E0000}"/>
    <cellStyle name="Uwaga 2 7 42 2" xfId="40600" xr:uid="{00000000-0005-0000-0000-0000A69E0000}"/>
    <cellStyle name="Uwaga 2 7 42 3" xfId="40601" xr:uid="{00000000-0005-0000-0000-0000A79E0000}"/>
    <cellStyle name="Uwaga 2 7 43" xfId="40602" xr:uid="{00000000-0005-0000-0000-0000A89E0000}"/>
    <cellStyle name="Uwaga 2 7 43 2" xfId="40603" xr:uid="{00000000-0005-0000-0000-0000A99E0000}"/>
    <cellStyle name="Uwaga 2 7 43 3" xfId="40604" xr:uid="{00000000-0005-0000-0000-0000AA9E0000}"/>
    <cellStyle name="Uwaga 2 7 44" xfId="40605" xr:uid="{00000000-0005-0000-0000-0000AB9E0000}"/>
    <cellStyle name="Uwaga 2 7 44 2" xfId="40606" xr:uid="{00000000-0005-0000-0000-0000AC9E0000}"/>
    <cellStyle name="Uwaga 2 7 44 3" xfId="40607" xr:uid="{00000000-0005-0000-0000-0000AD9E0000}"/>
    <cellStyle name="Uwaga 2 7 45" xfId="40608" xr:uid="{00000000-0005-0000-0000-0000AE9E0000}"/>
    <cellStyle name="Uwaga 2 7 45 2" xfId="40609" xr:uid="{00000000-0005-0000-0000-0000AF9E0000}"/>
    <cellStyle name="Uwaga 2 7 45 3" xfId="40610" xr:uid="{00000000-0005-0000-0000-0000B09E0000}"/>
    <cellStyle name="Uwaga 2 7 46" xfId="40611" xr:uid="{00000000-0005-0000-0000-0000B19E0000}"/>
    <cellStyle name="Uwaga 2 7 46 2" xfId="40612" xr:uid="{00000000-0005-0000-0000-0000B29E0000}"/>
    <cellStyle name="Uwaga 2 7 46 3" xfId="40613" xr:uid="{00000000-0005-0000-0000-0000B39E0000}"/>
    <cellStyle name="Uwaga 2 7 47" xfId="40614" xr:uid="{00000000-0005-0000-0000-0000B49E0000}"/>
    <cellStyle name="Uwaga 2 7 47 2" xfId="40615" xr:uid="{00000000-0005-0000-0000-0000B59E0000}"/>
    <cellStyle name="Uwaga 2 7 47 3" xfId="40616" xr:uid="{00000000-0005-0000-0000-0000B69E0000}"/>
    <cellStyle name="Uwaga 2 7 48" xfId="40617" xr:uid="{00000000-0005-0000-0000-0000B79E0000}"/>
    <cellStyle name="Uwaga 2 7 48 2" xfId="40618" xr:uid="{00000000-0005-0000-0000-0000B89E0000}"/>
    <cellStyle name="Uwaga 2 7 48 3" xfId="40619" xr:uid="{00000000-0005-0000-0000-0000B99E0000}"/>
    <cellStyle name="Uwaga 2 7 49" xfId="40620" xr:uid="{00000000-0005-0000-0000-0000BA9E0000}"/>
    <cellStyle name="Uwaga 2 7 49 2" xfId="40621" xr:uid="{00000000-0005-0000-0000-0000BB9E0000}"/>
    <cellStyle name="Uwaga 2 7 49 3" xfId="40622" xr:uid="{00000000-0005-0000-0000-0000BC9E0000}"/>
    <cellStyle name="Uwaga 2 7 5" xfId="40623" xr:uid="{00000000-0005-0000-0000-0000BD9E0000}"/>
    <cellStyle name="Uwaga 2 7 5 2" xfId="40624" xr:uid="{00000000-0005-0000-0000-0000BE9E0000}"/>
    <cellStyle name="Uwaga 2 7 5 3" xfId="40625" xr:uid="{00000000-0005-0000-0000-0000BF9E0000}"/>
    <cellStyle name="Uwaga 2 7 5 4" xfId="40626" xr:uid="{00000000-0005-0000-0000-0000C09E0000}"/>
    <cellStyle name="Uwaga 2 7 50" xfId="40627" xr:uid="{00000000-0005-0000-0000-0000C19E0000}"/>
    <cellStyle name="Uwaga 2 7 50 2" xfId="40628" xr:uid="{00000000-0005-0000-0000-0000C29E0000}"/>
    <cellStyle name="Uwaga 2 7 50 3" xfId="40629" xr:uid="{00000000-0005-0000-0000-0000C39E0000}"/>
    <cellStyle name="Uwaga 2 7 51" xfId="40630" xr:uid="{00000000-0005-0000-0000-0000C49E0000}"/>
    <cellStyle name="Uwaga 2 7 51 2" xfId="40631" xr:uid="{00000000-0005-0000-0000-0000C59E0000}"/>
    <cellStyle name="Uwaga 2 7 51 3" xfId="40632" xr:uid="{00000000-0005-0000-0000-0000C69E0000}"/>
    <cellStyle name="Uwaga 2 7 52" xfId="40633" xr:uid="{00000000-0005-0000-0000-0000C79E0000}"/>
    <cellStyle name="Uwaga 2 7 52 2" xfId="40634" xr:uid="{00000000-0005-0000-0000-0000C89E0000}"/>
    <cellStyle name="Uwaga 2 7 52 3" xfId="40635" xr:uid="{00000000-0005-0000-0000-0000C99E0000}"/>
    <cellStyle name="Uwaga 2 7 53" xfId="40636" xr:uid="{00000000-0005-0000-0000-0000CA9E0000}"/>
    <cellStyle name="Uwaga 2 7 53 2" xfId="40637" xr:uid="{00000000-0005-0000-0000-0000CB9E0000}"/>
    <cellStyle name="Uwaga 2 7 53 3" xfId="40638" xr:uid="{00000000-0005-0000-0000-0000CC9E0000}"/>
    <cellStyle name="Uwaga 2 7 54" xfId="40639" xr:uid="{00000000-0005-0000-0000-0000CD9E0000}"/>
    <cellStyle name="Uwaga 2 7 54 2" xfId="40640" xr:uid="{00000000-0005-0000-0000-0000CE9E0000}"/>
    <cellStyle name="Uwaga 2 7 54 3" xfId="40641" xr:uid="{00000000-0005-0000-0000-0000CF9E0000}"/>
    <cellStyle name="Uwaga 2 7 55" xfId="40642" xr:uid="{00000000-0005-0000-0000-0000D09E0000}"/>
    <cellStyle name="Uwaga 2 7 55 2" xfId="40643" xr:uid="{00000000-0005-0000-0000-0000D19E0000}"/>
    <cellStyle name="Uwaga 2 7 55 3" xfId="40644" xr:uid="{00000000-0005-0000-0000-0000D29E0000}"/>
    <cellStyle name="Uwaga 2 7 56" xfId="40645" xr:uid="{00000000-0005-0000-0000-0000D39E0000}"/>
    <cellStyle name="Uwaga 2 7 56 2" xfId="40646" xr:uid="{00000000-0005-0000-0000-0000D49E0000}"/>
    <cellStyle name="Uwaga 2 7 56 3" xfId="40647" xr:uid="{00000000-0005-0000-0000-0000D59E0000}"/>
    <cellStyle name="Uwaga 2 7 57" xfId="40648" xr:uid="{00000000-0005-0000-0000-0000D69E0000}"/>
    <cellStyle name="Uwaga 2 7 58" xfId="40649" xr:uid="{00000000-0005-0000-0000-0000D79E0000}"/>
    <cellStyle name="Uwaga 2 7 6" xfId="40650" xr:uid="{00000000-0005-0000-0000-0000D89E0000}"/>
    <cellStyle name="Uwaga 2 7 6 2" xfId="40651" xr:uid="{00000000-0005-0000-0000-0000D99E0000}"/>
    <cellStyle name="Uwaga 2 7 6 3" xfId="40652" xr:uid="{00000000-0005-0000-0000-0000DA9E0000}"/>
    <cellStyle name="Uwaga 2 7 6 4" xfId="40653" xr:uid="{00000000-0005-0000-0000-0000DB9E0000}"/>
    <cellStyle name="Uwaga 2 7 7" xfId="40654" xr:uid="{00000000-0005-0000-0000-0000DC9E0000}"/>
    <cellStyle name="Uwaga 2 7 7 2" xfId="40655" xr:uid="{00000000-0005-0000-0000-0000DD9E0000}"/>
    <cellStyle name="Uwaga 2 7 7 3" xfId="40656" xr:uid="{00000000-0005-0000-0000-0000DE9E0000}"/>
    <cellStyle name="Uwaga 2 7 7 4" xfId="40657" xr:uid="{00000000-0005-0000-0000-0000DF9E0000}"/>
    <cellStyle name="Uwaga 2 7 8" xfId="40658" xr:uid="{00000000-0005-0000-0000-0000E09E0000}"/>
    <cellStyle name="Uwaga 2 7 8 2" xfId="40659" xr:uid="{00000000-0005-0000-0000-0000E19E0000}"/>
    <cellStyle name="Uwaga 2 7 8 3" xfId="40660" xr:uid="{00000000-0005-0000-0000-0000E29E0000}"/>
    <cellStyle name="Uwaga 2 7 8 4" xfId="40661" xr:uid="{00000000-0005-0000-0000-0000E39E0000}"/>
    <cellStyle name="Uwaga 2 7 9" xfId="40662" xr:uid="{00000000-0005-0000-0000-0000E49E0000}"/>
    <cellStyle name="Uwaga 2 7 9 2" xfId="40663" xr:uid="{00000000-0005-0000-0000-0000E59E0000}"/>
    <cellStyle name="Uwaga 2 7 9 3" xfId="40664" xr:uid="{00000000-0005-0000-0000-0000E69E0000}"/>
    <cellStyle name="Uwaga 2 7 9 4" xfId="40665" xr:uid="{00000000-0005-0000-0000-0000E79E0000}"/>
    <cellStyle name="Uwaga 2 70" xfId="40666" xr:uid="{00000000-0005-0000-0000-0000E89E0000}"/>
    <cellStyle name="Uwaga 2 70 2" xfId="40667" xr:uid="{00000000-0005-0000-0000-0000E99E0000}"/>
    <cellStyle name="Uwaga 2 70 3" xfId="40668" xr:uid="{00000000-0005-0000-0000-0000EA9E0000}"/>
    <cellStyle name="Uwaga 2 71" xfId="40669" xr:uid="{00000000-0005-0000-0000-0000EB9E0000}"/>
    <cellStyle name="Uwaga 2 71 2" xfId="40670" xr:uid="{00000000-0005-0000-0000-0000EC9E0000}"/>
    <cellStyle name="Uwaga 2 71 3" xfId="40671" xr:uid="{00000000-0005-0000-0000-0000ED9E0000}"/>
    <cellStyle name="Uwaga 2 72" xfId="40672" xr:uid="{00000000-0005-0000-0000-0000EE9E0000}"/>
    <cellStyle name="Uwaga 2 72 2" xfId="40673" xr:uid="{00000000-0005-0000-0000-0000EF9E0000}"/>
    <cellStyle name="Uwaga 2 72 3" xfId="40674" xr:uid="{00000000-0005-0000-0000-0000F09E0000}"/>
    <cellStyle name="Uwaga 2 73" xfId="40675" xr:uid="{00000000-0005-0000-0000-0000F19E0000}"/>
    <cellStyle name="Uwaga 2 73 2" xfId="40676" xr:uid="{00000000-0005-0000-0000-0000F29E0000}"/>
    <cellStyle name="Uwaga 2 73 3" xfId="40677" xr:uid="{00000000-0005-0000-0000-0000F39E0000}"/>
    <cellStyle name="Uwaga 2 74" xfId="40678" xr:uid="{00000000-0005-0000-0000-0000F49E0000}"/>
    <cellStyle name="Uwaga 2 74 2" xfId="40679" xr:uid="{00000000-0005-0000-0000-0000F59E0000}"/>
    <cellStyle name="Uwaga 2 74 3" xfId="40680" xr:uid="{00000000-0005-0000-0000-0000F69E0000}"/>
    <cellStyle name="Uwaga 2 75" xfId="40681" xr:uid="{00000000-0005-0000-0000-0000F79E0000}"/>
    <cellStyle name="Uwaga 2 75 2" xfId="40682" xr:uid="{00000000-0005-0000-0000-0000F89E0000}"/>
    <cellStyle name="Uwaga 2 75 3" xfId="40683" xr:uid="{00000000-0005-0000-0000-0000F99E0000}"/>
    <cellStyle name="Uwaga 2 76" xfId="40684" xr:uid="{00000000-0005-0000-0000-0000FA9E0000}"/>
    <cellStyle name="Uwaga 2 76 2" xfId="40685" xr:uid="{00000000-0005-0000-0000-0000FB9E0000}"/>
    <cellStyle name="Uwaga 2 76 3" xfId="40686" xr:uid="{00000000-0005-0000-0000-0000FC9E0000}"/>
    <cellStyle name="Uwaga 2 77" xfId="40687" xr:uid="{00000000-0005-0000-0000-0000FD9E0000}"/>
    <cellStyle name="Uwaga 2 77 2" xfId="40688" xr:uid="{00000000-0005-0000-0000-0000FE9E0000}"/>
    <cellStyle name="Uwaga 2 77 3" xfId="40689" xr:uid="{00000000-0005-0000-0000-0000FF9E0000}"/>
    <cellStyle name="Uwaga 2 78" xfId="40690" xr:uid="{00000000-0005-0000-0000-0000009F0000}"/>
    <cellStyle name="Uwaga 2 78 2" xfId="40691" xr:uid="{00000000-0005-0000-0000-0000019F0000}"/>
    <cellStyle name="Uwaga 2 78 3" xfId="40692" xr:uid="{00000000-0005-0000-0000-0000029F0000}"/>
    <cellStyle name="Uwaga 2 79" xfId="40693" xr:uid="{00000000-0005-0000-0000-0000039F0000}"/>
    <cellStyle name="Uwaga 2 79 2" xfId="40694" xr:uid="{00000000-0005-0000-0000-0000049F0000}"/>
    <cellStyle name="Uwaga 2 79 3" xfId="40695" xr:uid="{00000000-0005-0000-0000-0000059F0000}"/>
    <cellStyle name="Uwaga 2 8" xfId="40696" xr:uid="{00000000-0005-0000-0000-0000069F0000}"/>
    <cellStyle name="Uwaga 2 8 10" xfId="40697" xr:uid="{00000000-0005-0000-0000-0000079F0000}"/>
    <cellStyle name="Uwaga 2 8 10 2" xfId="40698" xr:uid="{00000000-0005-0000-0000-0000089F0000}"/>
    <cellStyle name="Uwaga 2 8 10 3" xfId="40699" xr:uid="{00000000-0005-0000-0000-0000099F0000}"/>
    <cellStyle name="Uwaga 2 8 10 4" xfId="40700" xr:uid="{00000000-0005-0000-0000-00000A9F0000}"/>
    <cellStyle name="Uwaga 2 8 11" xfId="40701" xr:uid="{00000000-0005-0000-0000-00000B9F0000}"/>
    <cellStyle name="Uwaga 2 8 11 2" xfId="40702" xr:uid="{00000000-0005-0000-0000-00000C9F0000}"/>
    <cellStyle name="Uwaga 2 8 11 3" xfId="40703" xr:uid="{00000000-0005-0000-0000-00000D9F0000}"/>
    <cellStyle name="Uwaga 2 8 11 4" xfId="40704" xr:uid="{00000000-0005-0000-0000-00000E9F0000}"/>
    <cellStyle name="Uwaga 2 8 12" xfId="40705" xr:uid="{00000000-0005-0000-0000-00000F9F0000}"/>
    <cellStyle name="Uwaga 2 8 12 2" xfId="40706" xr:uid="{00000000-0005-0000-0000-0000109F0000}"/>
    <cellStyle name="Uwaga 2 8 12 3" xfId="40707" xr:uid="{00000000-0005-0000-0000-0000119F0000}"/>
    <cellStyle name="Uwaga 2 8 12 4" xfId="40708" xr:uid="{00000000-0005-0000-0000-0000129F0000}"/>
    <cellStyle name="Uwaga 2 8 13" xfId="40709" xr:uid="{00000000-0005-0000-0000-0000139F0000}"/>
    <cellStyle name="Uwaga 2 8 13 2" xfId="40710" xr:uid="{00000000-0005-0000-0000-0000149F0000}"/>
    <cellStyle name="Uwaga 2 8 13 3" xfId="40711" xr:uid="{00000000-0005-0000-0000-0000159F0000}"/>
    <cellStyle name="Uwaga 2 8 13 4" xfId="40712" xr:uid="{00000000-0005-0000-0000-0000169F0000}"/>
    <cellStyle name="Uwaga 2 8 14" xfId="40713" xr:uid="{00000000-0005-0000-0000-0000179F0000}"/>
    <cellStyle name="Uwaga 2 8 14 2" xfId="40714" xr:uid="{00000000-0005-0000-0000-0000189F0000}"/>
    <cellStyle name="Uwaga 2 8 14 3" xfId="40715" xr:uid="{00000000-0005-0000-0000-0000199F0000}"/>
    <cellStyle name="Uwaga 2 8 14 4" xfId="40716" xr:uid="{00000000-0005-0000-0000-00001A9F0000}"/>
    <cellStyle name="Uwaga 2 8 15" xfId="40717" xr:uid="{00000000-0005-0000-0000-00001B9F0000}"/>
    <cellStyle name="Uwaga 2 8 15 2" xfId="40718" xr:uid="{00000000-0005-0000-0000-00001C9F0000}"/>
    <cellStyle name="Uwaga 2 8 15 3" xfId="40719" xr:uid="{00000000-0005-0000-0000-00001D9F0000}"/>
    <cellStyle name="Uwaga 2 8 15 4" xfId="40720" xr:uid="{00000000-0005-0000-0000-00001E9F0000}"/>
    <cellStyle name="Uwaga 2 8 16" xfId="40721" xr:uid="{00000000-0005-0000-0000-00001F9F0000}"/>
    <cellStyle name="Uwaga 2 8 16 2" xfId="40722" xr:uid="{00000000-0005-0000-0000-0000209F0000}"/>
    <cellStyle name="Uwaga 2 8 16 3" xfId="40723" xr:uid="{00000000-0005-0000-0000-0000219F0000}"/>
    <cellStyle name="Uwaga 2 8 16 4" xfId="40724" xr:uid="{00000000-0005-0000-0000-0000229F0000}"/>
    <cellStyle name="Uwaga 2 8 17" xfId="40725" xr:uid="{00000000-0005-0000-0000-0000239F0000}"/>
    <cellStyle name="Uwaga 2 8 17 2" xfId="40726" xr:uid="{00000000-0005-0000-0000-0000249F0000}"/>
    <cellStyle name="Uwaga 2 8 17 3" xfId="40727" xr:uid="{00000000-0005-0000-0000-0000259F0000}"/>
    <cellStyle name="Uwaga 2 8 17 4" xfId="40728" xr:uid="{00000000-0005-0000-0000-0000269F0000}"/>
    <cellStyle name="Uwaga 2 8 18" xfId="40729" xr:uid="{00000000-0005-0000-0000-0000279F0000}"/>
    <cellStyle name="Uwaga 2 8 18 2" xfId="40730" xr:uid="{00000000-0005-0000-0000-0000289F0000}"/>
    <cellStyle name="Uwaga 2 8 18 3" xfId="40731" xr:uid="{00000000-0005-0000-0000-0000299F0000}"/>
    <cellStyle name="Uwaga 2 8 18 4" xfId="40732" xr:uid="{00000000-0005-0000-0000-00002A9F0000}"/>
    <cellStyle name="Uwaga 2 8 19" xfId="40733" xr:uid="{00000000-0005-0000-0000-00002B9F0000}"/>
    <cellStyle name="Uwaga 2 8 19 2" xfId="40734" xr:uid="{00000000-0005-0000-0000-00002C9F0000}"/>
    <cellStyle name="Uwaga 2 8 19 3" xfId="40735" xr:uid="{00000000-0005-0000-0000-00002D9F0000}"/>
    <cellStyle name="Uwaga 2 8 19 4" xfId="40736" xr:uid="{00000000-0005-0000-0000-00002E9F0000}"/>
    <cellStyle name="Uwaga 2 8 2" xfId="40737" xr:uid="{00000000-0005-0000-0000-00002F9F0000}"/>
    <cellStyle name="Uwaga 2 8 2 2" xfId="40738" xr:uid="{00000000-0005-0000-0000-0000309F0000}"/>
    <cellStyle name="Uwaga 2 8 2 3" xfId="40739" xr:uid="{00000000-0005-0000-0000-0000319F0000}"/>
    <cellStyle name="Uwaga 2 8 2 4" xfId="40740" xr:uid="{00000000-0005-0000-0000-0000329F0000}"/>
    <cellStyle name="Uwaga 2 8 20" xfId="40741" xr:uid="{00000000-0005-0000-0000-0000339F0000}"/>
    <cellStyle name="Uwaga 2 8 20 2" xfId="40742" xr:uid="{00000000-0005-0000-0000-0000349F0000}"/>
    <cellStyle name="Uwaga 2 8 20 3" xfId="40743" xr:uid="{00000000-0005-0000-0000-0000359F0000}"/>
    <cellStyle name="Uwaga 2 8 20 4" xfId="40744" xr:uid="{00000000-0005-0000-0000-0000369F0000}"/>
    <cellStyle name="Uwaga 2 8 21" xfId="40745" xr:uid="{00000000-0005-0000-0000-0000379F0000}"/>
    <cellStyle name="Uwaga 2 8 21 2" xfId="40746" xr:uid="{00000000-0005-0000-0000-0000389F0000}"/>
    <cellStyle name="Uwaga 2 8 21 3" xfId="40747" xr:uid="{00000000-0005-0000-0000-0000399F0000}"/>
    <cellStyle name="Uwaga 2 8 22" xfId="40748" xr:uid="{00000000-0005-0000-0000-00003A9F0000}"/>
    <cellStyle name="Uwaga 2 8 22 2" xfId="40749" xr:uid="{00000000-0005-0000-0000-00003B9F0000}"/>
    <cellStyle name="Uwaga 2 8 22 3" xfId="40750" xr:uid="{00000000-0005-0000-0000-00003C9F0000}"/>
    <cellStyle name="Uwaga 2 8 23" xfId="40751" xr:uid="{00000000-0005-0000-0000-00003D9F0000}"/>
    <cellStyle name="Uwaga 2 8 23 2" xfId="40752" xr:uid="{00000000-0005-0000-0000-00003E9F0000}"/>
    <cellStyle name="Uwaga 2 8 23 3" xfId="40753" xr:uid="{00000000-0005-0000-0000-00003F9F0000}"/>
    <cellStyle name="Uwaga 2 8 24" xfId="40754" xr:uid="{00000000-0005-0000-0000-0000409F0000}"/>
    <cellStyle name="Uwaga 2 8 24 2" xfId="40755" xr:uid="{00000000-0005-0000-0000-0000419F0000}"/>
    <cellStyle name="Uwaga 2 8 24 3" xfId="40756" xr:uid="{00000000-0005-0000-0000-0000429F0000}"/>
    <cellStyle name="Uwaga 2 8 25" xfId="40757" xr:uid="{00000000-0005-0000-0000-0000439F0000}"/>
    <cellStyle name="Uwaga 2 8 25 2" xfId="40758" xr:uid="{00000000-0005-0000-0000-0000449F0000}"/>
    <cellStyle name="Uwaga 2 8 25 3" xfId="40759" xr:uid="{00000000-0005-0000-0000-0000459F0000}"/>
    <cellStyle name="Uwaga 2 8 26" xfId="40760" xr:uid="{00000000-0005-0000-0000-0000469F0000}"/>
    <cellStyle name="Uwaga 2 8 26 2" xfId="40761" xr:uid="{00000000-0005-0000-0000-0000479F0000}"/>
    <cellStyle name="Uwaga 2 8 26 3" xfId="40762" xr:uid="{00000000-0005-0000-0000-0000489F0000}"/>
    <cellStyle name="Uwaga 2 8 27" xfId="40763" xr:uid="{00000000-0005-0000-0000-0000499F0000}"/>
    <cellStyle name="Uwaga 2 8 27 2" xfId="40764" xr:uid="{00000000-0005-0000-0000-00004A9F0000}"/>
    <cellStyle name="Uwaga 2 8 27 3" xfId="40765" xr:uid="{00000000-0005-0000-0000-00004B9F0000}"/>
    <cellStyle name="Uwaga 2 8 28" xfId="40766" xr:uid="{00000000-0005-0000-0000-00004C9F0000}"/>
    <cellStyle name="Uwaga 2 8 28 2" xfId="40767" xr:uid="{00000000-0005-0000-0000-00004D9F0000}"/>
    <cellStyle name="Uwaga 2 8 28 3" xfId="40768" xr:uid="{00000000-0005-0000-0000-00004E9F0000}"/>
    <cellStyle name="Uwaga 2 8 29" xfId="40769" xr:uid="{00000000-0005-0000-0000-00004F9F0000}"/>
    <cellStyle name="Uwaga 2 8 29 2" xfId="40770" xr:uid="{00000000-0005-0000-0000-0000509F0000}"/>
    <cellStyle name="Uwaga 2 8 29 3" xfId="40771" xr:uid="{00000000-0005-0000-0000-0000519F0000}"/>
    <cellStyle name="Uwaga 2 8 3" xfId="40772" xr:uid="{00000000-0005-0000-0000-0000529F0000}"/>
    <cellStyle name="Uwaga 2 8 3 2" xfId="40773" xr:uid="{00000000-0005-0000-0000-0000539F0000}"/>
    <cellStyle name="Uwaga 2 8 3 3" xfId="40774" xr:uid="{00000000-0005-0000-0000-0000549F0000}"/>
    <cellStyle name="Uwaga 2 8 3 4" xfId="40775" xr:uid="{00000000-0005-0000-0000-0000559F0000}"/>
    <cellStyle name="Uwaga 2 8 30" xfId="40776" xr:uid="{00000000-0005-0000-0000-0000569F0000}"/>
    <cellStyle name="Uwaga 2 8 30 2" xfId="40777" xr:uid="{00000000-0005-0000-0000-0000579F0000}"/>
    <cellStyle name="Uwaga 2 8 30 3" xfId="40778" xr:uid="{00000000-0005-0000-0000-0000589F0000}"/>
    <cellStyle name="Uwaga 2 8 31" xfId="40779" xr:uid="{00000000-0005-0000-0000-0000599F0000}"/>
    <cellStyle name="Uwaga 2 8 31 2" xfId="40780" xr:uid="{00000000-0005-0000-0000-00005A9F0000}"/>
    <cellStyle name="Uwaga 2 8 31 3" xfId="40781" xr:uid="{00000000-0005-0000-0000-00005B9F0000}"/>
    <cellStyle name="Uwaga 2 8 32" xfId="40782" xr:uid="{00000000-0005-0000-0000-00005C9F0000}"/>
    <cellStyle name="Uwaga 2 8 32 2" xfId="40783" xr:uid="{00000000-0005-0000-0000-00005D9F0000}"/>
    <cellStyle name="Uwaga 2 8 32 3" xfId="40784" xr:uid="{00000000-0005-0000-0000-00005E9F0000}"/>
    <cellStyle name="Uwaga 2 8 33" xfId="40785" xr:uid="{00000000-0005-0000-0000-00005F9F0000}"/>
    <cellStyle name="Uwaga 2 8 33 2" xfId="40786" xr:uid="{00000000-0005-0000-0000-0000609F0000}"/>
    <cellStyle name="Uwaga 2 8 33 3" xfId="40787" xr:uid="{00000000-0005-0000-0000-0000619F0000}"/>
    <cellStyle name="Uwaga 2 8 34" xfId="40788" xr:uid="{00000000-0005-0000-0000-0000629F0000}"/>
    <cellStyle name="Uwaga 2 8 34 2" xfId="40789" xr:uid="{00000000-0005-0000-0000-0000639F0000}"/>
    <cellStyle name="Uwaga 2 8 34 3" xfId="40790" xr:uid="{00000000-0005-0000-0000-0000649F0000}"/>
    <cellStyle name="Uwaga 2 8 35" xfId="40791" xr:uid="{00000000-0005-0000-0000-0000659F0000}"/>
    <cellStyle name="Uwaga 2 8 35 2" xfId="40792" xr:uid="{00000000-0005-0000-0000-0000669F0000}"/>
    <cellStyle name="Uwaga 2 8 35 3" xfId="40793" xr:uid="{00000000-0005-0000-0000-0000679F0000}"/>
    <cellStyle name="Uwaga 2 8 36" xfId="40794" xr:uid="{00000000-0005-0000-0000-0000689F0000}"/>
    <cellStyle name="Uwaga 2 8 36 2" xfId="40795" xr:uid="{00000000-0005-0000-0000-0000699F0000}"/>
    <cellStyle name="Uwaga 2 8 36 3" xfId="40796" xr:uid="{00000000-0005-0000-0000-00006A9F0000}"/>
    <cellStyle name="Uwaga 2 8 37" xfId="40797" xr:uid="{00000000-0005-0000-0000-00006B9F0000}"/>
    <cellStyle name="Uwaga 2 8 37 2" xfId="40798" xr:uid="{00000000-0005-0000-0000-00006C9F0000}"/>
    <cellStyle name="Uwaga 2 8 37 3" xfId="40799" xr:uid="{00000000-0005-0000-0000-00006D9F0000}"/>
    <cellStyle name="Uwaga 2 8 38" xfId="40800" xr:uid="{00000000-0005-0000-0000-00006E9F0000}"/>
    <cellStyle name="Uwaga 2 8 38 2" xfId="40801" xr:uid="{00000000-0005-0000-0000-00006F9F0000}"/>
    <cellStyle name="Uwaga 2 8 38 3" xfId="40802" xr:uid="{00000000-0005-0000-0000-0000709F0000}"/>
    <cellStyle name="Uwaga 2 8 39" xfId="40803" xr:uid="{00000000-0005-0000-0000-0000719F0000}"/>
    <cellStyle name="Uwaga 2 8 39 2" xfId="40804" xr:uid="{00000000-0005-0000-0000-0000729F0000}"/>
    <cellStyle name="Uwaga 2 8 39 3" xfId="40805" xr:uid="{00000000-0005-0000-0000-0000739F0000}"/>
    <cellStyle name="Uwaga 2 8 4" xfId="40806" xr:uid="{00000000-0005-0000-0000-0000749F0000}"/>
    <cellStyle name="Uwaga 2 8 4 2" xfId="40807" xr:uid="{00000000-0005-0000-0000-0000759F0000}"/>
    <cellStyle name="Uwaga 2 8 4 3" xfId="40808" xr:uid="{00000000-0005-0000-0000-0000769F0000}"/>
    <cellStyle name="Uwaga 2 8 4 4" xfId="40809" xr:uid="{00000000-0005-0000-0000-0000779F0000}"/>
    <cellStyle name="Uwaga 2 8 40" xfId="40810" xr:uid="{00000000-0005-0000-0000-0000789F0000}"/>
    <cellStyle name="Uwaga 2 8 40 2" xfId="40811" xr:uid="{00000000-0005-0000-0000-0000799F0000}"/>
    <cellStyle name="Uwaga 2 8 40 3" xfId="40812" xr:uid="{00000000-0005-0000-0000-00007A9F0000}"/>
    <cellStyle name="Uwaga 2 8 41" xfId="40813" xr:uid="{00000000-0005-0000-0000-00007B9F0000}"/>
    <cellStyle name="Uwaga 2 8 41 2" xfId="40814" xr:uid="{00000000-0005-0000-0000-00007C9F0000}"/>
    <cellStyle name="Uwaga 2 8 41 3" xfId="40815" xr:uid="{00000000-0005-0000-0000-00007D9F0000}"/>
    <cellStyle name="Uwaga 2 8 42" xfId="40816" xr:uid="{00000000-0005-0000-0000-00007E9F0000}"/>
    <cellStyle name="Uwaga 2 8 42 2" xfId="40817" xr:uid="{00000000-0005-0000-0000-00007F9F0000}"/>
    <cellStyle name="Uwaga 2 8 42 3" xfId="40818" xr:uid="{00000000-0005-0000-0000-0000809F0000}"/>
    <cellStyle name="Uwaga 2 8 43" xfId="40819" xr:uid="{00000000-0005-0000-0000-0000819F0000}"/>
    <cellStyle name="Uwaga 2 8 43 2" xfId="40820" xr:uid="{00000000-0005-0000-0000-0000829F0000}"/>
    <cellStyle name="Uwaga 2 8 43 3" xfId="40821" xr:uid="{00000000-0005-0000-0000-0000839F0000}"/>
    <cellStyle name="Uwaga 2 8 44" xfId="40822" xr:uid="{00000000-0005-0000-0000-0000849F0000}"/>
    <cellStyle name="Uwaga 2 8 44 2" xfId="40823" xr:uid="{00000000-0005-0000-0000-0000859F0000}"/>
    <cellStyle name="Uwaga 2 8 44 3" xfId="40824" xr:uid="{00000000-0005-0000-0000-0000869F0000}"/>
    <cellStyle name="Uwaga 2 8 45" xfId="40825" xr:uid="{00000000-0005-0000-0000-0000879F0000}"/>
    <cellStyle name="Uwaga 2 8 45 2" xfId="40826" xr:uid="{00000000-0005-0000-0000-0000889F0000}"/>
    <cellStyle name="Uwaga 2 8 45 3" xfId="40827" xr:uid="{00000000-0005-0000-0000-0000899F0000}"/>
    <cellStyle name="Uwaga 2 8 46" xfId="40828" xr:uid="{00000000-0005-0000-0000-00008A9F0000}"/>
    <cellStyle name="Uwaga 2 8 46 2" xfId="40829" xr:uid="{00000000-0005-0000-0000-00008B9F0000}"/>
    <cellStyle name="Uwaga 2 8 46 3" xfId="40830" xr:uid="{00000000-0005-0000-0000-00008C9F0000}"/>
    <cellStyle name="Uwaga 2 8 47" xfId="40831" xr:uid="{00000000-0005-0000-0000-00008D9F0000}"/>
    <cellStyle name="Uwaga 2 8 47 2" xfId="40832" xr:uid="{00000000-0005-0000-0000-00008E9F0000}"/>
    <cellStyle name="Uwaga 2 8 47 3" xfId="40833" xr:uid="{00000000-0005-0000-0000-00008F9F0000}"/>
    <cellStyle name="Uwaga 2 8 48" xfId="40834" xr:uid="{00000000-0005-0000-0000-0000909F0000}"/>
    <cellStyle name="Uwaga 2 8 48 2" xfId="40835" xr:uid="{00000000-0005-0000-0000-0000919F0000}"/>
    <cellStyle name="Uwaga 2 8 48 3" xfId="40836" xr:uid="{00000000-0005-0000-0000-0000929F0000}"/>
    <cellStyle name="Uwaga 2 8 49" xfId="40837" xr:uid="{00000000-0005-0000-0000-0000939F0000}"/>
    <cellStyle name="Uwaga 2 8 49 2" xfId="40838" xr:uid="{00000000-0005-0000-0000-0000949F0000}"/>
    <cellStyle name="Uwaga 2 8 49 3" xfId="40839" xr:uid="{00000000-0005-0000-0000-0000959F0000}"/>
    <cellStyle name="Uwaga 2 8 5" xfId="40840" xr:uid="{00000000-0005-0000-0000-0000969F0000}"/>
    <cellStyle name="Uwaga 2 8 5 2" xfId="40841" xr:uid="{00000000-0005-0000-0000-0000979F0000}"/>
    <cellStyle name="Uwaga 2 8 5 3" xfId="40842" xr:uid="{00000000-0005-0000-0000-0000989F0000}"/>
    <cellStyle name="Uwaga 2 8 5 4" xfId="40843" xr:uid="{00000000-0005-0000-0000-0000999F0000}"/>
    <cellStyle name="Uwaga 2 8 50" xfId="40844" xr:uid="{00000000-0005-0000-0000-00009A9F0000}"/>
    <cellStyle name="Uwaga 2 8 50 2" xfId="40845" xr:uid="{00000000-0005-0000-0000-00009B9F0000}"/>
    <cellStyle name="Uwaga 2 8 50 3" xfId="40846" xr:uid="{00000000-0005-0000-0000-00009C9F0000}"/>
    <cellStyle name="Uwaga 2 8 51" xfId="40847" xr:uid="{00000000-0005-0000-0000-00009D9F0000}"/>
    <cellStyle name="Uwaga 2 8 51 2" xfId="40848" xr:uid="{00000000-0005-0000-0000-00009E9F0000}"/>
    <cellStyle name="Uwaga 2 8 51 3" xfId="40849" xr:uid="{00000000-0005-0000-0000-00009F9F0000}"/>
    <cellStyle name="Uwaga 2 8 52" xfId="40850" xr:uid="{00000000-0005-0000-0000-0000A09F0000}"/>
    <cellStyle name="Uwaga 2 8 52 2" xfId="40851" xr:uid="{00000000-0005-0000-0000-0000A19F0000}"/>
    <cellStyle name="Uwaga 2 8 52 3" xfId="40852" xr:uid="{00000000-0005-0000-0000-0000A29F0000}"/>
    <cellStyle name="Uwaga 2 8 53" xfId="40853" xr:uid="{00000000-0005-0000-0000-0000A39F0000}"/>
    <cellStyle name="Uwaga 2 8 53 2" xfId="40854" xr:uid="{00000000-0005-0000-0000-0000A49F0000}"/>
    <cellStyle name="Uwaga 2 8 53 3" xfId="40855" xr:uid="{00000000-0005-0000-0000-0000A59F0000}"/>
    <cellStyle name="Uwaga 2 8 54" xfId="40856" xr:uid="{00000000-0005-0000-0000-0000A69F0000}"/>
    <cellStyle name="Uwaga 2 8 54 2" xfId="40857" xr:uid="{00000000-0005-0000-0000-0000A79F0000}"/>
    <cellStyle name="Uwaga 2 8 54 3" xfId="40858" xr:uid="{00000000-0005-0000-0000-0000A89F0000}"/>
    <cellStyle name="Uwaga 2 8 55" xfId="40859" xr:uid="{00000000-0005-0000-0000-0000A99F0000}"/>
    <cellStyle name="Uwaga 2 8 55 2" xfId="40860" xr:uid="{00000000-0005-0000-0000-0000AA9F0000}"/>
    <cellStyle name="Uwaga 2 8 55 3" xfId="40861" xr:uid="{00000000-0005-0000-0000-0000AB9F0000}"/>
    <cellStyle name="Uwaga 2 8 56" xfId="40862" xr:uid="{00000000-0005-0000-0000-0000AC9F0000}"/>
    <cellStyle name="Uwaga 2 8 56 2" xfId="40863" xr:uid="{00000000-0005-0000-0000-0000AD9F0000}"/>
    <cellStyle name="Uwaga 2 8 56 3" xfId="40864" xr:uid="{00000000-0005-0000-0000-0000AE9F0000}"/>
    <cellStyle name="Uwaga 2 8 57" xfId="40865" xr:uid="{00000000-0005-0000-0000-0000AF9F0000}"/>
    <cellStyle name="Uwaga 2 8 58" xfId="40866" xr:uid="{00000000-0005-0000-0000-0000B09F0000}"/>
    <cellStyle name="Uwaga 2 8 6" xfId="40867" xr:uid="{00000000-0005-0000-0000-0000B19F0000}"/>
    <cellStyle name="Uwaga 2 8 6 2" xfId="40868" xr:uid="{00000000-0005-0000-0000-0000B29F0000}"/>
    <cellStyle name="Uwaga 2 8 6 3" xfId="40869" xr:uid="{00000000-0005-0000-0000-0000B39F0000}"/>
    <cellStyle name="Uwaga 2 8 6 4" xfId="40870" xr:uid="{00000000-0005-0000-0000-0000B49F0000}"/>
    <cellStyle name="Uwaga 2 8 7" xfId="40871" xr:uid="{00000000-0005-0000-0000-0000B59F0000}"/>
    <cellStyle name="Uwaga 2 8 7 2" xfId="40872" xr:uid="{00000000-0005-0000-0000-0000B69F0000}"/>
    <cellStyle name="Uwaga 2 8 7 3" xfId="40873" xr:uid="{00000000-0005-0000-0000-0000B79F0000}"/>
    <cellStyle name="Uwaga 2 8 7 4" xfId="40874" xr:uid="{00000000-0005-0000-0000-0000B89F0000}"/>
    <cellStyle name="Uwaga 2 8 8" xfId="40875" xr:uid="{00000000-0005-0000-0000-0000B99F0000}"/>
    <cellStyle name="Uwaga 2 8 8 2" xfId="40876" xr:uid="{00000000-0005-0000-0000-0000BA9F0000}"/>
    <cellStyle name="Uwaga 2 8 8 3" xfId="40877" xr:uid="{00000000-0005-0000-0000-0000BB9F0000}"/>
    <cellStyle name="Uwaga 2 8 8 4" xfId="40878" xr:uid="{00000000-0005-0000-0000-0000BC9F0000}"/>
    <cellStyle name="Uwaga 2 8 9" xfId="40879" xr:uid="{00000000-0005-0000-0000-0000BD9F0000}"/>
    <cellStyle name="Uwaga 2 8 9 2" xfId="40880" xr:uid="{00000000-0005-0000-0000-0000BE9F0000}"/>
    <cellStyle name="Uwaga 2 8 9 3" xfId="40881" xr:uid="{00000000-0005-0000-0000-0000BF9F0000}"/>
    <cellStyle name="Uwaga 2 8 9 4" xfId="40882" xr:uid="{00000000-0005-0000-0000-0000C09F0000}"/>
    <cellStyle name="Uwaga 2 80" xfId="40883" xr:uid="{00000000-0005-0000-0000-0000C19F0000}"/>
    <cellStyle name="Uwaga 2 80 2" xfId="40884" xr:uid="{00000000-0005-0000-0000-0000C29F0000}"/>
    <cellStyle name="Uwaga 2 80 3" xfId="40885" xr:uid="{00000000-0005-0000-0000-0000C39F0000}"/>
    <cellStyle name="Uwaga 2 81" xfId="40886" xr:uid="{00000000-0005-0000-0000-0000C49F0000}"/>
    <cellStyle name="Uwaga 2 81 2" xfId="40887" xr:uid="{00000000-0005-0000-0000-0000C59F0000}"/>
    <cellStyle name="Uwaga 2 81 3" xfId="40888" xr:uid="{00000000-0005-0000-0000-0000C69F0000}"/>
    <cellStyle name="Uwaga 2 82" xfId="40889" xr:uid="{00000000-0005-0000-0000-0000C79F0000}"/>
    <cellStyle name="Uwaga 2 82 2" xfId="40890" xr:uid="{00000000-0005-0000-0000-0000C89F0000}"/>
    <cellStyle name="Uwaga 2 82 3" xfId="40891" xr:uid="{00000000-0005-0000-0000-0000C99F0000}"/>
    <cellStyle name="Uwaga 2 83" xfId="40892" xr:uid="{00000000-0005-0000-0000-0000CA9F0000}"/>
    <cellStyle name="Uwaga 2 83 2" xfId="40893" xr:uid="{00000000-0005-0000-0000-0000CB9F0000}"/>
    <cellStyle name="Uwaga 2 83 3" xfId="40894" xr:uid="{00000000-0005-0000-0000-0000CC9F0000}"/>
    <cellStyle name="Uwaga 2 84" xfId="40895" xr:uid="{00000000-0005-0000-0000-0000CD9F0000}"/>
    <cellStyle name="Uwaga 2 84 2" xfId="40896" xr:uid="{00000000-0005-0000-0000-0000CE9F0000}"/>
    <cellStyle name="Uwaga 2 84 3" xfId="40897" xr:uid="{00000000-0005-0000-0000-0000CF9F0000}"/>
    <cellStyle name="Uwaga 2 85" xfId="40898" xr:uid="{00000000-0005-0000-0000-0000D09F0000}"/>
    <cellStyle name="Uwaga 2 85 2" xfId="40899" xr:uid="{00000000-0005-0000-0000-0000D19F0000}"/>
    <cellStyle name="Uwaga 2 85 3" xfId="40900" xr:uid="{00000000-0005-0000-0000-0000D29F0000}"/>
    <cellStyle name="Uwaga 2 86" xfId="40901" xr:uid="{00000000-0005-0000-0000-0000D39F0000}"/>
    <cellStyle name="Uwaga 2 86 2" xfId="40902" xr:uid="{00000000-0005-0000-0000-0000D49F0000}"/>
    <cellStyle name="Uwaga 2 86 3" xfId="40903" xr:uid="{00000000-0005-0000-0000-0000D59F0000}"/>
    <cellStyle name="Uwaga 2 87" xfId="40904" xr:uid="{00000000-0005-0000-0000-0000D69F0000}"/>
    <cellStyle name="Uwaga 2 87 2" xfId="40905" xr:uid="{00000000-0005-0000-0000-0000D79F0000}"/>
    <cellStyle name="Uwaga 2 87 3" xfId="40906" xr:uid="{00000000-0005-0000-0000-0000D89F0000}"/>
    <cellStyle name="Uwaga 2 88" xfId="40907" xr:uid="{00000000-0005-0000-0000-0000D99F0000}"/>
    <cellStyle name="Uwaga 2 88 2" xfId="40908" xr:uid="{00000000-0005-0000-0000-0000DA9F0000}"/>
    <cellStyle name="Uwaga 2 88 3" xfId="40909" xr:uid="{00000000-0005-0000-0000-0000DB9F0000}"/>
    <cellStyle name="Uwaga 2 89" xfId="40910" xr:uid="{00000000-0005-0000-0000-0000DC9F0000}"/>
    <cellStyle name="Uwaga 2 89 2" xfId="40911" xr:uid="{00000000-0005-0000-0000-0000DD9F0000}"/>
    <cellStyle name="Uwaga 2 89 3" xfId="40912" xr:uid="{00000000-0005-0000-0000-0000DE9F0000}"/>
    <cellStyle name="Uwaga 2 9" xfId="40913" xr:uid="{00000000-0005-0000-0000-0000DF9F0000}"/>
    <cellStyle name="Uwaga 2 9 10" xfId="40914" xr:uid="{00000000-0005-0000-0000-0000E09F0000}"/>
    <cellStyle name="Uwaga 2 9 10 2" xfId="40915" xr:uid="{00000000-0005-0000-0000-0000E19F0000}"/>
    <cellStyle name="Uwaga 2 9 10 3" xfId="40916" xr:uid="{00000000-0005-0000-0000-0000E29F0000}"/>
    <cellStyle name="Uwaga 2 9 10 4" xfId="40917" xr:uid="{00000000-0005-0000-0000-0000E39F0000}"/>
    <cellStyle name="Uwaga 2 9 11" xfId="40918" xr:uid="{00000000-0005-0000-0000-0000E49F0000}"/>
    <cellStyle name="Uwaga 2 9 11 2" xfId="40919" xr:uid="{00000000-0005-0000-0000-0000E59F0000}"/>
    <cellStyle name="Uwaga 2 9 11 3" xfId="40920" xr:uid="{00000000-0005-0000-0000-0000E69F0000}"/>
    <cellStyle name="Uwaga 2 9 11 4" xfId="40921" xr:uid="{00000000-0005-0000-0000-0000E79F0000}"/>
    <cellStyle name="Uwaga 2 9 12" xfId="40922" xr:uid="{00000000-0005-0000-0000-0000E89F0000}"/>
    <cellStyle name="Uwaga 2 9 12 2" xfId="40923" xr:uid="{00000000-0005-0000-0000-0000E99F0000}"/>
    <cellStyle name="Uwaga 2 9 12 3" xfId="40924" xr:uid="{00000000-0005-0000-0000-0000EA9F0000}"/>
    <cellStyle name="Uwaga 2 9 12 4" xfId="40925" xr:uid="{00000000-0005-0000-0000-0000EB9F0000}"/>
    <cellStyle name="Uwaga 2 9 13" xfId="40926" xr:uid="{00000000-0005-0000-0000-0000EC9F0000}"/>
    <cellStyle name="Uwaga 2 9 13 2" xfId="40927" xr:uid="{00000000-0005-0000-0000-0000ED9F0000}"/>
    <cellStyle name="Uwaga 2 9 13 3" xfId="40928" xr:uid="{00000000-0005-0000-0000-0000EE9F0000}"/>
    <cellStyle name="Uwaga 2 9 13 4" xfId="40929" xr:uid="{00000000-0005-0000-0000-0000EF9F0000}"/>
    <cellStyle name="Uwaga 2 9 14" xfId="40930" xr:uid="{00000000-0005-0000-0000-0000F09F0000}"/>
    <cellStyle name="Uwaga 2 9 14 2" xfId="40931" xr:uid="{00000000-0005-0000-0000-0000F19F0000}"/>
    <cellStyle name="Uwaga 2 9 14 3" xfId="40932" xr:uid="{00000000-0005-0000-0000-0000F29F0000}"/>
    <cellStyle name="Uwaga 2 9 14 4" xfId="40933" xr:uid="{00000000-0005-0000-0000-0000F39F0000}"/>
    <cellStyle name="Uwaga 2 9 15" xfId="40934" xr:uid="{00000000-0005-0000-0000-0000F49F0000}"/>
    <cellStyle name="Uwaga 2 9 15 2" xfId="40935" xr:uid="{00000000-0005-0000-0000-0000F59F0000}"/>
    <cellStyle name="Uwaga 2 9 15 3" xfId="40936" xr:uid="{00000000-0005-0000-0000-0000F69F0000}"/>
    <cellStyle name="Uwaga 2 9 15 4" xfId="40937" xr:uid="{00000000-0005-0000-0000-0000F79F0000}"/>
    <cellStyle name="Uwaga 2 9 16" xfId="40938" xr:uid="{00000000-0005-0000-0000-0000F89F0000}"/>
    <cellStyle name="Uwaga 2 9 16 2" xfId="40939" xr:uid="{00000000-0005-0000-0000-0000F99F0000}"/>
    <cellStyle name="Uwaga 2 9 16 3" xfId="40940" xr:uid="{00000000-0005-0000-0000-0000FA9F0000}"/>
    <cellStyle name="Uwaga 2 9 16 4" xfId="40941" xr:uid="{00000000-0005-0000-0000-0000FB9F0000}"/>
    <cellStyle name="Uwaga 2 9 17" xfId="40942" xr:uid="{00000000-0005-0000-0000-0000FC9F0000}"/>
    <cellStyle name="Uwaga 2 9 17 2" xfId="40943" xr:uid="{00000000-0005-0000-0000-0000FD9F0000}"/>
    <cellStyle name="Uwaga 2 9 17 3" xfId="40944" xr:uid="{00000000-0005-0000-0000-0000FE9F0000}"/>
    <cellStyle name="Uwaga 2 9 17 4" xfId="40945" xr:uid="{00000000-0005-0000-0000-0000FF9F0000}"/>
    <cellStyle name="Uwaga 2 9 18" xfId="40946" xr:uid="{00000000-0005-0000-0000-000000A00000}"/>
    <cellStyle name="Uwaga 2 9 18 2" xfId="40947" xr:uid="{00000000-0005-0000-0000-000001A00000}"/>
    <cellStyle name="Uwaga 2 9 18 3" xfId="40948" xr:uid="{00000000-0005-0000-0000-000002A00000}"/>
    <cellStyle name="Uwaga 2 9 18 4" xfId="40949" xr:uid="{00000000-0005-0000-0000-000003A00000}"/>
    <cellStyle name="Uwaga 2 9 19" xfId="40950" xr:uid="{00000000-0005-0000-0000-000004A00000}"/>
    <cellStyle name="Uwaga 2 9 19 2" xfId="40951" xr:uid="{00000000-0005-0000-0000-000005A00000}"/>
    <cellStyle name="Uwaga 2 9 19 3" xfId="40952" xr:uid="{00000000-0005-0000-0000-000006A00000}"/>
    <cellStyle name="Uwaga 2 9 19 4" xfId="40953" xr:uid="{00000000-0005-0000-0000-000007A00000}"/>
    <cellStyle name="Uwaga 2 9 2" xfId="40954" xr:uid="{00000000-0005-0000-0000-000008A00000}"/>
    <cellStyle name="Uwaga 2 9 2 2" xfId="40955" xr:uid="{00000000-0005-0000-0000-000009A00000}"/>
    <cellStyle name="Uwaga 2 9 2 3" xfId="40956" xr:uid="{00000000-0005-0000-0000-00000AA00000}"/>
    <cellStyle name="Uwaga 2 9 2 4" xfId="40957" xr:uid="{00000000-0005-0000-0000-00000BA00000}"/>
    <cellStyle name="Uwaga 2 9 20" xfId="40958" xr:uid="{00000000-0005-0000-0000-00000CA00000}"/>
    <cellStyle name="Uwaga 2 9 20 2" xfId="40959" xr:uid="{00000000-0005-0000-0000-00000DA00000}"/>
    <cellStyle name="Uwaga 2 9 20 3" xfId="40960" xr:uid="{00000000-0005-0000-0000-00000EA00000}"/>
    <cellStyle name="Uwaga 2 9 20 4" xfId="40961" xr:uid="{00000000-0005-0000-0000-00000FA00000}"/>
    <cellStyle name="Uwaga 2 9 21" xfId="40962" xr:uid="{00000000-0005-0000-0000-000010A00000}"/>
    <cellStyle name="Uwaga 2 9 21 2" xfId="40963" xr:uid="{00000000-0005-0000-0000-000011A00000}"/>
    <cellStyle name="Uwaga 2 9 21 3" xfId="40964" xr:uid="{00000000-0005-0000-0000-000012A00000}"/>
    <cellStyle name="Uwaga 2 9 22" xfId="40965" xr:uid="{00000000-0005-0000-0000-000013A00000}"/>
    <cellStyle name="Uwaga 2 9 22 2" xfId="40966" xr:uid="{00000000-0005-0000-0000-000014A00000}"/>
    <cellStyle name="Uwaga 2 9 22 3" xfId="40967" xr:uid="{00000000-0005-0000-0000-000015A00000}"/>
    <cellStyle name="Uwaga 2 9 23" xfId="40968" xr:uid="{00000000-0005-0000-0000-000016A00000}"/>
    <cellStyle name="Uwaga 2 9 23 2" xfId="40969" xr:uid="{00000000-0005-0000-0000-000017A00000}"/>
    <cellStyle name="Uwaga 2 9 23 3" xfId="40970" xr:uid="{00000000-0005-0000-0000-000018A00000}"/>
    <cellStyle name="Uwaga 2 9 24" xfId="40971" xr:uid="{00000000-0005-0000-0000-000019A00000}"/>
    <cellStyle name="Uwaga 2 9 24 2" xfId="40972" xr:uid="{00000000-0005-0000-0000-00001AA00000}"/>
    <cellStyle name="Uwaga 2 9 24 3" xfId="40973" xr:uid="{00000000-0005-0000-0000-00001BA00000}"/>
    <cellStyle name="Uwaga 2 9 25" xfId="40974" xr:uid="{00000000-0005-0000-0000-00001CA00000}"/>
    <cellStyle name="Uwaga 2 9 25 2" xfId="40975" xr:uid="{00000000-0005-0000-0000-00001DA00000}"/>
    <cellStyle name="Uwaga 2 9 25 3" xfId="40976" xr:uid="{00000000-0005-0000-0000-00001EA00000}"/>
    <cellStyle name="Uwaga 2 9 26" xfId="40977" xr:uid="{00000000-0005-0000-0000-00001FA00000}"/>
    <cellStyle name="Uwaga 2 9 26 2" xfId="40978" xr:uid="{00000000-0005-0000-0000-000020A00000}"/>
    <cellStyle name="Uwaga 2 9 26 3" xfId="40979" xr:uid="{00000000-0005-0000-0000-000021A00000}"/>
    <cellStyle name="Uwaga 2 9 27" xfId="40980" xr:uid="{00000000-0005-0000-0000-000022A00000}"/>
    <cellStyle name="Uwaga 2 9 27 2" xfId="40981" xr:uid="{00000000-0005-0000-0000-000023A00000}"/>
    <cellStyle name="Uwaga 2 9 27 3" xfId="40982" xr:uid="{00000000-0005-0000-0000-000024A00000}"/>
    <cellStyle name="Uwaga 2 9 28" xfId="40983" xr:uid="{00000000-0005-0000-0000-000025A00000}"/>
    <cellStyle name="Uwaga 2 9 28 2" xfId="40984" xr:uid="{00000000-0005-0000-0000-000026A00000}"/>
    <cellStyle name="Uwaga 2 9 28 3" xfId="40985" xr:uid="{00000000-0005-0000-0000-000027A00000}"/>
    <cellStyle name="Uwaga 2 9 29" xfId="40986" xr:uid="{00000000-0005-0000-0000-000028A00000}"/>
    <cellStyle name="Uwaga 2 9 29 2" xfId="40987" xr:uid="{00000000-0005-0000-0000-000029A00000}"/>
    <cellStyle name="Uwaga 2 9 29 3" xfId="40988" xr:uid="{00000000-0005-0000-0000-00002AA00000}"/>
    <cellStyle name="Uwaga 2 9 3" xfId="40989" xr:uid="{00000000-0005-0000-0000-00002BA00000}"/>
    <cellStyle name="Uwaga 2 9 3 2" xfId="40990" xr:uid="{00000000-0005-0000-0000-00002CA00000}"/>
    <cellStyle name="Uwaga 2 9 3 3" xfId="40991" xr:uid="{00000000-0005-0000-0000-00002DA00000}"/>
    <cellStyle name="Uwaga 2 9 3 4" xfId="40992" xr:uid="{00000000-0005-0000-0000-00002EA00000}"/>
    <cellStyle name="Uwaga 2 9 30" xfId="40993" xr:uid="{00000000-0005-0000-0000-00002FA00000}"/>
    <cellStyle name="Uwaga 2 9 30 2" xfId="40994" xr:uid="{00000000-0005-0000-0000-000030A00000}"/>
    <cellStyle name="Uwaga 2 9 30 3" xfId="40995" xr:uid="{00000000-0005-0000-0000-000031A00000}"/>
    <cellStyle name="Uwaga 2 9 31" xfId="40996" xr:uid="{00000000-0005-0000-0000-000032A00000}"/>
    <cellStyle name="Uwaga 2 9 31 2" xfId="40997" xr:uid="{00000000-0005-0000-0000-000033A00000}"/>
    <cellStyle name="Uwaga 2 9 31 3" xfId="40998" xr:uid="{00000000-0005-0000-0000-000034A00000}"/>
    <cellStyle name="Uwaga 2 9 32" xfId="40999" xr:uid="{00000000-0005-0000-0000-000035A00000}"/>
    <cellStyle name="Uwaga 2 9 32 2" xfId="41000" xr:uid="{00000000-0005-0000-0000-000036A00000}"/>
    <cellStyle name="Uwaga 2 9 32 3" xfId="41001" xr:uid="{00000000-0005-0000-0000-000037A00000}"/>
    <cellStyle name="Uwaga 2 9 33" xfId="41002" xr:uid="{00000000-0005-0000-0000-000038A00000}"/>
    <cellStyle name="Uwaga 2 9 33 2" xfId="41003" xr:uid="{00000000-0005-0000-0000-000039A00000}"/>
    <cellStyle name="Uwaga 2 9 33 3" xfId="41004" xr:uid="{00000000-0005-0000-0000-00003AA00000}"/>
    <cellStyle name="Uwaga 2 9 34" xfId="41005" xr:uid="{00000000-0005-0000-0000-00003BA00000}"/>
    <cellStyle name="Uwaga 2 9 34 2" xfId="41006" xr:uid="{00000000-0005-0000-0000-00003CA00000}"/>
    <cellStyle name="Uwaga 2 9 34 3" xfId="41007" xr:uid="{00000000-0005-0000-0000-00003DA00000}"/>
    <cellStyle name="Uwaga 2 9 35" xfId="41008" xr:uid="{00000000-0005-0000-0000-00003EA00000}"/>
    <cellStyle name="Uwaga 2 9 35 2" xfId="41009" xr:uid="{00000000-0005-0000-0000-00003FA00000}"/>
    <cellStyle name="Uwaga 2 9 35 3" xfId="41010" xr:uid="{00000000-0005-0000-0000-000040A00000}"/>
    <cellStyle name="Uwaga 2 9 36" xfId="41011" xr:uid="{00000000-0005-0000-0000-000041A00000}"/>
    <cellStyle name="Uwaga 2 9 36 2" xfId="41012" xr:uid="{00000000-0005-0000-0000-000042A00000}"/>
    <cellStyle name="Uwaga 2 9 36 3" xfId="41013" xr:uid="{00000000-0005-0000-0000-000043A00000}"/>
    <cellStyle name="Uwaga 2 9 37" xfId="41014" xr:uid="{00000000-0005-0000-0000-000044A00000}"/>
    <cellStyle name="Uwaga 2 9 37 2" xfId="41015" xr:uid="{00000000-0005-0000-0000-000045A00000}"/>
    <cellStyle name="Uwaga 2 9 37 3" xfId="41016" xr:uid="{00000000-0005-0000-0000-000046A00000}"/>
    <cellStyle name="Uwaga 2 9 38" xfId="41017" xr:uid="{00000000-0005-0000-0000-000047A00000}"/>
    <cellStyle name="Uwaga 2 9 38 2" xfId="41018" xr:uid="{00000000-0005-0000-0000-000048A00000}"/>
    <cellStyle name="Uwaga 2 9 38 3" xfId="41019" xr:uid="{00000000-0005-0000-0000-000049A00000}"/>
    <cellStyle name="Uwaga 2 9 39" xfId="41020" xr:uid="{00000000-0005-0000-0000-00004AA00000}"/>
    <cellStyle name="Uwaga 2 9 39 2" xfId="41021" xr:uid="{00000000-0005-0000-0000-00004BA00000}"/>
    <cellStyle name="Uwaga 2 9 39 3" xfId="41022" xr:uid="{00000000-0005-0000-0000-00004CA00000}"/>
    <cellStyle name="Uwaga 2 9 4" xfId="41023" xr:uid="{00000000-0005-0000-0000-00004DA00000}"/>
    <cellStyle name="Uwaga 2 9 4 2" xfId="41024" xr:uid="{00000000-0005-0000-0000-00004EA00000}"/>
    <cellStyle name="Uwaga 2 9 4 3" xfId="41025" xr:uid="{00000000-0005-0000-0000-00004FA00000}"/>
    <cellStyle name="Uwaga 2 9 4 4" xfId="41026" xr:uid="{00000000-0005-0000-0000-000050A00000}"/>
    <cellStyle name="Uwaga 2 9 40" xfId="41027" xr:uid="{00000000-0005-0000-0000-000051A00000}"/>
    <cellStyle name="Uwaga 2 9 40 2" xfId="41028" xr:uid="{00000000-0005-0000-0000-000052A00000}"/>
    <cellStyle name="Uwaga 2 9 40 3" xfId="41029" xr:uid="{00000000-0005-0000-0000-000053A00000}"/>
    <cellStyle name="Uwaga 2 9 41" xfId="41030" xr:uid="{00000000-0005-0000-0000-000054A00000}"/>
    <cellStyle name="Uwaga 2 9 41 2" xfId="41031" xr:uid="{00000000-0005-0000-0000-000055A00000}"/>
    <cellStyle name="Uwaga 2 9 41 3" xfId="41032" xr:uid="{00000000-0005-0000-0000-000056A00000}"/>
    <cellStyle name="Uwaga 2 9 42" xfId="41033" xr:uid="{00000000-0005-0000-0000-000057A00000}"/>
    <cellStyle name="Uwaga 2 9 42 2" xfId="41034" xr:uid="{00000000-0005-0000-0000-000058A00000}"/>
    <cellStyle name="Uwaga 2 9 42 3" xfId="41035" xr:uid="{00000000-0005-0000-0000-000059A00000}"/>
    <cellStyle name="Uwaga 2 9 43" xfId="41036" xr:uid="{00000000-0005-0000-0000-00005AA00000}"/>
    <cellStyle name="Uwaga 2 9 43 2" xfId="41037" xr:uid="{00000000-0005-0000-0000-00005BA00000}"/>
    <cellStyle name="Uwaga 2 9 43 3" xfId="41038" xr:uid="{00000000-0005-0000-0000-00005CA00000}"/>
    <cellStyle name="Uwaga 2 9 44" xfId="41039" xr:uid="{00000000-0005-0000-0000-00005DA00000}"/>
    <cellStyle name="Uwaga 2 9 44 2" xfId="41040" xr:uid="{00000000-0005-0000-0000-00005EA00000}"/>
    <cellStyle name="Uwaga 2 9 44 3" xfId="41041" xr:uid="{00000000-0005-0000-0000-00005FA00000}"/>
    <cellStyle name="Uwaga 2 9 45" xfId="41042" xr:uid="{00000000-0005-0000-0000-000060A00000}"/>
    <cellStyle name="Uwaga 2 9 45 2" xfId="41043" xr:uid="{00000000-0005-0000-0000-000061A00000}"/>
    <cellStyle name="Uwaga 2 9 45 3" xfId="41044" xr:uid="{00000000-0005-0000-0000-000062A00000}"/>
    <cellStyle name="Uwaga 2 9 46" xfId="41045" xr:uid="{00000000-0005-0000-0000-000063A00000}"/>
    <cellStyle name="Uwaga 2 9 46 2" xfId="41046" xr:uid="{00000000-0005-0000-0000-000064A00000}"/>
    <cellStyle name="Uwaga 2 9 46 3" xfId="41047" xr:uid="{00000000-0005-0000-0000-000065A00000}"/>
    <cellStyle name="Uwaga 2 9 47" xfId="41048" xr:uid="{00000000-0005-0000-0000-000066A00000}"/>
    <cellStyle name="Uwaga 2 9 47 2" xfId="41049" xr:uid="{00000000-0005-0000-0000-000067A00000}"/>
    <cellStyle name="Uwaga 2 9 47 3" xfId="41050" xr:uid="{00000000-0005-0000-0000-000068A00000}"/>
    <cellStyle name="Uwaga 2 9 48" xfId="41051" xr:uid="{00000000-0005-0000-0000-000069A00000}"/>
    <cellStyle name="Uwaga 2 9 48 2" xfId="41052" xr:uid="{00000000-0005-0000-0000-00006AA00000}"/>
    <cellStyle name="Uwaga 2 9 48 3" xfId="41053" xr:uid="{00000000-0005-0000-0000-00006BA00000}"/>
    <cellStyle name="Uwaga 2 9 49" xfId="41054" xr:uid="{00000000-0005-0000-0000-00006CA00000}"/>
    <cellStyle name="Uwaga 2 9 49 2" xfId="41055" xr:uid="{00000000-0005-0000-0000-00006DA00000}"/>
    <cellStyle name="Uwaga 2 9 49 3" xfId="41056" xr:uid="{00000000-0005-0000-0000-00006EA00000}"/>
    <cellStyle name="Uwaga 2 9 5" xfId="41057" xr:uid="{00000000-0005-0000-0000-00006FA00000}"/>
    <cellStyle name="Uwaga 2 9 5 2" xfId="41058" xr:uid="{00000000-0005-0000-0000-000070A00000}"/>
    <cellStyle name="Uwaga 2 9 5 3" xfId="41059" xr:uid="{00000000-0005-0000-0000-000071A00000}"/>
    <cellStyle name="Uwaga 2 9 5 4" xfId="41060" xr:uid="{00000000-0005-0000-0000-000072A00000}"/>
    <cellStyle name="Uwaga 2 9 50" xfId="41061" xr:uid="{00000000-0005-0000-0000-000073A00000}"/>
    <cellStyle name="Uwaga 2 9 50 2" xfId="41062" xr:uid="{00000000-0005-0000-0000-000074A00000}"/>
    <cellStyle name="Uwaga 2 9 50 3" xfId="41063" xr:uid="{00000000-0005-0000-0000-000075A00000}"/>
    <cellStyle name="Uwaga 2 9 51" xfId="41064" xr:uid="{00000000-0005-0000-0000-000076A00000}"/>
    <cellStyle name="Uwaga 2 9 51 2" xfId="41065" xr:uid="{00000000-0005-0000-0000-000077A00000}"/>
    <cellStyle name="Uwaga 2 9 51 3" xfId="41066" xr:uid="{00000000-0005-0000-0000-000078A00000}"/>
    <cellStyle name="Uwaga 2 9 52" xfId="41067" xr:uid="{00000000-0005-0000-0000-000079A00000}"/>
    <cellStyle name="Uwaga 2 9 52 2" xfId="41068" xr:uid="{00000000-0005-0000-0000-00007AA00000}"/>
    <cellStyle name="Uwaga 2 9 52 3" xfId="41069" xr:uid="{00000000-0005-0000-0000-00007BA00000}"/>
    <cellStyle name="Uwaga 2 9 53" xfId="41070" xr:uid="{00000000-0005-0000-0000-00007CA00000}"/>
    <cellStyle name="Uwaga 2 9 53 2" xfId="41071" xr:uid="{00000000-0005-0000-0000-00007DA00000}"/>
    <cellStyle name="Uwaga 2 9 53 3" xfId="41072" xr:uid="{00000000-0005-0000-0000-00007EA00000}"/>
    <cellStyle name="Uwaga 2 9 54" xfId="41073" xr:uid="{00000000-0005-0000-0000-00007FA00000}"/>
    <cellStyle name="Uwaga 2 9 54 2" xfId="41074" xr:uid="{00000000-0005-0000-0000-000080A00000}"/>
    <cellStyle name="Uwaga 2 9 54 3" xfId="41075" xr:uid="{00000000-0005-0000-0000-000081A00000}"/>
    <cellStyle name="Uwaga 2 9 55" xfId="41076" xr:uid="{00000000-0005-0000-0000-000082A00000}"/>
    <cellStyle name="Uwaga 2 9 55 2" xfId="41077" xr:uid="{00000000-0005-0000-0000-000083A00000}"/>
    <cellStyle name="Uwaga 2 9 55 3" xfId="41078" xr:uid="{00000000-0005-0000-0000-000084A00000}"/>
    <cellStyle name="Uwaga 2 9 56" xfId="41079" xr:uid="{00000000-0005-0000-0000-000085A00000}"/>
    <cellStyle name="Uwaga 2 9 56 2" xfId="41080" xr:uid="{00000000-0005-0000-0000-000086A00000}"/>
    <cellStyle name="Uwaga 2 9 56 3" xfId="41081" xr:uid="{00000000-0005-0000-0000-000087A00000}"/>
    <cellStyle name="Uwaga 2 9 57" xfId="41082" xr:uid="{00000000-0005-0000-0000-000088A00000}"/>
    <cellStyle name="Uwaga 2 9 58" xfId="41083" xr:uid="{00000000-0005-0000-0000-000089A00000}"/>
    <cellStyle name="Uwaga 2 9 6" xfId="41084" xr:uid="{00000000-0005-0000-0000-00008AA00000}"/>
    <cellStyle name="Uwaga 2 9 6 2" xfId="41085" xr:uid="{00000000-0005-0000-0000-00008BA00000}"/>
    <cellStyle name="Uwaga 2 9 6 3" xfId="41086" xr:uid="{00000000-0005-0000-0000-00008CA00000}"/>
    <cellStyle name="Uwaga 2 9 6 4" xfId="41087" xr:uid="{00000000-0005-0000-0000-00008DA00000}"/>
    <cellStyle name="Uwaga 2 9 7" xfId="41088" xr:uid="{00000000-0005-0000-0000-00008EA00000}"/>
    <cellStyle name="Uwaga 2 9 7 2" xfId="41089" xr:uid="{00000000-0005-0000-0000-00008FA00000}"/>
    <cellStyle name="Uwaga 2 9 7 3" xfId="41090" xr:uid="{00000000-0005-0000-0000-000090A00000}"/>
    <cellStyle name="Uwaga 2 9 7 4" xfId="41091" xr:uid="{00000000-0005-0000-0000-000091A00000}"/>
    <cellStyle name="Uwaga 2 9 8" xfId="41092" xr:uid="{00000000-0005-0000-0000-000092A00000}"/>
    <cellStyle name="Uwaga 2 9 8 2" xfId="41093" xr:uid="{00000000-0005-0000-0000-000093A00000}"/>
    <cellStyle name="Uwaga 2 9 8 3" xfId="41094" xr:uid="{00000000-0005-0000-0000-000094A00000}"/>
    <cellStyle name="Uwaga 2 9 8 4" xfId="41095" xr:uid="{00000000-0005-0000-0000-000095A00000}"/>
    <cellStyle name="Uwaga 2 9 9" xfId="41096" xr:uid="{00000000-0005-0000-0000-000096A00000}"/>
    <cellStyle name="Uwaga 2 9 9 2" xfId="41097" xr:uid="{00000000-0005-0000-0000-000097A00000}"/>
    <cellStyle name="Uwaga 2 9 9 3" xfId="41098" xr:uid="{00000000-0005-0000-0000-000098A00000}"/>
    <cellStyle name="Uwaga 2 9 9 4" xfId="41099" xr:uid="{00000000-0005-0000-0000-000099A00000}"/>
    <cellStyle name="Uwaga 2 90" xfId="41100" xr:uid="{00000000-0005-0000-0000-00009AA00000}"/>
    <cellStyle name="Uwaga 2 91" xfId="41101" xr:uid="{00000000-0005-0000-0000-00009BA00000}"/>
    <cellStyle name="Uwaga 20" xfId="41102" xr:uid="{00000000-0005-0000-0000-00009CA00000}"/>
    <cellStyle name="Uwaga 21" xfId="41103" xr:uid="{00000000-0005-0000-0000-00009DA00000}"/>
    <cellStyle name="Uwaga 22" xfId="41104" xr:uid="{00000000-0005-0000-0000-00009EA00000}"/>
    <cellStyle name="Uwaga 23" xfId="41105" xr:uid="{00000000-0005-0000-0000-00009FA00000}"/>
    <cellStyle name="Uwaga 24" xfId="41106" xr:uid="{00000000-0005-0000-0000-0000A0A00000}"/>
    <cellStyle name="Uwaga 25" xfId="41107" xr:uid="{00000000-0005-0000-0000-0000A1A00000}"/>
    <cellStyle name="Uwaga 26" xfId="41108" xr:uid="{00000000-0005-0000-0000-0000A2A00000}"/>
    <cellStyle name="Uwaga 27" xfId="41109" xr:uid="{00000000-0005-0000-0000-0000A3A00000}"/>
    <cellStyle name="Uwaga 28" xfId="41110" xr:uid="{00000000-0005-0000-0000-0000A4A00000}"/>
    <cellStyle name="Uwaga 29" xfId="41111" xr:uid="{00000000-0005-0000-0000-0000A5A00000}"/>
    <cellStyle name="Uwaga 3" xfId="41112" xr:uid="{00000000-0005-0000-0000-0000A6A00000}"/>
    <cellStyle name="Uwaga 3 10" xfId="41113" xr:uid="{00000000-0005-0000-0000-0000A7A00000}"/>
    <cellStyle name="Uwaga 3 10 2" xfId="41114" xr:uid="{00000000-0005-0000-0000-0000A8A00000}"/>
    <cellStyle name="Uwaga 3 11" xfId="41115" xr:uid="{00000000-0005-0000-0000-0000A9A00000}"/>
    <cellStyle name="Uwaga 3 11 2" xfId="41116" xr:uid="{00000000-0005-0000-0000-0000AAA00000}"/>
    <cellStyle name="Uwaga 3 12" xfId="41117" xr:uid="{00000000-0005-0000-0000-0000ABA00000}"/>
    <cellStyle name="Uwaga 3 12 2" xfId="41118" xr:uid="{00000000-0005-0000-0000-0000ACA00000}"/>
    <cellStyle name="Uwaga 3 13" xfId="41119" xr:uid="{00000000-0005-0000-0000-0000ADA00000}"/>
    <cellStyle name="Uwaga 3 13 2" xfId="41120" xr:uid="{00000000-0005-0000-0000-0000AEA00000}"/>
    <cellStyle name="Uwaga 3 14" xfId="41121" xr:uid="{00000000-0005-0000-0000-0000AFA00000}"/>
    <cellStyle name="Uwaga 3 14 2" xfId="41122" xr:uid="{00000000-0005-0000-0000-0000B0A00000}"/>
    <cellStyle name="Uwaga 3 15" xfId="41123" xr:uid="{00000000-0005-0000-0000-0000B1A00000}"/>
    <cellStyle name="Uwaga 3 15 2" xfId="41124" xr:uid="{00000000-0005-0000-0000-0000B2A00000}"/>
    <cellStyle name="Uwaga 3 16" xfId="41125" xr:uid="{00000000-0005-0000-0000-0000B3A00000}"/>
    <cellStyle name="Uwaga 3 16 2" xfId="41126" xr:uid="{00000000-0005-0000-0000-0000B4A00000}"/>
    <cellStyle name="Uwaga 3 17" xfId="41127" xr:uid="{00000000-0005-0000-0000-0000B5A00000}"/>
    <cellStyle name="Uwaga 3 17 2" xfId="41128" xr:uid="{00000000-0005-0000-0000-0000B6A00000}"/>
    <cellStyle name="Uwaga 3 18" xfId="41129" xr:uid="{00000000-0005-0000-0000-0000B7A00000}"/>
    <cellStyle name="Uwaga 3 18 2" xfId="41130" xr:uid="{00000000-0005-0000-0000-0000B8A00000}"/>
    <cellStyle name="Uwaga 3 19" xfId="41131" xr:uid="{00000000-0005-0000-0000-0000B9A00000}"/>
    <cellStyle name="Uwaga 3 19 2" xfId="41132" xr:uid="{00000000-0005-0000-0000-0000BAA00000}"/>
    <cellStyle name="Uwaga 3 2" xfId="41133" xr:uid="{00000000-0005-0000-0000-0000BBA00000}"/>
    <cellStyle name="Uwaga 3 2 10" xfId="41134" xr:uid="{00000000-0005-0000-0000-0000BCA00000}"/>
    <cellStyle name="Uwaga 3 2 10 2" xfId="41135" xr:uid="{00000000-0005-0000-0000-0000BDA00000}"/>
    <cellStyle name="Uwaga 3 2 11" xfId="41136" xr:uid="{00000000-0005-0000-0000-0000BEA00000}"/>
    <cellStyle name="Uwaga 3 2 11 2" xfId="41137" xr:uid="{00000000-0005-0000-0000-0000BFA00000}"/>
    <cellStyle name="Uwaga 3 2 12" xfId="41138" xr:uid="{00000000-0005-0000-0000-0000C0A00000}"/>
    <cellStyle name="Uwaga 3 2 12 2" xfId="41139" xr:uid="{00000000-0005-0000-0000-0000C1A00000}"/>
    <cellStyle name="Uwaga 3 2 13" xfId="41140" xr:uid="{00000000-0005-0000-0000-0000C2A00000}"/>
    <cellStyle name="Uwaga 3 2 13 2" xfId="41141" xr:uid="{00000000-0005-0000-0000-0000C3A00000}"/>
    <cellStyle name="Uwaga 3 2 14" xfId="41142" xr:uid="{00000000-0005-0000-0000-0000C4A00000}"/>
    <cellStyle name="Uwaga 3 2 14 2" xfId="41143" xr:uid="{00000000-0005-0000-0000-0000C5A00000}"/>
    <cellStyle name="Uwaga 3 2 15" xfId="41144" xr:uid="{00000000-0005-0000-0000-0000C6A00000}"/>
    <cellStyle name="Uwaga 3 2 15 2" xfId="41145" xr:uid="{00000000-0005-0000-0000-0000C7A00000}"/>
    <cellStyle name="Uwaga 3 2 16" xfId="41146" xr:uid="{00000000-0005-0000-0000-0000C8A00000}"/>
    <cellStyle name="Uwaga 3 2 16 2" xfId="41147" xr:uid="{00000000-0005-0000-0000-0000C9A00000}"/>
    <cellStyle name="Uwaga 3 2 17" xfId="41148" xr:uid="{00000000-0005-0000-0000-0000CAA00000}"/>
    <cellStyle name="Uwaga 3 2 17 2" xfId="41149" xr:uid="{00000000-0005-0000-0000-0000CBA00000}"/>
    <cellStyle name="Uwaga 3 2 18" xfId="41150" xr:uid="{00000000-0005-0000-0000-0000CCA00000}"/>
    <cellStyle name="Uwaga 3 2 18 2" xfId="41151" xr:uid="{00000000-0005-0000-0000-0000CDA00000}"/>
    <cellStyle name="Uwaga 3 2 19" xfId="41152" xr:uid="{00000000-0005-0000-0000-0000CEA00000}"/>
    <cellStyle name="Uwaga 3 2 19 2" xfId="41153" xr:uid="{00000000-0005-0000-0000-0000CFA00000}"/>
    <cellStyle name="Uwaga 3 2 2" xfId="41154" xr:uid="{00000000-0005-0000-0000-0000D0A00000}"/>
    <cellStyle name="Uwaga 3 2 2 10" xfId="41155" xr:uid="{00000000-0005-0000-0000-0000D1A00000}"/>
    <cellStyle name="Uwaga 3 2 2 11" xfId="41156" xr:uid="{00000000-0005-0000-0000-0000D2A00000}"/>
    <cellStyle name="Uwaga 3 2 2 12" xfId="41157" xr:uid="{00000000-0005-0000-0000-0000D3A00000}"/>
    <cellStyle name="Uwaga 3 2 2 13" xfId="41158" xr:uid="{00000000-0005-0000-0000-0000D4A00000}"/>
    <cellStyle name="Uwaga 3 2 2 14" xfId="41159" xr:uid="{00000000-0005-0000-0000-0000D5A00000}"/>
    <cellStyle name="Uwaga 3 2 2 15" xfId="41160" xr:uid="{00000000-0005-0000-0000-0000D6A00000}"/>
    <cellStyle name="Uwaga 3 2 2 16" xfId="41161" xr:uid="{00000000-0005-0000-0000-0000D7A00000}"/>
    <cellStyle name="Uwaga 3 2 2 17" xfId="41162" xr:uid="{00000000-0005-0000-0000-0000D8A00000}"/>
    <cellStyle name="Uwaga 3 2 2 18" xfId="41163" xr:uid="{00000000-0005-0000-0000-0000D9A00000}"/>
    <cellStyle name="Uwaga 3 2 2 19" xfId="41164" xr:uid="{00000000-0005-0000-0000-0000DAA00000}"/>
    <cellStyle name="Uwaga 3 2 2 2" xfId="41165" xr:uid="{00000000-0005-0000-0000-0000DBA00000}"/>
    <cellStyle name="Uwaga 3 2 2 3" xfId="41166" xr:uid="{00000000-0005-0000-0000-0000DCA00000}"/>
    <cellStyle name="Uwaga 3 2 2 4" xfId="41167" xr:uid="{00000000-0005-0000-0000-0000DDA00000}"/>
    <cellStyle name="Uwaga 3 2 2 5" xfId="41168" xr:uid="{00000000-0005-0000-0000-0000DEA00000}"/>
    <cellStyle name="Uwaga 3 2 2 6" xfId="41169" xr:uid="{00000000-0005-0000-0000-0000DFA00000}"/>
    <cellStyle name="Uwaga 3 2 2 7" xfId="41170" xr:uid="{00000000-0005-0000-0000-0000E0A00000}"/>
    <cellStyle name="Uwaga 3 2 2 8" xfId="41171" xr:uid="{00000000-0005-0000-0000-0000E1A00000}"/>
    <cellStyle name="Uwaga 3 2 2 9" xfId="41172" xr:uid="{00000000-0005-0000-0000-0000E2A00000}"/>
    <cellStyle name="Uwaga 3 2 20" xfId="41173" xr:uid="{00000000-0005-0000-0000-0000E3A00000}"/>
    <cellStyle name="Uwaga 3 2 20 2" xfId="41174" xr:uid="{00000000-0005-0000-0000-0000E4A00000}"/>
    <cellStyle name="Uwaga 3 2 21" xfId="41175" xr:uid="{00000000-0005-0000-0000-0000E5A00000}"/>
    <cellStyle name="Uwaga 3 2 21 2" xfId="41176" xr:uid="{00000000-0005-0000-0000-0000E6A00000}"/>
    <cellStyle name="Uwaga 3 2 22" xfId="41177" xr:uid="{00000000-0005-0000-0000-0000E7A00000}"/>
    <cellStyle name="Uwaga 3 2 22 2" xfId="41178" xr:uid="{00000000-0005-0000-0000-0000E8A00000}"/>
    <cellStyle name="Uwaga 3 2 23" xfId="41179" xr:uid="{00000000-0005-0000-0000-0000E9A00000}"/>
    <cellStyle name="Uwaga 3 2 23 2" xfId="41180" xr:uid="{00000000-0005-0000-0000-0000EAA00000}"/>
    <cellStyle name="Uwaga 3 2 24" xfId="41181" xr:uid="{00000000-0005-0000-0000-0000EBA00000}"/>
    <cellStyle name="Uwaga 3 2 24 2" xfId="41182" xr:uid="{00000000-0005-0000-0000-0000ECA00000}"/>
    <cellStyle name="Uwaga 3 2 25" xfId="41183" xr:uid="{00000000-0005-0000-0000-0000EDA00000}"/>
    <cellStyle name="Uwaga 3 2 25 2" xfId="41184" xr:uid="{00000000-0005-0000-0000-0000EEA00000}"/>
    <cellStyle name="Uwaga 3 2 26" xfId="41185" xr:uid="{00000000-0005-0000-0000-0000EFA00000}"/>
    <cellStyle name="Uwaga 3 2 26 2" xfId="41186" xr:uid="{00000000-0005-0000-0000-0000F0A00000}"/>
    <cellStyle name="Uwaga 3 2 27" xfId="41187" xr:uid="{00000000-0005-0000-0000-0000F1A00000}"/>
    <cellStyle name="Uwaga 3 2 27 2" xfId="41188" xr:uid="{00000000-0005-0000-0000-0000F2A00000}"/>
    <cellStyle name="Uwaga 3 2 28" xfId="41189" xr:uid="{00000000-0005-0000-0000-0000F3A00000}"/>
    <cellStyle name="Uwaga 3 2 28 2" xfId="41190" xr:uid="{00000000-0005-0000-0000-0000F4A00000}"/>
    <cellStyle name="Uwaga 3 2 29" xfId="41191" xr:uid="{00000000-0005-0000-0000-0000F5A00000}"/>
    <cellStyle name="Uwaga 3 2 29 2" xfId="41192" xr:uid="{00000000-0005-0000-0000-0000F6A00000}"/>
    <cellStyle name="Uwaga 3 2 3" xfId="41193" xr:uid="{00000000-0005-0000-0000-0000F7A00000}"/>
    <cellStyle name="Uwaga 3 2 3 10" xfId="41194" xr:uid="{00000000-0005-0000-0000-0000F8A00000}"/>
    <cellStyle name="Uwaga 3 2 3 11" xfId="41195" xr:uid="{00000000-0005-0000-0000-0000F9A00000}"/>
    <cellStyle name="Uwaga 3 2 3 12" xfId="41196" xr:uid="{00000000-0005-0000-0000-0000FAA00000}"/>
    <cellStyle name="Uwaga 3 2 3 13" xfId="41197" xr:uid="{00000000-0005-0000-0000-0000FBA00000}"/>
    <cellStyle name="Uwaga 3 2 3 14" xfId="41198" xr:uid="{00000000-0005-0000-0000-0000FCA00000}"/>
    <cellStyle name="Uwaga 3 2 3 15" xfId="41199" xr:uid="{00000000-0005-0000-0000-0000FDA00000}"/>
    <cellStyle name="Uwaga 3 2 3 16" xfId="41200" xr:uid="{00000000-0005-0000-0000-0000FEA00000}"/>
    <cellStyle name="Uwaga 3 2 3 17" xfId="41201" xr:uid="{00000000-0005-0000-0000-0000FFA00000}"/>
    <cellStyle name="Uwaga 3 2 3 18" xfId="41202" xr:uid="{00000000-0005-0000-0000-000000A10000}"/>
    <cellStyle name="Uwaga 3 2 3 19" xfId="41203" xr:uid="{00000000-0005-0000-0000-000001A10000}"/>
    <cellStyle name="Uwaga 3 2 3 2" xfId="41204" xr:uid="{00000000-0005-0000-0000-000002A10000}"/>
    <cellStyle name="Uwaga 3 2 3 3" xfId="41205" xr:uid="{00000000-0005-0000-0000-000003A10000}"/>
    <cellStyle name="Uwaga 3 2 3 4" xfId="41206" xr:uid="{00000000-0005-0000-0000-000004A10000}"/>
    <cellStyle name="Uwaga 3 2 3 5" xfId="41207" xr:uid="{00000000-0005-0000-0000-000005A10000}"/>
    <cellStyle name="Uwaga 3 2 3 6" xfId="41208" xr:uid="{00000000-0005-0000-0000-000006A10000}"/>
    <cellStyle name="Uwaga 3 2 3 7" xfId="41209" xr:uid="{00000000-0005-0000-0000-000007A10000}"/>
    <cellStyle name="Uwaga 3 2 3 8" xfId="41210" xr:uid="{00000000-0005-0000-0000-000008A10000}"/>
    <cellStyle name="Uwaga 3 2 3 9" xfId="41211" xr:uid="{00000000-0005-0000-0000-000009A10000}"/>
    <cellStyle name="Uwaga 3 2 30" xfId="41212" xr:uid="{00000000-0005-0000-0000-00000AA10000}"/>
    <cellStyle name="Uwaga 3 2 30 2" xfId="41213" xr:uid="{00000000-0005-0000-0000-00000BA10000}"/>
    <cellStyle name="Uwaga 3 2 31" xfId="41214" xr:uid="{00000000-0005-0000-0000-00000CA10000}"/>
    <cellStyle name="Uwaga 3 2 31 2" xfId="41215" xr:uid="{00000000-0005-0000-0000-00000DA10000}"/>
    <cellStyle name="Uwaga 3 2 32" xfId="41216" xr:uid="{00000000-0005-0000-0000-00000EA10000}"/>
    <cellStyle name="Uwaga 3 2 33" xfId="41217" xr:uid="{00000000-0005-0000-0000-00000FA10000}"/>
    <cellStyle name="Uwaga 3 2 34" xfId="41218" xr:uid="{00000000-0005-0000-0000-000010A10000}"/>
    <cellStyle name="Uwaga 3 2 35" xfId="41219" xr:uid="{00000000-0005-0000-0000-000011A10000}"/>
    <cellStyle name="Uwaga 3 2 36" xfId="41220" xr:uid="{00000000-0005-0000-0000-000012A10000}"/>
    <cellStyle name="Uwaga 3 2 37" xfId="41221" xr:uid="{00000000-0005-0000-0000-000013A10000}"/>
    <cellStyle name="Uwaga 3 2 38" xfId="41222" xr:uid="{00000000-0005-0000-0000-000014A10000}"/>
    <cellStyle name="Uwaga 3 2 39" xfId="41223" xr:uid="{00000000-0005-0000-0000-000015A10000}"/>
    <cellStyle name="Uwaga 3 2 4" xfId="41224" xr:uid="{00000000-0005-0000-0000-000016A10000}"/>
    <cellStyle name="Uwaga 3 2 4 10" xfId="41225" xr:uid="{00000000-0005-0000-0000-000017A10000}"/>
    <cellStyle name="Uwaga 3 2 4 11" xfId="41226" xr:uid="{00000000-0005-0000-0000-000018A10000}"/>
    <cellStyle name="Uwaga 3 2 4 12" xfId="41227" xr:uid="{00000000-0005-0000-0000-000019A10000}"/>
    <cellStyle name="Uwaga 3 2 4 13" xfId="41228" xr:uid="{00000000-0005-0000-0000-00001AA10000}"/>
    <cellStyle name="Uwaga 3 2 4 14" xfId="41229" xr:uid="{00000000-0005-0000-0000-00001BA10000}"/>
    <cellStyle name="Uwaga 3 2 4 15" xfId="41230" xr:uid="{00000000-0005-0000-0000-00001CA10000}"/>
    <cellStyle name="Uwaga 3 2 4 16" xfId="41231" xr:uid="{00000000-0005-0000-0000-00001DA10000}"/>
    <cellStyle name="Uwaga 3 2 4 17" xfId="41232" xr:uid="{00000000-0005-0000-0000-00001EA10000}"/>
    <cellStyle name="Uwaga 3 2 4 18" xfId="41233" xr:uid="{00000000-0005-0000-0000-00001FA10000}"/>
    <cellStyle name="Uwaga 3 2 4 19" xfId="41234" xr:uid="{00000000-0005-0000-0000-000020A10000}"/>
    <cellStyle name="Uwaga 3 2 4 2" xfId="41235" xr:uid="{00000000-0005-0000-0000-000021A10000}"/>
    <cellStyle name="Uwaga 3 2 4 3" xfId="41236" xr:uid="{00000000-0005-0000-0000-000022A10000}"/>
    <cellStyle name="Uwaga 3 2 4 4" xfId="41237" xr:uid="{00000000-0005-0000-0000-000023A10000}"/>
    <cellStyle name="Uwaga 3 2 4 5" xfId="41238" xr:uid="{00000000-0005-0000-0000-000024A10000}"/>
    <cellStyle name="Uwaga 3 2 4 6" xfId="41239" xr:uid="{00000000-0005-0000-0000-000025A10000}"/>
    <cellStyle name="Uwaga 3 2 4 7" xfId="41240" xr:uid="{00000000-0005-0000-0000-000026A10000}"/>
    <cellStyle name="Uwaga 3 2 4 8" xfId="41241" xr:uid="{00000000-0005-0000-0000-000027A10000}"/>
    <cellStyle name="Uwaga 3 2 4 9" xfId="41242" xr:uid="{00000000-0005-0000-0000-000028A10000}"/>
    <cellStyle name="Uwaga 3 2 40" xfId="41243" xr:uid="{00000000-0005-0000-0000-000029A10000}"/>
    <cellStyle name="Uwaga 3 2 41" xfId="41244" xr:uid="{00000000-0005-0000-0000-00002AA10000}"/>
    <cellStyle name="Uwaga 3 2 42" xfId="41245" xr:uid="{00000000-0005-0000-0000-00002BA10000}"/>
    <cellStyle name="Uwaga 3 2 43" xfId="41246" xr:uid="{00000000-0005-0000-0000-00002CA10000}"/>
    <cellStyle name="Uwaga 3 2 44" xfId="41247" xr:uid="{00000000-0005-0000-0000-00002DA10000}"/>
    <cellStyle name="Uwaga 3 2 45" xfId="41248" xr:uid="{00000000-0005-0000-0000-00002EA10000}"/>
    <cellStyle name="Uwaga 3 2 46" xfId="41249" xr:uid="{00000000-0005-0000-0000-00002FA10000}"/>
    <cellStyle name="Uwaga 3 2 47" xfId="41250" xr:uid="{00000000-0005-0000-0000-000030A10000}"/>
    <cellStyle name="Uwaga 3 2 48" xfId="41251" xr:uid="{00000000-0005-0000-0000-000031A10000}"/>
    <cellStyle name="Uwaga 3 2 49" xfId="41252" xr:uid="{00000000-0005-0000-0000-000032A10000}"/>
    <cellStyle name="Uwaga 3 2 5" xfId="41253" xr:uid="{00000000-0005-0000-0000-000033A10000}"/>
    <cellStyle name="Uwaga 3 2 5 10" xfId="41254" xr:uid="{00000000-0005-0000-0000-000034A10000}"/>
    <cellStyle name="Uwaga 3 2 5 11" xfId="41255" xr:uid="{00000000-0005-0000-0000-000035A10000}"/>
    <cellStyle name="Uwaga 3 2 5 12" xfId="41256" xr:uid="{00000000-0005-0000-0000-000036A10000}"/>
    <cellStyle name="Uwaga 3 2 5 13" xfId="41257" xr:uid="{00000000-0005-0000-0000-000037A10000}"/>
    <cellStyle name="Uwaga 3 2 5 14" xfId="41258" xr:uid="{00000000-0005-0000-0000-000038A10000}"/>
    <cellStyle name="Uwaga 3 2 5 15" xfId="41259" xr:uid="{00000000-0005-0000-0000-000039A10000}"/>
    <cellStyle name="Uwaga 3 2 5 16" xfId="41260" xr:uid="{00000000-0005-0000-0000-00003AA10000}"/>
    <cellStyle name="Uwaga 3 2 5 17" xfId="41261" xr:uid="{00000000-0005-0000-0000-00003BA10000}"/>
    <cellStyle name="Uwaga 3 2 5 18" xfId="41262" xr:uid="{00000000-0005-0000-0000-00003CA10000}"/>
    <cellStyle name="Uwaga 3 2 5 19" xfId="41263" xr:uid="{00000000-0005-0000-0000-00003DA10000}"/>
    <cellStyle name="Uwaga 3 2 5 2" xfId="41264" xr:uid="{00000000-0005-0000-0000-00003EA10000}"/>
    <cellStyle name="Uwaga 3 2 5 3" xfId="41265" xr:uid="{00000000-0005-0000-0000-00003FA10000}"/>
    <cellStyle name="Uwaga 3 2 5 4" xfId="41266" xr:uid="{00000000-0005-0000-0000-000040A10000}"/>
    <cellStyle name="Uwaga 3 2 5 5" xfId="41267" xr:uid="{00000000-0005-0000-0000-000041A10000}"/>
    <cellStyle name="Uwaga 3 2 5 6" xfId="41268" xr:uid="{00000000-0005-0000-0000-000042A10000}"/>
    <cellStyle name="Uwaga 3 2 5 7" xfId="41269" xr:uid="{00000000-0005-0000-0000-000043A10000}"/>
    <cellStyle name="Uwaga 3 2 5 8" xfId="41270" xr:uid="{00000000-0005-0000-0000-000044A10000}"/>
    <cellStyle name="Uwaga 3 2 5 9" xfId="41271" xr:uid="{00000000-0005-0000-0000-000045A10000}"/>
    <cellStyle name="Uwaga 3 2 50" xfId="41272" xr:uid="{00000000-0005-0000-0000-000046A10000}"/>
    <cellStyle name="Uwaga 3 2 51" xfId="41273" xr:uid="{00000000-0005-0000-0000-000047A10000}"/>
    <cellStyle name="Uwaga 3 2 52" xfId="41274" xr:uid="{00000000-0005-0000-0000-000048A10000}"/>
    <cellStyle name="Uwaga 3 2 53" xfId="41275" xr:uid="{00000000-0005-0000-0000-000049A10000}"/>
    <cellStyle name="Uwaga 3 2 54" xfId="41276" xr:uid="{00000000-0005-0000-0000-00004AA10000}"/>
    <cellStyle name="Uwaga 3 2 55" xfId="41277" xr:uid="{00000000-0005-0000-0000-00004BA10000}"/>
    <cellStyle name="Uwaga 3 2 56" xfId="41278" xr:uid="{00000000-0005-0000-0000-00004CA10000}"/>
    <cellStyle name="Uwaga 3 2 57" xfId="41279" xr:uid="{00000000-0005-0000-0000-00004DA10000}"/>
    <cellStyle name="Uwaga 3 2 58" xfId="41280" xr:uid="{00000000-0005-0000-0000-00004EA10000}"/>
    <cellStyle name="Uwaga 3 2 59" xfId="41281" xr:uid="{00000000-0005-0000-0000-00004FA10000}"/>
    <cellStyle name="Uwaga 3 2 6" xfId="41282" xr:uid="{00000000-0005-0000-0000-000050A10000}"/>
    <cellStyle name="Uwaga 3 2 6 2" xfId="41283" xr:uid="{00000000-0005-0000-0000-000051A10000}"/>
    <cellStyle name="Uwaga 3 2 60" xfId="41284" xr:uid="{00000000-0005-0000-0000-000052A10000}"/>
    <cellStyle name="Uwaga 3 2 61" xfId="41285" xr:uid="{00000000-0005-0000-0000-000053A10000}"/>
    <cellStyle name="Uwaga 3 2 62" xfId="41286" xr:uid="{00000000-0005-0000-0000-000054A10000}"/>
    <cellStyle name="Uwaga 3 2 63" xfId="41287" xr:uid="{00000000-0005-0000-0000-000055A10000}"/>
    <cellStyle name="Uwaga 3 2 64" xfId="41288" xr:uid="{00000000-0005-0000-0000-000056A10000}"/>
    <cellStyle name="Uwaga 3 2 65" xfId="41289" xr:uid="{00000000-0005-0000-0000-000057A10000}"/>
    <cellStyle name="Uwaga 3 2 66" xfId="41290" xr:uid="{00000000-0005-0000-0000-000058A10000}"/>
    <cellStyle name="Uwaga 3 2 67" xfId="41291" xr:uid="{00000000-0005-0000-0000-000059A10000}"/>
    <cellStyle name="Uwaga 3 2 68" xfId="41292" xr:uid="{00000000-0005-0000-0000-00005AA10000}"/>
    <cellStyle name="Uwaga 3 2 69" xfId="41293" xr:uid="{00000000-0005-0000-0000-00005BA10000}"/>
    <cellStyle name="Uwaga 3 2 7" xfId="41294" xr:uid="{00000000-0005-0000-0000-00005CA10000}"/>
    <cellStyle name="Uwaga 3 2 7 2" xfId="41295" xr:uid="{00000000-0005-0000-0000-00005DA10000}"/>
    <cellStyle name="Uwaga 3 2 70" xfId="41296" xr:uid="{00000000-0005-0000-0000-00005EA10000}"/>
    <cellStyle name="Uwaga 3 2 71" xfId="41297" xr:uid="{00000000-0005-0000-0000-00005FA10000}"/>
    <cellStyle name="Uwaga 3 2 72" xfId="41298" xr:uid="{00000000-0005-0000-0000-000060A10000}"/>
    <cellStyle name="Uwaga 3 2 73" xfId="41299" xr:uid="{00000000-0005-0000-0000-000061A10000}"/>
    <cellStyle name="Uwaga 3 2 74" xfId="41300" xr:uid="{00000000-0005-0000-0000-000062A10000}"/>
    <cellStyle name="Uwaga 3 2 75" xfId="41301" xr:uid="{00000000-0005-0000-0000-000063A10000}"/>
    <cellStyle name="Uwaga 3 2 8" xfId="41302" xr:uid="{00000000-0005-0000-0000-000064A10000}"/>
    <cellStyle name="Uwaga 3 2 8 2" xfId="41303" xr:uid="{00000000-0005-0000-0000-000065A10000}"/>
    <cellStyle name="Uwaga 3 2 9" xfId="41304" xr:uid="{00000000-0005-0000-0000-000066A10000}"/>
    <cellStyle name="Uwaga 3 2 9 2" xfId="41305" xr:uid="{00000000-0005-0000-0000-000067A10000}"/>
    <cellStyle name="Uwaga 3 20" xfId="41306" xr:uid="{00000000-0005-0000-0000-000068A10000}"/>
    <cellStyle name="Uwaga 3 20 2" xfId="41307" xr:uid="{00000000-0005-0000-0000-000069A10000}"/>
    <cellStyle name="Uwaga 3 21" xfId="41308" xr:uid="{00000000-0005-0000-0000-00006AA10000}"/>
    <cellStyle name="Uwaga 3 21 2" xfId="41309" xr:uid="{00000000-0005-0000-0000-00006BA10000}"/>
    <cellStyle name="Uwaga 3 22" xfId="41310" xr:uid="{00000000-0005-0000-0000-00006CA10000}"/>
    <cellStyle name="Uwaga 3 22 2" xfId="41311" xr:uid="{00000000-0005-0000-0000-00006DA10000}"/>
    <cellStyle name="Uwaga 3 23" xfId="41312" xr:uid="{00000000-0005-0000-0000-00006EA10000}"/>
    <cellStyle name="Uwaga 3 23 2" xfId="41313" xr:uid="{00000000-0005-0000-0000-00006FA10000}"/>
    <cellStyle name="Uwaga 3 24" xfId="41314" xr:uid="{00000000-0005-0000-0000-000070A10000}"/>
    <cellStyle name="Uwaga 3 24 2" xfId="41315" xr:uid="{00000000-0005-0000-0000-000071A10000}"/>
    <cellStyle name="Uwaga 3 25" xfId="41316" xr:uid="{00000000-0005-0000-0000-000072A10000}"/>
    <cellStyle name="Uwaga 3 25 2" xfId="41317" xr:uid="{00000000-0005-0000-0000-000073A10000}"/>
    <cellStyle name="Uwaga 3 26" xfId="41318" xr:uid="{00000000-0005-0000-0000-000074A10000}"/>
    <cellStyle name="Uwaga 3 26 2" xfId="41319" xr:uid="{00000000-0005-0000-0000-000075A10000}"/>
    <cellStyle name="Uwaga 3 27" xfId="41320" xr:uid="{00000000-0005-0000-0000-000076A10000}"/>
    <cellStyle name="Uwaga 3 27 2" xfId="41321" xr:uid="{00000000-0005-0000-0000-000077A10000}"/>
    <cellStyle name="Uwaga 3 28" xfId="41322" xr:uid="{00000000-0005-0000-0000-000078A10000}"/>
    <cellStyle name="Uwaga 3 28 2" xfId="41323" xr:uid="{00000000-0005-0000-0000-000079A10000}"/>
    <cellStyle name="Uwaga 3 29" xfId="41324" xr:uid="{00000000-0005-0000-0000-00007AA10000}"/>
    <cellStyle name="Uwaga 3 29 2" xfId="41325" xr:uid="{00000000-0005-0000-0000-00007BA10000}"/>
    <cellStyle name="Uwaga 3 3" xfId="41326" xr:uid="{00000000-0005-0000-0000-00007CA10000}"/>
    <cellStyle name="Uwaga 3 3 10" xfId="41327" xr:uid="{00000000-0005-0000-0000-00007DA10000}"/>
    <cellStyle name="Uwaga 3 3 10 2" xfId="41328" xr:uid="{00000000-0005-0000-0000-00007EA10000}"/>
    <cellStyle name="Uwaga 3 3 11" xfId="41329" xr:uid="{00000000-0005-0000-0000-00007FA10000}"/>
    <cellStyle name="Uwaga 3 3 11 2" xfId="41330" xr:uid="{00000000-0005-0000-0000-000080A10000}"/>
    <cellStyle name="Uwaga 3 3 12" xfId="41331" xr:uid="{00000000-0005-0000-0000-000081A10000}"/>
    <cellStyle name="Uwaga 3 3 12 2" xfId="41332" xr:uid="{00000000-0005-0000-0000-000082A10000}"/>
    <cellStyle name="Uwaga 3 3 13" xfId="41333" xr:uid="{00000000-0005-0000-0000-000083A10000}"/>
    <cellStyle name="Uwaga 3 3 13 2" xfId="41334" xr:uid="{00000000-0005-0000-0000-000084A10000}"/>
    <cellStyle name="Uwaga 3 3 14" xfId="41335" xr:uid="{00000000-0005-0000-0000-000085A10000}"/>
    <cellStyle name="Uwaga 3 3 14 2" xfId="41336" xr:uid="{00000000-0005-0000-0000-000086A10000}"/>
    <cellStyle name="Uwaga 3 3 15" xfId="41337" xr:uid="{00000000-0005-0000-0000-000087A10000}"/>
    <cellStyle name="Uwaga 3 3 15 2" xfId="41338" xr:uid="{00000000-0005-0000-0000-000088A10000}"/>
    <cellStyle name="Uwaga 3 3 16" xfId="41339" xr:uid="{00000000-0005-0000-0000-000089A10000}"/>
    <cellStyle name="Uwaga 3 3 16 2" xfId="41340" xr:uid="{00000000-0005-0000-0000-00008AA10000}"/>
    <cellStyle name="Uwaga 3 3 17" xfId="41341" xr:uid="{00000000-0005-0000-0000-00008BA10000}"/>
    <cellStyle name="Uwaga 3 3 17 2" xfId="41342" xr:uid="{00000000-0005-0000-0000-00008CA10000}"/>
    <cellStyle name="Uwaga 3 3 18" xfId="41343" xr:uid="{00000000-0005-0000-0000-00008DA10000}"/>
    <cellStyle name="Uwaga 3 3 18 2" xfId="41344" xr:uid="{00000000-0005-0000-0000-00008EA10000}"/>
    <cellStyle name="Uwaga 3 3 19" xfId="41345" xr:uid="{00000000-0005-0000-0000-00008FA10000}"/>
    <cellStyle name="Uwaga 3 3 19 2" xfId="41346" xr:uid="{00000000-0005-0000-0000-000090A10000}"/>
    <cellStyle name="Uwaga 3 3 2" xfId="41347" xr:uid="{00000000-0005-0000-0000-000091A10000}"/>
    <cellStyle name="Uwaga 3 3 2 10" xfId="41348" xr:uid="{00000000-0005-0000-0000-000092A10000}"/>
    <cellStyle name="Uwaga 3 3 2 11" xfId="41349" xr:uid="{00000000-0005-0000-0000-000093A10000}"/>
    <cellStyle name="Uwaga 3 3 2 12" xfId="41350" xr:uid="{00000000-0005-0000-0000-000094A10000}"/>
    <cellStyle name="Uwaga 3 3 2 13" xfId="41351" xr:uid="{00000000-0005-0000-0000-000095A10000}"/>
    <cellStyle name="Uwaga 3 3 2 14" xfId="41352" xr:uid="{00000000-0005-0000-0000-000096A10000}"/>
    <cellStyle name="Uwaga 3 3 2 15" xfId="41353" xr:uid="{00000000-0005-0000-0000-000097A10000}"/>
    <cellStyle name="Uwaga 3 3 2 16" xfId="41354" xr:uid="{00000000-0005-0000-0000-000098A10000}"/>
    <cellStyle name="Uwaga 3 3 2 17" xfId="41355" xr:uid="{00000000-0005-0000-0000-000099A10000}"/>
    <cellStyle name="Uwaga 3 3 2 18" xfId="41356" xr:uid="{00000000-0005-0000-0000-00009AA10000}"/>
    <cellStyle name="Uwaga 3 3 2 19" xfId="41357" xr:uid="{00000000-0005-0000-0000-00009BA10000}"/>
    <cellStyle name="Uwaga 3 3 2 2" xfId="41358" xr:uid="{00000000-0005-0000-0000-00009CA10000}"/>
    <cellStyle name="Uwaga 3 3 2 3" xfId="41359" xr:uid="{00000000-0005-0000-0000-00009DA10000}"/>
    <cellStyle name="Uwaga 3 3 2 4" xfId="41360" xr:uid="{00000000-0005-0000-0000-00009EA10000}"/>
    <cellStyle name="Uwaga 3 3 2 5" xfId="41361" xr:uid="{00000000-0005-0000-0000-00009FA10000}"/>
    <cellStyle name="Uwaga 3 3 2 6" xfId="41362" xr:uid="{00000000-0005-0000-0000-0000A0A10000}"/>
    <cellStyle name="Uwaga 3 3 2 7" xfId="41363" xr:uid="{00000000-0005-0000-0000-0000A1A10000}"/>
    <cellStyle name="Uwaga 3 3 2 8" xfId="41364" xr:uid="{00000000-0005-0000-0000-0000A2A10000}"/>
    <cellStyle name="Uwaga 3 3 2 9" xfId="41365" xr:uid="{00000000-0005-0000-0000-0000A3A10000}"/>
    <cellStyle name="Uwaga 3 3 20" xfId="41366" xr:uid="{00000000-0005-0000-0000-0000A4A10000}"/>
    <cellStyle name="Uwaga 3 3 20 2" xfId="41367" xr:uid="{00000000-0005-0000-0000-0000A5A10000}"/>
    <cellStyle name="Uwaga 3 3 21" xfId="41368" xr:uid="{00000000-0005-0000-0000-0000A6A10000}"/>
    <cellStyle name="Uwaga 3 3 21 2" xfId="41369" xr:uid="{00000000-0005-0000-0000-0000A7A10000}"/>
    <cellStyle name="Uwaga 3 3 22" xfId="41370" xr:uid="{00000000-0005-0000-0000-0000A8A10000}"/>
    <cellStyle name="Uwaga 3 3 22 2" xfId="41371" xr:uid="{00000000-0005-0000-0000-0000A9A10000}"/>
    <cellStyle name="Uwaga 3 3 23" xfId="41372" xr:uid="{00000000-0005-0000-0000-0000AAA10000}"/>
    <cellStyle name="Uwaga 3 3 23 2" xfId="41373" xr:uid="{00000000-0005-0000-0000-0000ABA10000}"/>
    <cellStyle name="Uwaga 3 3 24" xfId="41374" xr:uid="{00000000-0005-0000-0000-0000ACA10000}"/>
    <cellStyle name="Uwaga 3 3 24 2" xfId="41375" xr:uid="{00000000-0005-0000-0000-0000ADA10000}"/>
    <cellStyle name="Uwaga 3 3 25" xfId="41376" xr:uid="{00000000-0005-0000-0000-0000AEA10000}"/>
    <cellStyle name="Uwaga 3 3 25 2" xfId="41377" xr:uid="{00000000-0005-0000-0000-0000AFA10000}"/>
    <cellStyle name="Uwaga 3 3 26" xfId="41378" xr:uid="{00000000-0005-0000-0000-0000B0A10000}"/>
    <cellStyle name="Uwaga 3 3 26 2" xfId="41379" xr:uid="{00000000-0005-0000-0000-0000B1A10000}"/>
    <cellStyle name="Uwaga 3 3 27" xfId="41380" xr:uid="{00000000-0005-0000-0000-0000B2A10000}"/>
    <cellStyle name="Uwaga 3 3 27 2" xfId="41381" xr:uid="{00000000-0005-0000-0000-0000B3A10000}"/>
    <cellStyle name="Uwaga 3 3 28" xfId="41382" xr:uid="{00000000-0005-0000-0000-0000B4A10000}"/>
    <cellStyle name="Uwaga 3 3 28 2" xfId="41383" xr:uid="{00000000-0005-0000-0000-0000B5A10000}"/>
    <cellStyle name="Uwaga 3 3 29" xfId="41384" xr:uid="{00000000-0005-0000-0000-0000B6A10000}"/>
    <cellStyle name="Uwaga 3 3 29 2" xfId="41385" xr:uid="{00000000-0005-0000-0000-0000B7A10000}"/>
    <cellStyle name="Uwaga 3 3 3" xfId="41386" xr:uid="{00000000-0005-0000-0000-0000B8A10000}"/>
    <cellStyle name="Uwaga 3 3 3 10" xfId="41387" xr:uid="{00000000-0005-0000-0000-0000B9A10000}"/>
    <cellStyle name="Uwaga 3 3 3 11" xfId="41388" xr:uid="{00000000-0005-0000-0000-0000BAA10000}"/>
    <cellStyle name="Uwaga 3 3 3 12" xfId="41389" xr:uid="{00000000-0005-0000-0000-0000BBA10000}"/>
    <cellStyle name="Uwaga 3 3 3 13" xfId="41390" xr:uid="{00000000-0005-0000-0000-0000BCA10000}"/>
    <cellStyle name="Uwaga 3 3 3 14" xfId="41391" xr:uid="{00000000-0005-0000-0000-0000BDA10000}"/>
    <cellStyle name="Uwaga 3 3 3 15" xfId="41392" xr:uid="{00000000-0005-0000-0000-0000BEA10000}"/>
    <cellStyle name="Uwaga 3 3 3 16" xfId="41393" xr:uid="{00000000-0005-0000-0000-0000BFA10000}"/>
    <cellStyle name="Uwaga 3 3 3 17" xfId="41394" xr:uid="{00000000-0005-0000-0000-0000C0A10000}"/>
    <cellStyle name="Uwaga 3 3 3 18" xfId="41395" xr:uid="{00000000-0005-0000-0000-0000C1A10000}"/>
    <cellStyle name="Uwaga 3 3 3 19" xfId="41396" xr:uid="{00000000-0005-0000-0000-0000C2A10000}"/>
    <cellStyle name="Uwaga 3 3 3 2" xfId="41397" xr:uid="{00000000-0005-0000-0000-0000C3A10000}"/>
    <cellStyle name="Uwaga 3 3 3 3" xfId="41398" xr:uid="{00000000-0005-0000-0000-0000C4A10000}"/>
    <cellStyle name="Uwaga 3 3 3 4" xfId="41399" xr:uid="{00000000-0005-0000-0000-0000C5A10000}"/>
    <cellStyle name="Uwaga 3 3 3 5" xfId="41400" xr:uid="{00000000-0005-0000-0000-0000C6A10000}"/>
    <cellStyle name="Uwaga 3 3 3 6" xfId="41401" xr:uid="{00000000-0005-0000-0000-0000C7A10000}"/>
    <cellStyle name="Uwaga 3 3 3 7" xfId="41402" xr:uid="{00000000-0005-0000-0000-0000C8A10000}"/>
    <cellStyle name="Uwaga 3 3 3 8" xfId="41403" xr:uid="{00000000-0005-0000-0000-0000C9A10000}"/>
    <cellStyle name="Uwaga 3 3 3 9" xfId="41404" xr:uid="{00000000-0005-0000-0000-0000CAA10000}"/>
    <cellStyle name="Uwaga 3 3 30" xfId="41405" xr:uid="{00000000-0005-0000-0000-0000CBA10000}"/>
    <cellStyle name="Uwaga 3 3 30 2" xfId="41406" xr:uid="{00000000-0005-0000-0000-0000CCA10000}"/>
    <cellStyle name="Uwaga 3 3 31" xfId="41407" xr:uid="{00000000-0005-0000-0000-0000CDA10000}"/>
    <cellStyle name="Uwaga 3 3 31 2" xfId="41408" xr:uid="{00000000-0005-0000-0000-0000CEA10000}"/>
    <cellStyle name="Uwaga 3 3 32" xfId="41409" xr:uid="{00000000-0005-0000-0000-0000CFA10000}"/>
    <cellStyle name="Uwaga 3 3 32 2" xfId="41410" xr:uid="{00000000-0005-0000-0000-0000D0A10000}"/>
    <cellStyle name="Uwaga 3 3 33" xfId="41411" xr:uid="{00000000-0005-0000-0000-0000D1A10000}"/>
    <cellStyle name="Uwaga 3 3 33 2" xfId="41412" xr:uid="{00000000-0005-0000-0000-0000D2A10000}"/>
    <cellStyle name="Uwaga 3 3 34" xfId="41413" xr:uid="{00000000-0005-0000-0000-0000D3A10000}"/>
    <cellStyle name="Uwaga 3 3 34 2" xfId="41414" xr:uid="{00000000-0005-0000-0000-0000D4A10000}"/>
    <cellStyle name="Uwaga 3 3 35" xfId="41415" xr:uid="{00000000-0005-0000-0000-0000D5A10000}"/>
    <cellStyle name="Uwaga 3 3 35 2" xfId="41416" xr:uid="{00000000-0005-0000-0000-0000D6A10000}"/>
    <cellStyle name="Uwaga 3 3 36" xfId="41417" xr:uid="{00000000-0005-0000-0000-0000D7A10000}"/>
    <cellStyle name="Uwaga 3 3 36 2" xfId="41418" xr:uid="{00000000-0005-0000-0000-0000D8A10000}"/>
    <cellStyle name="Uwaga 3 3 37" xfId="41419" xr:uid="{00000000-0005-0000-0000-0000D9A10000}"/>
    <cellStyle name="Uwaga 3 3 37 2" xfId="41420" xr:uid="{00000000-0005-0000-0000-0000DAA10000}"/>
    <cellStyle name="Uwaga 3 3 38" xfId="41421" xr:uid="{00000000-0005-0000-0000-0000DBA10000}"/>
    <cellStyle name="Uwaga 3 3 38 2" xfId="41422" xr:uid="{00000000-0005-0000-0000-0000DCA10000}"/>
    <cellStyle name="Uwaga 3 3 39" xfId="41423" xr:uid="{00000000-0005-0000-0000-0000DDA10000}"/>
    <cellStyle name="Uwaga 3 3 39 2" xfId="41424" xr:uid="{00000000-0005-0000-0000-0000DEA10000}"/>
    <cellStyle name="Uwaga 3 3 4" xfId="41425" xr:uid="{00000000-0005-0000-0000-0000DFA10000}"/>
    <cellStyle name="Uwaga 3 3 4 10" xfId="41426" xr:uid="{00000000-0005-0000-0000-0000E0A10000}"/>
    <cellStyle name="Uwaga 3 3 4 11" xfId="41427" xr:uid="{00000000-0005-0000-0000-0000E1A10000}"/>
    <cellStyle name="Uwaga 3 3 4 12" xfId="41428" xr:uid="{00000000-0005-0000-0000-0000E2A10000}"/>
    <cellStyle name="Uwaga 3 3 4 13" xfId="41429" xr:uid="{00000000-0005-0000-0000-0000E3A10000}"/>
    <cellStyle name="Uwaga 3 3 4 14" xfId="41430" xr:uid="{00000000-0005-0000-0000-0000E4A10000}"/>
    <cellStyle name="Uwaga 3 3 4 15" xfId="41431" xr:uid="{00000000-0005-0000-0000-0000E5A10000}"/>
    <cellStyle name="Uwaga 3 3 4 16" xfId="41432" xr:uid="{00000000-0005-0000-0000-0000E6A10000}"/>
    <cellStyle name="Uwaga 3 3 4 17" xfId="41433" xr:uid="{00000000-0005-0000-0000-0000E7A10000}"/>
    <cellStyle name="Uwaga 3 3 4 18" xfId="41434" xr:uid="{00000000-0005-0000-0000-0000E8A10000}"/>
    <cellStyle name="Uwaga 3 3 4 19" xfId="41435" xr:uid="{00000000-0005-0000-0000-0000E9A10000}"/>
    <cellStyle name="Uwaga 3 3 4 2" xfId="41436" xr:uid="{00000000-0005-0000-0000-0000EAA10000}"/>
    <cellStyle name="Uwaga 3 3 4 3" xfId="41437" xr:uid="{00000000-0005-0000-0000-0000EBA10000}"/>
    <cellStyle name="Uwaga 3 3 4 4" xfId="41438" xr:uid="{00000000-0005-0000-0000-0000ECA10000}"/>
    <cellStyle name="Uwaga 3 3 4 5" xfId="41439" xr:uid="{00000000-0005-0000-0000-0000EDA10000}"/>
    <cellStyle name="Uwaga 3 3 4 6" xfId="41440" xr:uid="{00000000-0005-0000-0000-0000EEA10000}"/>
    <cellStyle name="Uwaga 3 3 4 7" xfId="41441" xr:uid="{00000000-0005-0000-0000-0000EFA10000}"/>
    <cellStyle name="Uwaga 3 3 4 8" xfId="41442" xr:uid="{00000000-0005-0000-0000-0000F0A10000}"/>
    <cellStyle name="Uwaga 3 3 4 9" xfId="41443" xr:uid="{00000000-0005-0000-0000-0000F1A10000}"/>
    <cellStyle name="Uwaga 3 3 40" xfId="41444" xr:uid="{00000000-0005-0000-0000-0000F2A10000}"/>
    <cellStyle name="Uwaga 3 3 40 2" xfId="41445" xr:uid="{00000000-0005-0000-0000-0000F3A10000}"/>
    <cellStyle name="Uwaga 3 3 41" xfId="41446" xr:uid="{00000000-0005-0000-0000-0000F4A10000}"/>
    <cellStyle name="Uwaga 3 3 41 2" xfId="41447" xr:uid="{00000000-0005-0000-0000-0000F5A10000}"/>
    <cellStyle name="Uwaga 3 3 42" xfId="41448" xr:uid="{00000000-0005-0000-0000-0000F6A10000}"/>
    <cellStyle name="Uwaga 3 3 42 2" xfId="41449" xr:uid="{00000000-0005-0000-0000-0000F7A10000}"/>
    <cellStyle name="Uwaga 3 3 43" xfId="41450" xr:uid="{00000000-0005-0000-0000-0000F8A10000}"/>
    <cellStyle name="Uwaga 3 3 43 2" xfId="41451" xr:uid="{00000000-0005-0000-0000-0000F9A10000}"/>
    <cellStyle name="Uwaga 3 3 44" xfId="41452" xr:uid="{00000000-0005-0000-0000-0000FAA10000}"/>
    <cellStyle name="Uwaga 3 3 45" xfId="41453" xr:uid="{00000000-0005-0000-0000-0000FBA10000}"/>
    <cellStyle name="Uwaga 3 3 46" xfId="41454" xr:uid="{00000000-0005-0000-0000-0000FCA10000}"/>
    <cellStyle name="Uwaga 3 3 47" xfId="41455" xr:uid="{00000000-0005-0000-0000-0000FDA10000}"/>
    <cellStyle name="Uwaga 3 3 48" xfId="41456" xr:uid="{00000000-0005-0000-0000-0000FEA10000}"/>
    <cellStyle name="Uwaga 3 3 49" xfId="41457" xr:uid="{00000000-0005-0000-0000-0000FFA10000}"/>
    <cellStyle name="Uwaga 3 3 5" xfId="41458" xr:uid="{00000000-0005-0000-0000-000000A20000}"/>
    <cellStyle name="Uwaga 3 3 5 10" xfId="41459" xr:uid="{00000000-0005-0000-0000-000001A20000}"/>
    <cellStyle name="Uwaga 3 3 5 11" xfId="41460" xr:uid="{00000000-0005-0000-0000-000002A20000}"/>
    <cellStyle name="Uwaga 3 3 5 12" xfId="41461" xr:uid="{00000000-0005-0000-0000-000003A20000}"/>
    <cellStyle name="Uwaga 3 3 5 13" xfId="41462" xr:uid="{00000000-0005-0000-0000-000004A20000}"/>
    <cellStyle name="Uwaga 3 3 5 14" xfId="41463" xr:uid="{00000000-0005-0000-0000-000005A20000}"/>
    <cellStyle name="Uwaga 3 3 5 15" xfId="41464" xr:uid="{00000000-0005-0000-0000-000006A20000}"/>
    <cellStyle name="Uwaga 3 3 5 16" xfId="41465" xr:uid="{00000000-0005-0000-0000-000007A20000}"/>
    <cellStyle name="Uwaga 3 3 5 17" xfId="41466" xr:uid="{00000000-0005-0000-0000-000008A20000}"/>
    <cellStyle name="Uwaga 3 3 5 18" xfId="41467" xr:uid="{00000000-0005-0000-0000-000009A20000}"/>
    <cellStyle name="Uwaga 3 3 5 19" xfId="41468" xr:uid="{00000000-0005-0000-0000-00000AA20000}"/>
    <cellStyle name="Uwaga 3 3 5 2" xfId="41469" xr:uid="{00000000-0005-0000-0000-00000BA20000}"/>
    <cellStyle name="Uwaga 3 3 5 3" xfId="41470" xr:uid="{00000000-0005-0000-0000-00000CA20000}"/>
    <cellStyle name="Uwaga 3 3 5 4" xfId="41471" xr:uid="{00000000-0005-0000-0000-00000DA20000}"/>
    <cellStyle name="Uwaga 3 3 5 5" xfId="41472" xr:uid="{00000000-0005-0000-0000-00000EA20000}"/>
    <cellStyle name="Uwaga 3 3 5 6" xfId="41473" xr:uid="{00000000-0005-0000-0000-00000FA20000}"/>
    <cellStyle name="Uwaga 3 3 5 7" xfId="41474" xr:uid="{00000000-0005-0000-0000-000010A20000}"/>
    <cellStyle name="Uwaga 3 3 5 8" xfId="41475" xr:uid="{00000000-0005-0000-0000-000011A20000}"/>
    <cellStyle name="Uwaga 3 3 5 9" xfId="41476" xr:uid="{00000000-0005-0000-0000-000012A20000}"/>
    <cellStyle name="Uwaga 3 3 50" xfId="41477" xr:uid="{00000000-0005-0000-0000-000013A20000}"/>
    <cellStyle name="Uwaga 3 3 51" xfId="41478" xr:uid="{00000000-0005-0000-0000-000014A20000}"/>
    <cellStyle name="Uwaga 3 3 52" xfId="41479" xr:uid="{00000000-0005-0000-0000-000015A20000}"/>
    <cellStyle name="Uwaga 3 3 53" xfId="41480" xr:uid="{00000000-0005-0000-0000-000016A20000}"/>
    <cellStyle name="Uwaga 3 3 54" xfId="41481" xr:uid="{00000000-0005-0000-0000-000017A20000}"/>
    <cellStyle name="Uwaga 3 3 55" xfId="41482" xr:uid="{00000000-0005-0000-0000-000018A20000}"/>
    <cellStyle name="Uwaga 3 3 56" xfId="41483" xr:uid="{00000000-0005-0000-0000-000019A20000}"/>
    <cellStyle name="Uwaga 3 3 57" xfId="41484" xr:uid="{00000000-0005-0000-0000-00001AA20000}"/>
    <cellStyle name="Uwaga 3 3 58" xfId="41485" xr:uid="{00000000-0005-0000-0000-00001BA20000}"/>
    <cellStyle name="Uwaga 3 3 59" xfId="41486" xr:uid="{00000000-0005-0000-0000-00001CA20000}"/>
    <cellStyle name="Uwaga 3 3 6" xfId="41487" xr:uid="{00000000-0005-0000-0000-00001DA20000}"/>
    <cellStyle name="Uwaga 3 3 6 2" xfId="41488" xr:uid="{00000000-0005-0000-0000-00001EA20000}"/>
    <cellStyle name="Uwaga 3 3 60" xfId="41489" xr:uid="{00000000-0005-0000-0000-00001FA20000}"/>
    <cellStyle name="Uwaga 3 3 61" xfId="41490" xr:uid="{00000000-0005-0000-0000-000020A20000}"/>
    <cellStyle name="Uwaga 3 3 62" xfId="41491" xr:uid="{00000000-0005-0000-0000-000021A20000}"/>
    <cellStyle name="Uwaga 3 3 63" xfId="41492" xr:uid="{00000000-0005-0000-0000-000022A20000}"/>
    <cellStyle name="Uwaga 3 3 64" xfId="41493" xr:uid="{00000000-0005-0000-0000-000023A20000}"/>
    <cellStyle name="Uwaga 3 3 65" xfId="41494" xr:uid="{00000000-0005-0000-0000-000024A20000}"/>
    <cellStyle name="Uwaga 3 3 66" xfId="41495" xr:uid="{00000000-0005-0000-0000-000025A20000}"/>
    <cellStyle name="Uwaga 3 3 67" xfId="41496" xr:uid="{00000000-0005-0000-0000-000026A20000}"/>
    <cellStyle name="Uwaga 3 3 68" xfId="41497" xr:uid="{00000000-0005-0000-0000-000027A20000}"/>
    <cellStyle name="Uwaga 3 3 69" xfId="41498" xr:uid="{00000000-0005-0000-0000-000028A20000}"/>
    <cellStyle name="Uwaga 3 3 7" xfId="41499" xr:uid="{00000000-0005-0000-0000-000029A20000}"/>
    <cellStyle name="Uwaga 3 3 7 2" xfId="41500" xr:uid="{00000000-0005-0000-0000-00002AA20000}"/>
    <cellStyle name="Uwaga 3 3 70" xfId="41501" xr:uid="{00000000-0005-0000-0000-00002BA20000}"/>
    <cellStyle name="Uwaga 3 3 71" xfId="41502" xr:uid="{00000000-0005-0000-0000-00002CA20000}"/>
    <cellStyle name="Uwaga 3 3 72" xfId="41503" xr:uid="{00000000-0005-0000-0000-00002DA20000}"/>
    <cellStyle name="Uwaga 3 3 73" xfId="41504" xr:uid="{00000000-0005-0000-0000-00002EA20000}"/>
    <cellStyle name="Uwaga 3 3 74" xfId="41505" xr:uid="{00000000-0005-0000-0000-00002FA20000}"/>
    <cellStyle name="Uwaga 3 3 75" xfId="41506" xr:uid="{00000000-0005-0000-0000-000030A20000}"/>
    <cellStyle name="Uwaga 3 3 8" xfId="41507" xr:uid="{00000000-0005-0000-0000-000031A20000}"/>
    <cellStyle name="Uwaga 3 3 8 2" xfId="41508" xr:uid="{00000000-0005-0000-0000-000032A20000}"/>
    <cellStyle name="Uwaga 3 3 9" xfId="41509" xr:uid="{00000000-0005-0000-0000-000033A20000}"/>
    <cellStyle name="Uwaga 3 3 9 2" xfId="41510" xr:uid="{00000000-0005-0000-0000-000034A20000}"/>
    <cellStyle name="Uwaga 3 30" xfId="41511" xr:uid="{00000000-0005-0000-0000-000035A20000}"/>
    <cellStyle name="Uwaga 3 30 2" xfId="41512" xr:uid="{00000000-0005-0000-0000-000036A20000}"/>
    <cellStyle name="Uwaga 3 31" xfId="41513" xr:uid="{00000000-0005-0000-0000-000037A20000}"/>
    <cellStyle name="Uwaga 3 31 2" xfId="41514" xr:uid="{00000000-0005-0000-0000-000038A20000}"/>
    <cellStyle name="Uwaga 3 32" xfId="41515" xr:uid="{00000000-0005-0000-0000-000039A20000}"/>
    <cellStyle name="Uwaga 3 32 2" xfId="41516" xr:uid="{00000000-0005-0000-0000-00003AA20000}"/>
    <cellStyle name="Uwaga 3 33" xfId="41517" xr:uid="{00000000-0005-0000-0000-00003BA20000}"/>
    <cellStyle name="Uwaga 3 33 2" xfId="41518" xr:uid="{00000000-0005-0000-0000-00003CA20000}"/>
    <cellStyle name="Uwaga 3 34" xfId="41519" xr:uid="{00000000-0005-0000-0000-00003DA20000}"/>
    <cellStyle name="Uwaga 3 34 2" xfId="41520" xr:uid="{00000000-0005-0000-0000-00003EA20000}"/>
    <cellStyle name="Uwaga 3 35" xfId="41521" xr:uid="{00000000-0005-0000-0000-00003FA20000}"/>
    <cellStyle name="Uwaga 3 35 2" xfId="41522" xr:uid="{00000000-0005-0000-0000-000040A20000}"/>
    <cellStyle name="Uwaga 3 36" xfId="41523" xr:uid="{00000000-0005-0000-0000-000041A20000}"/>
    <cellStyle name="Uwaga 3 36 2" xfId="41524" xr:uid="{00000000-0005-0000-0000-000042A20000}"/>
    <cellStyle name="Uwaga 3 37" xfId="41525" xr:uid="{00000000-0005-0000-0000-000043A20000}"/>
    <cellStyle name="Uwaga 3 37 2" xfId="41526" xr:uid="{00000000-0005-0000-0000-000044A20000}"/>
    <cellStyle name="Uwaga 3 38" xfId="41527" xr:uid="{00000000-0005-0000-0000-000045A20000}"/>
    <cellStyle name="Uwaga 3 38 2" xfId="41528" xr:uid="{00000000-0005-0000-0000-000046A20000}"/>
    <cellStyle name="Uwaga 3 39" xfId="41529" xr:uid="{00000000-0005-0000-0000-000047A20000}"/>
    <cellStyle name="Uwaga 3 39 2" xfId="41530" xr:uid="{00000000-0005-0000-0000-000048A20000}"/>
    <cellStyle name="Uwaga 3 4" xfId="41531" xr:uid="{00000000-0005-0000-0000-000049A20000}"/>
    <cellStyle name="Uwaga 3 4 10" xfId="41532" xr:uid="{00000000-0005-0000-0000-00004AA20000}"/>
    <cellStyle name="Uwaga 3 4 10 2" xfId="41533" xr:uid="{00000000-0005-0000-0000-00004BA20000}"/>
    <cellStyle name="Uwaga 3 4 11" xfId="41534" xr:uid="{00000000-0005-0000-0000-00004CA20000}"/>
    <cellStyle name="Uwaga 3 4 11 2" xfId="41535" xr:uid="{00000000-0005-0000-0000-00004DA20000}"/>
    <cellStyle name="Uwaga 3 4 12" xfId="41536" xr:uid="{00000000-0005-0000-0000-00004EA20000}"/>
    <cellStyle name="Uwaga 3 4 12 2" xfId="41537" xr:uid="{00000000-0005-0000-0000-00004FA20000}"/>
    <cellStyle name="Uwaga 3 4 13" xfId="41538" xr:uid="{00000000-0005-0000-0000-000050A20000}"/>
    <cellStyle name="Uwaga 3 4 13 2" xfId="41539" xr:uid="{00000000-0005-0000-0000-000051A20000}"/>
    <cellStyle name="Uwaga 3 4 14" xfId="41540" xr:uid="{00000000-0005-0000-0000-000052A20000}"/>
    <cellStyle name="Uwaga 3 4 14 2" xfId="41541" xr:uid="{00000000-0005-0000-0000-000053A20000}"/>
    <cellStyle name="Uwaga 3 4 15" xfId="41542" xr:uid="{00000000-0005-0000-0000-000054A20000}"/>
    <cellStyle name="Uwaga 3 4 15 2" xfId="41543" xr:uid="{00000000-0005-0000-0000-000055A20000}"/>
    <cellStyle name="Uwaga 3 4 16" xfId="41544" xr:uid="{00000000-0005-0000-0000-000056A20000}"/>
    <cellStyle name="Uwaga 3 4 16 2" xfId="41545" xr:uid="{00000000-0005-0000-0000-000057A20000}"/>
    <cellStyle name="Uwaga 3 4 17" xfId="41546" xr:uid="{00000000-0005-0000-0000-000058A20000}"/>
    <cellStyle name="Uwaga 3 4 17 2" xfId="41547" xr:uid="{00000000-0005-0000-0000-000059A20000}"/>
    <cellStyle name="Uwaga 3 4 18" xfId="41548" xr:uid="{00000000-0005-0000-0000-00005AA20000}"/>
    <cellStyle name="Uwaga 3 4 18 2" xfId="41549" xr:uid="{00000000-0005-0000-0000-00005BA20000}"/>
    <cellStyle name="Uwaga 3 4 19" xfId="41550" xr:uid="{00000000-0005-0000-0000-00005CA20000}"/>
    <cellStyle name="Uwaga 3 4 19 2" xfId="41551" xr:uid="{00000000-0005-0000-0000-00005DA20000}"/>
    <cellStyle name="Uwaga 3 4 2" xfId="41552" xr:uid="{00000000-0005-0000-0000-00005EA20000}"/>
    <cellStyle name="Uwaga 3 4 2 10" xfId="41553" xr:uid="{00000000-0005-0000-0000-00005FA20000}"/>
    <cellStyle name="Uwaga 3 4 2 11" xfId="41554" xr:uid="{00000000-0005-0000-0000-000060A20000}"/>
    <cellStyle name="Uwaga 3 4 2 12" xfId="41555" xr:uid="{00000000-0005-0000-0000-000061A20000}"/>
    <cellStyle name="Uwaga 3 4 2 13" xfId="41556" xr:uid="{00000000-0005-0000-0000-000062A20000}"/>
    <cellStyle name="Uwaga 3 4 2 14" xfId="41557" xr:uid="{00000000-0005-0000-0000-000063A20000}"/>
    <cellStyle name="Uwaga 3 4 2 15" xfId="41558" xr:uid="{00000000-0005-0000-0000-000064A20000}"/>
    <cellStyle name="Uwaga 3 4 2 16" xfId="41559" xr:uid="{00000000-0005-0000-0000-000065A20000}"/>
    <cellStyle name="Uwaga 3 4 2 17" xfId="41560" xr:uid="{00000000-0005-0000-0000-000066A20000}"/>
    <cellStyle name="Uwaga 3 4 2 18" xfId="41561" xr:uid="{00000000-0005-0000-0000-000067A20000}"/>
    <cellStyle name="Uwaga 3 4 2 19" xfId="41562" xr:uid="{00000000-0005-0000-0000-000068A20000}"/>
    <cellStyle name="Uwaga 3 4 2 2" xfId="41563" xr:uid="{00000000-0005-0000-0000-000069A20000}"/>
    <cellStyle name="Uwaga 3 4 2 3" xfId="41564" xr:uid="{00000000-0005-0000-0000-00006AA20000}"/>
    <cellStyle name="Uwaga 3 4 2 4" xfId="41565" xr:uid="{00000000-0005-0000-0000-00006BA20000}"/>
    <cellStyle name="Uwaga 3 4 2 5" xfId="41566" xr:uid="{00000000-0005-0000-0000-00006CA20000}"/>
    <cellStyle name="Uwaga 3 4 2 6" xfId="41567" xr:uid="{00000000-0005-0000-0000-00006DA20000}"/>
    <cellStyle name="Uwaga 3 4 2 7" xfId="41568" xr:uid="{00000000-0005-0000-0000-00006EA20000}"/>
    <cellStyle name="Uwaga 3 4 2 8" xfId="41569" xr:uid="{00000000-0005-0000-0000-00006FA20000}"/>
    <cellStyle name="Uwaga 3 4 2 9" xfId="41570" xr:uid="{00000000-0005-0000-0000-000070A20000}"/>
    <cellStyle name="Uwaga 3 4 20" xfId="41571" xr:uid="{00000000-0005-0000-0000-000071A20000}"/>
    <cellStyle name="Uwaga 3 4 20 2" xfId="41572" xr:uid="{00000000-0005-0000-0000-000072A20000}"/>
    <cellStyle name="Uwaga 3 4 21" xfId="41573" xr:uid="{00000000-0005-0000-0000-000073A20000}"/>
    <cellStyle name="Uwaga 3 4 21 2" xfId="41574" xr:uid="{00000000-0005-0000-0000-000074A20000}"/>
    <cellStyle name="Uwaga 3 4 22" xfId="41575" xr:uid="{00000000-0005-0000-0000-000075A20000}"/>
    <cellStyle name="Uwaga 3 4 22 2" xfId="41576" xr:uid="{00000000-0005-0000-0000-000076A20000}"/>
    <cellStyle name="Uwaga 3 4 23" xfId="41577" xr:uid="{00000000-0005-0000-0000-000077A20000}"/>
    <cellStyle name="Uwaga 3 4 23 2" xfId="41578" xr:uid="{00000000-0005-0000-0000-000078A20000}"/>
    <cellStyle name="Uwaga 3 4 24" xfId="41579" xr:uid="{00000000-0005-0000-0000-000079A20000}"/>
    <cellStyle name="Uwaga 3 4 24 2" xfId="41580" xr:uid="{00000000-0005-0000-0000-00007AA20000}"/>
    <cellStyle name="Uwaga 3 4 25" xfId="41581" xr:uid="{00000000-0005-0000-0000-00007BA20000}"/>
    <cellStyle name="Uwaga 3 4 25 2" xfId="41582" xr:uid="{00000000-0005-0000-0000-00007CA20000}"/>
    <cellStyle name="Uwaga 3 4 26" xfId="41583" xr:uid="{00000000-0005-0000-0000-00007DA20000}"/>
    <cellStyle name="Uwaga 3 4 26 2" xfId="41584" xr:uid="{00000000-0005-0000-0000-00007EA20000}"/>
    <cellStyle name="Uwaga 3 4 27" xfId="41585" xr:uid="{00000000-0005-0000-0000-00007FA20000}"/>
    <cellStyle name="Uwaga 3 4 27 2" xfId="41586" xr:uid="{00000000-0005-0000-0000-000080A20000}"/>
    <cellStyle name="Uwaga 3 4 28" xfId="41587" xr:uid="{00000000-0005-0000-0000-000081A20000}"/>
    <cellStyle name="Uwaga 3 4 28 2" xfId="41588" xr:uid="{00000000-0005-0000-0000-000082A20000}"/>
    <cellStyle name="Uwaga 3 4 29" xfId="41589" xr:uid="{00000000-0005-0000-0000-000083A20000}"/>
    <cellStyle name="Uwaga 3 4 29 2" xfId="41590" xr:uid="{00000000-0005-0000-0000-000084A20000}"/>
    <cellStyle name="Uwaga 3 4 3" xfId="41591" xr:uid="{00000000-0005-0000-0000-000085A20000}"/>
    <cellStyle name="Uwaga 3 4 3 10" xfId="41592" xr:uid="{00000000-0005-0000-0000-000086A20000}"/>
    <cellStyle name="Uwaga 3 4 3 11" xfId="41593" xr:uid="{00000000-0005-0000-0000-000087A20000}"/>
    <cellStyle name="Uwaga 3 4 3 12" xfId="41594" xr:uid="{00000000-0005-0000-0000-000088A20000}"/>
    <cellStyle name="Uwaga 3 4 3 13" xfId="41595" xr:uid="{00000000-0005-0000-0000-000089A20000}"/>
    <cellStyle name="Uwaga 3 4 3 14" xfId="41596" xr:uid="{00000000-0005-0000-0000-00008AA20000}"/>
    <cellStyle name="Uwaga 3 4 3 15" xfId="41597" xr:uid="{00000000-0005-0000-0000-00008BA20000}"/>
    <cellStyle name="Uwaga 3 4 3 16" xfId="41598" xr:uid="{00000000-0005-0000-0000-00008CA20000}"/>
    <cellStyle name="Uwaga 3 4 3 17" xfId="41599" xr:uid="{00000000-0005-0000-0000-00008DA20000}"/>
    <cellStyle name="Uwaga 3 4 3 18" xfId="41600" xr:uid="{00000000-0005-0000-0000-00008EA20000}"/>
    <cellStyle name="Uwaga 3 4 3 19" xfId="41601" xr:uid="{00000000-0005-0000-0000-00008FA20000}"/>
    <cellStyle name="Uwaga 3 4 3 2" xfId="41602" xr:uid="{00000000-0005-0000-0000-000090A20000}"/>
    <cellStyle name="Uwaga 3 4 3 3" xfId="41603" xr:uid="{00000000-0005-0000-0000-000091A20000}"/>
    <cellStyle name="Uwaga 3 4 3 4" xfId="41604" xr:uid="{00000000-0005-0000-0000-000092A20000}"/>
    <cellStyle name="Uwaga 3 4 3 5" xfId="41605" xr:uid="{00000000-0005-0000-0000-000093A20000}"/>
    <cellStyle name="Uwaga 3 4 3 6" xfId="41606" xr:uid="{00000000-0005-0000-0000-000094A20000}"/>
    <cellStyle name="Uwaga 3 4 3 7" xfId="41607" xr:uid="{00000000-0005-0000-0000-000095A20000}"/>
    <cellStyle name="Uwaga 3 4 3 8" xfId="41608" xr:uid="{00000000-0005-0000-0000-000096A20000}"/>
    <cellStyle name="Uwaga 3 4 3 9" xfId="41609" xr:uid="{00000000-0005-0000-0000-000097A20000}"/>
    <cellStyle name="Uwaga 3 4 30" xfId="41610" xr:uid="{00000000-0005-0000-0000-000098A20000}"/>
    <cellStyle name="Uwaga 3 4 30 2" xfId="41611" xr:uid="{00000000-0005-0000-0000-000099A20000}"/>
    <cellStyle name="Uwaga 3 4 31" xfId="41612" xr:uid="{00000000-0005-0000-0000-00009AA20000}"/>
    <cellStyle name="Uwaga 3 4 31 2" xfId="41613" xr:uid="{00000000-0005-0000-0000-00009BA20000}"/>
    <cellStyle name="Uwaga 3 4 32" xfId="41614" xr:uid="{00000000-0005-0000-0000-00009CA20000}"/>
    <cellStyle name="Uwaga 3 4 32 2" xfId="41615" xr:uid="{00000000-0005-0000-0000-00009DA20000}"/>
    <cellStyle name="Uwaga 3 4 33" xfId="41616" xr:uid="{00000000-0005-0000-0000-00009EA20000}"/>
    <cellStyle name="Uwaga 3 4 33 2" xfId="41617" xr:uid="{00000000-0005-0000-0000-00009FA20000}"/>
    <cellStyle name="Uwaga 3 4 34" xfId="41618" xr:uid="{00000000-0005-0000-0000-0000A0A20000}"/>
    <cellStyle name="Uwaga 3 4 34 2" xfId="41619" xr:uid="{00000000-0005-0000-0000-0000A1A20000}"/>
    <cellStyle name="Uwaga 3 4 35" xfId="41620" xr:uid="{00000000-0005-0000-0000-0000A2A20000}"/>
    <cellStyle name="Uwaga 3 4 35 2" xfId="41621" xr:uid="{00000000-0005-0000-0000-0000A3A20000}"/>
    <cellStyle name="Uwaga 3 4 36" xfId="41622" xr:uid="{00000000-0005-0000-0000-0000A4A20000}"/>
    <cellStyle name="Uwaga 3 4 36 2" xfId="41623" xr:uid="{00000000-0005-0000-0000-0000A5A20000}"/>
    <cellStyle name="Uwaga 3 4 37" xfId="41624" xr:uid="{00000000-0005-0000-0000-0000A6A20000}"/>
    <cellStyle name="Uwaga 3 4 37 2" xfId="41625" xr:uid="{00000000-0005-0000-0000-0000A7A20000}"/>
    <cellStyle name="Uwaga 3 4 38" xfId="41626" xr:uid="{00000000-0005-0000-0000-0000A8A20000}"/>
    <cellStyle name="Uwaga 3 4 38 2" xfId="41627" xr:uid="{00000000-0005-0000-0000-0000A9A20000}"/>
    <cellStyle name="Uwaga 3 4 39" xfId="41628" xr:uid="{00000000-0005-0000-0000-0000AAA20000}"/>
    <cellStyle name="Uwaga 3 4 39 2" xfId="41629" xr:uid="{00000000-0005-0000-0000-0000ABA20000}"/>
    <cellStyle name="Uwaga 3 4 4" xfId="41630" xr:uid="{00000000-0005-0000-0000-0000ACA20000}"/>
    <cellStyle name="Uwaga 3 4 4 10" xfId="41631" xr:uid="{00000000-0005-0000-0000-0000ADA20000}"/>
    <cellStyle name="Uwaga 3 4 4 11" xfId="41632" xr:uid="{00000000-0005-0000-0000-0000AEA20000}"/>
    <cellStyle name="Uwaga 3 4 4 12" xfId="41633" xr:uid="{00000000-0005-0000-0000-0000AFA20000}"/>
    <cellStyle name="Uwaga 3 4 4 13" xfId="41634" xr:uid="{00000000-0005-0000-0000-0000B0A20000}"/>
    <cellStyle name="Uwaga 3 4 4 14" xfId="41635" xr:uid="{00000000-0005-0000-0000-0000B1A20000}"/>
    <cellStyle name="Uwaga 3 4 4 15" xfId="41636" xr:uid="{00000000-0005-0000-0000-0000B2A20000}"/>
    <cellStyle name="Uwaga 3 4 4 16" xfId="41637" xr:uid="{00000000-0005-0000-0000-0000B3A20000}"/>
    <cellStyle name="Uwaga 3 4 4 17" xfId="41638" xr:uid="{00000000-0005-0000-0000-0000B4A20000}"/>
    <cellStyle name="Uwaga 3 4 4 18" xfId="41639" xr:uid="{00000000-0005-0000-0000-0000B5A20000}"/>
    <cellStyle name="Uwaga 3 4 4 19" xfId="41640" xr:uid="{00000000-0005-0000-0000-0000B6A20000}"/>
    <cellStyle name="Uwaga 3 4 4 2" xfId="41641" xr:uid="{00000000-0005-0000-0000-0000B7A20000}"/>
    <cellStyle name="Uwaga 3 4 4 3" xfId="41642" xr:uid="{00000000-0005-0000-0000-0000B8A20000}"/>
    <cellStyle name="Uwaga 3 4 4 4" xfId="41643" xr:uid="{00000000-0005-0000-0000-0000B9A20000}"/>
    <cellStyle name="Uwaga 3 4 4 5" xfId="41644" xr:uid="{00000000-0005-0000-0000-0000BAA20000}"/>
    <cellStyle name="Uwaga 3 4 4 6" xfId="41645" xr:uid="{00000000-0005-0000-0000-0000BBA20000}"/>
    <cellStyle name="Uwaga 3 4 4 7" xfId="41646" xr:uid="{00000000-0005-0000-0000-0000BCA20000}"/>
    <cellStyle name="Uwaga 3 4 4 8" xfId="41647" xr:uid="{00000000-0005-0000-0000-0000BDA20000}"/>
    <cellStyle name="Uwaga 3 4 4 9" xfId="41648" xr:uid="{00000000-0005-0000-0000-0000BEA20000}"/>
    <cellStyle name="Uwaga 3 4 40" xfId="41649" xr:uid="{00000000-0005-0000-0000-0000BFA20000}"/>
    <cellStyle name="Uwaga 3 4 40 2" xfId="41650" xr:uid="{00000000-0005-0000-0000-0000C0A20000}"/>
    <cellStyle name="Uwaga 3 4 41" xfId="41651" xr:uid="{00000000-0005-0000-0000-0000C1A20000}"/>
    <cellStyle name="Uwaga 3 4 41 2" xfId="41652" xr:uid="{00000000-0005-0000-0000-0000C2A20000}"/>
    <cellStyle name="Uwaga 3 4 42" xfId="41653" xr:uid="{00000000-0005-0000-0000-0000C3A20000}"/>
    <cellStyle name="Uwaga 3 4 42 2" xfId="41654" xr:uid="{00000000-0005-0000-0000-0000C4A20000}"/>
    <cellStyle name="Uwaga 3 4 43" xfId="41655" xr:uid="{00000000-0005-0000-0000-0000C5A20000}"/>
    <cellStyle name="Uwaga 3 4 43 2" xfId="41656" xr:uid="{00000000-0005-0000-0000-0000C6A20000}"/>
    <cellStyle name="Uwaga 3 4 44" xfId="41657" xr:uid="{00000000-0005-0000-0000-0000C7A20000}"/>
    <cellStyle name="Uwaga 3 4 45" xfId="41658" xr:uid="{00000000-0005-0000-0000-0000C8A20000}"/>
    <cellStyle name="Uwaga 3 4 46" xfId="41659" xr:uid="{00000000-0005-0000-0000-0000C9A20000}"/>
    <cellStyle name="Uwaga 3 4 47" xfId="41660" xr:uid="{00000000-0005-0000-0000-0000CAA20000}"/>
    <cellStyle name="Uwaga 3 4 48" xfId="41661" xr:uid="{00000000-0005-0000-0000-0000CBA20000}"/>
    <cellStyle name="Uwaga 3 4 49" xfId="41662" xr:uid="{00000000-0005-0000-0000-0000CCA20000}"/>
    <cellStyle name="Uwaga 3 4 5" xfId="41663" xr:uid="{00000000-0005-0000-0000-0000CDA20000}"/>
    <cellStyle name="Uwaga 3 4 5 10" xfId="41664" xr:uid="{00000000-0005-0000-0000-0000CEA20000}"/>
    <cellStyle name="Uwaga 3 4 5 11" xfId="41665" xr:uid="{00000000-0005-0000-0000-0000CFA20000}"/>
    <cellStyle name="Uwaga 3 4 5 12" xfId="41666" xr:uid="{00000000-0005-0000-0000-0000D0A20000}"/>
    <cellStyle name="Uwaga 3 4 5 13" xfId="41667" xr:uid="{00000000-0005-0000-0000-0000D1A20000}"/>
    <cellStyle name="Uwaga 3 4 5 14" xfId="41668" xr:uid="{00000000-0005-0000-0000-0000D2A20000}"/>
    <cellStyle name="Uwaga 3 4 5 15" xfId="41669" xr:uid="{00000000-0005-0000-0000-0000D3A20000}"/>
    <cellStyle name="Uwaga 3 4 5 16" xfId="41670" xr:uid="{00000000-0005-0000-0000-0000D4A20000}"/>
    <cellStyle name="Uwaga 3 4 5 17" xfId="41671" xr:uid="{00000000-0005-0000-0000-0000D5A20000}"/>
    <cellStyle name="Uwaga 3 4 5 18" xfId="41672" xr:uid="{00000000-0005-0000-0000-0000D6A20000}"/>
    <cellStyle name="Uwaga 3 4 5 19" xfId="41673" xr:uid="{00000000-0005-0000-0000-0000D7A20000}"/>
    <cellStyle name="Uwaga 3 4 5 2" xfId="41674" xr:uid="{00000000-0005-0000-0000-0000D8A20000}"/>
    <cellStyle name="Uwaga 3 4 5 3" xfId="41675" xr:uid="{00000000-0005-0000-0000-0000D9A20000}"/>
    <cellStyle name="Uwaga 3 4 5 4" xfId="41676" xr:uid="{00000000-0005-0000-0000-0000DAA20000}"/>
    <cellStyle name="Uwaga 3 4 5 5" xfId="41677" xr:uid="{00000000-0005-0000-0000-0000DBA20000}"/>
    <cellStyle name="Uwaga 3 4 5 6" xfId="41678" xr:uid="{00000000-0005-0000-0000-0000DCA20000}"/>
    <cellStyle name="Uwaga 3 4 5 7" xfId="41679" xr:uid="{00000000-0005-0000-0000-0000DDA20000}"/>
    <cellStyle name="Uwaga 3 4 5 8" xfId="41680" xr:uid="{00000000-0005-0000-0000-0000DEA20000}"/>
    <cellStyle name="Uwaga 3 4 5 9" xfId="41681" xr:uid="{00000000-0005-0000-0000-0000DFA20000}"/>
    <cellStyle name="Uwaga 3 4 50" xfId="41682" xr:uid="{00000000-0005-0000-0000-0000E0A20000}"/>
    <cellStyle name="Uwaga 3 4 51" xfId="41683" xr:uid="{00000000-0005-0000-0000-0000E1A20000}"/>
    <cellStyle name="Uwaga 3 4 52" xfId="41684" xr:uid="{00000000-0005-0000-0000-0000E2A20000}"/>
    <cellStyle name="Uwaga 3 4 53" xfId="41685" xr:uid="{00000000-0005-0000-0000-0000E3A20000}"/>
    <cellStyle name="Uwaga 3 4 54" xfId="41686" xr:uid="{00000000-0005-0000-0000-0000E4A20000}"/>
    <cellStyle name="Uwaga 3 4 55" xfId="41687" xr:uid="{00000000-0005-0000-0000-0000E5A20000}"/>
    <cellStyle name="Uwaga 3 4 56" xfId="41688" xr:uid="{00000000-0005-0000-0000-0000E6A20000}"/>
    <cellStyle name="Uwaga 3 4 57" xfId="41689" xr:uid="{00000000-0005-0000-0000-0000E7A20000}"/>
    <cellStyle name="Uwaga 3 4 58" xfId="41690" xr:uid="{00000000-0005-0000-0000-0000E8A20000}"/>
    <cellStyle name="Uwaga 3 4 59" xfId="41691" xr:uid="{00000000-0005-0000-0000-0000E9A20000}"/>
    <cellStyle name="Uwaga 3 4 6" xfId="41692" xr:uid="{00000000-0005-0000-0000-0000EAA20000}"/>
    <cellStyle name="Uwaga 3 4 6 2" xfId="41693" xr:uid="{00000000-0005-0000-0000-0000EBA20000}"/>
    <cellStyle name="Uwaga 3 4 60" xfId="41694" xr:uid="{00000000-0005-0000-0000-0000ECA20000}"/>
    <cellStyle name="Uwaga 3 4 61" xfId="41695" xr:uid="{00000000-0005-0000-0000-0000EDA20000}"/>
    <cellStyle name="Uwaga 3 4 62" xfId="41696" xr:uid="{00000000-0005-0000-0000-0000EEA20000}"/>
    <cellStyle name="Uwaga 3 4 63" xfId="41697" xr:uid="{00000000-0005-0000-0000-0000EFA20000}"/>
    <cellStyle name="Uwaga 3 4 64" xfId="41698" xr:uid="{00000000-0005-0000-0000-0000F0A20000}"/>
    <cellStyle name="Uwaga 3 4 65" xfId="41699" xr:uid="{00000000-0005-0000-0000-0000F1A20000}"/>
    <cellStyle name="Uwaga 3 4 66" xfId="41700" xr:uid="{00000000-0005-0000-0000-0000F2A20000}"/>
    <cellStyle name="Uwaga 3 4 67" xfId="41701" xr:uid="{00000000-0005-0000-0000-0000F3A20000}"/>
    <cellStyle name="Uwaga 3 4 68" xfId="41702" xr:uid="{00000000-0005-0000-0000-0000F4A20000}"/>
    <cellStyle name="Uwaga 3 4 69" xfId="41703" xr:uid="{00000000-0005-0000-0000-0000F5A20000}"/>
    <cellStyle name="Uwaga 3 4 7" xfId="41704" xr:uid="{00000000-0005-0000-0000-0000F6A20000}"/>
    <cellStyle name="Uwaga 3 4 7 2" xfId="41705" xr:uid="{00000000-0005-0000-0000-0000F7A20000}"/>
    <cellStyle name="Uwaga 3 4 70" xfId="41706" xr:uid="{00000000-0005-0000-0000-0000F8A20000}"/>
    <cellStyle name="Uwaga 3 4 71" xfId="41707" xr:uid="{00000000-0005-0000-0000-0000F9A20000}"/>
    <cellStyle name="Uwaga 3 4 72" xfId="41708" xr:uid="{00000000-0005-0000-0000-0000FAA20000}"/>
    <cellStyle name="Uwaga 3 4 73" xfId="41709" xr:uid="{00000000-0005-0000-0000-0000FBA20000}"/>
    <cellStyle name="Uwaga 3 4 74" xfId="41710" xr:uid="{00000000-0005-0000-0000-0000FCA20000}"/>
    <cellStyle name="Uwaga 3 4 75" xfId="41711" xr:uid="{00000000-0005-0000-0000-0000FDA20000}"/>
    <cellStyle name="Uwaga 3 4 8" xfId="41712" xr:uid="{00000000-0005-0000-0000-0000FEA20000}"/>
    <cellStyle name="Uwaga 3 4 8 2" xfId="41713" xr:uid="{00000000-0005-0000-0000-0000FFA20000}"/>
    <cellStyle name="Uwaga 3 4 9" xfId="41714" xr:uid="{00000000-0005-0000-0000-000000A30000}"/>
    <cellStyle name="Uwaga 3 4 9 2" xfId="41715" xr:uid="{00000000-0005-0000-0000-000001A30000}"/>
    <cellStyle name="Uwaga 3 40" xfId="41716" xr:uid="{00000000-0005-0000-0000-000002A30000}"/>
    <cellStyle name="Uwaga 3 40 2" xfId="41717" xr:uid="{00000000-0005-0000-0000-000003A30000}"/>
    <cellStyle name="Uwaga 3 41" xfId="41718" xr:uid="{00000000-0005-0000-0000-000004A30000}"/>
    <cellStyle name="Uwaga 3 41 2" xfId="41719" xr:uid="{00000000-0005-0000-0000-000005A30000}"/>
    <cellStyle name="Uwaga 3 42" xfId="41720" xr:uid="{00000000-0005-0000-0000-000006A30000}"/>
    <cellStyle name="Uwaga 3 42 2" xfId="41721" xr:uid="{00000000-0005-0000-0000-000007A30000}"/>
    <cellStyle name="Uwaga 3 43" xfId="41722" xr:uid="{00000000-0005-0000-0000-000008A30000}"/>
    <cellStyle name="Uwaga 3 43 2" xfId="41723" xr:uid="{00000000-0005-0000-0000-000009A30000}"/>
    <cellStyle name="Uwaga 3 44" xfId="41724" xr:uid="{00000000-0005-0000-0000-00000AA30000}"/>
    <cellStyle name="Uwaga 3 44 2" xfId="41725" xr:uid="{00000000-0005-0000-0000-00000BA30000}"/>
    <cellStyle name="Uwaga 3 45" xfId="41726" xr:uid="{00000000-0005-0000-0000-00000CA30000}"/>
    <cellStyle name="Uwaga 3 45 2" xfId="41727" xr:uid="{00000000-0005-0000-0000-00000DA30000}"/>
    <cellStyle name="Uwaga 3 46" xfId="41728" xr:uid="{00000000-0005-0000-0000-00000EA30000}"/>
    <cellStyle name="Uwaga 3 46 2" xfId="41729" xr:uid="{00000000-0005-0000-0000-00000FA30000}"/>
    <cellStyle name="Uwaga 3 47" xfId="41730" xr:uid="{00000000-0005-0000-0000-000010A30000}"/>
    <cellStyle name="Uwaga 3 47 2" xfId="41731" xr:uid="{00000000-0005-0000-0000-000011A30000}"/>
    <cellStyle name="Uwaga 3 48" xfId="41732" xr:uid="{00000000-0005-0000-0000-000012A30000}"/>
    <cellStyle name="Uwaga 3 48 2" xfId="41733" xr:uid="{00000000-0005-0000-0000-000013A30000}"/>
    <cellStyle name="Uwaga 3 49" xfId="41734" xr:uid="{00000000-0005-0000-0000-000014A30000}"/>
    <cellStyle name="Uwaga 3 49 2" xfId="41735" xr:uid="{00000000-0005-0000-0000-000015A30000}"/>
    <cellStyle name="Uwaga 3 5" xfId="41736" xr:uid="{00000000-0005-0000-0000-000016A30000}"/>
    <cellStyle name="Uwaga 3 5 10" xfId="41737" xr:uid="{00000000-0005-0000-0000-000017A30000}"/>
    <cellStyle name="Uwaga 3 5 10 2" xfId="41738" xr:uid="{00000000-0005-0000-0000-000018A30000}"/>
    <cellStyle name="Uwaga 3 5 11" xfId="41739" xr:uid="{00000000-0005-0000-0000-000019A30000}"/>
    <cellStyle name="Uwaga 3 5 11 2" xfId="41740" xr:uid="{00000000-0005-0000-0000-00001AA30000}"/>
    <cellStyle name="Uwaga 3 5 12" xfId="41741" xr:uid="{00000000-0005-0000-0000-00001BA30000}"/>
    <cellStyle name="Uwaga 3 5 12 2" xfId="41742" xr:uid="{00000000-0005-0000-0000-00001CA30000}"/>
    <cellStyle name="Uwaga 3 5 13" xfId="41743" xr:uid="{00000000-0005-0000-0000-00001DA30000}"/>
    <cellStyle name="Uwaga 3 5 13 2" xfId="41744" xr:uid="{00000000-0005-0000-0000-00001EA30000}"/>
    <cellStyle name="Uwaga 3 5 14" xfId="41745" xr:uid="{00000000-0005-0000-0000-00001FA30000}"/>
    <cellStyle name="Uwaga 3 5 14 2" xfId="41746" xr:uid="{00000000-0005-0000-0000-000020A30000}"/>
    <cellStyle name="Uwaga 3 5 15" xfId="41747" xr:uid="{00000000-0005-0000-0000-000021A30000}"/>
    <cellStyle name="Uwaga 3 5 15 2" xfId="41748" xr:uid="{00000000-0005-0000-0000-000022A30000}"/>
    <cellStyle name="Uwaga 3 5 16" xfId="41749" xr:uid="{00000000-0005-0000-0000-000023A30000}"/>
    <cellStyle name="Uwaga 3 5 16 2" xfId="41750" xr:uid="{00000000-0005-0000-0000-000024A30000}"/>
    <cellStyle name="Uwaga 3 5 17" xfId="41751" xr:uid="{00000000-0005-0000-0000-000025A30000}"/>
    <cellStyle name="Uwaga 3 5 17 2" xfId="41752" xr:uid="{00000000-0005-0000-0000-000026A30000}"/>
    <cellStyle name="Uwaga 3 5 18" xfId="41753" xr:uid="{00000000-0005-0000-0000-000027A30000}"/>
    <cellStyle name="Uwaga 3 5 18 2" xfId="41754" xr:uid="{00000000-0005-0000-0000-000028A30000}"/>
    <cellStyle name="Uwaga 3 5 19" xfId="41755" xr:uid="{00000000-0005-0000-0000-000029A30000}"/>
    <cellStyle name="Uwaga 3 5 19 2" xfId="41756" xr:uid="{00000000-0005-0000-0000-00002AA30000}"/>
    <cellStyle name="Uwaga 3 5 2" xfId="41757" xr:uid="{00000000-0005-0000-0000-00002BA30000}"/>
    <cellStyle name="Uwaga 3 5 2 10" xfId="41758" xr:uid="{00000000-0005-0000-0000-00002CA30000}"/>
    <cellStyle name="Uwaga 3 5 2 11" xfId="41759" xr:uid="{00000000-0005-0000-0000-00002DA30000}"/>
    <cellStyle name="Uwaga 3 5 2 12" xfId="41760" xr:uid="{00000000-0005-0000-0000-00002EA30000}"/>
    <cellStyle name="Uwaga 3 5 2 13" xfId="41761" xr:uid="{00000000-0005-0000-0000-00002FA30000}"/>
    <cellStyle name="Uwaga 3 5 2 14" xfId="41762" xr:uid="{00000000-0005-0000-0000-000030A30000}"/>
    <cellStyle name="Uwaga 3 5 2 15" xfId="41763" xr:uid="{00000000-0005-0000-0000-000031A30000}"/>
    <cellStyle name="Uwaga 3 5 2 16" xfId="41764" xr:uid="{00000000-0005-0000-0000-000032A30000}"/>
    <cellStyle name="Uwaga 3 5 2 17" xfId="41765" xr:uid="{00000000-0005-0000-0000-000033A30000}"/>
    <cellStyle name="Uwaga 3 5 2 18" xfId="41766" xr:uid="{00000000-0005-0000-0000-000034A30000}"/>
    <cellStyle name="Uwaga 3 5 2 19" xfId="41767" xr:uid="{00000000-0005-0000-0000-000035A30000}"/>
    <cellStyle name="Uwaga 3 5 2 2" xfId="41768" xr:uid="{00000000-0005-0000-0000-000036A30000}"/>
    <cellStyle name="Uwaga 3 5 2 3" xfId="41769" xr:uid="{00000000-0005-0000-0000-000037A30000}"/>
    <cellStyle name="Uwaga 3 5 2 4" xfId="41770" xr:uid="{00000000-0005-0000-0000-000038A30000}"/>
    <cellStyle name="Uwaga 3 5 2 5" xfId="41771" xr:uid="{00000000-0005-0000-0000-000039A30000}"/>
    <cellStyle name="Uwaga 3 5 2 6" xfId="41772" xr:uid="{00000000-0005-0000-0000-00003AA30000}"/>
    <cellStyle name="Uwaga 3 5 2 7" xfId="41773" xr:uid="{00000000-0005-0000-0000-00003BA30000}"/>
    <cellStyle name="Uwaga 3 5 2 8" xfId="41774" xr:uid="{00000000-0005-0000-0000-00003CA30000}"/>
    <cellStyle name="Uwaga 3 5 2 9" xfId="41775" xr:uid="{00000000-0005-0000-0000-00003DA30000}"/>
    <cellStyle name="Uwaga 3 5 20" xfId="41776" xr:uid="{00000000-0005-0000-0000-00003EA30000}"/>
    <cellStyle name="Uwaga 3 5 20 2" xfId="41777" xr:uid="{00000000-0005-0000-0000-00003FA30000}"/>
    <cellStyle name="Uwaga 3 5 21" xfId="41778" xr:uid="{00000000-0005-0000-0000-000040A30000}"/>
    <cellStyle name="Uwaga 3 5 21 2" xfId="41779" xr:uid="{00000000-0005-0000-0000-000041A30000}"/>
    <cellStyle name="Uwaga 3 5 22" xfId="41780" xr:uid="{00000000-0005-0000-0000-000042A30000}"/>
    <cellStyle name="Uwaga 3 5 22 2" xfId="41781" xr:uid="{00000000-0005-0000-0000-000043A30000}"/>
    <cellStyle name="Uwaga 3 5 23" xfId="41782" xr:uid="{00000000-0005-0000-0000-000044A30000}"/>
    <cellStyle name="Uwaga 3 5 23 2" xfId="41783" xr:uid="{00000000-0005-0000-0000-000045A30000}"/>
    <cellStyle name="Uwaga 3 5 24" xfId="41784" xr:uid="{00000000-0005-0000-0000-000046A30000}"/>
    <cellStyle name="Uwaga 3 5 24 2" xfId="41785" xr:uid="{00000000-0005-0000-0000-000047A30000}"/>
    <cellStyle name="Uwaga 3 5 25" xfId="41786" xr:uid="{00000000-0005-0000-0000-000048A30000}"/>
    <cellStyle name="Uwaga 3 5 25 2" xfId="41787" xr:uid="{00000000-0005-0000-0000-000049A30000}"/>
    <cellStyle name="Uwaga 3 5 26" xfId="41788" xr:uid="{00000000-0005-0000-0000-00004AA30000}"/>
    <cellStyle name="Uwaga 3 5 26 2" xfId="41789" xr:uid="{00000000-0005-0000-0000-00004BA30000}"/>
    <cellStyle name="Uwaga 3 5 27" xfId="41790" xr:uid="{00000000-0005-0000-0000-00004CA30000}"/>
    <cellStyle name="Uwaga 3 5 27 2" xfId="41791" xr:uid="{00000000-0005-0000-0000-00004DA30000}"/>
    <cellStyle name="Uwaga 3 5 28" xfId="41792" xr:uid="{00000000-0005-0000-0000-00004EA30000}"/>
    <cellStyle name="Uwaga 3 5 28 2" xfId="41793" xr:uid="{00000000-0005-0000-0000-00004FA30000}"/>
    <cellStyle name="Uwaga 3 5 29" xfId="41794" xr:uid="{00000000-0005-0000-0000-000050A30000}"/>
    <cellStyle name="Uwaga 3 5 29 2" xfId="41795" xr:uid="{00000000-0005-0000-0000-000051A30000}"/>
    <cellStyle name="Uwaga 3 5 3" xfId="41796" xr:uid="{00000000-0005-0000-0000-000052A30000}"/>
    <cellStyle name="Uwaga 3 5 3 10" xfId="41797" xr:uid="{00000000-0005-0000-0000-000053A30000}"/>
    <cellStyle name="Uwaga 3 5 3 11" xfId="41798" xr:uid="{00000000-0005-0000-0000-000054A30000}"/>
    <cellStyle name="Uwaga 3 5 3 12" xfId="41799" xr:uid="{00000000-0005-0000-0000-000055A30000}"/>
    <cellStyle name="Uwaga 3 5 3 13" xfId="41800" xr:uid="{00000000-0005-0000-0000-000056A30000}"/>
    <cellStyle name="Uwaga 3 5 3 14" xfId="41801" xr:uid="{00000000-0005-0000-0000-000057A30000}"/>
    <cellStyle name="Uwaga 3 5 3 15" xfId="41802" xr:uid="{00000000-0005-0000-0000-000058A30000}"/>
    <cellStyle name="Uwaga 3 5 3 16" xfId="41803" xr:uid="{00000000-0005-0000-0000-000059A30000}"/>
    <cellStyle name="Uwaga 3 5 3 17" xfId="41804" xr:uid="{00000000-0005-0000-0000-00005AA30000}"/>
    <cellStyle name="Uwaga 3 5 3 18" xfId="41805" xr:uid="{00000000-0005-0000-0000-00005BA30000}"/>
    <cellStyle name="Uwaga 3 5 3 19" xfId="41806" xr:uid="{00000000-0005-0000-0000-00005CA30000}"/>
    <cellStyle name="Uwaga 3 5 3 2" xfId="41807" xr:uid="{00000000-0005-0000-0000-00005DA30000}"/>
    <cellStyle name="Uwaga 3 5 3 3" xfId="41808" xr:uid="{00000000-0005-0000-0000-00005EA30000}"/>
    <cellStyle name="Uwaga 3 5 3 4" xfId="41809" xr:uid="{00000000-0005-0000-0000-00005FA30000}"/>
    <cellStyle name="Uwaga 3 5 3 5" xfId="41810" xr:uid="{00000000-0005-0000-0000-000060A30000}"/>
    <cellStyle name="Uwaga 3 5 3 6" xfId="41811" xr:uid="{00000000-0005-0000-0000-000061A30000}"/>
    <cellStyle name="Uwaga 3 5 3 7" xfId="41812" xr:uid="{00000000-0005-0000-0000-000062A30000}"/>
    <cellStyle name="Uwaga 3 5 3 8" xfId="41813" xr:uid="{00000000-0005-0000-0000-000063A30000}"/>
    <cellStyle name="Uwaga 3 5 3 9" xfId="41814" xr:uid="{00000000-0005-0000-0000-000064A30000}"/>
    <cellStyle name="Uwaga 3 5 30" xfId="41815" xr:uid="{00000000-0005-0000-0000-000065A30000}"/>
    <cellStyle name="Uwaga 3 5 30 2" xfId="41816" xr:uid="{00000000-0005-0000-0000-000066A30000}"/>
    <cellStyle name="Uwaga 3 5 31" xfId="41817" xr:uid="{00000000-0005-0000-0000-000067A30000}"/>
    <cellStyle name="Uwaga 3 5 31 2" xfId="41818" xr:uid="{00000000-0005-0000-0000-000068A30000}"/>
    <cellStyle name="Uwaga 3 5 32" xfId="41819" xr:uid="{00000000-0005-0000-0000-000069A30000}"/>
    <cellStyle name="Uwaga 3 5 32 2" xfId="41820" xr:uid="{00000000-0005-0000-0000-00006AA30000}"/>
    <cellStyle name="Uwaga 3 5 33" xfId="41821" xr:uid="{00000000-0005-0000-0000-00006BA30000}"/>
    <cellStyle name="Uwaga 3 5 33 2" xfId="41822" xr:uid="{00000000-0005-0000-0000-00006CA30000}"/>
    <cellStyle name="Uwaga 3 5 34" xfId="41823" xr:uid="{00000000-0005-0000-0000-00006DA30000}"/>
    <cellStyle name="Uwaga 3 5 34 2" xfId="41824" xr:uid="{00000000-0005-0000-0000-00006EA30000}"/>
    <cellStyle name="Uwaga 3 5 35" xfId="41825" xr:uid="{00000000-0005-0000-0000-00006FA30000}"/>
    <cellStyle name="Uwaga 3 5 35 2" xfId="41826" xr:uid="{00000000-0005-0000-0000-000070A30000}"/>
    <cellStyle name="Uwaga 3 5 36" xfId="41827" xr:uid="{00000000-0005-0000-0000-000071A30000}"/>
    <cellStyle name="Uwaga 3 5 36 2" xfId="41828" xr:uid="{00000000-0005-0000-0000-000072A30000}"/>
    <cellStyle name="Uwaga 3 5 37" xfId="41829" xr:uid="{00000000-0005-0000-0000-000073A30000}"/>
    <cellStyle name="Uwaga 3 5 37 2" xfId="41830" xr:uid="{00000000-0005-0000-0000-000074A30000}"/>
    <cellStyle name="Uwaga 3 5 38" xfId="41831" xr:uid="{00000000-0005-0000-0000-000075A30000}"/>
    <cellStyle name="Uwaga 3 5 38 2" xfId="41832" xr:uid="{00000000-0005-0000-0000-000076A30000}"/>
    <cellStyle name="Uwaga 3 5 39" xfId="41833" xr:uid="{00000000-0005-0000-0000-000077A30000}"/>
    <cellStyle name="Uwaga 3 5 39 2" xfId="41834" xr:uid="{00000000-0005-0000-0000-000078A30000}"/>
    <cellStyle name="Uwaga 3 5 4" xfId="41835" xr:uid="{00000000-0005-0000-0000-000079A30000}"/>
    <cellStyle name="Uwaga 3 5 4 10" xfId="41836" xr:uid="{00000000-0005-0000-0000-00007AA30000}"/>
    <cellStyle name="Uwaga 3 5 4 11" xfId="41837" xr:uid="{00000000-0005-0000-0000-00007BA30000}"/>
    <cellStyle name="Uwaga 3 5 4 12" xfId="41838" xr:uid="{00000000-0005-0000-0000-00007CA30000}"/>
    <cellStyle name="Uwaga 3 5 4 13" xfId="41839" xr:uid="{00000000-0005-0000-0000-00007DA30000}"/>
    <cellStyle name="Uwaga 3 5 4 14" xfId="41840" xr:uid="{00000000-0005-0000-0000-00007EA30000}"/>
    <cellStyle name="Uwaga 3 5 4 15" xfId="41841" xr:uid="{00000000-0005-0000-0000-00007FA30000}"/>
    <cellStyle name="Uwaga 3 5 4 16" xfId="41842" xr:uid="{00000000-0005-0000-0000-000080A30000}"/>
    <cellStyle name="Uwaga 3 5 4 17" xfId="41843" xr:uid="{00000000-0005-0000-0000-000081A30000}"/>
    <cellStyle name="Uwaga 3 5 4 18" xfId="41844" xr:uid="{00000000-0005-0000-0000-000082A30000}"/>
    <cellStyle name="Uwaga 3 5 4 19" xfId="41845" xr:uid="{00000000-0005-0000-0000-000083A30000}"/>
    <cellStyle name="Uwaga 3 5 4 2" xfId="41846" xr:uid="{00000000-0005-0000-0000-000084A30000}"/>
    <cellStyle name="Uwaga 3 5 4 3" xfId="41847" xr:uid="{00000000-0005-0000-0000-000085A30000}"/>
    <cellStyle name="Uwaga 3 5 4 4" xfId="41848" xr:uid="{00000000-0005-0000-0000-000086A30000}"/>
    <cellStyle name="Uwaga 3 5 4 5" xfId="41849" xr:uid="{00000000-0005-0000-0000-000087A30000}"/>
    <cellStyle name="Uwaga 3 5 4 6" xfId="41850" xr:uid="{00000000-0005-0000-0000-000088A30000}"/>
    <cellStyle name="Uwaga 3 5 4 7" xfId="41851" xr:uid="{00000000-0005-0000-0000-000089A30000}"/>
    <cellStyle name="Uwaga 3 5 4 8" xfId="41852" xr:uid="{00000000-0005-0000-0000-00008AA30000}"/>
    <cellStyle name="Uwaga 3 5 4 9" xfId="41853" xr:uid="{00000000-0005-0000-0000-00008BA30000}"/>
    <cellStyle name="Uwaga 3 5 40" xfId="41854" xr:uid="{00000000-0005-0000-0000-00008CA30000}"/>
    <cellStyle name="Uwaga 3 5 40 2" xfId="41855" xr:uid="{00000000-0005-0000-0000-00008DA30000}"/>
    <cellStyle name="Uwaga 3 5 41" xfId="41856" xr:uid="{00000000-0005-0000-0000-00008EA30000}"/>
    <cellStyle name="Uwaga 3 5 41 2" xfId="41857" xr:uid="{00000000-0005-0000-0000-00008FA30000}"/>
    <cellStyle name="Uwaga 3 5 42" xfId="41858" xr:uid="{00000000-0005-0000-0000-000090A30000}"/>
    <cellStyle name="Uwaga 3 5 42 2" xfId="41859" xr:uid="{00000000-0005-0000-0000-000091A30000}"/>
    <cellStyle name="Uwaga 3 5 43" xfId="41860" xr:uid="{00000000-0005-0000-0000-000092A30000}"/>
    <cellStyle name="Uwaga 3 5 43 2" xfId="41861" xr:uid="{00000000-0005-0000-0000-000093A30000}"/>
    <cellStyle name="Uwaga 3 5 44" xfId="41862" xr:uid="{00000000-0005-0000-0000-000094A30000}"/>
    <cellStyle name="Uwaga 3 5 45" xfId="41863" xr:uid="{00000000-0005-0000-0000-000095A30000}"/>
    <cellStyle name="Uwaga 3 5 46" xfId="41864" xr:uid="{00000000-0005-0000-0000-000096A30000}"/>
    <cellStyle name="Uwaga 3 5 47" xfId="41865" xr:uid="{00000000-0005-0000-0000-000097A30000}"/>
    <cellStyle name="Uwaga 3 5 48" xfId="41866" xr:uid="{00000000-0005-0000-0000-000098A30000}"/>
    <cellStyle name="Uwaga 3 5 49" xfId="41867" xr:uid="{00000000-0005-0000-0000-000099A30000}"/>
    <cellStyle name="Uwaga 3 5 5" xfId="41868" xr:uid="{00000000-0005-0000-0000-00009AA30000}"/>
    <cellStyle name="Uwaga 3 5 5 10" xfId="41869" xr:uid="{00000000-0005-0000-0000-00009BA30000}"/>
    <cellStyle name="Uwaga 3 5 5 11" xfId="41870" xr:uid="{00000000-0005-0000-0000-00009CA30000}"/>
    <cellStyle name="Uwaga 3 5 5 12" xfId="41871" xr:uid="{00000000-0005-0000-0000-00009DA30000}"/>
    <cellStyle name="Uwaga 3 5 5 13" xfId="41872" xr:uid="{00000000-0005-0000-0000-00009EA30000}"/>
    <cellStyle name="Uwaga 3 5 5 14" xfId="41873" xr:uid="{00000000-0005-0000-0000-00009FA30000}"/>
    <cellStyle name="Uwaga 3 5 5 15" xfId="41874" xr:uid="{00000000-0005-0000-0000-0000A0A30000}"/>
    <cellStyle name="Uwaga 3 5 5 16" xfId="41875" xr:uid="{00000000-0005-0000-0000-0000A1A30000}"/>
    <cellStyle name="Uwaga 3 5 5 17" xfId="41876" xr:uid="{00000000-0005-0000-0000-0000A2A30000}"/>
    <cellStyle name="Uwaga 3 5 5 18" xfId="41877" xr:uid="{00000000-0005-0000-0000-0000A3A30000}"/>
    <cellStyle name="Uwaga 3 5 5 19" xfId="41878" xr:uid="{00000000-0005-0000-0000-0000A4A30000}"/>
    <cellStyle name="Uwaga 3 5 5 2" xfId="41879" xr:uid="{00000000-0005-0000-0000-0000A5A30000}"/>
    <cellStyle name="Uwaga 3 5 5 3" xfId="41880" xr:uid="{00000000-0005-0000-0000-0000A6A30000}"/>
    <cellStyle name="Uwaga 3 5 5 4" xfId="41881" xr:uid="{00000000-0005-0000-0000-0000A7A30000}"/>
    <cellStyle name="Uwaga 3 5 5 5" xfId="41882" xr:uid="{00000000-0005-0000-0000-0000A8A30000}"/>
    <cellStyle name="Uwaga 3 5 5 6" xfId="41883" xr:uid="{00000000-0005-0000-0000-0000A9A30000}"/>
    <cellStyle name="Uwaga 3 5 5 7" xfId="41884" xr:uid="{00000000-0005-0000-0000-0000AAA30000}"/>
    <cellStyle name="Uwaga 3 5 5 8" xfId="41885" xr:uid="{00000000-0005-0000-0000-0000ABA30000}"/>
    <cellStyle name="Uwaga 3 5 5 9" xfId="41886" xr:uid="{00000000-0005-0000-0000-0000ACA30000}"/>
    <cellStyle name="Uwaga 3 5 50" xfId="41887" xr:uid="{00000000-0005-0000-0000-0000ADA30000}"/>
    <cellStyle name="Uwaga 3 5 51" xfId="41888" xr:uid="{00000000-0005-0000-0000-0000AEA30000}"/>
    <cellStyle name="Uwaga 3 5 52" xfId="41889" xr:uid="{00000000-0005-0000-0000-0000AFA30000}"/>
    <cellStyle name="Uwaga 3 5 53" xfId="41890" xr:uid="{00000000-0005-0000-0000-0000B0A30000}"/>
    <cellStyle name="Uwaga 3 5 54" xfId="41891" xr:uid="{00000000-0005-0000-0000-0000B1A30000}"/>
    <cellStyle name="Uwaga 3 5 55" xfId="41892" xr:uid="{00000000-0005-0000-0000-0000B2A30000}"/>
    <cellStyle name="Uwaga 3 5 56" xfId="41893" xr:uid="{00000000-0005-0000-0000-0000B3A30000}"/>
    <cellStyle name="Uwaga 3 5 57" xfId="41894" xr:uid="{00000000-0005-0000-0000-0000B4A30000}"/>
    <cellStyle name="Uwaga 3 5 58" xfId="41895" xr:uid="{00000000-0005-0000-0000-0000B5A30000}"/>
    <cellStyle name="Uwaga 3 5 59" xfId="41896" xr:uid="{00000000-0005-0000-0000-0000B6A30000}"/>
    <cellStyle name="Uwaga 3 5 6" xfId="41897" xr:uid="{00000000-0005-0000-0000-0000B7A30000}"/>
    <cellStyle name="Uwaga 3 5 6 2" xfId="41898" xr:uid="{00000000-0005-0000-0000-0000B8A30000}"/>
    <cellStyle name="Uwaga 3 5 60" xfId="41899" xr:uid="{00000000-0005-0000-0000-0000B9A30000}"/>
    <cellStyle name="Uwaga 3 5 61" xfId="41900" xr:uid="{00000000-0005-0000-0000-0000BAA30000}"/>
    <cellStyle name="Uwaga 3 5 62" xfId="41901" xr:uid="{00000000-0005-0000-0000-0000BBA30000}"/>
    <cellStyle name="Uwaga 3 5 63" xfId="41902" xr:uid="{00000000-0005-0000-0000-0000BCA30000}"/>
    <cellStyle name="Uwaga 3 5 64" xfId="41903" xr:uid="{00000000-0005-0000-0000-0000BDA30000}"/>
    <cellStyle name="Uwaga 3 5 65" xfId="41904" xr:uid="{00000000-0005-0000-0000-0000BEA30000}"/>
    <cellStyle name="Uwaga 3 5 66" xfId="41905" xr:uid="{00000000-0005-0000-0000-0000BFA30000}"/>
    <cellStyle name="Uwaga 3 5 67" xfId="41906" xr:uid="{00000000-0005-0000-0000-0000C0A30000}"/>
    <cellStyle name="Uwaga 3 5 68" xfId="41907" xr:uid="{00000000-0005-0000-0000-0000C1A30000}"/>
    <cellStyle name="Uwaga 3 5 69" xfId="41908" xr:uid="{00000000-0005-0000-0000-0000C2A30000}"/>
    <cellStyle name="Uwaga 3 5 7" xfId="41909" xr:uid="{00000000-0005-0000-0000-0000C3A30000}"/>
    <cellStyle name="Uwaga 3 5 7 2" xfId="41910" xr:uid="{00000000-0005-0000-0000-0000C4A30000}"/>
    <cellStyle name="Uwaga 3 5 70" xfId="41911" xr:uid="{00000000-0005-0000-0000-0000C5A30000}"/>
    <cellStyle name="Uwaga 3 5 71" xfId="41912" xr:uid="{00000000-0005-0000-0000-0000C6A30000}"/>
    <cellStyle name="Uwaga 3 5 72" xfId="41913" xr:uid="{00000000-0005-0000-0000-0000C7A30000}"/>
    <cellStyle name="Uwaga 3 5 73" xfId="41914" xr:uid="{00000000-0005-0000-0000-0000C8A30000}"/>
    <cellStyle name="Uwaga 3 5 74" xfId="41915" xr:uid="{00000000-0005-0000-0000-0000C9A30000}"/>
    <cellStyle name="Uwaga 3 5 8" xfId="41916" xr:uid="{00000000-0005-0000-0000-0000CAA30000}"/>
    <cellStyle name="Uwaga 3 5 8 2" xfId="41917" xr:uid="{00000000-0005-0000-0000-0000CBA30000}"/>
    <cellStyle name="Uwaga 3 5 9" xfId="41918" xr:uid="{00000000-0005-0000-0000-0000CCA30000}"/>
    <cellStyle name="Uwaga 3 5 9 2" xfId="41919" xr:uid="{00000000-0005-0000-0000-0000CDA30000}"/>
    <cellStyle name="Uwaga 3 50" xfId="41920" xr:uid="{00000000-0005-0000-0000-0000CEA30000}"/>
    <cellStyle name="Uwaga 3 50 2" xfId="41921" xr:uid="{00000000-0005-0000-0000-0000CFA30000}"/>
    <cellStyle name="Uwaga 3 51" xfId="41922" xr:uid="{00000000-0005-0000-0000-0000D0A30000}"/>
    <cellStyle name="Uwaga 3 51 2" xfId="41923" xr:uid="{00000000-0005-0000-0000-0000D1A30000}"/>
    <cellStyle name="Uwaga 3 52" xfId="41924" xr:uid="{00000000-0005-0000-0000-0000D2A30000}"/>
    <cellStyle name="Uwaga 3 53" xfId="41925" xr:uid="{00000000-0005-0000-0000-0000D3A30000}"/>
    <cellStyle name="Uwaga 3 54" xfId="41926" xr:uid="{00000000-0005-0000-0000-0000D4A30000}"/>
    <cellStyle name="Uwaga 3 55" xfId="41927" xr:uid="{00000000-0005-0000-0000-0000D5A30000}"/>
    <cellStyle name="Uwaga 3 56" xfId="41928" xr:uid="{00000000-0005-0000-0000-0000D6A30000}"/>
    <cellStyle name="Uwaga 3 57" xfId="41929" xr:uid="{00000000-0005-0000-0000-0000D7A30000}"/>
    <cellStyle name="Uwaga 3 58" xfId="41930" xr:uid="{00000000-0005-0000-0000-0000D8A30000}"/>
    <cellStyle name="Uwaga 3 59" xfId="41931" xr:uid="{00000000-0005-0000-0000-0000D9A30000}"/>
    <cellStyle name="Uwaga 3 6" xfId="41932" xr:uid="{00000000-0005-0000-0000-0000DAA30000}"/>
    <cellStyle name="Uwaga 3 6 10" xfId="41933" xr:uid="{00000000-0005-0000-0000-0000DBA30000}"/>
    <cellStyle name="Uwaga 3 6 11" xfId="41934" xr:uid="{00000000-0005-0000-0000-0000DCA30000}"/>
    <cellStyle name="Uwaga 3 6 12" xfId="41935" xr:uid="{00000000-0005-0000-0000-0000DDA30000}"/>
    <cellStyle name="Uwaga 3 6 13" xfId="41936" xr:uid="{00000000-0005-0000-0000-0000DEA30000}"/>
    <cellStyle name="Uwaga 3 6 14" xfId="41937" xr:uid="{00000000-0005-0000-0000-0000DFA30000}"/>
    <cellStyle name="Uwaga 3 6 15" xfId="41938" xr:uid="{00000000-0005-0000-0000-0000E0A30000}"/>
    <cellStyle name="Uwaga 3 6 16" xfId="41939" xr:uid="{00000000-0005-0000-0000-0000E1A30000}"/>
    <cellStyle name="Uwaga 3 6 17" xfId="41940" xr:uid="{00000000-0005-0000-0000-0000E2A30000}"/>
    <cellStyle name="Uwaga 3 6 18" xfId="41941" xr:uid="{00000000-0005-0000-0000-0000E3A30000}"/>
    <cellStyle name="Uwaga 3 6 19" xfId="41942" xr:uid="{00000000-0005-0000-0000-0000E4A30000}"/>
    <cellStyle name="Uwaga 3 6 2" xfId="41943" xr:uid="{00000000-0005-0000-0000-0000E5A30000}"/>
    <cellStyle name="Uwaga 3 6 3" xfId="41944" xr:uid="{00000000-0005-0000-0000-0000E6A30000}"/>
    <cellStyle name="Uwaga 3 6 4" xfId="41945" xr:uid="{00000000-0005-0000-0000-0000E7A30000}"/>
    <cellStyle name="Uwaga 3 6 5" xfId="41946" xr:uid="{00000000-0005-0000-0000-0000E8A30000}"/>
    <cellStyle name="Uwaga 3 6 6" xfId="41947" xr:uid="{00000000-0005-0000-0000-0000E9A30000}"/>
    <cellStyle name="Uwaga 3 6 7" xfId="41948" xr:uid="{00000000-0005-0000-0000-0000EAA30000}"/>
    <cellStyle name="Uwaga 3 6 8" xfId="41949" xr:uid="{00000000-0005-0000-0000-0000EBA30000}"/>
    <cellStyle name="Uwaga 3 6 9" xfId="41950" xr:uid="{00000000-0005-0000-0000-0000ECA30000}"/>
    <cellStyle name="Uwaga 3 60" xfId="41951" xr:uid="{00000000-0005-0000-0000-0000EDA30000}"/>
    <cellStyle name="Uwaga 3 61" xfId="41952" xr:uid="{00000000-0005-0000-0000-0000EEA30000}"/>
    <cellStyle name="Uwaga 3 62" xfId="41953" xr:uid="{00000000-0005-0000-0000-0000EFA30000}"/>
    <cellStyle name="Uwaga 3 63" xfId="41954" xr:uid="{00000000-0005-0000-0000-0000F0A30000}"/>
    <cellStyle name="Uwaga 3 64" xfId="41955" xr:uid="{00000000-0005-0000-0000-0000F1A30000}"/>
    <cellStyle name="Uwaga 3 65" xfId="41956" xr:uid="{00000000-0005-0000-0000-0000F2A30000}"/>
    <cellStyle name="Uwaga 3 66" xfId="41957" xr:uid="{00000000-0005-0000-0000-0000F3A30000}"/>
    <cellStyle name="Uwaga 3 67" xfId="41958" xr:uid="{00000000-0005-0000-0000-0000F4A30000}"/>
    <cellStyle name="Uwaga 3 68" xfId="41959" xr:uid="{00000000-0005-0000-0000-0000F5A30000}"/>
    <cellStyle name="Uwaga 3 69" xfId="41960" xr:uid="{00000000-0005-0000-0000-0000F6A30000}"/>
    <cellStyle name="Uwaga 3 7" xfId="41961" xr:uid="{00000000-0005-0000-0000-0000F7A30000}"/>
    <cellStyle name="Uwaga 3 7 10" xfId="41962" xr:uid="{00000000-0005-0000-0000-0000F8A30000}"/>
    <cellStyle name="Uwaga 3 7 11" xfId="41963" xr:uid="{00000000-0005-0000-0000-0000F9A30000}"/>
    <cellStyle name="Uwaga 3 7 12" xfId="41964" xr:uid="{00000000-0005-0000-0000-0000FAA30000}"/>
    <cellStyle name="Uwaga 3 7 13" xfId="41965" xr:uid="{00000000-0005-0000-0000-0000FBA30000}"/>
    <cellStyle name="Uwaga 3 7 14" xfId="41966" xr:uid="{00000000-0005-0000-0000-0000FCA30000}"/>
    <cellStyle name="Uwaga 3 7 15" xfId="41967" xr:uid="{00000000-0005-0000-0000-0000FDA30000}"/>
    <cellStyle name="Uwaga 3 7 16" xfId="41968" xr:uid="{00000000-0005-0000-0000-0000FEA30000}"/>
    <cellStyle name="Uwaga 3 7 17" xfId="41969" xr:uid="{00000000-0005-0000-0000-0000FFA30000}"/>
    <cellStyle name="Uwaga 3 7 18" xfId="41970" xr:uid="{00000000-0005-0000-0000-000000A40000}"/>
    <cellStyle name="Uwaga 3 7 19" xfId="41971" xr:uid="{00000000-0005-0000-0000-000001A40000}"/>
    <cellStyle name="Uwaga 3 7 2" xfId="41972" xr:uid="{00000000-0005-0000-0000-000002A40000}"/>
    <cellStyle name="Uwaga 3 7 3" xfId="41973" xr:uid="{00000000-0005-0000-0000-000003A40000}"/>
    <cellStyle name="Uwaga 3 7 4" xfId="41974" xr:uid="{00000000-0005-0000-0000-000004A40000}"/>
    <cellStyle name="Uwaga 3 7 5" xfId="41975" xr:uid="{00000000-0005-0000-0000-000005A40000}"/>
    <cellStyle name="Uwaga 3 7 6" xfId="41976" xr:uid="{00000000-0005-0000-0000-000006A40000}"/>
    <cellStyle name="Uwaga 3 7 7" xfId="41977" xr:uid="{00000000-0005-0000-0000-000007A40000}"/>
    <cellStyle name="Uwaga 3 7 8" xfId="41978" xr:uid="{00000000-0005-0000-0000-000008A40000}"/>
    <cellStyle name="Uwaga 3 7 9" xfId="41979" xr:uid="{00000000-0005-0000-0000-000009A40000}"/>
    <cellStyle name="Uwaga 3 70" xfId="41980" xr:uid="{00000000-0005-0000-0000-00000AA40000}"/>
    <cellStyle name="Uwaga 3 71" xfId="41981" xr:uid="{00000000-0005-0000-0000-00000BA40000}"/>
    <cellStyle name="Uwaga 3 72" xfId="41982" xr:uid="{00000000-0005-0000-0000-00000CA40000}"/>
    <cellStyle name="Uwaga 3 73" xfId="41983" xr:uid="{00000000-0005-0000-0000-00000DA40000}"/>
    <cellStyle name="Uwaga 3 74" xfId="41984" xr:uid="{00000000-0005-0000-0000-00000EA40000}"/>
    <cellStyle name="Uwaga 3 75" xfId="41985" xr:uid="{00000000-0005-0000-0000-00000FA40000}"/>
    <cellStyle name="Uwaga 3 76" xfId="41986" xr:uid="{00000000-0005-0000-0000-000010A40000}"/>
    <cellStyle name="Uwaga 3 77" xfId="41987" xr:uid="{00000000-0005-0000-0000-000011A40000}"/>
    <cellStyle name="Uwaga 3 78" xfId="41988" xr:uid="{00000000-0005-0000-0000-000012A40000}"/>
    <cellStyle name="Uwaga 3 79" xfId="41989" xr:uid="{00000000-0005-0000-0000-000013A40000}"/>
    <cellStyle name="Uwaga 3 8" xfId="41990" xr:uid="{00000000-0005-0000-0000-000014A40000}"/>
    <cellStyle name="Uwaga 3 8 10" xfId="41991" xr:uid="{00000000-0005-0000-0000-000015A40000}"/>
    <cellStyle name="Uwaga 3 8 11" xfId="41992" xr:uid="{00000000-0005-0000-0000-000016A40000}"/>
    <cellStyle name="Uwaga 3 8 12" xfId="41993" xr:uid="{00000000-0005-0000-0000-000017A40000}"/>
    <cellStyle name="Uwaga 3 8 13" xfId="41994" xr:uid="{00000000-0005-0000-0000-000018A40000}"/>
    <cellStyle name="Uwaga 3 8 14" xfId="41995" xr:uid="{00000000-0005-0000-0000-000019A40000}"/>
    <cellStyle name="Uwaga 3 8 15" xfId="41996" xr:uid="{00000000-0005-0000-0000-00001AA40000}"/>
    <cellStyle name="Uwaga 3 8 16" xfId="41997" xr:uid="{00000000-0005-0000-0000-00001BA40000}"/>
    <cellStyle name="Uwaga 3 8 17" xfId="41998" xr:uid="{00000000-0005-0000-0000-00001CA40000}"/>
    <cellStyle name="Uwaga 3 8 18" xfId="41999" xr:uid="{00000000-0005-0000-0000-00001DA40000}"/>
    <cellStyle name="Uwaga 3 8 19" xfId="42000" xr:uid="{00000000-0005-0000-0000-00001EA40000}"/>
    <cellStyle name="Uwaga 3 8 2" xfId="42001" xr:uid="{00000000-0005-0000-0000-00001FA40000}"/>
    <cellStyle name="Uwaga 3 8 3" xfId="42002" xr:uid="{00000000-0005-0000-0000-000020A40000}"/>
    <cellStyle name="Uwaga 3 8 4" xfId="42003" xr:uid="{00000000-0005-0000-0000-000021A40000}"/>
    <cellStyle name="Uwaga 3 8 5" xfId="42004" xr:uid="{00000000-0005-0000-0000-000022A40000}"/>
    <cellStyle name="Uwaga 3 8 6" xfId="42005" xr:uid="{00000000-0005-0000-0000-000023A40000}"/>
    <cellStyle name="Uwaga 3 8 7" xfId="42006" xr:uid="{00000000-0005-0000-0000-000024A40000}"/>
    <cellStyle name="Uwaga 3 8 8" xfId="42007" xr:uid="{00000000-0005-0000-0000-000025A40000}"/>
    <cellStyle name="Uwaga 3 8 9" xfId="42008" xr:uid="{00000000-0005-0000-0000-000026A40000}"/>
    <cellStyle name="Uwaga 3 9" xfId="42009" xr:uid="{00000000-0005-0000-0000-000027A40000}"/>
    <cellStyle name="Uwaga 3 9 10" xfId="42010" xr:uid="{00000000-0005-0000-0000-000028A40000}"/>
    <cellStyle name="Uwaga 3 9 11" xfId="42011" xr:uid="{00000000-0005-0000-0000-000029A40000}"/>
    <cellStyle name="Uwaga 3 9 12" xfId="42012" xr:uid="{00000000-0005-0000-0000-00002AA40000}"/>
    <cellStyle name="Uwaga 3 9 13" xfId="42013" xr:uid="{00000000-0005-0000-0000-00002BA40000}"/>
    <cellStyle name="Uwaga 3 9 14" xfId="42014" xr:uid="{00000000-0005-0000-0000-00002CA40000}"/>
    <cellStyle name="Uwaga 3 9 15" xfId="42015" xr:uid="{00000000-0005-0000-0000-00002DA40000}"/>
    <cellStyle name="Uwaga 3 9 16" xfId="42016" xr:uid="{00000000-0005-0000-0000-00002EA40000}"/>
    <cellStyle name="Uwaga 3 9 17" xfId="42017" xr:uid="{00000000-0005-0000-0000-00002FA40000}"/>
    <cellStyle name="Uwaga 3 9 18" xfId="42018" xr:uid="{00000000-0005-0000-0000-000030A40000}"/>
    <cellStyle name="Uwaga 3 9 19" xfId="42019" xr:uid="{00000000-0005-0000-0000-000031A40000}"/>
    <cellStyle name="Uwaga 3 9 2" xfId="42020" xr:uid="{00000000-0005-0000-0000-000032A40000}"/>
    <cellStyle name="Uwaga 3 9 3" xfId="42021" xr:uid="{00000000-0005-0000-0000-000033A40000}"/>
    <cellStyle name="Uwaga 3 9 4" xfId="42022" xr:uid="{00000000-0005-0000-0000-000034A40000}"/>
    <cellStyle name="Uwaga 3 9 5" xfId="42023" xr:uid="{00000000-0005-0000-0000-000035A40000}"/>
    <cellStyle name="Uwaga 3 9 6" xfId="42024" xr:uid="{00000000-0005-0000-0000-000036A40000}"/>
    <cellStyle name="Uwaga 3 9 7" xfId="42025" xr:uid="{00000000-0005-0000-0000-000037A40000}"/>
    <cellStyle name="Uwaga 3 9 8" xfId="42026" xr:uid="{00000000-0005-0000-0000-000038A40000}"/>
    <cellStyle name="Uwaga 3 9 9" xfId="42027" xr:uid="{00000000-0005-0000-0000-000039A40000}"/>
    <cellStyle name="Uwaga 30" xfId="42028" xr:uid="{00000000-0005-0000-0000-00003AA40000}"/>
    <cellStyle name="Uwaga 31" xfId="42029" xr:uid="{00000000-0005-0000-0000-00003BA40000}"/>
    <cellStyle name="Uwaga 32" xfId="42030" xr:uid="{00000000-0005-0000-0000-00003CA40000}"/>
    <cellStyle name="Uwaga 33" xfId="42031" xr:uid="{00000000-0005-0000-0000-00003DA40000}"/>
    <cellStyle name="Uwaga 33 2" xfId="42032" xr:uid="{00000000-0005-0000-0000-00003EA40000}"/>
    <cellStyle name="Uwaga 34" xfId="42033" xr:uid="{00000000-0005-0000-0000-00003FA40000}"/>
    <cellStyle name="Uwaga 34 2" xfId="42034" xr:uid="{00000000-0005-0000-0000-000040A40000}"/>
    <cellStyle name="Uwaga 35" xfId="42035" xr:uid="{00000000-0005-0000-0000-000041A40000}"/>
    <cellStyle name="Uwaga 35 2" xfId="42036" xr:uid="{00000000-0005-0000-0000-000042A40000}"/>
    <cellStyle name="Uwaga 36" xfId="42037" xr:uid="{00000000-0005-0000-0000-000043A40000}"/>
    <cellStyle name="Uwaga 36 2" xfId="42038" xr:uid="{00000000-0005-0000-0000-000044A40000}"/>
    <cellStyle name="Uwaga 37" xfId="42039" xr:uid="{00000000-0005-0000-0000-000045A40000}"/>
    <cellStyle name="Uwaga 37 2" xfId="42040" xr:uid="{00000000-0005-0000-0000-000046A40000}"/>
    <cellStyle name="Uwaga 38" xfId="42041" xr:uid="{00000000-0005-0000-0000-000047A40000}"/>
    <cellStyle name="Uwaga 38 2" xfId="42042" xr:uid="{00000000-0005-0000-0000-000048A40000}"/>
    <cellStyle name="Uwaga 39" xfId="42043" xr:uid="{00000000-0005-0000-0000-000049A40000}"/>
    <cellStyle name="Uwaga 39 2" xfId="42044" xr:uid="{00000000-0005-0000-0000-00004AA40000}"/>
    <cellStyle name="Uwaga 4" xfId="42045" xr:uid="{00000000-0005-0000-0000-00004BA40000}"/>
    <cellStyle name="Uwaga 4 10" xfId="42046" xr:uid="{00000000-0005-0000-0000-00004CA40000}"/>
    <cellStyle name="Uwaga 4 11" xfId="42047" xr:uid="{00000000-0005-0000-0000-00004DA40000}"/>
    <cellStyle name="Uwaga 4 12" xfId="42048" xr:uid="{00000000-0005-0000-0000-00004EA40000}"/>
    <cellStyle name="Uwaga 4 13" xfId="42049" xr:uid="{00000000-0005-0000-0000-00004FA40000}"/>
    <cellStyle name="Uwaga 4 14" xfId="42050" xr:uid="{00000000-0005-0000-0000-000050A40000}"/>
    <cellStyle name="Uwaga 4 15" xfId="42051" xr:uid="{00000000-0005-0000-0000-000051A40000}"/>
    <cellStyle name="Uwaga 4 16" xfId="42052" xr:uid="{00000000-0005-0000-0000-000052A40000}"/>
    <cellStyle name="Uwaga 4 17" xfId="42053" xr:uid="{00000000-0005-0000-0000-000053A40000}"/>
    <cellStyle name="Uwaga 4 18" xfId="42054" xr:uid="{00000000-0005-0000-0000-000054A40000}"/>
    <cellStyle name="Uwaga 4 19" xfId="42055" xr:uid="{00000000-0005-0000-0000-000055A40000}"/>
    <cellStyle name="Uwaga 4 2" xfId="42056" xr:uid="{00000000-0005-0000-0000-000056A40000}"/>
    <cellStyle name="Uwaga 4 2 2" xfId="42057" xr:uid="{00000000-0005-0000-0000-000057A40000}"/>
    <cellStyle name="Uwaga 4 20" xfId="42058" xr:uid="{00000000-0005-0000-0000-000058A40000}"/>
    <cellStyle name="Uwaga 4 21" xfId="42059" xr:uid="{00000000-0005-0000-0000-000059A40000}"/>
    <cellStyle name="Uwaga 4 22" xfId="42060" xr:uid="{00000000-0005-0000-0000-00005AA40000}"/>
    <cellStyle name="Uwaga 4 23" xfId="42061" xr:uid="{00000000-0005-0000-0000-00005BA40000}"/>
    <cellStyle name="Uwaga 4 3" xfId="42062" xr:uid="{00000000-0005-0000-0000-00005CA40000}"/>
    <cellStyle name="Uwaga 4 3 2" xfId="42063" xr:uid="{00000000-0005-0000-0000-00005DA40000}"/>
    <cellStyle name="Uwaga 4 4" xfId="42064" xr:uid="{00000000-0005-0000-0000-00005EA40000}"/>
    <cellStyle name="Uwaga 4 4 2" xfId="42065" xr:uid="{00000000-0005-0000-0000-00005FA40000}"/>
    <cellStyle name="Uwaga 4 5" xfId="42066" xr:uid="{00000000-0005-0000-0000-000060A40000}"/>
    <cellStyle name="Uwaga 4 6" xfId="42067" xr:uid="{00000000-0005-0000-0000-000061A40000}"/>
    <cellStyle name="Uwaga 4 7" xfId="42068" xr:uid="{00000000-0005-0000-0000-000062A40000}"/>
    <cellStyle name="Uwaga 4 8" xfId="42069" xr:uid="{00000000-0005-0000-0000-000063A40000}"/>
    <cellStyle name="Uwaga 4 9" xfId="42070" xr:uid="{00000000-0005-0000-0000-000064A40000}"/>
    <cellStyle name="Uwaga 40" xfId="42071" xr:uid="{00000000-0005-0000-0000-000065A40000}"/>
    <cellStyle name="Uwaga 40 2" xfId="42072" xr:uid="{00000000-0005-0000-0000-000066A40000}"/>
    <cellStyle name="Uwaga 41" xfId="42073" xr:uid="{00000000-0005-0000-0000-000067A40000}"/>
    <cellStyle name="Uwaga 41 2" xfId="42074" xr:uid="{00000000-0005-0000-0000-000068A40000}"/>
    <cellStyle name="Uwaga 42" xfId="42075" xr:uid="{00000000-0005-0000-0000-000069A40000}"/>
    <cellStyle name="Uwaga 42 2" xfId="42076" xr:uid="{00000000-0005-0000-0000-00006AA40000}"/>
    <cellStyle name="Uwaga 43" xfId="42077" xr:uid="{00000000-0005-0000-0000-00006BA40000}"/>
    <cellStyle name="Uwaga 43 2" xfId="42078" xr:uid="{00000000-0005-0000-0000-00006CA40000}"/>
    <cellStyle name="Uwaga 44" xfId="42079" xr:uid="{00000000-0005-0000-0000-00006DA40000}"/>
    <cellStyle name="Uwaga 44 2" xfId="42080" xr:uid="{00000000-0005-0000-0000-00006EA40000}"/>
    <cellStyle name="Uwaga 45" xfId="42081" xr:uid="{00000000-0005-0000-0000-00006FA40000}"/>
    <cellStyle name="Uwaga 45 2" xfId="42082" xr:uid="{00000000-0005-0000-0000-000070A40000}"/>
    <cellStyle name="Uwaga 46" xfId="42083" xr:uid="{00000000-0005-0000-0000-000071A40000}"/>
    <cellStyle name="Uwaga 46 2" xfId="42084" xr:uid="{00000000-0005-0000-0000-000072A40000}"/>
    <cellStyle name="Uwaga 47" xfId="42085" xr:uid="{00000000-0005-0000-0000-000073A40000}"/>
    <cellStyle name="Uwaga 47 2" xfId="42086" xr:uid="{00000000-0005-0000-0000-000074A40000}"/>
    <cellStyle name="Uwaga 48" xfId="42087" xr:uid="{00000000-0005-0000-0000-000075A40000}"/>
    <cellStyle name="Uwaga 48 2" xfId="42088" xr:uid="{00000000-0005-0000-0000-000076A40000}"/>
    <cellStyle name="Uwaga 49" xfId="42089" xr:uid="{00000000-0005-0000-0000-000077A40000}"/>
    <cellStyle name="Uwaga 49 2" xfId="42090" xr:uid="{00000000-0005-0000-0000-000078A40000}"/>
    <cellStyle name="Uwaga 5" xfId="42091" xr:uid="{00000000-0005-0000-0000-000079A40000}"/>
    <cellStyle name="Uwaga 5 2" xfId="42092" xr:uid="{00000000-0005-0000-0000-00007AA40000}"/>
    <cellStyle name="Uwaga 5 3" xfId="42093" xr:uid="{00000000-0005-0000-0000-00007BA40000}"/>
    <cellStyle name="Uwaga 5 4" xfId="42094" xr:uid="{00000000-0005-0000-0000-00007CA40000}"/>
    <cellStyle name="Uwaga 50" xfId="42095" xr:uid="{00000000-0005-0000-0000-00007DA40000}"/>
    <cellStyle name="Uwaga 50 2" xfId="42096" xr:uid="{00000000-0005-0000-0000-00007EA40000}"/>
    <cellStyle name="Uwaga 51" xfId="42097" xr:uid="{00000000-0005-0000-0000-00007FA40000}"/>
    <cellStyle name="Uwaga 51 2" xfId="42098" xr:uid="{00000000-0005-0000-0000-000080A40000}"/>
    <cellStyle name="Uwaga 52" xfId="42099" xr:uid="{00000000-0005-0000-0000-000081A40000}"/>
    <cellStyle name="Uwaga 52 2" xfId="42100" xr:uid="{00000000-0005-0000-0000-000082A40000}"/>
    <cellStyle name="Uwaga 53" xfId="42101" xr:uid="{00000000-0005-0000-0000-000083A40000}"/>
    <cellStyle name="Uwaga 53 2" xfId="42102" xr:uid="{00000000-0005-0000-0000-000084A40000}"/>
    <cellStyle name="Uwaga 54" xfId="42103" xr:uid="{00000000-0005-0000-0000-000085A40000}"/>
    <cellStyle name="Uwaga 54 2" xfId="42104" xr:uid="{00000000-0005-0000-0000-000086A40000}"/>
    <cellStyle name="Uwaga 55" xfId="42105" xr:uid="{00000000-0005-0000-0000-000087A40000}"/>
    <cellStyle name="Uwaga 55 2" xfId="42106" xr:uid="{00000000-0005-0000-0000-000088A40000}"/>
    <cellStyle name="Uwaga 56" xfId="42107" xr:uid="{00000000-0005-0000-0000-000089A40000}"/>
    <cellStyle name="Uwaga 56 2" xfId="42108" xr:uid="{00000000-0005-0000-0000-00008AA40000}"/>
    <cellStyle name="Uwaga 57" xfId="42109" xr:uid="{00000000-0005-0000-0000-00008BA40000}"/>
    <cellStyle name="Uwaga 57 2" xfId="42110" xr:uid="{00000000-0005-0000-0000-00008CA40000}"/>
    <cellStyle name="Uwaga 58" xfId="42111" xr:uid="{00000000-0005-0000-0000-00008DA40000}"/>
    <cellStyle name="Uwaga 58 2" xfId="42112" xr:uid="{00000000-0005-0000-0000-00008EA40000}"/>
    <cellStyle name="Uwaga 59" xfId="42113" xr:uid="{00000000-0005-0000-0000-00008FA40000}"/>
    <cellStyle name="Uwaga 59 2" xfId="42114" xr:uid="{00000000-0005-0000-0000-000090A40000}"/>
    <cellStyle name="Uwaga 6" xfId="42115" xr:uid="{00000000-0005-0000-0000-000091A40000}"/>
    <cellStyle name="Uwaga 6 2" xfId="42116" xr:uid="{00000000-0005-0000-0000-000092A40000}"/>
    <cellStyle name="Uwaga 6 3" xfId="42117" xr:uid="{00000000-0005-0000-0000-000093A40000}"/>
    <cellStyle name="Uwaga 6 4" xfId="42118" xr:uid="{00000000-0005-0000-0000-000094A40000}"/>
    <cellStyle name="Uwaga 60" xfId="42119" xr:uid="{00000000-0005-0000-0000-000095A40000}"/>
    <cellStyle name="Uwaga 60 2" xfId="42120" xr:uid="{00000000-0005-0000-0000-000096A40000}"/>
    <cellStyle name="Uwaga 61" xfId="42121" xr:uid="{00000000-0005-0000-0000-000097A40000}"/>
    <cellStyle name="Uwaga 61 2" xfId="42122" xr:uid="{00000000-0005-0000-0000-000098A40000}"/>
    <cellStyle name="Uwaga 62" xfId="42123" xr:uid="{00000000-0005-0000-0000-000099A40000}"/>
    <cellStyle name="Uwaga 62 2" xfId="42124" xr:uid="{00000000-0005-0000-0000-00009AA40000}"/>
    <cellStyle name="Uwaga 63" xfId="42125" xr:uid="{00000000-0005-0000-0000-00009BA40000}"/>
    <cellStyle name="Uwaga 63 2" xfId="42126" xr:uid="{00000000-0005-0000-0000-00009CA40000}"/>
    <cellStyle name="Uwaga 64" xfId="42127" xr:uid="{00000000-0005-0000-0000-00009DA40000}"/>
    <cellStyle name="Uwaga 64 2" xfId="42128" xr:uid="{00000000-0005-0000-0000-00009EA40000}"/>
    <cellStyle name="Uwaga 65" xfId="42129" xr:uid="{00000000-0005-0000-0000-00009FA40000}"/>
    <cellStyle name="Uwaga 65 2" xfId="42130" xr:uid="{00000000-0005-0000-0000-0000A0A40000}"/>
    <cellStyle name="Uwaga 66" xfId="42131" xr:uid="{00000000-0005-0000-0000-0000A1A40000}"/>
    <cellStyle name="Uwaga 66 2" xfId="42132" xr:uid="{00000000-0005-0000-0000-0000A2A40000}"/>
    <cellStyle name="Uwaga 67" xfId="42133" xr:uid="{00000000-0005-0000-0000-0000A3A40000}"/>
    <cellStyle name="Uwaga 67 2" xfId="42134" xr:uid="{00000000-0005-0000-0000-0000A4A40000}"/>
    <cellStyle name="Uwaga 68" xfId="42135" xr:uid="{00000000-0005-0000-0000-0000A5A40000}"/>
    <cellStyle name="Uwaga 68 2" xfId="42136" xr:uid="{00000000-0005-0000-0000-0000A6A40000}"/>
    <cellStyle name="Uwaga 69" xfId="42137" xr:uid="{00000000-0005-0000-0000-0000A7A40000}"/>
    <cellStyle name="Uwaga 69 2" xfId="42138" xr:uid="{00000000-0005-0000-0000-0000A8A40000}"/>
    <cellStyle name="Uwaga 7" xfId="42139" xr:uid="{00000000-0005-0000-0000-0000A9A40000}"/>
    <cellStyle name="Uwaga 7 2" xfId="42140" xr:uid="{00000000-0005-0000-0000-0000AAA40000}"/>
    <cellStyle name="Uwaga 7 3" xfId="42141" xr:uid="{00000000-0005-0000-0000-0000ABA40000}"/>
    <cellStyle name="Uwaga 7 4" xfId="42142" xr:uid="{00000000-0005-0000-0000-0000ACA40000}"/>
    <cellStyle name="Uwaga 70" xfId="42143" xr:uid="{00000000-0005-0000-0000-0000ADA40000}"/>
    <cellStyle name="Uwaga 70 2" xfId="42144" xr:uid="{00000000-0005-0000-0000-0000AEA40000}"/>
    <cellStyle name="Uwaga 71" xfId="42145" xr:uid="{00000000-0005-0000-0000-0000AFA40000}"/>
    <cellStyle name="Uwaga 71 2" xfId="42146" xr:uid="{00000000-0005-0000-0000-0000B0A40000}"/>
    <cellStyle name="Uwaga 72" xfId="42147" xr:uid="{00000000-0005-0000-0000-0000B1A40000}"/>
    <cellStyle name="Uwaga 72 2" xfId="42148" xr:uid="{00000000-0005-0000-0000-0000B2A40000}"/>
    <cellStyle name="Uwaga 73" xfId="42149" xr:uid="{00000000-0005-0000-0000-0000B3A40000}"/>
    <cellStyle name="Uwaga 73 2" xfId="42150" xr:uid="{00000000-0005-0000-0000-0000B4A40000}"/>
    <cellStyle name="Uwaga 74" xfId="42151" xr:uid="{00000000-0005-0000-0000-0000B5A40000}"/>
    <cellStyle name="Uwaga 74 2" xfId="42152" xr:uid="{00000000-0005-0000-0000-0000B6A40000}"/>
    <cellStyle name="Uwaga 75" xfId="42153" xr:uid="{00000000-0005-0000-0000-0000B7A40000}"/>
    <cellStyle name="Uwaga 75 2" xfId="42154" xr:uid="{00000000-0005-0000-0000-0000B8A40000}"/>
    <cellStyle name="Uwaga 76" xfId="42155" xr:uid="{00000000-0005-0000-0000-0000B9A40000}"/>
    <cellStyle name="Uwaga 76 2" xfId="42156" xr:uid="{00000000-0005-0000-0000-0000BAA40000}"/>
    <cellStyle name="Uwaga 77" xfId="42157" xr:uid="{00000000-0005-0000-0000-0000BBA40000}"/>
    <cellStyle name="Uwaga 77 2" xfId="42158" xr:uid="{00000000-0005-0000-0000-0000BCA40000}"/>
    <cellStyle name="Uwaga 78" xfId="42159" xr:uid="{00000000-0005-0000-0000-0000BDA40000}"/>
    <cellStyle name="Uwaga 78 2" xfId="42160" xr:uid="{00000000-0005-0000-0000-0000BEA40000}"/>
    <cellStyle name="Uwaga 79" xfId="42161" xr:uid="{00000000-0005-0000-0000-0000BFA40000}"/>
    <cellStyle name="Uwaga 79 2" xfId="42162" xr:uid="{00000000-0005-0000-0000-0000C0A40000}"/>
    <cellStyle name="Uwaga 8" xfId="42163" xr:uid="{00000000-0005-0000-0000-0000C1A40000}"/>
    <cellStyle name="Uwaga 8 2" xfId="42164" xr:uid="{00000000-0005-0000-0000-0000C2A40000}"/>
    <cellStyle name="Uwaga 8 3" xfId="42165" xr:uid="{00000000-0005-0000-0000-0000C3A40000}"/>
    <cellStyle name="Uwaga 80" xfId="42166" xr:uid="{00000000-0005-0000-0000-0000C4A40000}"/>
    <cellStyle name="Uwaga 80 2" xfId="42167" xr:uid="{00000000-0005-0000-0000-0000C5A40000}"/>
    <cellStyle name="Uwaga 81" xfId="42168" xr:uid="{00000000-0005-0000-0000-0000C6A40000}"/>
    <cellStyle name="Uwaga 81 2" xfId="42169" xr:uid="{00000000-0005-0000-0000-0000C7A40000}"/>
    <cellStyle name="Uwaga 82" xfId="42170" xr:uid="{00000000-0005-0000-0000-0000C8A40000}"/>
    <cellStyle name="Uwaga 82 2" xfId="42171" xr:uid="{00000000-0005-0000-0000-0000C9A40000}"/>
    <cellStyle name="Uwaga 83" xfId="42172" xr:uid="{00000000-0005-0000-0000-0000CAA40000}"/>
    <cellStyle name="Uwaga 83 2" xfId="42173" xr:uid="{00000000-0005-0000-0000-0000CBA40000}"/>
    <cellStyle name="Uwaga 84" xfId="42174" xr:uid="{00000000-0005-0000-0000-0000CCA40000}"/>
    <cellStyle name="Uwaga 84 2" xfId="42175" xr:uid="{00000000-0005-0000-0000-0000CDA40000}"/>
    <cellStyle name="Uwaga 85" xfId="42176" xr:uid="{00000000-0005-0000-0000-0000CEA40000}"/>
    <cellStyle name="Uwaga 85 2" xfId="42177" xr:uid="{00000000-0005-0000-0000-0000CFA40000}"/>
    <cellStyle name="Uwaga 86" xfId="42178" xr:uid="{00000000-0005-0000-0000-0000D0A40000}"/>
    <cellStyle name="Uwaga 86 2" xfId="42179" xr:uid="{00000000-0005-0000-0000-0000D1A40000}"/>
    <cellStyle name="Uwaga 87" xfId="42180" xr:uid="{00000000-0005-0000-0000-0000D2A40000}"/>
    <cellStyle name="Uwaga 87 2" xfId="42181" xr:uid="{00000000-0005-0000-0000-0000D3A40000}"/>
    <cellStyle name="Uwaga 88" xfId="42182" xr:uid="{00000000-0005-0000-0000-0000D4A40000}"/>
    <cellStyle name="Uwaga 88 2" xfId="42183" xr:uid="{00000000-0005-0000-0000-0000D5A40000}"/>
    <cellStyle name="Uwaga 89" xfId="42184" xr:uid="{00000000-0005-0000-0000-0000D6A40000}"/>
    <cellStyle name="Uwaga 89 2" xfId="42185" xr:uid="{00000000-0005-0000-0000-0000D7A40000}"/>
    <cellStyle name="Uwaga 9" xfId="42186" xr:uid="{00000000-0005-0000-0000-0000D8A40000}"/>
    <cellStyle name="Uwaga 90" xfId="42187" xr:uid="{00000000-0005-0000-0000-0000D9A40000}"/>
    <cellStyle name="Uwaga 90 2" xfId="42188" xr:uid="{00000000-0005-0000-0000-0000DAA40000}"/>
    <cellStyle name="Uwaga 91" xfId="42189" xr:uid="{00000000-0005-0000-0000-0000DBA40000}"/>
    <cellStyle name="Uwaga 91 2" xfId="42190" xr:uid="{00000000-0005-0000-0000-0000DCA40000}"/>
    <cellStyle name="Uwaga 92" xfId="42191" xr:uid="{00000000-0005-0000-0000-0000DDA40000}"/>
    <cellStyle name="Uwaga 92 2" xfId="42192" xr:uid="{00000000-0005-0000-0000-0000DEA40000}"/>
    <cellStyle name="Uwaga 93" xfId="42193" xr:uid="{00000000-0005-0000-0000-0000DFA40000}"/>
    <cellStyle name="Uwaga 93 2" xfId="42194" xr:uid="{00000000-0005-0000-0000-0000E0A40000}"/>
    <cellStyle name="Uwaga 94" xfId="42195" xr:uid="{00000000-0005-0000-0000-0000E1A40000}"/>
    <cellStyle name="Uwaga 94 2" xfId="42196" xr:uid="{00000000-0005-0000-0000-0000E2A40000}"/>
    <cellStyle name="Uwaga 95" xfId="42197" xr:uid="{00000000-0005-0000-0000-0000E3A40000}"/>
    <cellStyle name="Uwaga 95 2" xfId="42198" xr:uid="{00000000-0005-0000-0000-0000E4A40000}"/>
    <cellStyle name="Uwaga 96" xfId="42199" xr:uid="{00000000-0005-0000-0000-0000E5A40000}"/>
    <cellStyle name="Uwaga 96 2" xfId="42200" xr:uid="{00000000-0005-0000-0000-0000E6A40000}"/>
    <cellStyle name="Uwaga 97" xfId="42201" xr:uid="{00000000-0005-0000-0000-0000E7A40000}"/>
    <cellStyle name="Uwaga 97 2" xfId="42202" xr:uid="{00000000-0005-0000-0000-0000E8A40000}"/>
    <cellStyle name="Uwaga 98" xfId="42203" xr:uid="{00000000-0005-0000-0000-0000E9A40000}"/>
    <cellStyle name="Uwaga 98 2" xfId="42204" xr:uid="{00000000-0005-0000-0000-0000EAA40000}"/>
    <cellStyle name="Uwaga 99" xfId="42205" xr:uid="{00000000-0005-0000-0000-0000EBA40000}"/>
    <cellStyle name="Uwaga 99 2" xfId="42206" xr:uid="{00000000-0005-0000-0000-0000ECA40000}"/>
    <cellStyle name="Valuta - Style2" xfId="42207" xr:uid="{00000000-0005-0000-0000-0000EDA40000}"/>
    <cellStyle name="Valuta (0)" xfId="42208" xr:uid="{00000000-0005-0000-0000-0000EEA40000}"/>
    <cellStyle name="Valuta_Ark1" xfId="42209" xr:uid="{00000000-0005-0000-0000-0000EFA40000}"/>
    <cellStyle name="Währung [0]_Bal sheet - Liab. IHSW" xfId="42210" xr:uid="{00000000-0005-0000-0000-0000F0A40000}"/>
    <cellStyle name="Währung_Bal sheet - Liab. IHSW" xfId="42211" xr:uid="{00000000-0005-0000-0000-0000F1A40000}"/>
    <cellStyle name="Walutowy 2" xfId="42212" xr:uid="{00000000-0005-0000-0000-0000F2A40000}"/>
    <cellStyle name="Walutowy 2 10" xfId="42213" xr:uid="{00000000-0005-0000-0000-0000F3A40000}"/>
    <cellStyle name="Walutowy 2 11" xfId="42214" xr:uid="{00000000-0005-0000-0000-0000F4A40000}"/>
    <cellStyle name="Walutowy 2 12" xfId="42215" xr:uid="{00000000-0005-0000-0000-0000F5A40000}"/>
    <cellStyle name="Walutowy 2 13" xfId="42216" xr:uid="{00000000-0005-0000-0000-0000F6A40000}"/>
    <cellStyle name="Walutowy 2 14" xfId="42217" xr:uid="{00000000-0005-0000-0000-0000F7A40000}"/>
    <cellStyle name="Walutowy 2 15" xfId="42218" xr:uid="{00000000-0005-0000-0000-0000F8A40000}"/>
    <cellStyle name="Walutowy 2 16" xfId="42219" xr:uid="{00000000-0005-0000-0000-0000F9A40000}"/>
    <cellStyle name="Walutowy 2 17" xfId="42220" xr:uid="{00000000-0005-0000-0000-0000FAA40000}"/>
    <cellStyle name="Walutowy 2 18" xfId="42221" xr:uid="{00000000-0005-0000-0000-0000FBA40000}"/>
    <cellStyle name="Walutowy 2 2" xfId="42222" xr:uid="{00000000-0005-0000-0000-0000FCA40000}"/>
    <cellStyle name="Walutowy 2 2 2" xfId="42223" xr:uid="{00000000-0005-0000-0000-0000FDA40000}"/>
    <cellStyle name="Walutowy 2 2 3" xfId="42224" xr:uid="{00000000-0005-0000-0000-0000FEA40000}"/>
    <cellStyle name="Walutowy 2 2 4" xfId="42225" xr:uid="{00000000-0005-0000-0000-0000FFA40000}"/>
    <cellStyle name="Walutowy 2 2 5" xfId="42226" xr:uid="{00000000-0005-0000-0000-000000A50000}"/>
    <cellStyle name="Walutowy 2 2 6" xfId="42227" xr:uid="{00000000-0005-0000-0000-000001A50000}"/>
    <cellStyle name="Walutowy 2 2 7" xfId="42228" xr:uid="{00000000-0005-0000-0000-000002A50000}"/>
    <cellStyle name="Walutowy 2 3" xfId="42229" xr:uid="{00000000-0005-0000-0000-000003A50000}"/>
    <cellStyle name="Walutowy 2 3 2" xfId="42230" xr:uid="{00000000-0005-0000-0000-000004A50000}"/>
    <cellStyle name="Walutowy 2 3 3" xfId="42231" xr:uid="{00000000-0005-0000-0000-000005A50000}"/>
    <cellStyle name="Walutowy 2 3 4" xfId="42232" xr:uid="{00000000-0005-0000-0000-000006A50000}"/>
    <cellStyle name="Walutowy 2 4" xfId="42233" xr:uid="{00000000-0005-0000-0000-000007A50000}"/>
    <cellStyle name="Walutowy 2 5" xfId="42234" xr:uid="{00000000-0005-0000-0000-000008A50000}"/>
    <cellStyle name="Walutowy 2 6" xfId="42235" xr:uid="{00000000-0005-0000-0000-000009A50000}"/>
    <cellStyle name="Walutowy 2 7" xfId="42236" xr:uid="{00000000-0005-0000-0000-00000AA50000}"/>
    <cellStyle name="Walutowy 2 8" xfId="42237" xr:uid="{00000000-0005-0000-0000-00000BA50000}"/>
    <cellStyle name="Walutowy 2 9" xfId="42238" xr:uid="{00000000-0005-0000-0000-00000CA50000}"/>
    <cellStyle name="Walutowy 3" xfId="42239" xr:uid="{00000000-0005-0000-0000-00000DA50000}"/>
    <cellStyle name="Walutowy 3 10" xfId="42240" xr:uid="{00000000-0005-0000-0000-00000EA50000}"/>
    <cellStyle name="Walutowy 3 11" xfId="42241" xr:uid="{00000000-0005-0000-0000-00000FA50000}"/>
    <cellStyle name="Walutowy 3 12" xfId="42242" xr:uid="{00000000-0005-0000-0000-000010A50000}"/>
    <cellStyle name="Walutowy 3 13" xfId="42243" xr:uid="{00000000-0005-0000-0000-000011A50000}"/>
    <cellStyle name="Walutowy 3 14" xfId="42244" xr:uid="{00000000-0005-0000-0000-000012A50000}"/>
    <cellStyle name="Walutowy 3 15" xfId="42245" xr:uid="{00000000-0005-0000-0000-000013A50000}"/>
    <cellStyle name="Walutowy 3 16" xfId="42246" xr:uid="{00000000-0005-0000-0000-000014A50000}"/>
    <cellStyle name="Walutowy 3 17" xfId="42247" xr:uid="{00000000-0005-0000-0000-000015A50000}"/>
    <cellStyle name="Walutowy 3 18" xfId="42248" xr:uid="{00000000-0005-0000-0000-000016A50000}"/>
    <cellStyle name="Walutowy 3 19" xfId="42249" xr:uid="{00000000-0005-0000-0000-000017A50000}"/>
    <cellStyle name="Walutowy 3 2" xfId="42250" xr:uid="{00000000-0005-0000-0000-000018A50000}"/>
    <cellStyle name="Walutowy 3 20" xfId="42251" xr:uid="{00000000-0005-0000-0000-000019A50000}"/>
    <cellStyle name="Walutowy 3 3" xfId="42252" xr:uid="{00000000-0005-0000-0000-00001AA50000}"/>
    <cellStyle name="Walutowy 3 4" xfId="42253" xr:uid="{00000000-0005-0000-0000-00001BA50000}"/>
    <cellStyle name="Walutowy 3 5" xfId="42254" xr:uid="{00000000-0005-0000-0000-00001CA50000}"/>
    <cellStyle name="Walutowy 3 6" xfId="42255" xr:uid="{00000000-0005-0000-0000-00001DA50000}"/>
    <cellStyle name="Walutowy 3 7" xfId="42256" xr:uid="{00000000-0005-0000-0000-00001EA50000}"/>
    <cellStyle name="Walutowy 3 8" xfId="42257" xr:uid="{00000000-0005-0000-0000-00001FA50000}"/>
    <cellStyle name="Walutowy 3 9" xfId="42258" xr:uid="{00000000-0005-0000-0000-000020A50000}"/>
    <cellStyle name="Walutowy 4" xfId="42259" xr:uid="{00000000-0005-0000-0000-000021A50000}"/>
    <cellStyle name="Walutowy 5" xfId="42260" xr:uid="{00000000-0005-0000-0000-000022A50000}"/>
    <cellStyle name="Złe 2" xfId="42261" xr:uid="{00000000-0005-0000-0000-000023A50000}"/>
    <cellStyle name="Złe 2 10" xfId="42262" xr:uid="{00000000-0005-0000-0000-000024A50000}"/>
    <cellStyle name="Złe 2 10 10" xfId="42263" xr:uid="{00000000-0005-0000-0000-000025A50000}"/>
    <cellStyle name="Złe 2 10 11" xfId="42264" xr:uid="{00000000-0005-0000-0000-000026A50000}"/>
    <cellStyle name="Złe 2 10 12" xfId="42265" xr:uid="{00000000-0005-0000-0000-000027A50000}"/>
    <cellStyle name="Złe 2 10 13" xfId="42266" xr:uid="{00000000-0005-0000-0000-000028A50000}"/>
    <cellStyle name="Złe 2 10 14" xfId="42267" xr:uid="{00000000-0005-0000-0000-000029A50000}"/>
    <cellStyle name="Złe 2 10 15" xfId="42268" xr:uid="{00000000-0005-0000-0000-00002AA50000}"/>
    <cellStyle name="Złe 2 10 16" xfId="42269" xr:uid="{00000000-0005-0000-0000-00002BA50000}"/>
    <cellStyle name="Złe 2 10 17" xfId="42270" xr:uid="{00000000-0005-0000-0000-00002CA50000}"/>
    <cellStyle name="Złe 2 10 18" xfId="42271" xr:uid="{00000000-0005-0000-0000-00002DA50000}"/>
    <cellStyle name="Złe 2 10 19" xfId="42272" xr:uid="{00000000-0005-0000-0000-00002EA50000}"/>
    <cellStyle name="Złe 2 10 2" xfId="42273" xr:uid="{00000000-0005-0000-0000-00002FA50000}"/>
    <cellStyle name="Złe 2 10 3" xfId="42274" xr:uid="{00000000-0005-0000-0000-000030A50000}"/>
    <cellStyle name="Złe 2 10 4" xfId="42275" xr:uid="{00000000-0005-0000-0000-000031A50000}"/>
    <cellStyle name="Złe 2 10 5" xfId="42276" xr:uid="{00000000-0005-0000-0000-000032A50000}"/>
    <cellStyle name="Złe 2 10 6" xfId="42277" xr:uid="{00000000-0005-0000-0000-000033A50000}"/>
    <cellStyle name="Złe 2 10 7" xfId="42278" xr:uid="{00000000-0005-0000-0000-000034A50000}"/>
    <cellStyle name="Złe 2 10 8" xfId="42279" xr:uid="{00000000-0005-0000-0000-000035A50000}"/>
    <cellStyle name="Złe 2 10 9" xfId="42280" xr:uid="{00000000-0005-0000-0000-000036A50000}"/>
    <cellStyle name="Złe 2 11" xfId="42281" xr:uid="{00000000-0005-0000-0000-000037A50000}"/>
    <cellStyle name="Złe 2 11 10" xfId="42282" xr:uid="{00000000-0005-0000-0000-000038A50000}"/>
    <cellStyle name="Złe 2 11 11" xfId="42283" xr:uid="{00000000-0005-0000-0000-000039A50000}"/>
    <cellStyle name="Złe 2 11 12" xfId="42284" xr:uid="{00000000-0005-0000-0000-00003AA50000}"/>
    <cellStyle name="Złe 2 11 13" xfId="42285" xr:uid="{00000000-0005-0000-0000-00003BA50000}"/>
    <cellStyle name="Złe 2 11 14" xfId="42286" xr:uid="{00000000-0005-0000-0000-00003CA50000}"/>
    <cellStyle name="Złe 2 11 15" xfId="42287" xr:uid="{00000000-0005-0000-0000-00003DA50000}"/>
    <cellStyle name="Złe 2 11 16" xfId="42288" xr:uid="{00000000-0005-0000-0000-00003EA50000}"/>
    <cellStyle name="Złe 2 11 17" xfId="42289" xr:uid="{00000000-0005-0000-0000-00003FA50000}"/>
    <cellStyle name="Złe 2 11 18" xfId="42290" xr:uid="{00000000-0005-0000-0000-000040A50000}"/>
    <cellStyle name="Złe 2 11 19" xfId="42291" xr:uid="{00000000-0005-0000-0000-000041A50000}"/>
    <cellStyle name="Złe 2 11 2" xfId="42292" xr:uid="{00000000-0005-0000-0000-000042A50000}"/>
    <cellStyle name="Złe 2 11 3" xfId="42293" xr:uid="{00000000-0005-0000-0000-000043A50000}"/>
    <cellStyle name="Złe 2 11 4" xfId="42294" xr:uid="{00000000-0005-0000-0000-000044A50000}"/>
    <cellStyle name="Złe 2 11 5" xfId="42295" xr:uid="{00000000-0005-0000-0000-000045A50000}"/>
    <cellStyle name="Złe 2 11 6" xfId="42296" xr:uid="{00000000-0005-0000-0000-000046A50000}"/>
    <cellStyle name="Złe 2 11 7" xfId="42297" xr:uid="{00000000-0005-0000-0000-000047A50000}"/>
    <cellStyle name="Złe 2 11 8" xfId="42298" xr:uid="{00000000-0005-0000-0000-000048A50000}"/>
    <cellStyle name="Złe 2 11 9" xfId="42299" xr:uid="{00000000-0005-0000-0000-000049A50000}"/>
    <cellStyle name="Złe 2 12" xfId="42300" xr:uid="{00000000-0005-0000-0000-00004AA50000}"/>
    <cellStyle name="Złe 2 12 10" xfId="42301" xr:uid="{00000000-0005-0000-0000-00004BA50000}"/>
    <cellStyle name="Złe 2 12 11" xfId="42302" xr:uid="{00000000-0005-0000-0000-00004CA50000}"/>
    <cellStyle name="Złe 2 12 12" xfId="42303" xr:uid="{00000000-0005-0000-0000-00004DA50000}"/>
    <cellStyle name="Złe 2 12 13" xfId="42304" xr:uid="{00000000-0005-0000-0000-00004EA50000}"/>
    <cellStyle name="Złe 2 12 14" xfId="42305" xr:uid="{00000000-0005-0000-0000-00004FA50000}"/>
    <cellStyle name="Złe 2 12 15" xfId="42306" xr:uid="{00000000-0005-0000-0000-000050A50000}"/>
    <cellStyle name="Złe 2 12 16" xfId="42307" xr:uid="{00000000-0005-0000-0000-000051A50000}"/>
    <cellStyle name="Złe 2 12 17" xfId="42308" xr:uid="{00000000-0005-0000-0000-000052A50000}"/>
    <cellStyle name="Złe 2 12 18" xfId="42309" xr:uid="{00000000-0005-0000-0000-000053A50000}"/>
    <cellStyle name="Złe 2 12 19" xfId="42310" xr:uid="{00000000-0005-0000-0000-000054A50000}"/>
    <cellStyle name="Złe 2 12 2" xfId="42311" xr:uid="{00000000-0005-0000-0000-000055A50000}"/>
    <cellStyle name="Złe 2 12 3" xfId="42312" xr:uid="{00000000-0005-0000-0000-000056A50000}"/>
    <cellStyle name="Złe 2 12 4" xfId="42313" xr:uid="{00000000-0005-0000-0000-000057A50000}"/>
    <cellStyle name="Złe 2 12 5" xfId="42314" xr:uid="{00000000-0005-0000-0000-000058A50000}"/>
    <cellStyle name="Złe 2 12 6" xfId="42315" xr:uid="{00000000-0005-0000-0000-000059A50000}"/>
    <cellStyle name="Złe 2 12 7" xfId="42316" xr:uid="{00000000-0005-0000-0000-00005AA50000}"/>
    <cellStyle name="Złe 2 12 8" xfId="42317" xr:uid="{00000000-0005-0000-0000-00005BA50000}"/>
    <cellStyle name="Złe 2 12 9" xfId="42318" xr:uid="{00000000-0005-0000-0000-00005CA50000}"/>
    <cellStyle name="Złe 2 13" xfId="42319" xr:uid="{00000000-0005-0000-0000-00005DA50000}"/>
    <cellStyle name="Złe 2 13 10" xfId="42320" xr:uid="{00000000-0005-0000-0000-00005EA50000}"/>
    <cellStyle name="Złe 2 13 11" xfId="42321" xr:uid="{00000000-0005-0000-0000-00005FA50000}"/>
    <cellStyle name="Złe 2 13 12" xfId="42322" xr:uid="{00000000-0005-0000-0000-000060A50000}"/>
    <cellStyle name="Złe 2 13 13" xfId="42323" xr:uid="{00000000-0005-0000-0000-000061A50000}"/>
    <cellStyle name="Złe 2 13 14" xfId="42324" xr:uid="{00000000-0005-0000-0000-000062A50000}"/>
    <cellStyle name="Złe 2 13 15" xfId="42325" xr:uid="{00000000-0005-0000-0000-000063A50000}"/>
    <cellStyle name="Złe 2 13 16" xfId="42326" xr:uid="{00000000-0005-0000-0000-000064A50000}"/>
    <cellStyle name="Złe 2 13 17" xfId="42327" xr:uid="{00000000-0005-0000-0000-000065A50000}"/>
    <cellStyle name="Złe 2 13 18" xfId="42328" xr:uid="{00000000-0005-0000-0000-000066A50000}"/>
    <cellStyle name="Złe 2 13 19" xfId="42329" xr:uid="{00000000-0005-0000-0000-000067A50000}"/>
    <cellStyle name="Złe 2 13 2" xfId="42330" xr:uid="{00000000-0005-0000-0000-000068A50000}"/>
    <cellStyle name="Złe 2 13 3" xfId="42331" xr:uid="{00000000-0005-0000-0000-000069A50000}"/>
    <cellStyle name="Złe 2 13 4" xfId="42332" xr:uid="{00000000-0005-0000-0000-00006AA50000}"/>
    <cellStyle name="Złe 2 13 5" xfId="42333" xr:uid="{00000000-0005-0000-0000-00006BA50000}"/>
    <cellStyle name="Złe 2 13 6" xfId="42334" xr:uid="{00000000-0005-0000-0000-00006CA50000}"/>
    <cellStyle name="Złe 2 13 7" xfId="42335" xr:uid="{00000000-0005-0000-0000-00006DA50000}"/>
    <cellStyle name="Złe 2 13 8" xfId="42336" xr:uid="{00000000-0005-0000-0000-00006EA50000}"/>
    <cellStyle name="Złe 2 13 9" xfId="42337" xr:uid="{00000000-0005-0000-0000-00006FA50000}"/>
    <cellStyle name="Złe 2 14" xfId="42338" xr:uid="{00000000-0005-0000-0000-000070A50000}"/>
    <cellStyle name="Złe 2 14 10" xfId="42339" xr:uid="{00000000-0005-0000-0000-000071A50000}"/>
    <cellStyle name="Złe 2 14 11" xfId="42340" xr:uid="{00000000-0005-0000-0000-000072A50000}"/>
    <cellStyle name="Złe 2 14 12" xfId="42341" xr:uid="{00000000-0005-0000-0000-000073A50000}"/>
    <cellStyle name="Złe 2 14 13" xfId="42342" xr:uid="{00000000-0005-0000-0000-000074A50000}"/>
    <cellStyle name="Złe 2 14 14" xfId="42343" xr:uid="{00000000-0005-0000-0000-000075A50000}"/>
    <cellStyle name="Złe 2 14 15" xfId="42344" xr:uid="{00000000-0005-0000-0000-000076A50000}"/>
    <cellStyle name="Złe 2 14 16" xfId="42345" xr:uid="{00000000-0005-0000-0000-000077A50000}"/>
    <cellStyle name="Złe 2 14 17" xfId="42346" xr:uid="{00000000-0005-0000-0000-000078A50000}"/>
    <cellStyle name="Złe 2 14 18" xfId="42347" xr:uid="{00000000-0005-0000-0000-000079A50000}"/>
    <cellStyle name="Złe 2 14 19" xfId="42348" xr:uid="{00000000-0005-0000-0000-00007AA50000}"/>
    <cellStyle name="Złe 2 14 2" xfId="42349" xr:uid="{00000000-0005-0000-0000-00007BA50000}"/>
    <cellStyle name="Złe 2 14 3" xfId="42350" xr:uid="{00000000-0005-0000-0000-00007CA50000}"/>
    <cellStyle name="Złe 2 14 4" xfId="42351" xr:uid="{00000000-0005-0000-0000-00007DA50000}"/>
    <cellStyle name="Złe 2 14 5" xfId="42352" xr:uid="{00000000-0005-0000-0000-00007EA50000}"/>
    <cellStyle name="Złe 2 14 6" xfId="42353" xr:uid="{00000000-0005-0000-0000-00007FA50000}"/>
    <cellStyle name="Złe 2 14 7" xfId="42354" xr:uid="{00000000-0005-0000-0000-000080A50000}"/>
    <cellStyle name="Złe 2 14 8" xfId="42355" xr:uid="{00000000-0005-0000-0000-000081A50000}"/>
    <cellStyle name="Złe 2 14 9" xfId="42356" xr:uid="{00000000-0005-0000-0000-000082A50000}"/>
    <cellStyle name="Złe 2 15" xfId="42357" xr:uid="{00000000-0005-0000-0000-000083A50000}"/>
    <cellStyle name="Złe 2 15 10" xfId="42358" xr:uid="{00000000-0005-0000-0000-000084A50000}"/>
    <cellStyle name="Złe 2 15 11" xfId="42359" xr:uid="{00000000-0005-0000-0000-000085A50000}"/>
    <cellStyle name="Złe 2 15 12" xfId="42360" xr:uid="{00000000-0005-0000-0000-000086A50000}"/>
    <cellStyle name="Złe 2 15 13" xfId="42361" xr:uid="{00000000-0005-0000-0000-000087A50000}"/>
    <cellStyle name="Złe 2 15 14" xfId="42362" xr:uid="{00000000-0005-0000-0000-000088A50000}"/>
    <cellStyle name="Złe 2 15 15" xfId="42363" xr:uid="{00000000-0005-0000-0000-000089A50000}"/>
    <cellStyle name="Złe 2 15 16" xfId="42364" xr:uid="{00000000-0005-0000-0000-00008AA50000}"/>
    <cellStyle name="Złe 2 15 17" xfId="42365" xr:uid="{00000000-0005-0000-0000-00008BA50000}"/>
    <cellStyle name="Złe 2 15 18" xfId="42366" xr:uid="{00000000-0005-0000-0000-00008CA50000}"/>
    <cellStyle name="Złe 2 15 19" xfId="42367" xr:uid="{00000000-0005-0000-0000-00008DA50000}"/>
    <cellStyle name="Złe 2 15 2" xfId="42368" xr:uid="{00000000-0005-0000-0000-00008EA50000}"/>
    <cellStyle name="Złe 2 15 3" xfId="42369" xr:uid="{00000000-0005-0000-0000-00008FA50000}"/>
    <cellStyle name="Złe 2 15 4" xfId="42370" xr:uid="{00000000-0005-0000-0000-000090A50000}"/>
    <cellStyle name="Złe 2 15 5" xfId="42371" xr:uid="{00000000-0005-0000-0000-000091A50000}"/>
    <cellStyle name="Złe 2 15 6" xfId="42372" xr:uid="{00000000-0005-0000-0000-000092A50000}"/>
    <cellStyle name="Złe 2 15 7" xfId="42373" xr:uid="{00000000-0005-0000-0000-000093A50000}"/>
    <cellStyle name="Złe 2 15 8" xfId="42374" xr:uid="{00000000-0005-0000-0000-000094A50000}"/>
    <cellStyle name="Złe 2 15 9" xfId="42375" xr:uid="{00000000-0005-0000-0000-000095A50000}"/>
    <cellStyle name="Złe 2 16" xfId="42376" xr:uid="{00000000-0005-0000-0000-000096A50000}"/>
    <cellStyle name="Złe 2 16 10" xfId="42377" xr:uid="{00000000-0005-0000-0000-000097A50000}"/>
    <cellStyle name="Złe 2 16 11" xfId="42378" xr:uid="{00000000-0005-0000-0000-000098A50000}"/>
    <cellStyle name="Złe 2 16 12" xfId="42379" xr:uid="{00000000-0005-0000-0000-000099A50000}"/>
    <cellStyle name="Złe 2 16 13" xfId="42380" xr:uid="{00000000-0005-0000-0000-00009AA50000}"/>
    <cellStyle name="Złe 2 16 14" xfId="42381" xr:uid="{00000000-0005-0000-0000-00009BA50000}"/>
    <cellStyle name="Złe 2 16 15" xfId="42382" xr:uid="{00000000-0005-0000-0000-00009CA50000}"/>
    <cellStyle name="Złe 2 16 16" xfId="42383" xr:uid="{00000000-0005-0000-0000-00009DA50000}"/>
    <cellStyle name="Złe 2 16 17" xfId="42384" xr:uid="{00000000-0005-0000-0000-00009EA50000}"/>
    <cellStyle name="Złe 2 16 18" xfId="42385" xr:uid="{00000000-0005-0000-0000-00009FA50000}"/>
    <cellStyle name="Złe 2 16 19" xfId="42386" xr:uid="{00000000-0005-0000-0000-0000A0A50000}"/>
    <cellStyle name="Złe 2 16 2" xfId="42387" xr:uid="{00000000-0005-0000-0000-0000A1A50000}"/>
    <cellStyle name="Złe 2 16 3" xfId="42388" xr:uid="{00000000-0005-0000-0000-0000A2A50000}"/>
    <cellStyle name="Złe 2 16 4" xfId="42389" xr:uid="{00000000-0005-0000-0000-0000A3A50000}"/>
    <cellStyle name="Złe 2 16 5" xfId="42390" xr:uid="{00000000-0005-0000-0000-0000A4A50000}"/>
    <cellStyle name="Złe 2 16 6" xfId="42391" xr:uid="{00000000-0005-0000-0000-0000A5A50000}"/>
    <cellStyle name="Złe 2 16 7" xfId="42392" xr:uid="{00000000-0005-0000-0000-0000A6A50000}"/>
    <cellStyle name="Złe 2 16 8" xfId="42393" xr:uid="{00000000-0005-0000-0000-0000A7A50000}"/>
    <cellStyle name="Złe 2 16 9" xfId="42394" xr:uid="{00000000-0005-0000-0000-0000A8A50000}"/>
    <cellStyle name="Złe 2 17" xfId="42395" xr:uid="{00000000-0005-0000-0000-0000A9A50000}"/>
    <cellStyle name="Złe 2 17 10" xfId="42396" xr:uid="{00000000-0005-0000-0000-0000AAA50000}"/>
    <cellStyle name="Złe 2 17 11" xfId="42397" xr:uid="{00000000-0005-0000-0000-0000ABA50000}"/>
    <cellStyle name="Złe 2 17 12" xfId="42398" xr:uid="{00000000-0005-0000-0000-0000ACA50000}"/>
    <cellStyle name="Złe 2 17 13" xfId="42399" xr:uid="{00000000-0005-0000-0000-0000ADA50000}"/>
    <cellStyle name="Złe 2 17 14" xfId="42400" xr:uid="{00000000-0005-0000-0000-0000AEA50000}"/>
    <cellStyle name="Złe 2 17 15" xfId="42401" xr:uid="{00000000-0005-0000-0000-0000AFA50000}"/>
    <cellStyle name="Złe 2 17 16" xfId="42402" xr:uid="{00000000-0005-0000-0000-0000B0A50000}"/>
    <cellStyle name="Złe 2 17 17" xfId="42403" xr:uid="{00000000-0005-0000-0000-0000B1A50000}"/>
    <cellStyle name="Złe 2 17 18" xfId="42404" xr:uid="{00000000-0005-0000-0000-0000B2A50000}"/>
    <cellStyle name="Złe 2 17 19" xfId="42405" xr:uid="{00000000-0005-0000-0000-0000B3A50000}"/>
    <cellStyle name="Złe 2 17 2" xfId="42406" xr:uid="{00000000-0005-0000-0000-0000B4A50000}"/>
    <cellStyle name="Złe 2 17 3" xfId="42407" xr:uid="{00000000-0005-0000-0000-0000B5A50000}"/>
    <cellStyle name="Złe 2 17 4" xfId="42408" xr:uid="{00000000-0005-0000-0000-0000B6A50000}"/>
    <cellStyle name="Złe 2 17 5" xfId="42409" xr:uid="{00000000-0005-0000-0000-0000B7A50000}"/>
    <cellStyle name="Złe 2 17 6" xfId="42410" xr:uid="{00000000-0005-0000-0000-0000B8A50000}"/>
    <cellStyle name="Złe 2 17 7" xfId="42411" xr:uid="{00000000-0005-0000-0000-0000B9A50000}"/>
    <cellStyle name="Złe 2 17 8" xfId="42412" xr:uid="{00000000-0005-0000-0000-0000BAA50000}"/>
    <cellStyle name="Złe 2 17 9" xfId="42413" xr:uid="{00000000-0005-0000-0000-0000BBA50000}"/>
    <cellStyle name="Złe 2 18" xfId="42414" xr:uid="{00000000-0005-0000-0000-0000BCA50000}"/>
    <cellStyle name="Złe 2 18 10" xfId="42415" xr:uid="{00000000-0005-0000-0000-0000BDA50000}"/>
    <cellStyle name="Złe 2 18 11" xfId="42416" xr:uid="{00000000-0005-0000-0000-0000BEA50000}"/>
    <cellStyle name="Złe 2 18 12" xfId="42417" xr:uid="{00000000-0005-0000-0000-0000BFA50000}"/>
    <cellStyle name="Złe 2 18 13" xfId="42418" xr:uid="{00000000-0005-0000-0000-0000C0A50000}"/>
    <cellStyle name="Złe 2 18 14" xfId="42419" xr:uid="{00000000-0005-0000-0000-0000C1A50000}"/>
    <cellStyle name="Złe 2 18 15" xfId="42420" xr:uid="{00000000-0005-0000-0000-0000C2A50000}"/>
    <cellStyle name="Złe 2 18 16" xfId="42421" xr:uid="{00000000-0005-0000-0000-0000C3A50000}"/>
    <cellStyle name="Złe 2 18 17" xfId="42422" xr:uid="{00000000-0005-0000-0000-0000C4A50000}"/>
    <cellStyle name="Złe 2 18 18" xfId="42423" xr:uid="{00000000-0005-0000-0000-0000C5A50000}"/>
    <cellStyle name="Złe 2 18 19" xfId="42424" xr:uid="{00000000-0005-0000-0000-0000C6A50000}"/>
    <cellStyle name="Złe 2 18 2" xfId="42425" xr:uid="{00000000-0005-0000-0000-0000C7A50000}"/>
    <cellStyle name="Złe 2 18 3" xfId="42426" xr:uid="{00000000-0005-0000-0000-0000C8A50000}"/>
    <cellStyle name="Złe 2 18 4" xfId="42427" xr:uid="{00000000-0005-0000-0000-0000C9A50000}"/>
    <cellStyle name="Złe 2 18 5" xfId="42428" xr:uid="{00000000-0005-0000-0000-0000CAA50000}"/>
    <cellStyle name="Złe 2 18 6" xfId="42429" xr:uid="{00000000-0005-0000-0000-0000CBA50000}"/>
    <cellStyle name="Złe 2 18 7" xfId="42430" xr:uid="{00000000-0005-0000-0000-0000CCA50000}"/>
    <cellStyle name="Złe 2 18 8" xfId="42431" xr:uid="{00000000-0005-0000-0000-0000CDA50000}"/>
    <cellStyle name="Złe 2 18 9" xfId="42432" xr:uid="{00000000-0005-0000-0000-0000CEA50000}"/>
    <cellStyle name="Złe 2 19" xfId="42433" xr:uid="{00000000-0005-0000-0000-0000CFA50000}"/>
    <cellStyle name="Złe 2 19 10" xfId="42434" xr:uid="{00000000-0005-0000-0000-0000D0A50000}"/>
    <cellStyle name="Złe 2 19 11" xfId="42435" xr:uid="{00000000-0005-0000-0000-0000D1A50000}"/>
    <cellStyle name="Złe 2 19 12" xfId="42436" xr:uid="{00000000-0005-0000-0000-0000D2A50000}"/>
    <cellStyle name="Złe 2 19 13" xfId="42437" xr:uid="{00000000-0005-0000-0000-0000D3A50000}"/>
    <cellStyle name="Złe 2 19 14" xfId="42438" xr:uid="{00000000-0005-0000-0000-0000D4A50000}"/>
    <cellStyle name="Złe 2 19 15" xfId="42439" xr:uid="{00000000-0005-0000-0000-0000D5A50000}"/>
    <cellStyle name="Złe 2 19 16" xfId="42440" xr:uid="{00000000-0005-0000-0000-0000D6A50000}"/>
    <cellStyle name="Złe 2 19 17" xfId="42441" xr:uid="{00000000-0005-0000-0000-0000D7A50000}"/>
    <cellStyle name="Złe 2 19 18" xfId="42442" xr:uid="{00000000-0005-0000-0000-0000D8A50000}"/>
    <cellStyle name="Złe 2 19 19" xfId="42443" xr:uid="{00000000-0005-0000-0000-0000D9A50000}"/>
    <cellStyle name="Złe 2 19 2" xfId="42444" xr:uid="{00000000-0005-0000-0000-0000DAA50000}"/>
    <cellStyle name="Złe 2 19 3" xfId="42445" xr:uid="{00000000-0005-0000-0000-0000DBA50000}"/>
    <cellStyle name="Złe 2 19 4" xfId="42446" xr:uid="{00000000-0005-0000-0000-0000DCA50000}"/>
    <cellStyle name="Złe 2 19 5" xfId="42447" xr:uid="{00000000-0005-0000-0000-0000DDA50000}"/>
    <cellStyle name="Złe 2 19 6" xfId="42448" xr:uid="{00000000-0005-0000-0000-0000DEA50000}"/>
    <cellStyle name="Złe 2 19 7" xfId="42449" xr:uid="{00000000-0005-0000-0000-0000DFA50000}"/>
    <cellStyle name="Złe 2 19 8" xfId="42450" xr:uid="{00000000-0005-0000-0000-0000E0A50000}"/>
    <cellStyle name="Złe 2 19 9" xfId="42451" xr:uid="{00000000-0005-0000-0000-0000E1A50000}"/>
    <cellStyle name="Złe 2 2" xfId="42452" xr:uid="{00000000-0005-0000-0000-0000E2A50000}"/>
    <cellStyle name="Złe 2 2 10" xfId="42453" xr:uid="{00000000-0005-0000-0000-0000E3A50000}"/>
    <cellStyle name="Złe 2 2 11" xfId="42454" xr:uid="{00000000-0005-0000-0000-0000E4A50000}"/>
    <cellStyle name="Złe 2 2 12" xfId="42455" xr:uid="{00000000-0005-0000-0000-0000E5A50000}"/>
    <cellStyle name="Złe 2 2 13" xfId="42456" xr:uid="{00000000-0005-0000-0000-0000E6A50000}"/>
    <cellStyle name="Złe 2 2 14" xfId="42457" xr:uid="{00000000-0005-0000-0000-0000E7A50000}"/>
    <cellStyle name="Złe 2 2 15" xfId="42458" xr:uid="{00000000-0005-0000-0000-0000E8A50000}"/>
    <cellStyle name="Złe 2 2 16" xfId="42459" xr:uid="{00000000-0005-0000-0000-0000E9A50000}"/>
    <cellStyle name="Złe 2 2 17" xfId="42460" xr:uid="{00000000-0005-0000-0000-0000EAA50000}"/>
    <cellStyle name="Złe 2 2 18" xfId="42461" xr:uid="{00000000-0005-0000-0000-0000EBA50000}"/>
    <cellStyle name="Złe 2 2 19" xfId="42462" xr:uid="{00000000-0005-0000-0000-0000ECA50000}"/>
    <cellStyle name="Złe 2 2 2" xfId="42463" xr:uid="{00000000-0005-0000-0000-0000EDA50000}"/>
    <cellStyle name="Złe 2 2 20" xfId="42464" xr:uid="{00000000-0005-0000-0000-0000EEA50000}"/>
    <cellStyle name="Złe 2 2 3" xfId="42465" xr:uid="{00000000-0005-0000-0000-0000EFA50000}"/>
    <cellStyle name="Złe 2 2 4" xfId="42466" xr:uid="{00000000-0005-0000-0000-0000F0A50000}"/>
    <cellStyle name="Złe 2 2 5" xfId="42467" xr:uid="{00000000-0005-0000-0000-0000F1A50000}"/>
    <cellStyle name="Złe 2 2 6" xfId="42468" xr:uid="{00000000-0005-0000-0000-0000F2A50000}"/>
    <cellStyle name="Złe 2 2 7" xfId="42469" xr:uid="{00000000-0005-0000-0000-0000F3A50000}"/>
    <cellStyle name="Złe 2 2 8" xfId="42470" xr:uid="{00000000-0005-0000-0000-0000F4A50000}"/>
    <cellStyle name="Złe 2 2 9" xfId="42471" xr:uid="{00000000-0005-0000-0000-0000F5A50000}"/>
    <cellStyle name="Złe 2 20" xfId="42472" xr:uid="{00000000-0005-0000-0000-0000F6A50000}"/>
    <cellStyle name="Złe 2 20 10" xfId="42473" xr:uid="{00000000-0005-0000-0000-0000F7A50000}"/>
    <cellStyle name="Złe 2 20 11" xfId="42474" xr:uid="{00000000-0005-0000-0000-0000F8A50000}"/>
    <cellStyle name="Złe 2 20 12" xfId="42475" xr:uid="{00000000-0005-0000-0000-0000F9A50000}"/>
    <cellStyle name="Złe 2 20 13" xfId="42476" xr:uid="{00000000-0005-0000-0000-0000FAA50000}"/>
    <cellStyle name="Złe 2 20 14" xfId="42477" xr:uid="{00000000-0005-0000-0000-0000FBA50000}"/>
    <cellStyle name="Złe 2 20 15" xfId="42478" xr:uid="{00000000-0005-0000-0000-0000FCA50000}"/>
    <cellStyle name="Złe 2 20 16" xfId="42479" xr:uid="{00000000-0005-0000-0000-0000FDA50000}"/>
    <cellStyle name="Złe 2 20 17" xfId="42480" xr:uid="{00000000-0005-0000-0000-0000FEA50000}"/>
    <cellStyle name="Złe 2 20 18" xfId="42481" xr:uid="{00000000-0005-0000-0000-0000FFA50000}"/>
    <cellStyle name="Złe 2 20 19" xfId="42482" xr:uid="{00000000-0005-0000-0000-000000A60000}"/>
    <cellStyle name="Złe 2 20 2" xfId="42483" xr:uid="{00000000-0005-0000-0000-000001A60000}"/>
    <cellStyle name="Złe 2 20 3" xfId="42484" xr:uid="{00000000-0005-0000-0000-000002A60000}"/>
    <cellStyle name="Złe 2 20 4" xfId="42485" xr:uid="{00000000-0005-0000-0000-000003A60000}"/>
    <cellStyle name="Złe 2 20 5" xfId="42486" xr:uid="{00000000-0005-0000-0000-000004A60000}"/>
    <cellStyle name="Złe 2 20 6" xfId="42487" xr:uid="{00000000-0005-0000-0000-000005A60000}"/>
    <cellStyle name="Złe 2 20 7" xfId="42488" xr:uid="{00000000-0005-0000-0000-000006A60000}"/>
    <cellStyle name="Złe 2 20 8" xfId="42489" xr:uid="{00000000-0005-0000-0000-000007A60000}"/>
    <cellStyle name="Złe 2 20 9" xfId="42490" xr:uid="{00000000-0005-0000-0000-000008A60000}"/>
    <cellStyle name="Złe 2 21" xfId="42491" xr:uid="{00000000-0005-0000-0000-000009A60000}"/>
    <cellStyle name="Złe 2 21 10" xfId="42492" xr:uid="{00000000-0005-0000-0000-00000AA60000}"/>
    <cellStyle name="Złe 2 21 11" xfId="42493" xr:uid="{00000000-0005-0000-0000-00000BA60000}"/>
    <cellStyle name="Złe 2 21 12" xfId="42494" xr:uid="{00000000-0005-0000-0000-00000CA60000}"/>
    <cellStyle name="Złe 2 21 13" xfId="42495" xr:uid="{00000000-0005-0000-0000-00000DA60000}"/>
    <cellStyle name="Złe 2 21 14" xfId="42496" xr:uid="{00000000-0005-0000-0000-00000EA60000}"/>
    <cellStyle name="Złe 2 21 15" xfId="42497" xr:uid="{00000000-0005-0000-0000-00000FA60000}"/>
    <cellStyle name="Złe 2 21 16" xfId="42498" xr:uid="{00000000-0005-0000-0000-000010A60000}"/>
    <cellStyle name="Złe 2 21 17" xfId="42499" xr:uid="{00000000-0005-0000-0000-000011A60000}"/>
    <cellStyle name="Złe 2 21 18" xfId="42500" xr:uid="{00000000-0005-0000-0000-000012A60000}"/>
    <cellStyle name="Złe 2 21 19" xfId="42501" xr:uid="{00000000-0005-0000-0000-000013A60000}"/>
    <cellStyle name="Złe 2 21 2" xfId="42502" xr:uid="{00000000-0005-0000-0000-000014A60000}"/>
    <cellStyle name="Złe 2 21 3" xfId="42503" xr:uid="{00000000-0005-0000-0000-000015A60000}"/>
    <cellStyle name="Złe 2 21 4" xfId="42504" xr:uid="{00000000-0005-0000-0000-000016A60000}"/>
    <cellStyle name="Złe 2 21 5" xfId="42505" xr:uid="{00000000-0005-0000-0000-000017A60000}"/>
    <cellStyle name="Złe 2 21 6" xfId="42506" xr:uid="{00000000-0005-0000-0000-000018A60000}"/>
    <cellStyle name="Złe 2 21 7" xfId="42507" xr:uid="{00000000-0005-0000-0000-000019A60000}"/>
    <cellStyle name="Złe 2 21 8" xfId="42508" xr:uid="{00000000-0005-0000-0000-00001AA60000}"/>
    <cellStyle name="Złe 2 21 9" xfId="42509" xr:uid="{00000000-0005-0000-0000-00001BA60000}"/>
    <cellStyle name="Złe 2 22" xfId="42510" xr:uid="{00000000-0005-0000-0000-00001CA60000}"/>
    <cellStyle name="Złe 2 22 10" xfId="42511" xr:uid="{00000000-0005-0000-0000-00001DA60000}"/>
    <cellStyle name="Złe 2 22 11" xfId="42512" xr:uid="{00000000-0005-0000-0000-00001EA60000}"/>
    <cellStyle name="Złe 2 22 12" xfId="42513" xr:uid="{00000000-0005-0000-0000-00001FA60000}"/>
    <cellStyle name="Złe 2 22 13" xfId="42514" xr:uid="{00000000-0005-0000-0000-000020A60000}"/>
    <cellStyle name="Złe 2 22 14" xfId="42515" xr:uid="{00000000-0005-0000-0000-000021A60000}"/>
    <cellStyle name="Złe 2 22 15" xfId="42516" xr:uid="{00000000-0005-0000-0000-000022A60000}"/>
    <cellStyle name="Złe 2 22 16" xfId="42517" xr:uid="{00000000-0005-0000-0000-000023A60000}"/>
    <cellStyle name="Złe 2 22 17" xfId="42518" xr:uid="{00000000-0005-0000-0000-000024A60000}"/>
    <cellStyle name="Złe 2 22 18" xfId="42519" xr:uid="{00000000-0005-0000-0000-000025A60000}"/>
    <cellStyle name="Złe 2 22 19" xfId="42520" xr:uid="{00000000-0005-0000-0000-000026A60000}"/>
    <cellStyle name="Złe 2 22 2" xfId="42521" xr:uid="{00000000-0005-0000-0000-000027A60000}"/>
    <cellStyle name="Złe 2 22 3" xfId="42522" xr:uid="{00000000-0005-0000-0000-000028A60000}"/>
    <cellStyle name="Złe 2 22 4" xfId="42523" xr:uid="{00000000-0005-0000-0000-000029A60000}"/>
    <cellStyle name="Złe 2 22 5" xfId="42524" xr:uid="{00000000-0005-0000-0000-00002AA60000}"/>
    <cellStyle name="Złe 2 22 6" xfId="42525" xr:uid="{00000000-0005-0000-0000-00002BA60000}"/>
    <cellStyle name="Złe 2 22 7" xfId="42526" xr:uid="{00000000-0005-0000-0000-00002CA60000}"/>
    <cellStyle name="Złe 2 22 8" xfId="42527" xr:uid="{00000000-0005-0000-0000-00002DA60000}"/>
    <cellStyle name="Złe 2 22 9" xfId="42528" xr:uid="{00000000-0005-0000-0000-00002EA60000}"/>
    <cellStyle name="Złe 2 23" xfId="42529" xr:uid="{00000000-0005-0000-0000-00002FA60000}"/>
    <cellStyle name="Złe 2 23 10" xfId="42530" xr:uid="{00000000-0005-0000-0000-000030A60000}"/>
    <cellStyle name="Złe 2 23 11" xfId="42531" xr:uid="{00000000-0005-0000-0000-000031A60000}"/>
    <cellStyle name="Złe 2 23 12" xfId="42532" xr:uid="{00000000-0005-0000-0000-000032A60000}"/>
    <cellStyle name="Złe 2 23 13" xfId="42533" xr:uid="{00000000-0005-0000-0000-000033A60000}"/>
    <cellStyle name="Złe 2 23 14" xfId="42534" xr:uid="{00000000-0005-0000-0000-000034A60000}"/>
    <cellStyle name="Złe 2 23 15" xfId="42535" xr:uid="{00000000-0005-0000-0000-000035A60000}"/>
    <cellStyle name="Złe 2 23 16" xfId="42536" xr:uid="{00000000-0005-0000-0000-000036A60000}"/>
    <cellStyle name="Złe 2 23 17" xfId="42537" xr:uid="{00000000-0005-0000-0000-000037A60000}"/>
    <cellStyle name="Złe 2 23 18" xfId="42538" xr:uid="{00000000-0005-0000-0000-000038A60000}"/>
    <cellStyle name="Złe 2 23 19" xfId="42539" xr:uid="{00000000-0005-0000-0000-000039A60000}"/>
    <cellStyle name="Złe 2 23 2" xfId="42540" xr:uid="{00000000-0005-0000-0000-00003AA60000}"/>
    <cellStyle name="Złe 2 23 3" xfId="42541" xr:uid="{00000000-0005-0000-0000-00003BA60000}"/>
    <cellStyle name="Złe 2 23 4" xfId="42542" xr:uid="{00000000-0005-0000-0000-00003CA60000}"/>
    <cellStyle name="Złe 2 23 5" xfId="42543" xr:uid="{00000000-0005-0000-0000-00003DA60000}"/>
    <cellStyle name="Złe 2 23 6" xfId="42544" xr:uid="{00000000-0005-0000-0000-00003EA60000}"/>
    <cellStyle name="Złe 2 23 7" xfId="42545" xr:uid="{00000000-0005-0000-0000-00003FA60000}"/>
    <cellStyle name="Złe 2 23 8" xfId="42546" xr:uid="{00000000-0005-0000-0000-000040A60000}"/>
    <cellStyle name="Złe 2 23 9" xfId="42547" xr:uid="{00000000-0005-0000-0000-000041A60000}"/>
    <cellStyle name="Złe 2 24" xfId="42548" xr:uid="{00000000-0005-0000-0000-000042A60000}"/>
    <cellStyle name="Złe 2 24 10" xfId="42549" xr:uid="{00000000-0005-0000-0000-000043A60000}"/>
    <cellStyle name="Złe 2 24 11" xfId="42550" xr:uid="{00000000-0005-0000-0000-000044A60000}"/>
    <cellStyle name="Złe 2 24 12" xfId="42551" xr:uid="{00000000-0005-0000-0000-000045A60000}"/>
    <cellStyle name="Złe 2 24 13" xfId="42552" xr:uid="{00000000-0005-0000-0000-000046A60000}"/>
    <cellStyle name="Złe 2 24 14" xfId="42553" xr:uid="{00000000-0005-0000-0000-000047A60000}"/>
    <cellStyle name="Złe 2 24 15" xfId="42554" xr:uid="{00000000-0005-0000-0000-000048A60000}"/>
    <cellStyle name="Złe 2 24 16" xfId="42555" xr:uid="{00000000-0005-0000-0000-000049A60000}"/>
    <cellStyle name="Złe 2 24 17" xfId="42556" xr:uid="{00000000-0005-0000-0000-00004AA60000}"/>
    <cellStyle name="Złe 2 24 18" xfId="42557" xr:uid="{00000000-0005-0000-0000-00004BA60000}"/>
    <cellStyle name="Złe 2 24 19" xfId="42558" xr:uid="{00000000-0005-0000-0000-00004CA60000}"/>
    <cellStyle name="Złe 2 24 2" xfId="42559" xr:uid="{00000000-0005-0000-0000-00004DA60000}"/>
    <cellStyle name="Złe 2 24 3" xfId="42560" xr:uid="{00000000-0005-0000-0000-00004EA60000}"/>
    <cellStyle name="Złe 2 24 4" xfId="42561" xr:uid="{00000000-0005-0000-0000-00004FA60000}"/>
    <cellStyle name="Złe 2 24 5" xfId="42562" xr:uid="{00000000-0005-0000-0000-000050A60000}"/>
    <cellStyle name="Złe 2 24 6" xfId="42563" xr:uid="{00000000-0005-0000-0000-000051A60000}"/>
    <cellStyle name="Złe 2 24 7" xfId="42564" xr:uid="{00000000-0005-0000-0000-000052A60000}"/>
    <cellStyle name="Złe 2 24 8" xfId="42565" xr:uid="{00000000-0005-0000-0000-000053A60000}"/>
    <cellStyle name="Złe 2 24 9" xfId="42566" xr:uid="{00000000-0005-0000-0000-000054A60000}"/>
    <cellStyle name="Złe 2 25" xfId="42567" xr:uid="{00000000-0005-0000-0000-000055A60000}"/>
    <cellStyle name="Złe 2 25 10" xfId="42568" xr:uid="{00000000-0005-0000-0000-000056A60000}"/>
    <cellStyle name="Złe 2 25 11" xfId="42569" xr:uid="{00000000-0005-0000-0000-000057A60000}"/>
    <cellStyle name="Złe 2 25 12" xfId="42570" xr:uid="{00000000-0005-0000-0000-000058A60000}"/>
    <cellStyle name="Złe 2 25 13" xfId="42571" xr:uid="{00000000-0005-0000-0000-000059A60000}"/>
    <cellStyle name="Złe 2 25 14" xfId="42572" xr:uid="{00000000-0005-0000-0000-00005AA60000}"/>
    <cellStyle name="Złe 2 25 15" xfId="42573" xr:uid="{00000000-0005-0000-0000-00005BA60000}"/>
    <cellStyle name="Złe 2 25 16" xfId="42574" xr:uid="{00000000-0005-0000-0000-00005CA60000}"/>
    <cellStyle name="Złe 2 25 17" xfId="42575" xr:uid="{00000000-0005-0000-0000-00005DA60000}"/>
    <cellStyle name="Złe 2 25 18" xfId="42576" xr:uid="{00000000-0005-0000-0000-00005EA60000}"/>
    <cellStyle name="Złe 2 25 19" xfId="42577" xr:uid="{00000000-0005-0000-0000-00005FA60000}"/>
    <cellStyle name="Złe 2 25 2" xfId="42578" xr:uid="{00000000-0005-0000-0000-000060A60000}"/>
    <cellStyle name="Złe 2 25 3" xfId="42579" xr:uid="{00000000-0005-0000-0000-000061A60000}"/>
    <cellStyle name="Złe 2 25 4" xfId="42580" xr:uid="{00000000-0005-0000-0000-000062A60000}"/>
    <cellStyle name="Złe 2 25 5" xfId="42581" xr:uid="{00000000-0005-0000-0000-000063A60000}"/>
    <cellStyle name="Złe 2 25 6" xfId="42582" xr:uid="{00000000-0005-0000-0000-000064A60000}"/>
    <cellStyle name="Złe 2 25 7" xfId="42583" xr:uid="{00000000-0005-0000-0000-000065A60000}"/>
    <cellStyle name="Złe 2 25 8" xfId="42584" xr:uid="{00000000-0005-0000-0000-000066A60000}"/>
    <cellStyle name="Złe 2 25 9" xfId="42585" xr:uid="{00000000-0005-0000-0000-000067A60000}"/>
    <cellStyle name="Złe 2 26" xfId="42586" xr:uid="{00000000-0005-0000-0000-000068A60000}"/>
    <cellStyle name="Złe 2 26 10" xfId="42587" xr:uid="{00000000-0005-0000-0000-000069A60000}"/>
    <cellStyle name="Złe 2 26 11" xfId="42588" xr:uid="{00000000-0005-0000-0000-00006AA60000}"/>
    <cellStyle name="Złe 2 26 12" xfId="42589" xr:uid="{00000000-0005-0000-0000-00006BA60000}"/>
    <cellStyle name="Złe 2 26 13" xfId="42590" xr:uid="{00000000-0005-0000-0000-00006CA60000}"/>
    <cellStyle name="Złe 2 26 14" xfId="42591" xr:uid="{00000000-0005-0000-0000-00006DA60000}"/>
    <cellStyle name="Złe 2 26 15" xfId="42592" xr:uid="{00000000-0005-0000-0000-00006EA60000}"/>
    <cellStyle name="Złe 2 26 16" xfId="42593" xr:uid="{00000000-0005-0000-0000-00006FA60000}"/>
    <cellStyle name="Złe 2 26 17" xfId="42594" xr:uid="{00000000-0005-0000-0000-000070A60000}"/>
    <cellStyle name="Złe 2 26 18" xfId="42595" xr:uid="{00000000-0005-0000-0000-000071A60000}"/>
    <cellStyle name="Złe 2 26 19" xfId="42596" xr:uid="{00000000-0005-0000-0000-000072A60000}"/>
    <cellStyle name="Złe 2 26 2" xfId="42597" xr:uid="{00000000-0005-0000-0000-000073A60000}"/>
    <cellStyle name="Złe 2 26 3" xfId="42598" xr:uid="{00000000-0005-0000-0000-000074A60000}"/>
    <cellStyle name="Złe 2 26 4" xfId="42599" xr:uid="{00000000-0005-0000-0000-000075A60000}"/>
    <cellStyle name="Złe 2 26 5" xfId="42600" xr:uid="{00000000-0005-0000-0000-000076A60000}"/>
    <cellStyle name="Złe 2 26 6" xfId="42601" xr:uid="{00000000-0005-0000-0000-000077A60000}"/>
    <cellStyle name="Złe 2 26 7" xfId="42602" xr:uid="{00000000-0005-0000-0000-000078A60000}"/>
    <cellStyle name="Złe 2 26 8" xfId="42603" xr:uid="{00000000-0005-0000-0000-000079A60000}"/>
    <cellStyle name="Złe 2 26 9" xfId="42604" xr:uid="{00000000-0005-0000-0000-00007AA60000}"/>
    <cellStyle name="Złe 2 27" xfId="42605" xr:uid="{00000000-0005-0000-0000-00007BA60000}"/>
    <cellStyle name="Złe 2 27 10" xfId="42606" xr:uid="{00000000-0005-0000-0000-00007CA60000}"/>
    <cellStyle name="Złe 2 27 11" xfId="42607" xr:uid="{00000000-0005-0000-0000-00007DA60000}"/>
    <cellStyle name="Złe 2 27 12" xfId="42608" xr:uid="{00000000-0005-0000-0000-00007EA60000}"/>
    <cellStyle name="Złe 2 27 13" xfId="42609" xr:uid="{00000000-0005-0000-0000-00007FA60000}"/>
    <cellStyle name="Złe 2 27 14" xfId="42610" xr:uid="{00000000-0005-0000-0000-000080A60000}"/>
    <cellStyle name="Złe 2 27 15" xfId="42611" xr:uid="{00000000-0005-0000-0000-000081A60000}"/>
    <cellStyle name="Złe 2 27 16" xfId="42612" xr:uid="{00000000-0005-0000-0000-000082A60000}"/>
    <cellStyle name="Złe 2 27 17" xfId="42613" xr:uid="{00000000-0005-0000-0000-000083A60000}"/>
    <cellStyle name="Złe 2 27 18" xfId="42614" xr:uid="{00000000-0005-0000-0000-000084A60000}"/>
    <cellStyle name="Złe 2 27 19" xfId="42615" xr:uid="{00000000-0005-0000-0000-000085A60000}"/>
    <cellStyle name="Złe 2 27 2" xfId="42616" xr:uid="{00000000-0005-0000-0000-000086A60000}"/>
    <cellStyle name="Złe 2 27 3" xfId="42617" xr:uid="{00000000-0005-0000-0000-000087A60000}"/>
    <cellStyle name="Złe 2 27 4" xfId="42618" xr:uid="{00000000-0005-0000-0000-000088A60000}"/>
    <cellStyle name="Złe 2 27 5" xfId="42619" xr:uid="{00000000-0005-0000-0000-000089A60000}"/>
    <cellStyle name="Złe 2 27 6" xfId="42620" xr:uid="{00000000-0005-0000-0000-00008AA60000}"/>
    <cellStyle name="Złe 2 27 7" xfId="42621" xr:uid="{00000000-0005-0000-0000-00008BA60000}"/>
    <cellStyle name="Złe 2 27 8" xfId="42622" xr:uid="{00000000-0005-0000-0000-00008CA60000}"/>
    <cellStyle name="Złe 2 27 9" xfId="42623" xr:uid="{00000000-0005-0000-0000-00008DA60000}"/>
    <cellStyle name="Złe 2 28" xfId="42624" xr:uid="{00000000-0005-0000-0000-00008EA60000}"/>
    <cellStyle name="Złe 2 28 10" xfId="42625" xr:uid="{00000000-0005-0000-0000-00008FA60000}"/>
    <cellStyle name="Złe 2 28 11" xfId="42626" xr:uid="{00000000-0005-0000-0000-000090A60000}"/>
    <cellStyle name="Złe 2 28 12" xfId="42627" xr:uid="{00000000-0005-0000-0000-000091A60000}"/>
    <cellStyle name="Złe 2 28 13" xfId="42628" xr:uid="{00000000-0005-0000-0000-000092A60000}"/>
    <cellStyle name="Złe 2 28 14" xfId="42629" xr:uid="{00000000-0005-0000-0000-000093A60000}"/>
    <cellStyle name="Złe 2 28 15" xfId="42630" xr:uid="{00000000-0005-0000-0000-000094A60000}"/>
    <cellStyle name="Złe 2 28 16" xfId="42631" xr:uid="{00000000-0005-0000-0000-000095A60000}"/>
    <cellStyle name="Złe 2 28 17" xfId="42632" xr:uid="{00000000-0005-0000-0000-000096A60000}"/>
    <cellStyle name="Złe 2 28 18" xfId="42633" xr:uid="{00000000-0005-0000-0000-000097A60000}"/>
    <cellStyle name="Złe 2 28 19" xfId="42634" xr:uid="{00000000-0005-0000-0000-000098A60000}"/>
    <cellStyle name="Złe 2 28 2" xfId="42635" xr:uid="{00000000-0005-0000-0000-000099A60000}"/>
    <cellStyle name="Złe 2 28 3" xfId="42636" xr:uid="{00000000-0005-0000-0000-00009AA60000}"/>
    <cellStyle name="Złe 2 28 4" xfId="42637" xr:uid="{00000000-0005-0000-0000-00009BA60000}"/>
    <cellStyle name="Złe 2 28 5" xfId="42638" xr:uid="{00000000-0005-0000-0000-00009CA60000}"/>
    <cellStyle name="Złe 2 28 6" xfId="42639" xr:uid="{00000000-0005-0000-0000-00009DA60000}"/>
    <cellStyle name="Złe 2 28 7" xfId="42640" xr:uid="{00000000-0005-0000-0000-00009EA60000}"/>
    <cellStyle name="Złe 2 28 8" xfId="42641" xr:uid="{00000000-0005-0000-0000-00009FA60000}"/>
    <cellStyle name="Złe 2 28 9" xfId="42642" xr:uid="{00000000-0005-0000-0000-0000A0A60000}"/>
    <cellStyle name="Złe 2 29" xfId="42643" xr:uid="{00000000-0005-0000-0000-0000A1A60000}"/>
    <cellStyle name="Złe 2 29 2" xfId="42644" xr:uid="{00000000-0005-0000-0000-0000A2A60000}"/>
    <cellStyle name="Złe 2 3" xfId="42645" xr:uid="{00000000-0005-0000-0000-0000A3A60000}"/>
    <cellStyle name="Złe 2 3 10" xfId="42646" xr:uid="{00000000-0005-0000-0000-0000A4A60000}"/>
    <cellStyle name="Złe 2 3 11" xfId="42647" xr:uid="{00000000-0005-0000-0000-0000A5A60000}"/>
    <cellStyle name="Złe 2 3 12" xfId="42648" xr:uid="{00000000-0005-0000-0000-0000A6A60000}"/>
    <cellStyle name="Złe 2 3 13" xfId="42649" xr:uid="{00000000-0005-0000-0000-0000A7A60000}"/>
    <cellStyle name="Złe 2 3 14" xfId="42650" xr:uid="{00000000-0005-0000-0000-0000A8A60000}"/>
    <cellStyle name="Złe 2 3 15" xfId="42651" xr:uid="{00000000-0005-0000-0000-0000A9A60000}"/>
    <cellStyle name="Złe 2 3 16" xfId="42652" xr:uid="{00000000-0005-0000-0000-0000AAA60000}"/>
    <cellStyle name="Złe 2 3 17" xfId="42653" xr:uid="{00000000-0005-0000-0000-0000ABA60000}"/>
    <cellStyle name="Złe 2 3 18" xfId="42654" xr:uid="{00000000-0005-0000-0000-0000ACA60000}"/>
    <cellStyle name="Złe 2 3 19" xfId="42655" xr:uid="{00000000-0005-0000-0000-0000ADA60000}"/>
    <cellStyle name="Złe 2 3 2" xfId="42656" xr:uid="{00000000-0005-0000-0000-0000AEA60000}"/>
    <cellStyle name="Złe 2 3 3" xfId="42657" xr:uid="{00000000-0005-0000-0000-0000AFA60000}"/>
    <cellStyle name="Złe 2 3 4" xfId="42658" xr:uid="{00000000-0005-0000-0000-0000B0A60000}"/>
    <cellStyle name="Złe 2 3 5" xfId="42659" xr:uid="{00000000-0005-0000-0000-0000B1A60000}"/>
    <cellStyle name="Złe 2 3 6" xfId="42660" xr:uid="{00000000-0005-0000-0000-0000B2A60000}"/>
    <cellStyle name="Złe 2 3 7" xfId="42661" xr:uid="{00000000-0005-0000-0000-0000B3A60000}"/>
    <cellStyle name="Złe 2 3 8" xfId="42662" xr:uid="{00000000-0005-0000-0000-0000B4A60000}"/>
    <cellStyle name="Złe 2 3 9" xfId="42663" xr:uid="{00000000-0005-0000-0000-0000B5A60000}"/>
    <cellStyle name="Złe 2 30" xfId="42664" xr:uid="{00000000-0005-0000-0000-0000B6A60000}"/>
    <cellStyle name="Złe 2 30 2" xfId="42665" xr:uid="{00000000-0005-0000-0000-0000B7A60000}"/>
    <cellStyle name="Złe 2 31" xfId="42666" xr:uid="{00000000-0005-0000-0000-0000B8A60000}"/>
    <cellStyle name="Złe 2 31 2" xfId="42667" xr:uid="{00000000-0005-0000-0000-0000B9A60000}"/>
    <cellStyle name="Złe 2 32" xfId="42668" xr:uid="{00000000-0005-0000-0000-0000BAA60000}"/>
    <cellStyle name="Złe 2 32 2" xfId="42669" xr:uid="{00000000-0005-0000-0000-0000BBA60000}"/>
    <cellStyle name="Złe 2 33" xfId="42670" xr:uid="{00000000-0005-0000-0000-0000BCA60000}"/>
    <cellStyle name="Złe 2 34" xfId="42671" xr:uid="{00000000-0005-0000-0000-0000BDA60000}"/>
    <cellStyle name="Złe 2 35" xfId="42672" xr:uid="{00000000-0005-0000-0000-0000BEA60000}"/>
    <cellStyle name="Złe 2 36" xfId="42673" xr:uid="{00000000-0005-0000-0000-0000BFA60000}"/>
    <cellStyle name="Złe 2 37" xfId="42674" xr:uid="{00000000-0005-0000-0000-0000C0A60000}"/>
    <cellStyle name="Złe 2 38" xfId="42675" xr:uid="{00000000-0005-0000-0000-0000C1A60000}"/>
    <cellStyle name="Złe 2 39" xfId="42676" xr:uid="{00000000-0005-0000-0000-0000C2A60000}"/>
    <cellStyle name="Złe 2 4" xfId="42677" xr:uid="{00000000-0005-0000-0000-0000C3A60000}"/>
    <cellStyle name="Złe 2 4 10" xfId="42678" xr:uid="{00000000-0005-0000-0000-0000C4A60000}"/>
    <cellStyle name="Złe 2 4 11" xfId="42679" xr:uid="{00000000-0005-0000-0000-0000C5A60000}"/>
    <cellStyle name="Złe 2 4 12" xfId="42680" xr:uid="{00000000-0005-0000-0000-0000C6A60000}"/>
    <cellStyle name="Złe 2 4 13" xfId="42681" xr:uid="{00000000-0005-0000-0000-0000C7A60000}"/>
    <cellStyle name="Złe 2 4 14" xfId="42682" xr:uid="{00000000-0005-0000-0000-0000C8A60000}"/>
    <cellStyle name="Złe 2 4 15" xfId="42683" xr:uid="{00000000-0005-0000-0000-0000C9A60000}"/>
    <cellStyle name="Złe 2 4 16" xfId="42684" xr:uid="{00000000-0005-0000-0000-0000CAA60000}"/>
    <cellStyle name="Złe 2 4 17" xfId="42685" xr:uid="{00000000-0005-0000-0000-0000CBA60000}"/>
    <cellStyle name="Złe 2 4 18" xfId="42686" xr:uid="{00000000-0005-0000-0000-0000CCA60000}"/>
    <cellStyle name="Złe 2 4 19" xfId="42687" xr:uid="{00000000-0005-0000-0000-0000CDA60000}"/>
    <cellStyle name="Złe 2 4 2" xfId="42688" xr:uid="{00000000-0005-0000-0000-0000CEA60000}"/>
    <cellStyle name="Złe 2 4 3" xfId="42689" xr:uid="{00000000-0005-0000-0000-0000CFA60000}"/>
    <cellStyle name="Złe 2 4 4" xfId="42690" xr:uid="{00000000-0005-0000-0000-0000D0A60000}"/>
    <cellStyle name="Złe 2 4 5" xfId="42691" xr:uid="{00000000-0005-0000-0000-0000D1A60000}"/>
    <cellStyle name="Złe 2 4 6" xfId="42692" xr:uid="{00000000-0005-0000-0000-0000D2A60000}"/>
    <cellStyle name="Złe 2 4 7" xfId="42693" xr:uid="{00000000-0005-0000-0000-0000D3A60000}"/>
    <cellStyle name="Złe 2 4 8" xfId="42694" xr:uid="{00000000-0005-0000-0000-0000D4A60000}"/>
    <cellStyle name="Złe 2 4 9" xfId="42695" xr:uid="{00000000-0005-0000-0000-0000D5A60000}"/>
    <cellStyle name="Złe 2 40" xfId="42696" xr:uid="{00000000-0005-0000-0000-0000D6A60000}"/>
    <cellStyle name="Złe 2 41" xfId="42697" xr:uid="{00000000-0005-0000-0000-0000D7A60000}"/>
    <cellStyle name="Złe 2 42" xfId="42698" xr:uid="{00000000-0005-0000-0000-0000D8A60000}"/>
    <cellStyle name="Złe 2 43" xfId="42699" xr:uid="{00000000-0005-0000-0000-0000D9A60000}"/>
    <cellStyle name="Złe 2 44" xfId="42700" xr:uid="{00000000-0005-0000-0000-0000DAA60000}"/>
    <cellStyle name="Złe 2 45" xfId="42701" xr:uid="{00000000-0005-0000-0000-0000DBA60000}"/>
    <cellStyle name="Złe 2 46" xfId="42702" xr:uid="{00000000-0005-0000-0000-0000DCA60000}"/>
    <cellStyle name="Złe 2 47" xfId="42703" xr:uid="{00000000-0005-0000-0000-0000DDA60000}"/>
    <cellStyle name="Złe 2 48" xfId="42704" xr:uid="{00000000-0005-0000-0000-0000DEA60000}"/>
    <cellStyle name="Złe 2 49" xfId="42705" xr:uid="{00000000-0005-0000-0000-0000DFA60000}"/>
    <cellStyle name="Złe 2 5" xfId="42706" xr:uid="{00000000-0005-0000-0000-0000E0A60000}"/>
    <cellStyle name="Złe 2 5 10" xfId="42707" xr:uid="{00000000-0005-0000-0000-0000E1A60000}"/>
    <cellStyle name="Złe 2 5 11" xfId="42708" xr:uid="{00000000-0005-0000-0000-0000E2A60000}"/>
    <cellStyle name="Złe 2 5 12" xfId="42709" xr:uid="{00000000-0005-0000-0000-0000E3A60000}"/>
    <cellStyle name="Złe 2 5 13" xfId="42710" xr:uid="{00000000-0005-0000-0000-0000E4A60000}"/>
    <cellStyle name="Złe 2 5 14" xfId="42711" xr:uid="{00000000-0005-0000-0000-0000E5A60000}"/>
    <cellStyle name="Złe 2 5 15" xfId="42712" xr:uid="{00000000-0005-0000-0000-0000E6A60000}"/>
    <cellStyle name="Złe 2 5 16" xfId="42713" xr:uid="{00000000-0005-0000-0000-0000E7A60000}"/>
    <cellStyle name="Złe 2 5 17" xfId="42714" xr:uid="{00000000-0005-0000-0000-0000E8A60000}"/>
    <cellStyle name="Złe 2 5 18" xfId="42715" xr:uid="{00000000-0005-0000-0000-0000E9A60000}"/>
    <cellStyle name="Złe 2 5 19" xfId="42716" xr:uid="{00000000-0005-0000-0000-0000EAA60000}"/>
    <cellStyle name="Złe 2 5 2" xfId="42717" xr:uid="{00000000-0005-0000-0000-0000EBA60000}"/>
    <cellStyle name="Złe 2 5 3" xfId="42718" xr:uid="{00000000-0005-0000-0000-0000ECA60000}"/>
    <cellStyle name="Złe 2 5 4" xfId="42719" xr:uid="{00000000-0005-0000-0000-0000EDA60000}"/>
    <cellStyle name="Złe 2 5 5" xfId="42720" xr:uid="{00000000-0005-0000-0000-0000EEA60000}"/>
    <cellStyle name="Złe 2 5 6" xfId="42721" xr:uid="{00000000-0005-0000-0000-0000EFA60000}"/>
    <cellStyle name="Złe 2 5 7" xfId="42722" xr:uid="{00000000-0005-0000-0000-0000F0A60000}"/>
    <cellStyle name="Złe 2 5 8" xfId="42723" xr:uid="{00000000-0005-0000-0000-0000F1A60000}"/>
    <cellStyle name="Złe 2 5 9" xfId="42724" xr:uid="{00000000-0005-0000-0000-0000F2A60000}"/>
    <cellStyle name="Złe 2 50" xfId="42725" xr:uid="{00000000-0005-0000-0000-0000F3A60000}"/>
    <cellStyle name="Złe 2 51" xfId="42726" xr:uid="{00000000-0005-0000-0000-0000F4A60000}"/>
    <cellStyle name="Złe 2 52" xfId="42727" xr:uid="{00000000-0005-0000-0000-0000F5A60000}"/>
    <cellStyle name="Złe 2 53" xfId="42728" xr:uid="{00000000-0005-0000-0000-0000F6A60000}"/>
    <cellStyle name="Złe 2 54" xfId="42729" xr:uid="{00000000-0005-0000-0000-0000F7A60000}"/>
    <cellStyle name="Złe 2 6" xfId="42730" xr:uid="{00000000-0005-0000-0000-0000F8A60000}"/>
    <cellStyle name="Złe 2 6 10" xfId="42731" xr:uid="{00000000-0005-0000-0000-0000F9A60000}"/>
    <cellStyle name="Złe 2 6 11" xfId="42732" xr:uid="{00000000-0005-0000-0000-0000FAA60000}"/>
    <cellStyle name="Złe 2 6 12" xfId="42733" xr:uid="{00000000-0005-0000-0000-0000FBA60000}"/>
    <cellStyle name="Złe 2 6 13" xfId="42734" xr:uid="{00000000-0005-0000-0000-0000FCA60000}"/>
    <cellStyle name="Złe 2 6 14" xfId="42735" xr:uid="{00000000-0005-0000-0000-0000FDA60000}"/>
    <cellStyle name="Złe 2 6 15" xfId="42736" xr:uid="{00000000-0005-0000-0000-0000FEA60000}"/>
    <cellStyle name="Złe 2 6 16" xfId="42737" xr:uid="{00000000-0005-0000-0000-0000FFA60000}"/>
    <cellStyle name="Złe 2 6 17" xfId="42738" xr:uid="{00000000-0005-0000-0000-000000A70000}"/>
    <cellStyle name="Złe 2 6 18" xfId="42739" xr:uid="{00000000-0005-0000-0000-000001A70000}"/>
    <cellStyle name="Złe 2 6 19" xfId="42740" xr:uid="{00000000-0005-0000-0000-000002A70000}"/>
    <cellStyle name="Złe 2 6 2" xfId="42741" xr:uid="{00000000-0005-0000-0000-000003A70000}"/>
    <cellStyle name="Złe 2 6 3" xfId="42742" xr:uid="{00000000-0005-0000-0000-000004A70000}"/>
    <cellStyle name="Złe 2 6 4" xfId="42743" xr:uid="{00000000-0005-0000-0000-000005A70000}"/>
    <cellStyle name="Złe 2 6 5" xfId="42744" xr:uid="{00000000-0005-0000-0000-000006A70000}"/>
    <cellStyle name="Złe 2 6 6" xfId="42745" xr:uid="{00000000-0005-0000-0000-000007A70000}"/>
    <cellStyle name="Złe 2 6 7" xfId="42746" xr:uid="{00000000-0005-0000-0000-000008A70000}"/>
    <cellStyle name="Złe 2 6 8" xfId="42747" xr:uid="{00000000-0005-0000-0000-000009A70000}"/>
    <cellStyle name="Złe 2 6 9" xfId="42748" xr:uid="{00000000-0005-0000-0000-00000AA70000}"/>
    <cellStyle name="Złe 2 7" xfId="42749" xr:uid="{00000000-0005-0000-0000-00000BA70000}"/>
    <cellStyle name="Złe 2 7 10" xfId="42750" xr:uid="{00000000-0005-0000-0000-00000CA70000}"/>
    <cellStyle name="Złe 2 7 11" xfId="42751" xr:uid="{00000000-0005-0000-0000-00000DA70000}"/>
    <cellStyle name="Złe 2 7 12" xfId="42752" xr:uid="{00000000-0005-0000-0000-00000EA70000}"/>
    <cellStyle name="Złe 2 7 13" xfId="42753" xr:uid="{00000000-0005-0000-0000-00000FA70000}"/>
    <cellStyle name="Złe 2 7 14" xfId="42754" xr:uid="{00000000-0005-0000-0000-000010A70000}"/>
    <cellStyle name="Złe 2 7 15" xfId="42755" xr:uid="{00000000-0005-0000-0000-000011A70000}"/>
    <cellStyle name="Złe 2 7 16" xfId="42756" xr:uid="{00000000-0005-0000-0000-000012A70000}"/>
    <cellStyle name="Złe 2 7 17" xfId="42757" xr:uid="{00000000-0005-0000-0000-000013A70000}"/>
    <cellStyle name="Złe 2 7 18" xfId="42758" xr:uid="{00000000-0005-0000-0000-000014A70000}"/>
    <cellStyle name="Złe 2 7 19" xfId="42759" xr:uid="{00000000-0005-0000-0000-000015A70000}"/>
    <cellStyle name="Złe 2 7 2" xfId="42760" xr:uid="{00000000-0005-0000-0000-000016A70000}"/>
    <cellStyle name="Złe 2 7 3" xfId="42761" xr:uid="{00000000-0005-0000-0000-000017A70000}"/>
    <cellStyle name="Złe 2 7 4" xfId="42762" xr:uid="{00000000-0005-0000-0000-000018A70000}"/>
    <cellStyle name="Złe 2 7 5" xfId="42763" xr:uid="{00000000-0005-0000-0000-000019A70000}"/>
    <cellStyle name="Złe 2 7 6" xfId="42764" xr:uid="{00000000-0005-0000-0000-00001AA70000}"/>
    <cellStyle name="Złe 2 7 7" xfId="42765" xr:uid="{00000000-0005-0000-0000-00001BA70000}"/>
    <cellStyle name="Złe 2 7 8" xfId="42766" xr:uid="{00000000-0005-0000-0000-00001CA70000}"/>
    <cellStyle name="Złe 2 7 9" xfId="42767" xr:uid="{00000000-0005-0000-0000-00001DA70000}"/>
    <cellStyle name="Złe 2 8" xfId="42768" xr:uid="{00000000-0005-0000-0000-00001EA70000}"/>
    <cellStyle name="Złe 2 8 10" xfId="42769" xr:uid="{00000000-0005-0000-0000-00001FA70000}"/>
    <cellStyle name="Złe 2 8 11" xfId="42770" xr:uid="{00000000-0005-0000-0000-000020A70000}"/>
    <cellStyle name="Złe 2 8 12" xfId="42771" xr:uid="{00000000-0005-0000-0000-000021A70000}"/>
    <cellStyle name="Złe 2 8 13" xfId="42772" xr:uid="{00000000-0005-0000-0000-000022A70000}"/>
    <cellStyle name="Złe 2 8 14" xfId="42773" xr:uid="{00000000-0005-0000-0000-000023A70000}"/>
    <cellStyle name="Złe 2 8 15" xfId="42774" xr:uid="{00000000-0005-0000-0000-000024A70000}"/>
    <cellStyle name="Złe 2 8 16" xfId="42775" xr:uid="{00000000-0005-0000-0000-000025A70000}"/>
    <cellStyle name="Złe 2 8 17" xfId="42776" xr:uid="{00000000-0005-0000-0000-000026A70000}"/>
    <cellStyle name="Złe 2 8 18" xfId="42777" xr:uid="{00000000-0005-0000-0000-000027A70000}"/>
    <cellStyle name="Złe 2 8 19" xfId="42778" xr:uid="{00000000-0005-0000-0000-000028A70000}"/>
    <cellStyle name="Złe 2 8 2" xfId="42779" xr:uid="{00000000-0005-0000-0000-000029A70000}"/>
    <cellStyle name="Złe 2 8 3" xfId="42780" xr:uid="{00000000-0005-0000-0000-00002AA70000}"/>
    <cellStyle name="Złe 2 8 4" xfId="42781" xr:uid="{00000000-0005-0000-0000-00002BA70000}"/>
    <cellStyle name="Złe 2 8 5" xfId="42782" xr:uid="{00000000-0005-0000-0000-00002CA70000}"/>
    <cellStyle name="Złe 2 8 6" xfId="42783" xr:uid="{00000000-0005-0000-0000-00002DA70000}"/>
    <cellStyle name="Złe 2 8 7" xfId="42784" xr:uid="{00000000-0005-0000-0000-00002EA70000}"/>
    <cellStyle name="Złe 2 8 8" xfId="42785" xr:uid="{00000000-0005-0000-0000-00002FA70000}"/>
    <cellStyle name="Złe 2 8 9" xfId="42786" xr:uid="{00000000-0005-0000-0000-000030A70000}"/>
    <cellStyle name="Złe 2 9" xfId="42787" xr:uid="{00000000-0005-0000-0000-000031A70000}"/>
    <cellStyle name="Złe 2 9 10" xfId="42788" xr:uid="{00000000-0005-0000-0000-000032A70000}"/>
    <cellStyle name="Złe 2 9 11" xfId="42789" xr:uid="{00000000-0005-0000-0000-000033A70000}"/>
    <cellStyle name="Złe 2 9 12" xfId="42790" xr:uid="{00000000-0005-0000-0000-000034A70000}"/>
    <cellStyle name="Złe 2 9 13" xfId="42791" xr:uid="{00000000-0005-0000-0000-000035A70000}"/>
    <cellStyle name="Złe 2 9 14" xfId="42792" xr:uid="{00000000-0005-0000-0000-000036A70000}"/>
    <cellStyle name="Złe 2 9 15" xfId="42793" xr:uid="{00000000-0005-0000-0000-000037A70000}"/>
    <cellStyle name="Złe 2 9 16" xfId="42794" xr:uid="{00000000-0005-0000-0000-000038A70000}"/>
    <cellStyle name="Złe 2 9 17" xfId="42795" xr:uid="{00000000-0005-0000-0000-000039A70000}"/>
    <cellStyle name="Złe 2 9 18" xfId="42796" xr:uid="{00000000-0005-0000-0000-00003AA70000}"/>
    <cellStyle name="Złe 2 9 19" xfId="42797" xr:uid="{00000000-0005-0000-0000-00003BA70000}"/>
    <cellStyle name="Złe 2 9 2" xfId="42798" xr:uid="{00000000-0005-0000-0000-00003CA70000}"/>
    <cellStyle name="Złe 2 9 3" xfId="42799" xr:uid="{00000000-0005-0000-0000-00003DA70000}"/>
    <cellStyle name="Złe 2 9 4" xfId="42800" xr:uid="{00000000-0005-0000-0000-00003EA70000}"/>
    <cellStyle name="Złe 2 9 5" xfId="42801" xr:uid="{00000000-0005-0000-0000-00003FA70000}"/>
    <cellStyle name="Złe 2 9 6" xfId="42802" xr:uid="{00000000-0005-0000-0000-000040A70000}"/>
    <cellStyle name="Złe 2 9 7" xfId="42803" xr:uid="{00000000-0005-0000-0000-000041A70000}"/>
    <cellStyle name="Złe 2 9 8" xfId="42804" xr:uid="{00000000-0005-0000-0000-000042A70000}"/>
    <cellStyle name="Złe 2 9 9" xfId="42805" xr:uid="{00000000-0005-0000-0000-000043A70000}"/>
    <cellStyle name="Złe 3" xfId="42806" xr:uid="{00000000-0005-0000-0000-000044A70000}"/>
    <cellStyle name="Złe 3 10" xfId="42807" xr:uid="{00000000-0005-0000-0000-000045A70000}"/>
    <cellStyle name="Złe 3 11" xfId="42808" xr:uid="{00000000-0005-0000-0000-000046A70000}"/>
    <cellStyle name="Złe 3 12" xfId="42809" xr:uid="{00000000-0005-0000-0000-000047A70000}"/>
    <cellStyle name="Złe 3 13" xfId="42810" xr:uid="{00000000-0005-0000-0000-000048A70000}"/>
    <cellStyle name="Złe 3 14" xfId="42811" xr:uid="{00000000-0005-0000-0000-000049A70000}"/>
    <cellStyle name="Złe 3 15" xfId="42812" xr:uid="{00000000-0005-0000-0000-00004AA70000}"/>
    <cellStyle name="Złe 3 16" xfId="42813" xr:uid="{00000000-0005-0000-0000-00004BA70000}"/>
    <cellStyle name="Złe 3 17" xfId="42814" xr:uid="{00000000-0005-0000-0000-00004CA70000}"/>
    <cellStyle name="Złe 3 18" xfId="42815" xr:uid="{00000000-0005-0000-0000-00004DA70000}"/>
    <cellStyle name="Złe 3 19" xfId="42816" xr:uid="{00000000-0005-0000-0000-00004EA70000}"/>
    <cellStyle name="Złe 3 2" xfId="42817" xr:uid="{00000000-0005-0000-0000-00004FA70000}"/>
    <cellStyle name="Złe 3 2 2" xfId="42818" xr:uid="{00000000-0005-0000-0000-000050A70000}"/>
    <cellStyle name="Złe 3 20" xfId="42819" xr:uid="{00000000-0005-0000-0000-000051A70000}"/>
    <cellStyle name="Złe 3 21" xfId="42820" xr:uid="{00000000-0005-0000-0000-000052A70000}"/>
    <cellStyle name="Złe 3 22" xfId="42821" xr:uid="{00000000-0005-0000-0000-000053A70000}"/>
    <cellStyle name="Złe 3 23" xfId="42822" xr:uid="{00000000-0005-0000-0000-000054A70000}"/>
    <cellStyle name="Złe 3 3" xfId="42823" xr:uid="{00000000-0005-0000-0000-000055A70000}"/>
    <cellStyle name="Złe 3 4" xfId="42824" xr:uid="{00000000-0005-0000-0000-000056A70000}"/>
    <cellStyle name="Złe 3 5" xfId="42825" xr:uid="{00000000-0005-0000-0000-000057A70000}"/>
    <cellStyle name="Złe 3 6" xfId="42826" xr:uid="{00000000-0005-0000-0000-000058A70000}"/>
    <cellStyle name="Złe 3 7" xfId="42827" xr:uid="{00000000-0005-0000-0000-000059A70000}"/>
    <cellStyle name="Złe 3 8" xfId="42828" xr:uid="{00000000-0005-0000-0000-00005AA70000}"/>
    <cellStyle name="Złe 3 9" xfId="42829" xr:uid="{00000000-0005-0000-0000-00005BA70000}"/>
    <cellStyle name="Złe 4" xfId="42830" xr:uid="{00000000-0005-0000-0000-00005CA70000}"/>
    <cellStyle name="Złe 4 2" xfId="42831" xr:uid="{00000000-0005-0000-0000-00005DA70000}"/>
    <cellStyle name="Złe 4 3" xfId="42832" xr:uid="{00000000-0005-0000-0000-00005EA70000}"/>
    <cellStyle name="Złe 4 4" xfId="42833" xr:uid="{00000000-0005-0000-0000-00005FA70000}"/>
    <cellStyle name="Złe 4 5" xfId="42834" xr:uid="{00000000-0005-0000-0000-000060A70000}"/>
    <cellStyle name="Złe 4 6" xfId="42835" xr:uid="{00000000-0005-0000-0000-000061A70000}"/>
    <cellStyle name="Złe 4 7" xfId="42836" xr:uid="{00000000-0005-0000-0000-000062A70000}"/>
    <cellStyle name="Złe 4 8" xfId="42837" xr:uid="{00000000-0005-0000-0000-000063A70000}"/>
    <cellStyle name="Złe 4 9" xfId="42838" xr:uid="{00000000-0005-0000-0000-000064A70000}"/>
    <cellStyle name="Złe 5" xfId="42839" xr:uid="{00000000-0005-0000-0000-000065A70000}"/>
    <cellStyle name="Złe 5 2" xfId="42840" xr:uid="{00000000-0005-0000-0000-000066A70000}"/>
    <cellStyle name="Złe 5 3" xfId="42841" xr:uid="{00000000-0005-0000-0000-000067A70000}"/>
    <cellStyle name="Złe 6" xfId="42842" xr:uid="{00000000-0005-0000-0000-000068A70000}"/>
    <cellStyle name="Złe 6 2" xfId="42843" xr:uid="{00000000-0005-0000-0000-000069A70000}"/>
    <cellStyle name="Złe 7" xfId="42844" xr:uid="{00000000-0005-0000-0000-00006AA70000}"/>
  </cellStyles>
  <dxfs count="0"/>
  <tableStyles count="0" defaultTableStyle="TableStyleMedium9" defaultPivotStyle="PivotStyleLight16"/>
  <colors>
    <mruColors>
      <color rgb="FF03ACE5"/>
      <color rgb="FF1082BF"/>
      <color rgb="FFE7EEF5"/>
      <color rgb="FFE4EDF8"/>
      <color rgb="FF2E83BF"/>
      <color rgb="FFF7A8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1076325</xdr:colOff>
      <xdr:row>1</xdr:row>
      <xdr:rowOff>28575</xdr:rowOff>
    </xdr:to>
    <xdr:pic>
      <xdr:nvPicPr>
        <xdr:cNvPr id="3" name="Picture 12" descr="image00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0</xdr:row>
      <xdr:rowOff>1162050</xdr:rowOff>
    </xdr:to>
    <xdr:pic>
      <xdr:nvPicPr>
        <xdr:cNvPr id="4" name="Picture 12" descr="image00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1076325</xdr:colOff>
      <xdr:row>1</xdr:row>
      <xdr:rowOff>28575</xdr:rowOff>
    </xdr:to>
    <xdr:pic>
      <xdr:nvPicPr>
        <xdr:cNvPr id="2" name="Picture 12" descr="image0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drawing" Target="../drawings/drawing9.xml"/><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drawing" Target="../drawings/drawing4.x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C67"/>
  <sheetViews>
    <sheetView showGridLines="0" tabSelected="1" zoomScale="80" zoomScaleNormal="80" zoomScaleSheetLayoutView="85" workbookViewId="0">
      <pane xSplit="1" ySplit="4" topLeftCell="BS5" activePane="bottomRight" state="frozen"/>
      <selection pane="topRight" activeCell="B1" sqref="B1"/>
      <selection pane="bottomLeft" activeCell="A5" sqref="A5"/>
      <selection pane="bottomRight" activeCell="CF9" sqref="CF9"/>
    </sheetView>
  </sheetViews>
  <sheetFormatPr defaultColWidth="9" defaultRowHeight="28.5" customHeight="1" outlineLevelCol="1"/>
  <cols>
    <col min="1" max="2" width="41.58203125" style="5" customWidth="1"/>
    <col min="3" max="8" width="9" style="4" hidden="1" customWidth="1" outlineLevel="1"/>
    <col min="9" max="9" width="9" style="58" hidden="1" customWidth="1" outlineLevel="1"/>
    <col min="10" max="10" width="9" style="4" hidden="1" customWidth="1" outlineLevel="1"/>
    <col min="11" max="13" width="10.08203125" style="4" hidden="1" customWidth="1" outlineLevel="1"/>
    <col min="14" max="16" width="9.08203125" style="4" hidden="1" customWidth="1" outlineLevel="1"/>
    <col min="17" max="24" width="10.08203125" style="4" hidden="1" customWidth="1" outlineLevel="1"/>
    <col min="25" max="25" width="10.08203125" style="39" hidden="1" customWidth="1" outlineLevel="1"/>
    <col min="26" max="29" width="10.08203125" style="4" hidden="1" customWidth="1" outlineLevel="1"/>
    <col min="30" max="30" width="10.08203125" style="39" hidden="1" customWidth="1" outlineLevel="1"/>
    <col min="31" max="32" width="10.08203125" style="4" hidden="1" customWidth="1" outlineLevel="1"/>
    <col min="33" max="33" width="10.08203125" style="4" hidden="1" customWidth="1" outlineLevel="1" collapsed="1"/>
    <col min="34" max="34" width="10.08203125" style="4" hidden="1" customWidth="1" outlineLevel="1"/>
    <col min="35" max="35" width="10.08203125" style="39" hidden="1" customWidth="1" outlineLevel="1"/>
    <col min="36" max="36" width="10.08203125" style="4" hidden="1" customWidth="1" outlineLevel="1"/>
    <col min="37" max="37" width="10.08203125" style="91" hidden="1" customWidth="1" outlineLevel="1"/>
    <col min="38" max="38" width="4" hidden="1" customWidth="1" outlineLevel="1"/>
    <col min="39" max="40" width="10.08203125" style="4" hidden="1" customWidth="1" outlineLevel="1"/>
    <col min="41" max="41" width="10.08203125" style="39" hidden="1" customWidth="1" outlineLevel="1"/>
    <col min="42" max="45" width="10.08203125" style="4" hidden="1" customWidth="1" outlineLevel="1"/>
    <col min="46" max="46" width="10.08203125" style="39" hidden="1" customWidth="1" outlineLevel="1"/>
    <col min="47" max="50" width="10.08203125" style="4" hidden="1" customWidth="1" outlineLevel="1"/>
    <col min="51" max="51" width="10.08203125" style="39" hidden="1" customWidth="1" outlineLevel="1"/>
    <col min="52" max="55" width="10.08203125" style="4" hidden="1" customWidth="1" outlineLevel="1"/>
    <col min="56" max="56" width="10.08203125" style="39" hidden="1" customWidth="1" outlineLevel="1"/>
    <col min="57" max="57" width="10.08203125" style="4" hidden="1" customWidth="1" outlineLevel="1"/>
    <col min="58" max="58" width="10.08203125" style="637" hidden="1" customWidth="1" outlineLevel="1"/>
    <col min="59" max="60" width="10.08203125" style="4" hidden="1" customWidth="1" outlineLevel="1"/>
    <col min="61" max="61" width="10.08203125" style="39" hidden="1" customWidth="1" outlineLevel="1"/>
    <col min="62" max="62" width="10.08203125" style="4" hidden="1" customWidth="1" outlineLevel="1"/>
    <col min="63" max="63" width="10.08203125" style="631" hidden="1" customWidth="1" outlineLevel="1"/>
    <col min="64" max="65" width="10.08203125" style="4" hidden="1" customWidth="1" outlineLevel="1"/>
    <col min="66" max="66" width="10.08203125" style="39" hidden="1" customWidth="1" outlineLevel="1"/>
    <col min="67" max="67" width="10.08203125" style="4" hidden="1" customWidth="1" outlineLevel="1"/>
    <col min="68" max="68" width="10.08203125" style="631" hidden="1" customWidth="1" outlineLevel="1"/>
    <col min="69" max="69" width="10.08203125" style="4" customWidth="1" collapsed="1"/>
    <col min="70" max="70" width="10.08203125" style="4" customWidth="1"/>
    <col min="71" max="71" width="10.08203125" style="39" customWidth="1"/>
    <col min="72" max="72" width="10.08203125" style="4" customWidth="1"/>
    <col min="73" max="16384" width="9" style="5"/>
  </cols>
  <sheetData>
    <row r="1" spans="1:92" s="7" customFormat="1" ht="89.25" customHeight="1">
      <c r="A1" s="176"/>
      <c r="B1" s="3"/>
      <c r="C1" s="6"/>
      <c r="D1" s="6"/>
      <c r="E1" s="6"/>
      <c r="F1" s="6"/>
      <c r="G1" s="6"/>
      <c r="H1" s="6"/>
      <c r="I1" s="47"/>
      <c r="J1" s="6"/>
      <c r="K1" s="6"/>
      <c r="L1" s="6"/>
      <c r="M1" s="6"/>
      <c r="N1" s="6"/>
      <c r="O1" s="6"/>
      <c r="P1" s="6"/>
      <c r="Q1" s="6"/>
      <c r="R1" s="6"/>
      <c r="S1" s="6"/>
      <c r="T1" s="6"/>
      <c r="U1" s="48"/>
      <c r="V1" s="48"/>
      <c r="W1" s="48"/>
      <c r="X1" s="48"/>
      <c r="Y1" s="782"/>
      <c r="Z1" s="48"/>
      <c r="AA1" s="48"/>
      <c r="AB1" s="48"/>
      <c r="AC1" s="48"/>
      <c r="AD1" s="782"/>
      <c r="AE1" s="48"/>
      <c r="AF1" s="48"/>
      <c r="AG1" s="48"/>
      <c r="AH1" s="49"/>
      <c r="AI1" s="782"/>
      <c r="AJ1" s="48"/>
      <c r="AK1" s="88"/>
      <c r="AM1" s="48"/>
      <c r="AN1" s="48"/>
      <c r="AO1" s="782"/>
      <c r="AP1" s="48"/>
      <c r="AQ1" s="48"/>
      <c r="AR1" s="48"/>
      <c r="AS1" s="48"/>
      <c r="AT1" s="782"/>
      <c r="AU1" s="48"/>
      <c r="AV1" s="48"/>
      <c r="AW1" s="48"/>
      <c r="AX1" s="48"/>
      <c r="AY1" s="782"/>
      <c r="AZ1" s="48"/>
      <c r="BA1" s="48"/>
      <c r="BB1" s="48"/>
      <c r="BC1" s="48"/>
      <c r="BD1" s="782"/>
      <c r="BE1" s="48"/>
      <c r="BF1" s="632"/>
      <c r="BG1" s="48"/>
      <c r="BH1" s="48"/>
      <c r="BI1" s="782"/>
      <c r="BJ1" s="48"/>
      <c r="BK1" s="627"/>
      <c r="BL1" s="48"/>
      <c r="BM1" s="48"/>
      <c r="BN1" s="782"/>
      <c r="BO1" s="654"/>
      <c r="BP1" s="627"/>
      <c r="BQ1" s="48"/>
      <c r="BR1" s="48"/>
      <c r="BS1" s="782"/>
      <c r="BT1" s="654"/>
    </row>
    <row r="2" spans="1:92" s="413" customFormat="1" ht="32.15" customHeight="1">
      <c r="A2" s="449" t="s">
        <v>0</v>
      </c>
      <c r="B2" s="843" t="s">
        <v>1</v>
      </c>
      <c r="C2" s="954">
        <v>2012</v>
      </c>
      <c r="D2" s="954"/>
      <c r="E2" s="954"/>
      <c r="F2" s="954"/>
      <c r="G2" s="955"/>
      <c r="H2" s="954">
        <v>2013</v>
      </c>
      <c r="I2" s="954"/>
      <c r="J2" s="954"/>
      <c r="K2" s="954"/>
      <c r="L2" s="955"/>
      <c r="M2" s="954">
        <v>2014</v>
      </c>
      <c r="N2" s="954"/>
      <c r="O2" s="954"/>
      <c r="P2" s="954"/>
      <c r="Q2" s="955"/>
      <c r="R2" s="954">
        <v>2015</v>
      </c>
      <c r="S2" s="954"/>
      <c r="T2" s="954"/>
      <c r="U2" s="954"/>
      <c r="V2" s="955"/>
      <c r="W2" s="954">
        <v>2016</v>
      </c>
      <c r="X2" s="954"/>
      <c r="Y2" s="954"/>
      <c r="Z2" s="954"/>
      <c r="AA2" s="955"/>
      <c r="AB2" s="954">
        <v>2017</v>
      </c>
      <c r="AC2" s="954"/>
      <c r="AD2" s="954"/>
      <c r="AE2" s="954"/>
      <c r="AF2" s="955"/>
      <c r="AG2" s="954" t="s">
        <v>2</v>
      </c>
      <c r="AH2" s="954"/>
      <c r="AI2" s="954"/>
      <c r="AJ2" s="954"/>
      <c r="AK2" s="954"/>
      <c r="AL2" s="844"/>
      <c r="AM2" s="954" t="s">
        <v>3</v>
      </c>
      <c r="AN2" s="954"/>
      <c r="AO2" s="954"/>
      <c r="AP2" s="954"/>
      <c r="AQ2" s="955"/>
      <c r="AR2" s="954" t="s">
        <v>4</v>
      </c>
      <c r="AS2" s="954"/>
      <c r="AT2" s="954"/>
      <c r="AU2" s="954"/>
      <c r="AV2" s="955"/>
      <c r="AW2" s="954" t="s">
        <v>5</v>
      </c>
      <c r="AX2" s="954"/>
      <c r="AY2" s="954"/>
      <c r="AZ2" s="954"/>
      <c r="BA2" s="955"/>
      <c r="BB2" s="954" t="s">
        <v>6</v>
      </c>
      <c r="BC2" s="954"/>
      <c r="BD2" s="954"/>
      <c r="BE2" s="954"/>
      <c r="BF2" s="955"/>
      <c r="BG2" s="954" t="s">
        <v>7</v>
      </c>
      <c r="BH2" s="954"/>
      <c r="BI2" s="954"/>
      <c r="BJ2" s="954"/>
      <c r="BK2" s="955"/>
      <c r="BL2" s="954" t="s">
        <v>8</v>
      </c>
      <c r="BM2" s="954"/>
      <c r="BN2" s="954"/>
      <c r="BO2" s="954"/>
      <c r="BP2" s="955"/>
      <c r="BQ2" s="954" t="s">
        <v>9</v>
      </c>
      <c r="BR2" s="954"/>
      <c r="BS2" s="954"/>
      <c r="BT2" s="954"/>
      <c r="BU2" s="956"/>
      <c r="BV2" s="954" t="s">
        <v>10</v>
      </c>
      <c r="BW2" s="954"/>
      <c r="BX2" s="954"/>
      <c r="BY2" s="954"/>
      <c r="BZ2" s="955"/>
      <c r="CA2" s="954" t="s">
        <v>796</v>
      </c>
      <c r="CB2" s="954"/>
      <c r="CC2" s="954"/>
      <c r="CD2" s="954"/>
      <c r="CE2" s="955"/>
    </row>
    <row r="3" spans="1:92" s="413" customFormat="1" ht="32.15" customHeight="1">
      <c r="A3" s="384"/>
      <c r="B3" s="856"/>
      <c r="C3" s="954"/>
      <c r="D3" s="954"/>
      <c r="E3" s="954"/>
      <c r="F3" s="954"/>
      <c r="G3" s="955"/>
      <c r="H3" s="954"/>
      <c r="I3" s="954"/>
      <c r="J3" s="954"/>
      <c r="K3" s="954"/>
      <c r="L3" s="955"/>
      <c r="M3" s="954"/>
      <c r="N3" s="954"/>
      <c r="O3" s="954"/>
      <c r="P3" s="954"/>
      <c r="Q3" s="955"/>
      <c r="R3" s="954"/>
      <c r="S3" s="954"/>
      <c r="T3" s="954"/>
      <c r="U3" s="954"/>
      <c r="V3" s="955"/>
      <c r="W3" s="954"/>
      <c r="X3" s="954"/>
      <c r="Y3" s="954"/>
      <c r="Z3" s="954"/>
      <c r="AA3" s="955"/>
      <c r="AB3" s="954"/>
      <c r="AC3" s="954"/>
      <c r="AD3" s="954"/>
      <c r="AE3" s="954"/>
      <c r="AF3" s="955"/>
      <c r="AG3" s="954" t="s">
        <v>11</v>
      </c>
      <c r="AH3" s="954"/>
      <c r="AI3" s="954"/>
      <c r="AJ3" s="954"/>
      <c r="AK3" s="954"/>
      <c r="AL3" s="844"/>
      <c r="AM3" s="954" t="s">
        <v>12</v>
      </c>
      <c r="AN3" s="954"/>
      <c r="AO3" s="954"/>
      <c r="AP3" s="954"/>
      <c r="AQ3" s="955"/>
      <c r="AR3" s="954" t="s">
        <v>13</v>
      </c>
      <c r="AS3" s="954"/>
      <c r="AT3" s="954"/>
      <c r="AU3" s="954"/>
      <c r="AV3" s="955"/>
      <c r="AW3" s="954" t="s">
        <v>14</v>
      </c>
      <c r="AX3" s="954"/>
      <c r="AY3" s="954"/>
      <c r="AZ3" s="954"/>
      <c r="BA3" s="955"/>
      <c r="BB3" s="954" t="s">
        <v>15</v>
      </c>
      <c r="BC3" s="954"/>
      <c r="BD3" s="954"/>
      <c r="BE3" s="954"/>
      <c r="BF3" s="955"/>
      <c r="BG3" s="954" t="s">
        <v>16</v>
      </c>
      <c r="BH3" s="954"/>
      <c r="BI3" s="954"/>
      <c r="BJ3" s="954"/>
      <c r="BK3" s="955"/>
      <c r="BL3" s="954" t="s">
        <v>17</v>
      </c>
      <c r="BM3" s="954"/>
      <c r="BN3" s="954"/>
      <c r="BO3" s="954"/>
      <c r="BP3" s="955"/>
      <c r="BQ3" s="954" t="s">
        <v>18</v>
      </c>
      <c r="BR3" s="954"/>
      <c r="BS3" s="954"/>
      <c r="BT3" s="954"/>
      <c r="BU3" s="956"/>
      <c r="BV3" s="954" t="s">
        <v>19</v>
      </c>
      <c r="BW3" s="954"/>
      <c r="BX3" s="954"/>
      <c r="BY3" s="954"/>
      <c r="BZ3" s="955"/>
      <c r="CA3" s="954" t="s">
        <v>797</v>
      </c>
      <c r="CB3" s="954"/>
      <c r="CC3" s="954"/>
      <c r="CD3" s="954"/>
      <c r="CE3" s="955"/>
    </row>
    <row r="4" spans="1:92" s="418" customFormat="1" ht="16.5" customHeight="1">
      <c r="A4" s="857" t="s">
        <v>20</v>
      </c>
      <c r="B4" s="857" t="s">
        <v>20</v>
      </c>
      <c r="C4" s="386" t="s">
        <v>21</v>
      </c>
      <c r="D4" s="386" t="s">
        <v>22</v>
      </c>
      <c r="E4" s="386" t="s">
        <v>23</v>
      </c>
      <c r="F4" s="386" t="s">
        <v>24</v>
      </c>
      <c r="G4" s="839">
        <v>2012</v>
      </c>
      <c r="H4" s="386" t="s">
        <v>21</v>
      </c>
      <c r="I4" s="386" t="s">
        <v>22</v>
      </c>
      <c r="J4" s="386" t="s">
        <v>23</v>
      </c>
      <c r="K4" s="386" t="s">
        <v>24</v>
      </c>
      <c r="L4" s="839">
        <v>2013</v>
      </c>
      <c r="M4" s="386" t="s">
        <v>21</v>
      </c>
      <c r="N4" s="386" t="s">
        <v>22</v>
      </c>
      <c r="O4" s="386" t="s">
        <v>23</v>
      </c>
      <c r="P4" s="386" t="s">
        <v>24</v>
      </c>
      <c r="Q4" s="839">
        <v>2014</v>
      </c>
      <c r="R4" s="386" t="s">
        <v>21</v>
      </c>
      <c r="S4" s="386" t="s">
        <v>22</v>
      </c>
      <c r="T4" s="386" t="s">
        <v>23</v>
      </c>
      <c r="U4" s="386" t="s">
        <v>24</v>
      </c>
      <c r="V4" s="839">
        <v>2015</v>
      </c>
      <c r="W4" s="386" t="s">
        <v>25</v>
      </c>
      <c r="X4" s="386" t="s">
        <v>22</v>
      </c>
      <c r="Y4" s="387" t="s">
        <v>23</v>
      </c>
      <c r="Z4" s="386" t="s">
        <v>24</v>
      </c>
      <c r="AA4" s="839" t="s">
        <v>26</v>
      </c>
      <c r="AB4" s="386" t="s">
        <v>21</v>
      </c>
      <c r="AC4" s="386" t="s">
        <v>22</v>
      </c>
      <c r="AD4" s="387" t="s">
        <v>23</v>
      </c>
      <c r="AE4" s="386" t="s">
        <v>24</v>
      </c>
      <c r="AF4" s="839">
        <v>2017</v>
      </c>
      <c r="AG4" s="386" t="s">
        <v>21</v>
      </c>
      <c r="AH4" s="386" t="s">
        <v>22</v>
      </c>
      <c r="AI4" s="387" t="s">
        <v>23</v>
      </c>
      <c r="AJ4" s="386" t="s">
        <v>24</v>
      </c>
      <c r="AK4" s="839">
        <v>2018</v>
      </c>
      <c r="AL4" s="845"/>
      <c r="AM4" s="386" t="s">
        <v>21</v>
      </c>
      <c r="AN4" s="386" t="s">
        <v>22</v>
      </c>
      <c r="AO4" s="387" t="s">
        <v>23</v>
      </c>
      <c r="AP4" s="386" t="s">
        <v>24</v>
      </c>
      <c r="AQ4" s="839">
        <v>2018</v>
      </c>
      <c r="AR4" s="386" t="s">
        <v>21</v>
      </c>
      <c r="AS4" s="386" t="s">
        <v>22</v>
      </c>
      <c r="AT4" s="387" t="s">
        <v>23</v>
      </c>
      <c r="AU4" s="386" t="s">
        <v>24</v>
      </c>
      <c r="AV4" s="839" t="s">
        <v>27</v>
      </c>
      <c r="AW4" s="386" t="s">
        <v>21</v>
      </c>
      <c r="AX4" s="386" t="s">
        <v>22</v>
      </c>
      <c r="AY4" s="387" t="s">
        <v>23</v>
      </c>
      <c r="AZ4" s="386" t="s">
        <v>24</v>
      </c>
      <c r="BA4" s="839" t="s">
        <v>27</v>
      </c>
      <c r="BB4" s="386" t="s">
        <v>21</v>
      </c>
      <c r="BC4" s="386" t="s">
        <v>22</v>
      </c>
      <c r="BD4" s="387" t="s">
        <v>23</v>
      </c>
      <c r="BE4" s="386" t="s">
        <v>24</v>
      </c>
      <c r="BF4" s="839" t="s">
        <v>28</v>
      </c>
      <c r="BG4" s="386" t="s">
        <v>21</v>
      </c>
      <c r="BH4" s="386" t="s">
        <v>22</v>
      </c>
      <c r="BI4" s="387" t="s">
        <v>23</v>
      </c>
      <c r="BJ4" s="386" t="s">
        <v>24</v>
      </c>
      <c r="BK4" s="839" t="s">
        <v>29</v>
      </c>
      <c r="BL4" s="386" t="s">
        <v>21</v>
      </c>
      <c r="BM4" s="386" t="s">
        <v>22</v>
      </c>
      <c r="BN4" s="387" t="s">
        <v>23</v>
      </c>
      <c r="BO4" s="386" t="s">
        <v>24</v>
      </c>
      <c r="BP4" s="828" t="s">
        <v>30</v>
      </c>
      <c r="BQ4" s="840" t="s">
        <v>21</v>
      </c>
      <c r="BR4" s="840" t="s">
        <v>22</v>
      </c>
      <c r="BS4" s="841" t="s">
        <v>23</v>
      </c>
      <c r="BT4" s="840" t="s">
        <v>24</v>
      </c>
      <c r="BU4" s="842">
        <v>2023</v>
      </c>
      <c r="BV4" s="386" t="s">
        <v>21</v>
      </c>
      <c r="BW4" s="386" t="s">
        <v>22</v>
      </c>
      <c r="BX4" s="387" t="s">
        <v>23</v>
      </c>
      <c r="BY4" s="386" t="s">
        <v>24</v>
      </c>
      <c r="BZ4" s="829">
        <v>2024</v>
      </c>
      <c r="CA4" s="386" t="s">
        <v>21</v>
      </c>
      <c r="CB4" s="386" t="s">
        <v>22</v>
      </c>
      <c r="CC4" s="387" t="s">
        <v>23</v>
      </c>
      <c r="CD4" s="386" t="s">
        <v>24</v>
      </c>
      <c r="CE4" s="829">
        <v>2025</v>
      </c>
    </row>
    <row r="5" spans="1:92" s="378" customFormat="1" ht="34.5" customHeight="1">
      <c r="A5" s="858" t="s">
        <v>31</v>
      </c>
      <c r="B5" s="858" t="s">
        <v>32</v>
      </c>
      <c r="C5" s="656">
        <f t="shared" ref="C5:AK5" si="0">SUM(C6:C10)</f>
        <v>669.2</v>
      </c>
      <c r="D5" s="656">
        <f t="shared" si="0"/>
        <v>713.8</v>
      </c>
      <c r="E5" s="656">
        <f t="shared" si="0"/>
        <v>644.5</v>
      </c>
      <c r="F5" s="656">
        <f t="shared" si="0"/>
        <v>750.60000000000014</v>
      </c>
      <c r="G5" s="832">
        <f t="shared" si="0"/>
        <v>2778.0999999999995</v>
      </c>
      <c r="H5" s="656">
        <f t="shared" si="0"/>
        <v>697.1</v>
      </c>
      <c r="I5" s="656">
        <f t="shared" si="0"/>
        <v>735.9</v>
      </c>
      <c r="J5" s="656">
        <f t="shared" si="0"/>
        <v>677.3</v>
      </c>
      <c r="K5" s="656">
        <f t="shared" si="0"/>
        <v>800.5</v>
      </c>
      <c r="L5" s="832">
        <f t="shared" si="0"/>
        <v>2910.8</v>
      </c>
      <c r="M5" s="656">
        <f t="shared" si="0"/>
        <v>723.29999999999984</v>
      </c>
      <c r="N5" s="656">
        <f t="shared" si="0"/>
        <v>1745.9</v>
      </c>
      <c r="O5" s="656">
        <f t="shared" si="0"/>
        <v>2419.6</v>
      </c>
      <c r="P5" s="656">
        <f t="shared" si="0"/>
        <v>2521.1000000000004</v>
      </c>
      <c r="Q5" s="832">
        <f t="shared" si="0"/>
        <v>7409.9</v>
      </c>
      <c r="R5" s="656">
        <f t="shared" si="0"/>
        <v>2329</v>
      </c>
      <c r="S5" s="656">
        <f t="shared" si="0"/>
        <v>2469.1999999999998</v>
      </c>
      <c r="T5" s="656">
        <f t="shared" si="0"/>
        <v>2414.8999999999996</v>
      </c>
      <c r="U5" s="656">
        <f t="shared" si="0"/>
        <v>2609.9</v>
      </c>
      <c r="V5" s="832">
        <f t="shared" si="0"/>
        <v>9823</v>
      </c>
      <c r="W5" s="656">
        <f t="shared" si="0"/>
        <v>2364</v>
      </c>
      <c r="X5" s="656">
        <f t="shared" si="0"/>
        <v>2442.9</v>
      </c>
      <c r="Y5" s="657">
        <f t="shared" si="0"/>
        <v>2387.8000000000002</v>
      </c>
      <c r="Z5" s="657">
        <f t="shared" si="0"/>
        <v>2535.1</v>
      </c>
      <c r="AA5" s="832">
        <f t="shared" si="0"/>
        <v>9729.7999999999993</v>
      </c>
      <c r="AB5" s="656">
        <f t="shared" si="0"/>
        <v>2388.6</v>
      </c>
      <c r="AC5" s="656">
        <f t="shared" si="0"/>
        <v>2469.9</v>
      </c>
      <c r="AD5" s="656">
        <f t="shared" si="0"/>
        <v>2390.9</v>
      </c>
      <c r="AE5" s="656">
        <f t="shared" si="0"/>
        <v>2579.1999999999998</v>
      </c>
      <c r="AF5" s="832">
        <f t="shared" si="0"/>
        <v>9828.6</v>
      </c>
      <c r="AG5" s="656">
        <f t="shared" si="0"/>
        <v>2360.6999999999998</v>
      </c>
      <c r="AH5" s="656">
        <f t="shared" si="0"/>
        <v>2476.9</v>
      </c>
      <c r="AI5" s="656">
        <f t="shared" si="0"/>
        <v>2435.4</v>
      </c>
      <c r="AJ5" s="658">
        <f t="shared" si="0"/>
        <v>2682</v>
      </c>
      <c r="AK5" s="832">
        <f t="shared" si="0"/>
        <v>9955</v>
      </c>
      <c r="AL5" s="846"/>
      <c r="AM5" s="656">
        <f t="shared" ref="AM5:BR5" si="1">SUM(AM6:AM10)</f>
        <v>2345.9</v>
      </c>
      <c r="AN5" s="656">
        <f t="shared" si="1"/>
        <v>2603.1999999999998</v>
      </c>
      <c r="AO5" s="656">
        <f t="shared" si="1"/>
        <v>2735</v>
      </c>
      <c r="AP5" s="658">
        <f t="shared" si="1"/>
        <v>3002</v>
      </c>
      <c r="AQ5" s="832">
        <f t="shared" si="1"/>
        <v>10686.100000000002</v>
      </c>
      <c r="AR5" s="656">
        <f t="shared" si="1"/>
        <v>2782.4</v>
      </c>
      <c r="AS5" s="656">
        <f t="shared" si="1"/>
        <v>2913</v>
      </c>
      <c r="AT5" s="656">
        <f t="shared" si="1"/>
        <v>2882.3</v>
      </c>
      <c r="AU5" s="656">
        <f t="shared" si="1"/>
        <v>3059.0000000000005</v>
      </c>
      <c r="AV5" s="832">
        <f t="shared" si="1"/>
        <v>11636.7</v>
      </c>
      <c r="AW5" s="656">
        <f t="shared" si="1"/>
        <v>2791.6</v>
      </c>
      <c r="AX5" s="656">
        <f t="shared" si="1"/>
        <v>2923</v>
      </c>
      <c r="AY5" s="656">
        <f t="shared" si="1"/>
        <v>2892.4</v>
      </c>
      <c r="AZ5" s="656">
        <f t="shared" si="1"/>
        <v>3069.1000000000004</v>
      </c>
      <c r="BA5" s="832">
        <f t="shared" si="1"/>
        <v>11676.1</v>
      </c>
      <c r="BB5" s="656">
        <f t="shared" si="1"/>
        <v>2848.4999999999995</v>
      </c>
      <c r="BC5" s="656">
        <f t="shared" si="1"/>
        <v>2862.7000000000003</v>
      </c>
      <c r="BD5" s="656">
        <f t="shared" si="1"/>
        <v>3003.5</v>
      </c>
      <c r="BE5" s="656">
        <f t="shared" si="1"/>
        <v>3248.2000000000003</v>
      </c>
      <c r="BF5" s="832">
        <f t="shared" si="1"/>
        <v>11962.9</v>
      </c>
      <c r="BG5" s="656">
        <f t="shared" si="1"/>
        <v>2987.4</v>
      </c>
      <c r="BH5" s="656">
        <f t="shared" si="1"/>
        <v>3159.7000000000003</v>
      </c>
      <c r="BI5" s="656">
        <f t="shared" si="1"/>
        <v>3031.9</v>
      </c>
      <c r="BJ5" s="656">
        <f t="shared" si="1"/>
        <v>3265</v>
      </c>
      <c r="BK5" s="832">
        <f t="shared" si="1"/>
        <v>12443.999999999998</v>
      </c>
      <c r="BL5" s="656">
        <f t="shared" si="1"/>
        <v>2986.7000000000003</v>
      </c>
      <c r="BM5" s="656">
        <f t="shared" si="1"/>
        <v>3228.1</v>
      </c>
      <c r="BN5" s="656">
        <f>SUM(BN6:BN10)</f>
        <v>3270.9000000000005</v>
      </c>
      <c r="BO5" s="656">
        <f t="shared" si="1"/>
        <v>3429.5999999999995</v>
      </c>
      <c r="BP5" s="832">
        <f t="shared" si="1"/>
        <v>12915.3</v>
      </c>
      <c r="BQ5" s="656">
        <f t="shared" si="1"/>
        <v>3199.3</v>
      </c>
      <c r="BR5" s="656">
        <f t="shared" si="1"/>
        <v>3289.8</v>
      </c>
      <c r="BS5" s="656">
        <f>SUM(BS6:BS10)</f>
        <v>3455.7</v>
      </c>
      <c r="BT5" s="656">
        <f>SUM(BT6:BT10)</f>
        <v>3681.4999999999995</v>
      </c>
      <c r="BU5" s="832">
        <f>SUM(BU6:BU10)</f>
        <v>13626.300000000001</v>
      </c>
      <c r="BV5" s="656">
        <f t="shared" ref="BV5:BY5" si="2">SUM(BV6:BV10)</f>
        <v>3404.9986297200007</v>
      </c>
      <c r="BW5" s="707">
        <f t="shared" si="2"/>
        <v>3454.3000000000006</v>
      </c>
      <c r="BX5" s="707">
        <f t="shared" si="2"/>
        <v>3579.4999999999995</v>
      </c>
      <c r="BY5" s="656">
        <f t="shared" si="2"/>
        <v>3827.1</v>
      </c>
      <c r="BZ5" s="832">
        <f>SUM(BZ6:BZ10)</f>
        <v>14265.898629720001</v>
      </c>
      <c r="CA5" s="656">
        <f t="shared" ref="CA5" si="3">SUM(CA6:CA10)</f>
        <v>3530.2000000000003</v>
      </c>
      <c r="CB5" s="707"/>
      <c r="CC5" s="707"/>
      <c r="CD5" s="656"/>
      <c r="CE5" s="832">
        <f>SUM(CE6:CE10)</f>
        <v>3530.2000000000003</v>
      </c>
      <c r="CG5" s="951"/>
      <c r="CH5" s="714"/>
    </row>
    <row r="6" spans="1:92" ht="30" customHeight="1">
      <c r="A6" s="868" t="s">
        <v>33</v>
      </c>
      <c r="B6" s="859" t="s">
        <v>34</v>
      </c>
      <c r="C6" s="654">
        <v>424</v>
      </c>
      <c r="D6" s="49">
        <v>427.1</v>
      </c>
      <c r="E6" s="49">
        <v>434.4</v>
      </c>
      <c r="F6" s="49">
        <v>446.6</v>
      </c>
      <c r="G6" s="835">
        <f>SUM(C6:F6)</f>
        <v>1732.1</v>
      </c>
      <c r="H6" s="654">
        <v>451.7</v>
      </c>
      <c r="I6" s="49">
        <v>452</v>
      </c>
      <c r="J6" s="49">
        <v>460.3</v>
      </c>
      <c r="K6" s="49">
        <v>466.1</v>
      </c>
      <c r="L6" s="835">
        <f>SUM(H6:K6)</f>
        <v>1830.1</v>
      </c>
      <c r="M6" s="654">
        <v>467.79999999999995</v>
      </c>
      <c r="N6" s="49">
        <v>1204.5</v>
      </c>
      <c r="O6" s="49">
        <v>1710.7</v>
      </c>
      <c r="P6" s="49">
        <v>1701.7</v>
      </c>
      <c r="Q6" s="835">
        <f>SUM(M6:P6)</f>
        <v>5084.7</v>
      </c>
      <c r="R6" s="654">
        <v>1637.2</v>
      </c>
      <c r="S6" s="49">
        <v>1652</v>
      </c>
      <c r="T6" s="49">
        <v>1643.3</v>
      </c>
      <c r="U6" s="652">
        <v>1620.6</v>
      </c>
      <c r="V6" s="835">
        <v>6553.1</v>
      </c>
      <c r="W6" s="654">
        <v>1565.7</v>
      </c>
      <c r="X6" s="653">
        <v>1586.9</v>
      </c>
      <c r="Y6" s="654">
        <v>1583.7</v>
      </c>
      <c r="Z6" s="652">
        <v>1589</v>
      </c>
      <c r="AA6" s="835">
        <f>SUM(W6:Z6)</f>
        <v>6325.3</v>
      </c>
      <c r="AB6" s="654">
        <v>1542.7</v>
      </c>
      <c r="AC6" s="653">
        <v>1533.3</v>
      </c>
      <c r="AD6" s="654">
        <v>1494</v>
      </c>
      <c r="AE6" s="654">
        <v>1497.9</v>
      </c>
      <c r="AF6" s="835">
        <f>SUM(AB6:AE6)</f>
        <v>6067.9</v>
      </c>
      <c r="AG6" s="654">
        <v>1470.2</v>
      </c>
      <c r="AH6" s="49">
        <v>1483.8</v>
      </c>
      <c r="AI6" s="49">
        <v>1481.7</v>
      </c>
      <c r="AJ6" s="654">
        <v>1484.8</v>
      </c>
      <c r="AK6" s="835">
        <f>SUM(AG6:AJ6)</f>
        <v>5920.5</v>
      </c>
      <c r="AL6" s="847"/>
      <c r="AM6" s="653">
        <v>1352.2</v>
      </c>
      <c r="AN6" s="49">
        <v>1482.1</v>
      </c>
      <c r="AO6" s="49">
        <v>1630.5</v>
      </c>
      <c r="AP6" s="654">
        <v>1627.8000000000002</v>
      </c>
      <c r="AQ6" s="835">
        <f>SUM(AM6:AP6)</f>
        <v>6092.6</v>
      </c>
      <c r="AR6" s="654">
        <v>1606</v>
      </c>
      <c r="AS6" s="49">
        <v>1616.1</v>
      </c>
      <c r="AT6" s="49">
        <v>1618.3</v>
      </c>
      <c r="AU6" s="654">
        <v>1618.4</v>
      </c>
      <c r="AV6" s="835">
        <f>SUM(AR6:AU6)</f>
        <v>6458.7999999999993</v>
      </c>
      <c r="AW6" s="654">
        <v>1606</v>
      </c>
      <c r="AX6" s="49">
        <v>1616.1</v>
      </c>
      <c r="AY6" s="49">
        <v>1618.3</v>
      </c>
      <c r="AZ6" s="654">
        <v>1618.4</v>
      </c>
      <c r="BA6" s="835">
        <f>SUM(AW6:AZ6)</f>
        <v>6458.7999999999993</v>
      </c>
      <c r="BB6" s="654">
        <v>1604.5</v>
      </c>
      <c r="BC6" s="49">
        <v>1592</v>
      </c>
      <c r="BD6" s="49">
        <v>1623.8</v>
      </c>
      <c r="BE6" s="654">
        <v>1660.1</v>
      </c>
      <c r="BF6" s="835">
        <f>SUM(BB6:BE6)</f>
        <v>6480.4</v>
      </c>
      <c r="BG6" s="654">
        <v>1664.1</v>
      </c>
      <c r="BH6" s="49">
        <v>1664.8</v>
      </c>
      <c r="BI6" s="49">
        <v>1707.4</v>
      </c>
      <c r="BJ6" s="654">
        <v>1730.7</v>
      </c>
      <c r="BK6" s="835">
        <f>SUM(BG6:BJ6)</f>
        <v>6766.9999999999991</v>
      </c>
      <c r="BL6" s="654">
        <v>1722.2</v>
      </c>
      <c r="BM6" s="49">
        <v>1725.8</v>
      </c>
      <c r="BN6" s="49">
        <v>1753.3000000000002</v>
      </c>
      <c r="BO6" s="654">
        <f>6952.1-BN6-BM6-BL6</f>
        <v>1750.8</v>
      </c>
      <c r="BP6" s="835">
        <f>SUM(BL6:BO6)</f>
        <v>6952.1</v>
      </c>
      <c r="BQ6" s="724">
        <v>1733.8</v>
      </c>
      <c r="BR6" s="725">
        <v>1734.8</v>
      </c>
      <c r="BS6" s="49">
        <v>1754.8</v>
      </c>
      <c r="BT6" s="49">
        <v>1763.7</v>
      </c>
      <c r="BU6" s="835">
        <f>SUM(BQ6:BT6)</f>
        <v>6987.0999999999995</v>
      </c>
      <c r="BV6" s="724">
        <v>1770.5764554400002</v>
      </c>
      <c r="BW6" s="725">
        <v>1784.4</v>
      </c>
      <c r="BX6" s="725">
        <v>1817.2</v>
      </c>
      <c r="BY6" s="49">
        <v>1809.6</v>
      </c>
      <c r="BZ6" s="835">
        <f>SUM(BV6:BY6)</f>
        <v>7181.7764554400001</v>
      </c>
      <c r="CA6" s="724">
        <v>1799</v>
      </c>
      <c r="CB6" s="725"/>
      <c r="CC6" s="725"/>
      <c r="CD6" s="49"/>
      <c r="CE6" s="835">
        <f>SUM(CA6:CD6)</f>
        <v>1799</v>
      </c>
      <c r="CF6" s="762"/>
      <c r="CG6" s="714"/>
      <c r="CH6" s="762"/>
      <c r="CI6" s="762"/>
      <c r="CJ6" s="762"/>
      <c r="CK6" s="762"/>
      <c r="CL6" s="762"/>
      <c r="CM6" s="762"/>
      <c r="CN6" s="762"/>
    </row>
    <row r="7" spans="1:92" ht="20.149999999999999" customHeight="1">
      <c r="A7" s="868" t="s">
        <v>35</v>
      </c>
      <c r="B7" s="859" t="s">
        <v>36</v>
      </c>
      <c r="C7" s="654">
        <v>234.6</v>
      </c>
      <c r="D7" s="49">
        <v>272.7</v>
      </c>
      <c r="E7" s="49">
        <v>198</v>
      </c>
      <c r="F7" s="49">
        <v>286.3</v>
      </c>
      <c r="G7" s="835">
        <f t="shared" ref="G7:G10" si="4">SUM(C7:F7)</f>
        <v>991.59999999999991</v>
      </c>
      <c r="H7" s="654">
        <v>223.8</v>
      </c>
      <c r="I7" s="49">
        <v>265.2</v>
      </c>
      <c r="J7" s="49">
        <v>204</v>
      </c>
      <c r="K7" s="49">
        <v>317.2</v>
      </c>
      <c r="L7" s="835">
        <f t="shared" ref="L7:L10" si="5">SUM(H7:K7)</f>
        <v>1010.2</v>
      </c>
      <c r="M7" s="654">
        <v>242.19999999999993</v>
      </c>
      <c r="N7" s="49">
        <v>479.1</v>
      </c>
      <c r="O7" s="49">
        <v>591.6</v>
      </c>
      <c r="P7" s="49">
        <v>641.1</v>
      </c>
      <c r="Q7" s="835">
        <f t="shared" ref="Q7:Q10" si="6">SUM(M7:P7)</f>
        <v>1954</v>
      </c>
      <c r="R7" s="654">
        <v>553.29999999999995</v>
      </c>
      <c r="S7" s="49">
        <v>688.7</v>
      </c>
      <c r="T7" s="49">
        <v>616.9</v>
      </c>
      <c r="U7" s="50">
        <v>738</v>
      </c>
      <c r="V7" s="835">
        <v>2596.9</v>
      </c>
      <c r="W7" s="654">
        <v>599.79999999999995</v>
      </c>
      <c r="X7" s="653">
        <v>645</v>
      </c>
      <c r="Y7" s="654">
        <v>562.9</v>
      </c>
      <c r="Z7" s="50">
        <v>658.4</v>
      </c>
      <c r="AA7" s="835">
        <f t="shared" ref="AA7:AA36" si="7">SUM(W7:Z7)</f>
        <v>2466.1</v>
      </c>
      <c r="AB7" s="654">
        <v>562.1</v>
      </c>
      <c r="AC7" s="653">
        <v>652.29999999999995</v>
      </c>
      <c r="AD7" s="654">
        <v>588.4</v>
      </c>
      <c r="AE7" s="654">
        <v>735.8</v>
      </c>
      <c r="AF7" s="835">
        <f t="shared" ref="AF7:AF36" si="8">SUM(AB7:AE7)</f>
        <v>2538.6000000000004</v>
      </c>
      <c r="AG7" s="654">
        <v>635.9</v>
      </c>
      <c r="AH7" s="49">
        <v>708.5</v>
      </c>
      <c r="AI7" s="49">
        <v>677.7</v>
      </c>
      <c r="AJ7" s="654">
        <v>860.1</v>
      </c>
      <c r="AK7" s="835">
        <f t="shared" ref="AK7:AK10" si="9">SUM(AG7:AJ7)</f>
        <v>2882.2000000000003</v>
      </c>
      <c r="AL7" s="848"/>
      <c r="AM7" s="653">
        <v>635.9</v>
      </c>
      <c r="AN7" s="49">
        <v>738.5</v>
      </c>
      <c r="AO7" s="49">
        <v>741.6</v>
      </c>
      <c r="AP7" s="654">
        <v>927.80000000000018</v>
      </c>
      <c r="AQ7" s="835">
        <f t="shared" ref="AQ7:AQ10" si="10">SUM(AM7:AP7)</f>
        <v>3043.8</v>
      </c>
      <c r="AR7" s="654">
        <v>772.7</v>
      </c>
      <c r="AS7" s="49">
        <v>861.6</v>
      </c>
      <c r="AT7" s="49">
        <v>790.5</v>
      </c>
      <c r="AU7" s="654">
        <v>925.4</v>
      </c>
      <c r="AV7" s="835">
        <f t="shared" ref="AV7:AV10" si="11">SUM(AR7:AU7)</f>
        <v>3350.2000000000003</v>
      </c>
      <c r="AW7" s="654">
        <v>772.7</v>
      </c>
      <c r="AX7" s="49">
        <v>861.6</v>
      </c>
      <c r="AY7" s="49">
        <v>790.5</v>
      </c>
      <c r="AZ7" s="654">
        <v>925.4</v>
      </c>
      <c r="BA7" s="835">
        <f t="shared" ref="BA7:BA10" si="12">SUM(AW7:AZ7)</f>
        <v>3350.2000000000003</v>
      </c>
      <c r="BB7" s="654">
        <v>823.7</v>
      </c>
      <c r="BC7" s="49">
        <v>802.5</v>
      </c>
      <c r="BD7" s="49">
        <v>856.6</v>
      </c>
      <c r="BE7" s="654">
        <v>1043.9000000000001</v>
      </c>
      <c r="BF7" s="835">
        <f t="shared" ref="BF7:BF10" si="13">SUM(BB7:BE7)</f>
        <v>3526.7000000000003</v>
      </c>
      <c r="BG7" s="654">
        <v>880.7</v>
      </c>
      <c r="BH7" s="49">
        <v>964.2</v>
      </c>
      <c r="BI7" s="49">
        <v>827.1</v>
      </c>
      <c r="BJ7" s="654">
        <v>1006.8</v>
      </c>
      <c r="BK7" s="835">
        <f t="shared" ref="BK7:BK10" si="14">SUM(BG7:BJ7)</f>
        <v>3678.8</v>
      </c>
      <c r="BL7" s="654">
        <v>813.1</v>
      </c>
      <c r="BM7" s="49">
        <v>879.8</v>
      </c>
      <c r="BN7" s="49">
        <v>840.90000000000009</v>
      </c>
      <c r="BO7" s="654">
        <f>3531.7-BN7-BM7-BL7</f>
        <v>997.89999999999975</v>
      </c>
      <c r="BP7" s="835">
        <f t="shared" ref="BP7:BP10" si="15">SUM(BL7:BO7)</f>
        <v>3531.7</v>
      </c>
      <c r="BQ7" s="708">
        <v>792.3</v>
      </c>
      <c r="BR7" s="654">
        <v>859</v>
      </c>
      <c r="BS7" s="49">
        <v>799.3</v>
      </c>
      <c r="BT7" s="49">
        <v>929.3</v>
      </c>
      <c r="BU7" s="835">
        <f>SUM(BQ7:BT7)</f>
        <v>3379.8999999999996</v>
      </c>
      <c r="BV7" s="708">
        <v>749.72161727000037</v>
      </c>
      <c r="BW7" s="654">
        <v>848.2</v>
      </c>
      <c r="BX7" s="654">
        <v>763.8</v>
      </c>
      <c r="BY7" s="49">
        <v>898.7</v>
      </c>
      <c r="BZ7" s="835">
        <f>SUM(BV7:BY7)</f>
        <v>3260.4216172699998</v>
      </c>
      <c r="CA7" s="708">
        <v>767.6</v>
      </c>
      <c r="CB7" s="654"/>
      <c r="CC7" s="654"/>
      <c r="CD7" s="49"/>
      <c r="CE7" s="835">
        <f>SUM(CA7:CD7)</f>
        <v>767.6</v>
      </c>
      <c r="CF7" s="378"/>
      <c r="CG7" s="714"/>
      <c r="CH7" s="714"/>
    </row>
    <row r="8" spans="1:92" ht="20.149999999999999" customHeight="1">
      <c r="A8" s="868" t="s">
        <v>37</v>
      </c>
      <c r="B8" s="859" t="s">
        <v>38</v>
      </c>
      <c r="C8" s="654">
        <v>2.7</v>
      </c>
      <c r="D8" s="49">
        <v>6.2</v>
      </c>
      <c r="E8" s="49">
        <v>2.6</v>
      </c>
      <c r="F8" s="49">
        <v>7.2</v>
      </c>
      <c r="G8" s="835">
        <f t="shared" si="4"/>
        <v>18.7</v>
      </c>
      <c r="H8" s="654">
        <v>13.1</v>
      </c>
      <c r="I8" s="49">
        <v>11.8</v>
      </c>
      <c r="J8" s="49">
        <v>7.1</v>
      </c>
      <c r="K8" s="49">
        <v>9.6999999999999993</v>
      </c>
      <c r="L8" s="835">
        <f t="shared" si="5"/>
        <v>41.7</v>
      </c>
      <c r="M8" s="654">
        <v>7.8999999999999986</v>
      </c>
      <c r="N8" s="49">
        <v>55.4</v>
      </c>
      <c r="O8" s="49">
        <v>104.1</v>
      </c>
      <c r="P8" s="49">
        <v>159.9</v>
      </c>
      <c r="Q8" s="835">
        <f t="shared" si="6"/>
        <v>327.29999999999995</v>
      </c>
      <c r="R8" s="654">
        <v>118.4</v>
      </c>
      <c r="S8" s="49">
        <v>106.9</v>
      </c>
      <c r="T8" s="49">
        <v>131.19999999999999</v>
      </c>
      <c r="U8" s="50">
        <v>226.89999999999998</v>
      </c>
      <c r="V8" s="835">
        <v>583.4</v>
      </c>
      <c r="W8" s="654">
        <v>172.8</v>
      </c>
      <c r="X8" s="653">
        <v>191.1</v>
      </c>
      <c r="Y8" s="654">
        <v>221.3</v>
      </c>
      <c r="Z8" s="50">
        <v>265.60000000000002</v>
      </c>
      <c r="AA8" s="835">
        <f t="shared" si="7"/>
        <v>850.80000000000007</v>
      </c>
      <c r="AB8" s="654">
        <v>248.6</v>
      </c>
      <c r="AC8" s="653">
        <v>243.3</v>
      </c>
      <c r="AD8" s="654">
        <v>264.5</v>
      </c>
      <c r="AE8" s="654">
        <v>298.8</v>
      </c>
      <c r="AF8" s="835">
        <f t="shared" si="8"/>
        <v>1055.2</v>
      </c>
      <c r="AG8" s="654">
        <v>208.6</v>
      </c>
      <c r="AH8" s="49">
        <v>239</v>
      </c>
      <c r="AI8" s="49">
        <v>237.6</v>
      </c>
      <c r="AJ8" s="654">
        <v>286.2</v>
      </c>
      <c r="AK8" s="835">
        <f t="shared" si="9"/>
        <v>971.40000000000009</v>
      </c>
      <c r="AL8" s="848"/>
      <c r="AM8" s="653">
        <v>317.5</v>
      </c>
      <c r="AN8" s="49">
        <v>341.7</v>
      </c>
      <c r="AO8" s="49">
        <v>328.6</v>
      </c>
      <c r="AP8" s="654">
        <v>398.20000000000005</v>
      </c>
      <c r="AQ8" s="835">
        <f t="shared" si="10"/>
        <v>1386</v>
      </c>
      <c r="AR8" s="654">
        <v>347.4</v>
      </c>
      <c r="AS8" s="49">
        <v>379.3</v>
      </c>
      <c r="AT8" s="49">
        <v>412.9</v>
      </c>
      <c r="AU8" s="654">
        <v>445.4</v>
      </c>
      <c r="AV8" s="835">
        <f t="shared" si="11"/>
        <v>1585</v>
      </c>
      <c r="AW8" s="654">
        <v>347.4</v>
      </c>
      <c r="AX8" s="49">
        <v>379.3</v>
      </c>
      <c r="AY8" s="49">
        <v>412.9</v>
      </c>
      <c r="AZ8" s="654">
        <v>445.4</v>
      </c>
      <c r="BA8" s="835">
        <f t="shared" si="12"/>
        <v>1585</v>
      </c>
      <c r="BB8" s="654">
        <v>345.7</v>
      </c>
      <c r="BC8" s="49">
        <v>392.9</v>
      </c>
      <c r="BD8" s="49">
        <v>433.7</v>
      </c>
      <c r="BE8" s="654">
        <v>424.4</v>
      </c>
      <c r="BF8" s="835">
        <f t="shared" si="13"/>
        <v>1596.6999999999998</v>
      </c>
      <c r="BG8" s="654">
        <v>332.7</v>
      </c>
      <c r="BH8" s="49">
        <v>350.4</v>
      </c>
      <c r="BI8" s="49">
        <v>359.1</v>
      </c>
      <c r="BJ8" s="654">
        <v>408.1</v>
      </c>
      <c r="BK8" s="835">
        <f t="shared" si="14"/>
        <v>1450.2999999999997</v>
      </c>
      <c r="BL8" s="654">
        <v>336.5</v>
      </c>
      <c r="BM8" s="49">
        <v>450.5</v>
      </c>
      <c r="BN8" s="49">
        <v>472.70000000000005</v>
      </c>
      <c r="BO8" s="654">
        <f>1805.1-BN8-BM8-BL8</f>
        <v>545.39999999999986</v>
      </c>
      <c r="BP8" s="835">
        <f t="shared" si="15"/>
        <v>1805.1</v>
      </c>
      <c r="BQ8" s="708">
        <v>484.9</v>
      </c>
      <c r="BR8" s="654">
        <v>483.6</v>
      </c>
      <c r="BS8" s="49">
        <v>446.5</v>
      </c>
      <c r="BT8" s="49">
        <v>506.7</v>
      </c>
      <c r="BU8" s="835">
        <f>SUM(BQ8:BT8)</f>
        <v>1921.7</v>
      </c>
      <c r="BV8" s="708">
        <v>425.94365038999973</v>
      </c>
      <c r="BW8" s="654">
        <v>432.8</v>
      </c>
      <c r="BX8" s="654">
        <v>457.2</v>
      </c>
      <c r="BY8" s="49">
        <v>478.6</v>
      </c>
      <c r="BZ8" s="835">
        <f>SUM(BV8:BY8)</f>
        <v>1794.5436503899996</v>
      </c>
      <c r="CA8" s="708">
        <v>424.8</v>
      </c>
      <c r="CB8" s="654"/>
      <c r="CC8" s="654"/>
      <c r="CD8" s="49"/>
      <c r="CE8" s="835">
        <f>SUM(CA8:CD8)</f>
        <v>424.8</v>
      </c>
      <c r="CF8" s="378"/>
      <c r="CG8" s="714"/>
      <c r="CH8" s="714"/>
    </row>
    <row r="9" spans="1:92" ht="20.149999999999999" customHeight="1">
      <c r="A9" s="868" t="s">
        <v>39</v>
      </c>
      <c r="B9" s="859" t="s">
        <v>40</v>
      </c>
      <c r="C9" s="654"/>
      <c r="D9" s="49"/>
      <c r="E9" s="49"/>
      <c r="F9" s="49"/>
      <c r="G9" s="835"/>
      <c r="H9" s="654"/>
      <c r="I9" s="49"/>
      <c r="J9" s="49"/>
      <c r="K9" s="49"/>
      <c r="L9" s="835"/>
      <c r="M9" s="654"/>
      <c r="N9" s="49"/>
      <c r="O9" s="49"/>
      <c r="P9" s="49"/>
      <c r="Q9" s="835"/>
      <c r="R9" s="654"/>
      <c r="S9" s="49"/>
      <c r="T9" s="49"/>
      <c r="U9" s="50"/>
      <c r="V9" s="835"/>
      <c r="W9" s="654"/>
      <c r="X9" s="653"/>
      <c r="Y9" s="654"/>
      <c r="Z9" s="50"/>
      <c r="AA9" s="835"/>
      <c r="AB9" s="654"/>
      <c r="AC9" s="653"/>
      <c r="AD9" s="654"/>
      <c r="AE9" s="654"/>
      <c r="AF9" s="835"/>
      <c r="AG9" s="654"/>
      <c r="AH9" s="49"/>
      <c r="AI9" s="49"/>
      <c r="AJ9" s="654"/>
      <c r="AK9" s="835"/>
      <c r="AL9" s="848"/>
      <c r="AM9" s="653"/>
      <c r="AN9" s="49"/>
      <c r="AO9" s="49"/>
      <c r="AP9" s="654"/>
      <c r="AQ9" s="835"/>
      <c r="AR9" s="654"/>
      <c r="AS9" s="49"/>
      <c r="AT9" s="49"/>
      <c r="AU9" s="654"/>
      <c r="AV9" s="835"/>
      <c r="AW9" s="654"/>
      <c r="AX9" s="49"/>
      <c r="AY9" s="49"/>
      <c r="AZ9" s="654"/>
      <c r="BA9" s="835"/>
      <c r="BB9" s="654"/>
      <c r="BC9" s="49"/>
      <c r="BD9" s="49"/>
      <c r="BE9" s="654"/>
      <c r="BF9" s="835"/>
      <c r="BG9" s="654"/>
      <c r="BH9" s="49"/>
      <c r="BI9" s="49"/>
      <c r="BJ9" s="654"/>
      <c r="BK9" s="835"/>
      <c r="BL9" s="654"/>
      <c r="BM9" s="49"/>
      <c r="BN9" s="49"/>
      <c r="BO9" s="654"/>
      <c r="BP9" s="835"/>
      <c r="BQ9" s="708"/>
      <c r="BR9" s="654"/>
      <c r="BS9" s="49">
        <v>272</v>
      </c>
      <c r="BT9" s="49">
        <v>285.60000000000002</v>
      </c>
      <c r="BU9" s="835">
        <f>SUM(BQ9:BT9)</f>
        <v>557.6</v>
      </c>
      <c r="BV9" s="708">
        <v>281.85690662000002</v>
      </c>
      <c r="BW9" s="654">
        <v>249</v>
      </c>
      <c r="BX9" s="654">
        <v>359.1</v>
      </c>
      <c r="BY9" s="49">
        <v>340</v>
      </c>
      <c r="BZ9" s="835">
        <f>SUM(BV9:BY9)</f>
        <v>1229.9569066200002</v>
      </c>
      <c r="CA9" s="708">
        <v>309.39999999999998</v>
      </c>
      <c r="CB9" s="654"/>
      <c r="CC9" s="654"/>
      <c r="CD9" s="49"/>
      <c r="CE9" s="835">
        <f>SUM(CA9:CD9)</f>
        <v>309.39999999999998</v>
      </c>
      <c r="CF9" s="378"/>
      <c r="CG9" s="714"/>
      <c r="CH9" s="714"/>
    </row>
    <row r="10" spans="1:92" ht="20.149999999999999" customHeight="1">
      <c r="A10" s="868" t="s">
        <v>792</v>
      </c>
      <c r="B10" s="859" t="s">
        <v>793</v>
      </c>
      <c r="C10" s="654">
        <v>7.9</v>
      </c>
      <c r="D10" s="49">
        <v>7.8</v>
      </c>
      <c r="E10" s="49">
        <v>9.5</v>
      </c>
      <c r="F10" s="49">
        <v>10.5</v>
      </c>
      <c r="G10" s="835">
        <f t="shared" si="4"/>
        <v>35.700000000000003</v>
      </c>
      <c r="H10" s="654">
        <v>8.5</v>
      </c>
      <c r="I10" s="49">
        <v>6.9</v>
      </c>
      <c r="J10" s="49">
        <v>5.9</v>
      </c>
      <c r="K10" s="49">
        <v>7.5</v>
      </c>
      <c r="L10" s="835">
        <f t="shared" si="5"/>
        <v>28.8</v>
      </c>
      <c r="M10" s="654">
        <v>5.4</v>
      </c>
      <c r="N10" s="49">
        <v>6.9</v>
      </c>
      <c r="O10" s="49">
        <v>13.2</v>
      </c>
      <c r="P10" s="49">
        <v>18.399999999999999</v>
      </c>
      <c r="Q10" s="835">
        <f t="shared" si="6"/>
        <v>43.9</v>
      </c>
      <c r="R10" s="654">
        <v>20.100000000000001</v>
      </c>
      <c r="S10" s="49">
        <v>21.6</v>
      </c>
      <c r="T10" s="49">
        <v>23.5</v>
      </c>
      <c r="U10" s="50">
        <v>24.399999999999991</v>
      </c>
      <c r="V10" s="835">
        <v>89.6</v>
      </c>
      <c r="W10" s="654">
        <v>25.7</v>
      </c>
      <c r="X10" s="653">
        <v>19.899999999999999</v>
      </c>
      <c r="Y10" s="654">
        <v>19.899999999999999</v>
      </c>
      <c r="Z10" s="50">
        <v>22.1</v>
      </c>
      <c r="AA10" s="835">
        <f t="shared" si="7"/>
        <v>87.6</v>
      </c>
      <c r="AB10" s="654">
        <v>35.200000000000003</v>
      </c>
      <c r="AC10" s="653">
        <v>41</v>
      </c>
      <c r="AD10" s="654">
        <v>44</v>
      </c>
      <c r="AE10" s="654">
        <v>46.7</v>
      </c>
      <c r="AF10" s="835">
        <f t="shared" si="8"/>
        <v>166.9</v>
      </c>
      <c r="AG10" s="654">
        <v>46</v>
      </c>
      <c r="AH10" s="49">
        <f>45.6</f>
        <v>45.6</v>
      </c>
      <c r="AI10" s="49">
        <v>38.4</v>
      </c>
      <c r="AJ10" s="654">
        <v>50.9</v>
      </c>
      <c r="AK10" s="835">
        <f t="shared" si="9"/>
        <v>180.9</v>
      </c>
      <c r="AL10" s="848"/>
      <c r="AM10" s="653">
        <v>40.299999999999997</v>
      </c>
      <c r="AN10" s="49">
        <v>40.9</v>
      </c>
      <c r="AO10" s="49">
        <v>34.299999999999997</v>
      </c>
      <c r="AP10" s="654">
        <v>48.199999999999989</v>
      </c>
      <c r="AQ10" s="835">
        <f t="shared" si="10"/>
        <v>163.69999999999999</v>
      </c>
      <c r="AR10" s="654">
        <v>56.3</v>
      </c>
      <c r="AS10" s="49">
        <v>56</v>
      </c>
      <c r="AT10" s="49">
        <v>60.6</v>
      </c>
      <c r="AU10" s="654">
        <v>69.8</v>
      </c>
      <c r="AV10" s="835">
        <f t="shared" si="11"/>
        <v>242.7</v>
      </c>
      <c r="AW10" s="654">
        <v>65.5</v>
      </c>
      <c r="AX10" s="49">
        <v>66</v>
      </c>
      <c r="AY10" s="49">
        <v>70.7</v>
      </c>
      <c r="AZ10" s="654">
        <v>79.900000000000006</v>
      </c>
      <c r="BA10" s="835">
        <f t="shared" si="12"/>
        <v>282.10000000000002</v>
      </c>
      <c r="BB10" s="654">
        <v>74.599999999999994</v>
      </c>
      <c r="BC10" s="49">
        <v>75.3</v>
      </c>
      <c r="BD10" s="49">
        <v>89.4</v>
      </c>
      <c r="BE10" s="654">
        <v>119.8</v>
      </c>
      <c r="BF10" s="835">
        <f t="shared" si="13"/>
        <v>359.09999999999997</v>
      </c>
      <c r="BG10" s="654">
        <v>109.9</v>
      </c>
      <c r="BH10" s="49">
        <v>180.3</v>
      </c>
      <c r="BI10" s="49">
        <v>138.30000000000001</v>
      </c>
      <c r="BJ10" s="654">
        <v>119.4</v>
      </c>
      <c r="BK10" s="835">
        <f t="shared" si="14"/>
        <v>547.90000000000009</v>
      </c>
      <c r="BL10" s="654">
        <v>114.9</v>
      </c>
      <c r="BM10" s="49">
        <v>172</v>
      </c>
      <c r="BN10" s="49">
        <v>204</v>
      </c>
      <c r="BO10" s="654">
        <f>626.4-BN10-BM10-BL10</f>
        <v>135.49999999999997</v>
      </c>
      <c r="BP10" s="835">
        <f t="shared" si="15"/>
        <v>626.4</v>
      </c>
      <c r="BQ10" s="708">
        <v>188.3</v>
      </c>
      <c r="BR10" s="654">
        <v>212.4</v>
      </c>
      <c r="BS10" s="49">
        <v>183.1</v>
      </c>
      <c r="BT10" s="49">
        <v>196.2</v>
      </c>
      <c r="BU10" s="835">
        <f>SUM(BQ10:BT10)</f>
        <v>780</v>
      </c>
      <c r="BV10" s="708">
        <v>176.9</v>
      </c>
      <c r="BW10" s="654">
        <v>139.9</v>
      </c>
      <c r="BX10" s="654">
        <v>182.2</v>
      </c>
      <c r="BY10" s="49">
        <v>300.2</v>
      </c>
      <c r="BZ10" s="835">
        <f>SUM(BV10:BY10)</f>
        <v>799.2</v>
      </c>
      <c r="CA10" s="708">
        <v>229.4</v>
      </c>
      <c r="CB10" s="654"/>
      <c r="CC10" s="654"/>
      <c r="CD10" s="49"/>
      <c r="CE10" s="835">
        <f>SUM(CA10:CD10)</f>
        <v>229.4</v>
      </c>
      <c r="CF10" s="378"/>
      <c r="CG10" s="714"/>
      <c r="CH10" s="714"/>
    </row>
    <row r="11" spans="1:92" s="655" customFormat="1" ht="22.5" customHeight="1">
      <c r="A11" s="860" t="s">
        <v>41</v>
      </c>
      <c r="B11" s="860" t="s">
        <v>42</v>
      </c>
      <c r="C11" s="659">
        <f t="shared" ref="C11:AK11" si="16">SUM(C12:C21)</f>
        <v>-464.5</v>
      </c>
      <c r="D11" s="659">
        <f t="shared" si="16"/>
        <v>-499.7</v>
      </c>
      <c r="E11" s="659">
        <f t="shared" si="16"/>
        <v>-444.9</v>
      </c>
      <c r="F11" s="659">
        <f t="shared" si="16"/>
        <v>-562.4</v>
      </c>
      <c r="G11" s="833">
        <f t="shared" si="16"/>
        <v>-1971.5000000000002</v>
      </c>
      <c r="H11" s="659">
        <f t="shared" si="16"/>
        <v>-512.92000000000007</v>
      </c>
      <c r="I11" s="659">
        <f t="shared" si="16"/>
        <v>-542.4</v>
      </c>
      <c r="J11" s="659">
        <f t="shared" si="16"/>
        <v>-510.7</v>
      </c>
      <c r="K11" s="659">
        <f t="shared" si="16"/>
        <v>-591.70000000000005</v>
      </c>
      <c r="L11" s="833">
        <f t="shared" si="16"/>
        <v>-2157.7199999999998</v>
      </c>
      <c r="M11" s="659">
        <f t="shared" si="16"/>
        <v>-507.40000000000003</v>
      </c>
      <c r="N11" s="659">
        <f t="shared" si="16"/>
        <v>-1351.8000000000002</v>
      </c>
      <c r="O11" s="659">
        <f t="shared" si="16"/>
        <v>-1992.5000000000002</v>
      </c>
      <c r="P11" s="659">
        <f t="shared" si="16"/>
        <v>-2125.3999999999996</v>
      </c>
      <c r="Q11" s="833">
        <f t="shared" si="16"/>
        <v>-5977.1</v>
      </c>
      <c r="R11" s="659">
        <f t="shared" si="16"/>
        <v>-1909</v>
      </c>
      <c r="S11" s="659">
        <f t="shared" si="16"/>
        <v>-1899.4999999999998</v>
      </c>
      <c r="T11" s="659">
        <f t="shared" si="16"/>
        <v>-1900.1</v>
      </c>
      <c r="U11" s="659">
        <f t="shared" si="16"/>
        <v>-2159.2999999999997</v>
      </c>
      <c r="V11" s="833">
        <f t="shared" si="16"/>
        <v>-7867.9000000000005</v>
      </c>
      <c r="W11" s="659">
        <f t="shared" si="16"/>
        <v>-1948</v>
      </c>
      <c r="X11" s="659">
        <f t="shared" si="16"/>
        <v>-2042</v>
      </c>
      <c r="Y11" s="660">
        <f t="shared" si="16"/>
        <v>-1938.6999999999998</v>
      </c>
      <c r="Z11" s="660">
        <f t="shared" si="16"/>
        <v>-2140.6</v>
      </c>
      <c r="AA11" s="833">
        <f t="shared" si="16"/>
        <v>-8069.2999999999993</v>
      </c>
      <c r="AB11" s="659">
        <f t="shared" si="16"/>
        <v>-1938.1999999999996</v>
      </c>
      <c r="AC11" s="659">
        <f t="shared" si="16"/>
        <v>-1962.8000000000002</v>
      </c>
      <c r="AD11" s="659">
        <f t="shared" si="16"/>
        <v>-1975.7</v>
      </c>
      <c r="AE11" s="659">
        <f t="shared" si="16"/>
        <v>-2139.1999999999998</v>
      </c>
      <c r="AF11" s="833">
        <f t="shared" si="16"/>
        <v>-8015.9</v>
      </c>
      <c r="AG11" s="659">
        <f t="shared" si="16"/>
        <v>-1903.1000000000001</v>
      </c>
      <c r="AH11" s="659">
        <f t="shared" si="16"/>
        <v>-1986.5000000000002</v>
      </c>
      <c r="AI11" s="659">
        <f t="shared" si="16"/>
        <v>-2044</v>
      </c>
      <c r="AJ11" s="659">
        <f t="shared" si="16"/>
        <v>-2266</v>
      </c>
      <c r="AK11" s="833">
        <f t="shared" si="16"/>
        <v>-8199.6</v>
      </c>
      <c r="AL11" s="849"/>
      <c r="AM11" s="659">
        <f t="shared" ref="AM11:BO11" si="17">SUM(AM12:AM21)</f>
        <v>-1917.1000000000001</v>
      </c>
      <c r="AN11" s="659">
        <f t="shared" si="17"/>
        <v>-2127</v>
      </c>
      <c r="AO11" s="659">
        <f t="shared" si="17"/>
        <v>-2345.8000000000002</v>
      </c>
      <c r="AP11" s="659">
        <f t="shared" si="17"/>
        <v>-2588.9</v>
      </c>
      <c r="AQ11" s="833">
        <f t="shared" si="17"/>
        <v>-8978.7999999999993</v>
      </c>
      <c r="AR11" s="659">
        <f t="shared" si="17"/>
        <v>-2317.1</v>
      </c>
      <c r="AS11" s="659">
        <f t="shared" si="17"/>
        <v>-2404.4</v>
      </c>
      <c r="AT11" s="659">
        <f t="shared" si="17"/>
        <v>-2433.0000000000005</v>
      </c>
      <c r="AU11" s="659">
        <f t="shared" si="17"/>
        <v>-2592.9999999999995</v>
      </c>
      <c r="AV11" s="833">
        <f t="shared" si="17"/>
        <v>-9747.4999999999982</v>
      </c>
      <c r="AW11" s="659">
        <f t="shared" si="17"/>
        <v>-2317.0000000000005</v>
      </c>
      <c r="AX11" s="659">
        <f t="shared" si="17"/>
        <v>-2407.2000000000003</v>
      </c>
      <c r="AY11" s="659">
        <f t="shared" si="17"/>
        <v>-2436.8000000000002</v>
      </c>
      <c r="AZ11" s="659">
        <f t="shared" si="17"/>
        <v>-2593.8000000000002</v>
      </c>
      <c r="BA11" s="833">
        <f t="shared" si="17"/>
        <v>-9754.7999999999993</v>
      </c>
      <c r="BB11" s="659">
        <f t="shared" si="17"/>
        <v>-2392.1111734799997</v>
      </c>
      <c r="BC11" s="659">
        <f t="shared" si="17"/>
        <v>-2455.5999999999995</v>
      </c>
      <c r="BD11" s="659">
        <f t="shared" si="17"/>
        <v>-2494.8000000000002</v>
      </c>
      <c r="BE11" s="659">
        <f t="shared" si="17"/>
        <v>-2731.3</v>
      </c>
      <c r="BF11" s="833">
        <f t="shared" si="17"/>
        <v>-10073.81117348</v>
      </c>
      <c r="BG11" s="659">
        <f t="shared" si="17"/>
        <v>-2430.9</v>
      </c>
      <c r="BH11" s="659">
        <f t="shared" si="17"/>
        <v>-2468.1000000000004</v>
      </c>
      <c r="BI11" s="659">
        <f t="shared" si="17"/>
        <v>-2595.9</v>
      </c>
      <c r="BJ11" s="659">
        <f t="shared" si="17"/>
        <v>-2810.6000000000004</v>
      </c>
      <c r="BK11" s="833">
        <f t="shared" si="17"/>
        <v>-10305.5</v>
      </c>
      <c r="BL11" s="659">
        <f t="shared" si="17"/>
        <v>-2633.7000000000003</v>
      </c>
      <c r="BM11" s="659">
        <f t="shared" si="17"/>
        <v>-2815.4</v>
      </c>
      <c r="BN11" s="659">
        <f t="shared" si="17"/>
        <v>-2877.2999999999997</v>
      </c>
      <c r="BO11" s="659">
        <f t="shared" si="17"/>
        <v>-3073.4000000000005</v>
      </c>
      <c r="BP11" s="833">
        <f>SUM(BP12:BP21)</f>
        <v>-11399.8</v>
      </c>
      <c r="BQ11" s="709">
        <f>SUM(BQ12:BQ21)</f>
        <v>-2891.8999999999996</v>
      </c>
      <c r="BR11" s="659">
        <f t="shared" ref="BR11" si="18">SUM(BR12:BR21)</f>
        <v>-2945</v>
      </c>
      <c r="BS11" s="659">
        <f t="shared" ref="BS11:CE11" si="19">SUM(BS12:BS17,BS19:BS21)</f>
        <v>-3165.1999999999994</v>
      </c>
      <c r="BT11" s="659">
        <f t="shared" si="19"/>
        <v>-3486.6999999999994</v>
      </c>
      <c r="BU11" s="833">
        <f t="shared" si="19"/>
        <v>-12488.8</v>
      </c>
      <c r="BV11" s="659">
        <f t="shared" si="19"/>
        <v>-3116.2999999999997</v>
      </c>
      <c r="BW11" s="659">
        <f t="shared" si="19"/>
        <v>-3085.8</v>
      </c>
      <c r="BX11" s="659">
        <f t="shared" si="19"/>
        <v>-2987.7999999999997</v>
      </c>
      <c r="BY11" s="659">
        <f t="shared" si="19"/>
        <v>-3439.4</v>
      </c>
      <c r="BZ11" s="833">
        <f t="shared" si="19"/>
        <v>-12629.300000000001</v>
      </c>
      <c r="CA11" s="659">
        <f t="shared" si="19"/>
        <v>-3105.9</v>
      </c>
      <c r="CB11" s="659"/>
      <c r="CC11" s="659"/>
      <c r="CD11" s="659"/>
      <c r="CE11" s="833">
        <f t="shared" si="19"/>
        <v>-3105.9</v>
      </c>
      <c r="CF11" s="378"/>
      <c r="CG11" s="714"/>
      <c r="CH11" s="714"/>
    </row>
    <row r="12" spans="1:92" ht="30" customHeight="1">
      <c r="A12" s="868" t="s">
        <v>43</v>
      </c>
      <c r="B12" s="861" t="s">
        <v>44</v>
      </c>
      <c r="C12" s="53">
        <v>-49.7</v>
      </c>
      <c r="D12" s="52">
        <v>-55.1</v>
      </c>
      <c r="E12" s="52">
        <v>-58.6</v>
      </c>
      <c r="F12" s="52">
        <v>-59.3</v>
      </c>
      <c r="G12" s="836">
        <f>SUM(C12:F12)</f>
        <v>-222.7</v>
      </c>
      <c r="H12" s="53">
        <v>-60.7</v>
      </c>
      <c r="I12" s="52">
        <v>-62</v>
      </c>
      <c r="J12" s="52">
        <v>-62.2</v>
      </c>
      <c r="K12" s="52">
        <v>-71.400000000000006</v>
      </c>
      <c r="L12" s="836">
        <f>SUM(H12:K12)</f>
        <v>-256.3</v>
      </c>
      <c r="M12" s="53">
        <v>-71.300000000000011</v>
      </c>
      <c r="N12" s="52">
        <v>-288</v>
      </c>
      <c r="O12" s="52">
        <v>-495.9</v>
      </c>
      <c r="P12" s="52">
        <v>-557.20000000000005</v>
      </c>
      <c r="Q12" s="836">
        <f>SUM(M12:P12)</f>
        <v>-1412.4</v>
      </c>
      <c r="R12" s="53">
        <v>-482.3</v>
      </c>
      <c r="S12" s="52">
        <v>-522.4</v>
      </c>
      <c r="T12" s="52">
        <v>-551.20000000000005</v>
      </c>
      <c r="U12" s="50">
        <v>-585.09999999999991</v>
      </c>
      <c r="V12" s="836">
        <v>-2141</v>
      </c>
      <c r="W12" s="53">
        <v>-550.29999999999995</v>
      </c>
      <c r="X12" s="53">
        <v>-456.6</v>
      </c>
      <c r="Y12" s="36">
        <v>-459.2</v>
      </c>
      <c r="Z12" s="50">
        <v>-472.6</v>
      </c>
      <c r="AA12" s="836">
        <f>SUM(W12:Z12)</f>
        <v>-1938.6999999999998</v>
      </c>
      <c r="AB12" s="53">
        <v>-468.2</v>
      </c>
      <c r="AC12" s="53">
        <v>-483.5</v>
      </c>
      <c r="AD12" s="36">
        <v>-528.5</v>
      </c>
      <c r="AE12" s="36">
        <v>-533.79999999999995</v>
      </c>
      <c r="AF12" s="836">
        <f t="shared" si="8"/>
        <v>-2014</v>
      </c>
      <c r="AG12" s="53">
        <v>-504.5</v>
      </c>
      <c r="AH12" s="52">
        <v>-521.1</v>
      </c>
      <c r="AI12" s="52">
        <v>-550.29999999999995</v>
      </c>
      <c r="AJ12" s="36">
        <v>-560.1</v>
      </c>
      <c r="AK12" s="836">
        <f t="shared" ref="AK12:AK24" si="20">SUM(AG12:AJ12)</f>
        <v>-2136</v>
      </c>
      <c r="AL12" s="848"/>
      <c r="AM12" s="53">
        <v>-504.5</v>
      </c>
      <c r="AN12" s="52">
        <v>-578.5</v>
      </c>
      <c r="AO12" s="52">
        <v>-674.8</v>
      </c>
      <c r="AP12" s="36">
        <v>-691.10000000000014</v>
      </c>
      <c r="AQ12" s="836">
        <f t="shared" ref="AQ12:AQ24" si="21">SUM(AM12:AP12)</f>
        <v>-2448.9</v>
      </c>
      <c r="AR12" s="53">
        <v>-651.29999999999995</v>
      </c>
      <c r="AS12" s="52">
        <v>-678.4</v>
      </c>
      <c r="AT12" s="52">
        <v>-664.1</v>
      </c>
      <c r="AU12" s="36">
        <v>-670.2</v>
      </c>
      <c r="AV12" s="836">
        <f t="shared" ref="AV12:AV24" si="22">SUM(AR12:AU12)</f>
        <v>-2664</v>
      </c>
      <c r="AW12" s="53">
        <v>-563.79999999999995</v>
      </c>
      <c r="AX12" s="52">
        <v>-591.4</v>
      </c>
      <c r="AY12" s="52">
        <v>-575.79999999999995</v>
      </c>
      <c r="AZ12" s="36">
        <v>-580.29999999999995</v>
      </c>
      <c r="BA12" s="836">
        <f t="shared" ref="BA12:BA24" si="23">SUM(AW12:AZ12)</f>
        <v>-2311.2999999999997</v>
      </c>
      <c r="BB12" s="53">
        <v>-600.79999999999995</v>
      </c>
      <c r="BC12" s="52">
        <v>-636.1</v>
      </c>
      <c r="BD12" s="52">
        <v>-609</v>
      </c>
      <c r="BE12" s="36">
        <v>-615</v>
      </c>
      <c r="BF12" s="836">
        <f t="shared" ref="BF12:BF24" si="24">SUM(BB12:BE12)</f>
        <v>-2460.9</v>
      </c>
      <c r="BG12" s="53">
        <v>-624.70000000000005</v>
      </c>
      <c r="BH12" s="52">
        <v>-633</v>
      </c>
      <c r="BI12" s="52">
        <v>-790.3</v>
      </c>
      <c r="BJ12" s="36">
        <v>-801.7</v>
      </c>
      <c r="BK12" s="836">
        <f t="shared" ref="BK12:BK23" si="25">SUM(BG12:BJ12)</f>
        <v>-2849.7</v>
      </c>
      <c r="BL12" s="53">
        <v>-809.5</v>
      </c>
      <c r="BM12" s="52">
        <f>-808</f>
        <v>-808</v>
      </c>
      <c r="BN12" s="52">
        <v>-823.19999999999982</v>
      </c>
      <c r="BO12" s="36">
        <f>-3271.5-BN12-BM12-BL12</f>
        <v>-830.80000000000018</v>
      </c>
      <c r="BP12" s="836">
        <f t="shared" ref="BP12:BP23" si="26">SUM(BL12:BO12)</f>
        <v>-3271.5</v>
      </c>
      <c r="BQ12" s="710">
        <v>-808.6</v>
      </c>
      <c r="BR12" s="52">
        <v>-823.9</v>
      </c>
      <c r="BS12" s="52">
        <v>-838.1</v>
      </c>
      <c r="BT12" s="52">
        <v>-862.1</v>
      </c>
      <c r="BU12" s="836">
        <f t="shared" ref="BU12:BU17" si="27">SUM(BQ12:BT12)</f>
        <v>-3332.7</v>
      </c>
      <c r="BV12" s="710">
        <v>-802.6</v>
      </c>
      <c r="BW12" s="52">
        <v>-820.1</v>
      </c>
      <c r="BX12" s="52">
        <v>-869.7</v>
      </c>
      <c r="BY12" s="52">
        <v>-872.3</v>
      </c>
      <c r="BZ12" s="836">
        <f t="shared" ref="BZ12:BZ17" si="28">SUM(BV12:BY12)</f>
        <v>-3364.7</v>
      </c>
      <c r="CA12" s="710">
        <v>-854.4</v>
      </c>
      <c r="CB12" s="52"/>
      <c r="CC12" s="52"/>
      <c r="CD12" s="52"/>
      <c r="CE12" s="836">
        <f t="shared" ref="CE12:CE17" si="29">SUM(CA12:CD12)</f>
        <v>-854.4</v>
      </c>
      <c r="CF12" s="941"/>
      <c r="CG12" s="714"/>
      <c r="CH12" s="714"/>
    </row>
    <row r="13" spans="1:92" ht="13">
      <c r="A13" s="868" t="s">
        <v>45</v>
      </c>
      <c r="B13" s="859" t="s">
        <v>46</v>
      </c>
      <c r="C13" s="53">
        <v>-54.4</v>
      </c>
      <c r="D13" s="52">
        <v>-56.7</v>
      </c>
      <c r="E13" s="52">
        <v>-60.2</v>
      </c>
      <c r="F13" s="52">
        <v>-71.7</v>
      </c>
      <c r="G13" s="836">
        <f>SUM(C13:F13)</f>
        <v>-243</v>
      </c>
      <c r="H13" s="53">
        <v>-60.7</v>
      </c>
      <c r="I13" s="52">
        <v>-62.3</v>
      </c>
      <c r="J13" s="52">
        <v>-64.8</v>
      </c>
      <c r="K13" s="52">
        <v>-68.599999999999994</v>
      </c>
      <c r="L13" s="836">
        <f>SUM(H13:K13)</f>
        <v>-256.39999999999998</v>
      </c>
      <c r="M13" s="53">
        <v>-62.5</v>
      </c>
      <c r="N13" s="52">
        <v>-311.3</v>
      </c>
      <c r="O13" s="52">
        <v>-478.3</v>
      </c>
      <c r="P13" s="52">
        <v>-443.8</v>
      </c>
      <c r="Q13" s="836">
        <f>SUM(M13:P13)</f>
        <v>-1295.9000000000001</v>
      </c>
      <c r="R13" s="53">
        <v>-467.9</v>
      </c>
      <c r="S13" s="52">
        <v>-393.5</v>
      </c>
      <c r="T13" s="52">
        <v>-401.2</v>
      </c>
      <c r="U13" s="50">
        <v>-436.70000000000005</v>
      </c>
      <c r="V13" s="836">
        <v>-1699.3</v>
      </c>
      <c r="W13" s="53">
        <v>-423.7</v>
      </c>
      <c r="X13" s="53">
        <v>-527.5</v>
      </c>
      <c r="Y13" s="36">
        <v>-507.9</v>
      </c>
      <c r="Z13" s="50">
        <v>-512.4</v>
      </c>
      <c r="AA13" s="836">
        <f>SUM(W13:Z13)</f>
        <v>-1971.5</v>
      </c>
      <c r="AB13" s="53">
        <v>-472.3</v>
      </c>
      <c r="AC13" s="53">
        <v>-446.7</v>
      </c>
      <c r="AD13" s="36">
        <v>-429.2</v>
      </c>
      <c r="AE13" s="36">
        <v>-434.8</v>
      </c>
      <c r="AF13" s="836">
        <f t="shared" si="8"/>
        <v>-1783</v>
      </c>
      <c r="AG13" s="53">
        <v>-454.5</v>
      </c>
      <c r="AH13" s="52">
        <v>-439.1</v>
      </c>
      <c r="AI13" s="52">
        <v>-452.5</v>
      </c>
      <c r="AJ13" s="36">
        <v>-430.6</v>
      </c>
      <c r="AK13" s="836">
        <f t="shared" si="20"/>
        <v>-1776.6999999999998</v>
      </c>
      <c r="AL13" s="848"/>
      <c r="AM13" s="53">
        <v>-454.5</v>
      </c>
      <c r="AN13" s="52">
        <v>-470.8</v>
      </c>
      <c r="AO13" s="52">
        <v>-523.5</v>
      </c>
      <c r="AP13" s="36">
        <v>-521.90000000000009</v>
      </c>
      <c r="AQ13" s="836">
        <f t="shared" si="21"/>
        <v>-1970.7</v>
      </c>
      <c r="AR13" s="53">
        <v>-440.1</v>
      </c>
      <c r="AS13" s="52">
        <v>-444.6</v>
      </c>
      <c r="AT13" s="52">
        <v>-448.5</v>
      </c>
      <c r="AU13" s="36">
        <v>-453.2</v>
      </c>
      <c r="AV13" s="836">
        <f t="shared" si="22"/>
        <v>-1786.4</v>
      </c>
      <c r="AW13" s="53">
        <v>-547.1</v>
      </c>
      <c r="AX13" s="52">
        <v>-553.6</v>
      </c>
      <c r="AY13" s="52">
        <v>-561.5</v>
      </c>
      <c r="AZ13" s="36">
        <v>-567.5</v>
      </c>
      <c r="BA13" s="836">
        <f t="shared" si="23"/>
        <v>-2229.6999999999998</v>
      </c>
      <c r="BB13" s="53">
        <v>-564.5</v>
      </c>
      <c r="BC13" s="52">
        <v>-565.9</v>
      </c>
      <c r="BD13" s="52">
        <v>-573</v>
      </c>
      <c r="BE13" s="36">
        <v>-602.29999999999995</v>
      </c>
      <c r="BF13" s="836">
        <f t="shared" si="24"/>
        <v>-2305.6999999999998</v>
      </c>
      <c r="BG13" s="53">
        <v>-521.20000000000005</v>
      </c>
      <c r="BH13" s="52">
        <v>-457.2</v>
      </c>
      <c r="BI13" s="52">
        <v>-463.6</v>
      </c>
      <c r="BJ13" s="36">
        <v>-461.2</v>
      </c>
      <c r="BK13" s="836">
        <f t="shared" si="25"/>
        <v>-1903.2</v>
      </c>
      <c r="BL13" s="53">
        <v>-446.3</v>
      </c>
      <c r="BM13" s="52">
        <v>-467.5</v>
      </c>
      <c r="BN13" s="52">
        <v>-452.1</v>
      </c>
      <c r="BO13" s="36">
        <f>-1829-BN13-BM13-BL13</f>
        <v>-463.10000000000008</v>
      </c>
      <c r="BP13" s="836">
        <f t="shared" si="26"/>
        <v>-1829.0000000000002</v>
      </c>
      <c r="BQ13" s="710">
        <v>-462.5</v>
      </c>
      <c r="BR13" s="52">
        <v>-468.7</v>
      </c>
      <c r="BS13" s="52">
        <v>-475</v>
      </c>
      <c r="BT13" s="52">
        <v>-494.2</v>
      </c>
      <c r="BU13" s="836">
        <f t="shared" si="27"/>
        <v>-1900.4</v>
      </c>
      <c r="BV13" s="710">
        <v>-481</v>
      </c>
      <c r="BW13" s="52">
        <v>-455.7</v>
      </c>
      <c r="BX13" s="52">
        <v>-303.2</v>
      </c>
      <c r="BY13" s="52">
        <v>-373.2</v>
      </c>
      <c r="BZ13" s="836">
        <f t="shared" si="28"/>
        <v>-1613.1000000000001</v>
      </c>
      <c r="CA13" s="710">
        <v>-374.6</v>
      </c>
      <c r="CB13" s="52"/>
      <c r="CC13" s="52"/>
      <c r="CD13" s="52"/>
      <c r="CE13" s="836">
        <f t="shared" si="29"/>
        <v>-374.6</v>
      </c>
      <c r="CF13" s="941"/>
      <c r="CG13" s="714"/>
      <c r="CH13" s="714"/>
    </row>
    <row r="14" spans="1:92" ht="18.75" customHeight="1">
      <c r="A14" s="868" t="s">
        <v>47</v>
      </c>
      <c r="B14" s="859" t="s">
        <v>48</v>
      </c>
      <c r="C14" s="53">
        <v>-5.5</v>
      </c>
      <c r="D14" s="52">
        <v>-7.6</v>
      </c>
      <c r="E14" s="52">
        <v>-7</v>
      </c>
      <c r="F14" s="52">
        <v>-16.100000000000001</v>
      </c>
      <c r="G14" s="836">
        <f>SUM(C14:F14)</f>
        <v>-36.200000000000003</v>
      </c>
      <c r="H14" s="53">
        <v>-25.8</v>
      </c>
      <c r="I14" s="52">
        <v>-16.8</v>
      </c>
      <c r="J14" s="52">
        <v>-10.7</v>
      </c>
      <c r="K14" s="52">
        <v>-10.6</v>
      </c>
      <c r="L14" s="836">
        <f>SUM(H14:K14)</f>
        <v>-63.9</v>
      </c>
      <c r="M14" s="53">
        <v>-10.300000000000011</v>
      </c>
      <c r="N14" s="52">
        <v>-189.7</v>
      </c>
      <c r="O14" s="52">
        <v>-348.6</v>
      </c>
      <c r="P14" s="52">
        <v>-376.6</v>
      </c>
      <c r="Q14" s="836">
        <f>SUM(M14:P14)</f>
        <v>-925.2</v>
      </c>
      <c r="R14" s="53">
        <v>-332.5</v>
      </c>
      <c r="S14" s="52">
        <v>-291.7</v>
      </c>
      <c r="T14" s="52">
        <v>-314.89999999999998</v>
      </c>
      <c r="U14" s="50">
        <v>-393.59999999999991</v>
      </c>
      <c r="V14" s="836">
        <v>-1332.8</v>
      </c>
      <c r="W14" s="53">
        <v>-326.8</v>
      </c>
      <c r="X14" s="53">
        <v>-317.3</v>
      </c>
      <c r="Y14" s="36">
        <v>-330.5</v>
      </c>
      <c r="Z14" s="50">
        <v>-380.1</v>
      </c>
      <c r="AA14" s="836">
        <f>SUM(W14:Z14)</f>
        <v>-1354.7</v>
      </c>
      <c r="AB14" s="53">
        <v>-323.60000000000002</v>
      </c>
      <c r="AC14" s="53">
        <v>-318.8</v>
      </c>
      <c r="AD14" s="36">
        <v>-323.3</v>
      </c>
      <c r="AE14" s="36">
        <v>-357.9</v>
      </c>
      <c r="AF14" s="836">
        <f t="shared" si="8"/>
        <v>-1323.6</v>
      </c>
      <c r="AG14" s="53">
        <v>-258.5</v>
      </c>
      <c r="AH14" s="52">
        <v>-275.2</v>
      </c>
      <c r="AI14" s="52">
        <v>-277.3</v>
      </c>
      <c r="AJ14" s="36">
        <v>-331.7</v>
      </c>
      <c r="AK14" s="836">
        <f t="shared" si="20"/>
        <v>-1142.7</v>
      </c>
      <c r="AL14" s="848"/>
      <c r="AM14" s="53">
        <v>-272.5</v>
      </c>
      <c r="AN14" s="52">
        <v>-282.5</v>
      </c>
      <c r="AO14" s="52">
        <v>-281.10000000000002</v>
      </c>
      <c r="AP14" s="36">
        <v>-338.1</v>
      </c>
      <c r="AQ14" s="836">
        <f t="shared" si="21"/>
        <v>-1174.2</v>
      </c>
      <c r="AR14" s="53">
        <v>-289.39999999999998</v>
      </c>
      <c r="AS14" s="52">
        <v>-321.7</v>
      </c>
      <c r="AT14" s="52">
        <v>-340.7</v>
      </c>
      <c r="AU14" s="36">
        <v>-368.6</v>
      </c>
      <c r="AV14" s="836">
        <f t="shared" si="22"/>
        <v>-1320.4</v>
      </c>
      <c r="AW14" s="53">
        <v>-289.39999999999998</v>
      </c>
      <c r="AX14" s="52">
        <v>-321.7</v>
      </c>
      <c r="AY14" s="52">
        <v>-340.7</v>
      </c>
      <c r="AZ14" s="36">
        <v>-368.6</v>
      </c>
      <c r="BA14" s="836">
        <f t="shared" si="23"/>
        <v>-1320.4</v>
      </c>
      <c r="BB14" s="53">
        <v>-282.3</v>
      </c>
      <c r="BC14" s="52">
        <v>-334.8</v>
      </c>
      <c r="BD14" s="52">
        <v>-361.6</v>
      </c>
      <c r="BE14" s="36">
        <v>-359.5</v>
      </c>
      <c r="BF14" s="836">
        <f t="shared" si="24"/>
        <v>-1338.2</v>
      </c>
      <c r="BG14" s="53">
        <v>-276.7</v>
      </c>
      <c r="BH14" s="52">
        <v>-289.2</v>
      </c>
      <c r="BI14" s="52">
        <v>-297.60000000000002</v>
      </c>
      <c r="BJ14" s="36">
        <v>-337.2</v>
      </c>
      <c r="BK14" s="836">
        <f t="shared" si="25"/>
        <v>-1200.7</v>
      </c>
      <c r="BL14" s="53">
        <v>-277.5</v>
      </c>
      <c r="BM14" s="52">
        <v>-382</v>
      </c>
      <c r="BN14" s="52">
        <v>-365.40000000000009</v>
      </c>
      <c r="BO14" s="36">
        <f>-1454.4-BN14-BM14-BL14</f>
        <v>-429.5</v>
      </c>
      <c r="BP14" s="836">
        <f t="shared" si="26"/>
        <v>-1454.4</v>
      </c>
      <c r="BQ14" s="710">
        <v>-392.6</v>
      </c>
      <c r="BR14" s="52">
        <v>-384</v>
      </c>
      <c r="BS14" s="52">
        <v>-348.1</v>
      </c>
      <c r="BT14" s="52">
        <v>-415.2</v>
      </c>
      <c r="BU14" s="836">
        <f t="shared" si="27"/>
        <v>-1539.9</v>
      </c>
      <c r="BV14" s="710">
        <v>-328</v>
      </c>
      <c r="BW14" s="52">
        <v>-333.7</v>
      </c>
      <c r="BX14" s="52">
        <v>-365.4</v>
      </c>
      <c r="BY14" s="52">
        <v>-404.8</v>
      </c>
      <c r="BZ14" s="836">
        <f t="shared" si="28"/>
        <v>-1431.8999999999999</v>
      </c>
      <c r="CA14" s="710">
        <v>-328.4</v>
      </c>
      <c r="CB14" s="52"/>
      <c r="CC14" s="52"/>
      <c r="CD14" s="52"/>
      <c r="CE14" s="836">
        <f t="shared" si="29"/>
        <v>-328.4</v>
      </c>
      <c r="CF14" s="941"/>
      <c r="CG14" s="714"/>
      <c r="CH14" s="714"/>
    </row>
    <row r="15" spans="1:92" ht="18.75" customHeight="1">
      <c r="A15" s="868" t="s">
        <v>49</v>
      </c>
      <c r="B15" s="859" t="s">
        <v>50</v>
      </c>
      <c r="C15" s="53">
        <v>-206.8</v>
      </c>
      <c r="D15" s="52">
        <v>-226.6</v>
      </c>
      <c r="E15" s="52">
        <v>-171.5</v>
      </c>
      <c r="F15" s="52">
        <v>-219</v>
      </c>
      <c r="G15" s="836">
        <f>SUM(C15:F15)</f>
        <v>-823.9</v>
      </c>
      <c r="H15" s="53">
        <v>-207.5</v>
      </c>
      <c r="I15" s="52">
        <v>-239.5</v>
      </c>
      <c r="J15" s="52">
        <v>-219.3</v>
      </c>
      <c r="K15" s="52">
        <v>-260.7</v>
      </c>
      <c r="L15" s="836">
        <f>SUM(H15:K15)</f>
        <v>-927</v>
      </c>
      <c r="M15" s="53">
        <v>-210.60000000000002</v>
      </c>
      <c r="N15" s="52">
        <v>-260.89999999999998</v>
      </c>
      <c r="O15" s="52">
        <v>-262.39999999999998</v>
      </c>
      <c r="P15" s="52">
        <v>-295.60000000000002</v>
      </c>
      <c r="Q15" s="836">
        <f>SUM(M15:P15)</f>
        <v>-1029.5</v>
      </c>
      <c r="R15" s="53">
        <v>-235.5</v>
      </c>
      <c r="S15" s="52">
        <v>-274</v>
      </c>
      <c r="T15" s="52">
        <v>-257.3</v>
      </c>
      <c r="U15" s="50">
        <v>-299.10000000000014</v>
      </c>
      <c r="V15" s="836">
        <v>-1065.9000000000001</v>
      </c>
      <c r="W15" s="53">
        <v>-248.5</v>
      </c>
      <c r="X15" s="53">
        <v>-316.3</v>
      </c>
      <c r="Y15" s="36">
        <v>-252.1</v>
      </c>
      <c r="Z15" s="50">
        <v>-297.3</v>
      </c>
      <c r="AA15" s="836">
        <f>SUM(W15:Z15)</f>
        <v>-1114.2</v>
      </c>
      <c r="AB15" s="53">
        <v>-264.3</v>
      </c>
      <c r="AC15" s="53">
        <v>-298.39999999999998</v>
      </c>
      <c r="AD15" s="36">
        <v>-269.7</v>
      </c>
      <c r="AE15" s="36">
        <v>-321.2</v>
      </c>
      <c r="AF15" s="836">
        <f t="shared" si="8"/>
        <v>-1153.6000000000001</v>
      </c>
      <c r="AG15" s="53">
        <v>-269.39999999999998</v>
      </c>
      <c r="AH15" s="52">
        <v>-316.8</v>
      </c>
      <c r="AI15" s="52">
        <v>-323.5</v>
      </c>
      <c r="AJ15" s="36">
        <v>-406.8</v>
      </c>
      <c r="AK15" s="836">
        <f t="shared" si="20"/>
        <v>-1316.5</v>
      </c>
      <c r="AL15" s="848"/>
      <c r="AM15" s="53">
        <v>-269.39999999999998</v>
      </c>
      <c r="AN15" s="52">
        <v>-323</v>
      </c>
      <c r="AO15" s="52">
        <v>-338.9</v>
      </c>
      <c r="AP15" s="36">
        <v>-424</v>
      </c>
      <c r="AQ15" s="836">
        <f t="shared" si="21"/>
        <v>-1355.3</v>
      </c>
      <c r="AR15" s="53">
        <v>-369</v>
      </c>
      <c r="AS15" s="52">
        <v>-418</v>
      </c>
      <c r="AT15" s="52">
        <v>-423</v>
      </c>
      <c r="AU15" s="36">
        <v>-456.9</v>
      </c>
      <c r="AV15" s="836">
        <f t="shared" si="22"/>
        <v>-1666.9</v>
      </c>
      <c r="AW15" s="53">
        <v>-366.9</v>
      </c>
      <c r="AX15" s="52">
        <v>-415.8</v>
      </c>
      <c r="AY15" s="52">
        <v>-421</v>
      </c>
      <c r="AZ15" s="36">
        <v>-454.8</v>
      </c>
      <c r="BA15" s="836">
        <f t="shared" si="23"/>
        <v>-1658.5</v>
      </c>
      <c r="BB15" s="53">
        <v>-388.8</v>
      </c>
      <c r="BC15" s="52">
        <v>-368.9</v>
      </c>
      <c r="BD15" s="52">
        <v>-396.7</v>
      </c>
      <c r="BE15" s="36">
        <v>-484</v>
      </c>
      <c r="BF15" s="836">
        <f t="shared" si="24"/>
        <v>-1638.4</v>
      </c>
      <c r="BG15" s="53">
        <v>-419.4</v>
      </c>
      <c r="BH15" s="52">
        <v>-449.2</v>
      </c>
      <c r="BI15" s="52">
        <v>-426.9</v>
      </c>
      <c r="BJ15" s="36">
        <v>-531.4</v>
      </c>
      <c r="BK15" s="836">
        <f t="shared" si="25"/>
        <v>-1826.9</v>
      </c>
      <c r="BL15" s="53">
        <v>-473.5</v>
      </c>
      <c r="BM15" s="52">
        <v>-504.9</v>
      </c>
      <c r="BN15" s="52">
        <v>-530</v>
      </c>
      <c r="BO15" s="36">
        <f>-2063.9-BN15-BM15-BL15</f>
        <v>-555.5</v>
      </c>
      <c r="BP15" s="836">
        <f t="shared" si="26"/>
        <v>-2063.9</v>
      </c>
      <c r="BQ15" s="710">
        <v>-514.5</v>
      </c>
      <c r="BR15" s="52">
        <v>-529.4</v>
      </c>
      <c r="BS15" s="52">
        <v>-516.6</v>
      </c>
      <c r="BT15" s="52">
        <v>-565.6</v>
      </c>
      <c r="BU15" s="836">
        <f t="shared" si="27"/>
        <v>-2126.1</v>
      </c>
      <c r="BV15" s="710">
        <v>-513</v>
      </c>
      <c r="BW15" s="52">
        <v>-555.4</v>
      </c>
      <c r="BX15" s="52">
        <v>-415.1</v>
      </c>
      <c r="BY15" s="52">
        <v>-590.29999999999995</v>
      </c>
      <c r="BZ15" s="836">
        <f t="shared" si="28"/>
        <v>-2073.8000000000002</v>
      </c>
      <c r="CA15" s="710">
        <v>-478.9</v>
      </c>
      <c r="CB15" s="52"/>
      <c r="CC15" s="52"/>
      <c r="CD15" s="52"/>
      <c r="CE15" s="836">
        <f t="shared" si="29"/>
        <v>-478.9</v>
      </c>
      <c r="CF15" s="941"/>
      <c r="CG15" s="714"/>
      <c r="CH15" s="714"/>
    </row>
    <row r="16" spans="1:92" ht="26">
      <c r="A16" s="868" t="s">
        <v>51</v>
      </c>
      <c r="B16" s="859" t="s">
        <v>52</v>
      </c>
      <c r="C16" s="53">
        <v>-71.5</v>
      </c>
      <c r="D16" s="52">
        <v>-71.8</v>
      </c>
      <c r="E16" s="52">
        <v>-73.7</v>
      </c>
      <c r="F16" s="52">
        <v>-95.7</v>
      </c>
      <c r="G16" s="836">
        <f>SUM(C16:F16)</f>
        <v>-312.7</v>
      </c>
      <c r="H16" s="53">
        <v>-79</v>
      </c>
      <c r="I16" s="52">
        <v>-81.3</v>
      </c>
      <c r="J16" s="52">
        <v>-79.3</v>
      </c>
      <c r="K16" s="52">
        <v>-92.4</v>
      </c>
      <c r="L16" s="836">
        <f>SUM(H16:K16)</f>
        <v>-332</v>
      </c>
      <c r="M16" s="53">
        <v>-75.400000000000006</v>
      </c>
      <c r="N16" s="52">
        <v>-132.19999999999999</v>
      </c>
      <c r="O16" s="52">
        <v>-186.8</v>
      </c>
      <c r="P16" s="52">
        <v>-218.3</v>
      </c>
      <c r="Q16" s="836">
        <f>SUM(M16:P16)</f>
        <v>-612.70000000000005</v>
      </c>
      <c r="R16" s="53">
        <v>-189.2</v>
      </c>
      <c r="S16" s="52">
        <v>-193.2</v>
      </c>
      <c r="T16" s="52">
        <v>-200.1</v>
      </c>
      <c r="U16" s="50">
        <v>-220.1</v>
      </c>
      <c r="V16" s="836">
        <v>-802.6</v>
      </c>
      <c r="W16" s="53">
        <v>-200.5</v>
      </c>
      <c r="X16" s="53">
        <v>-202.2</v>
      </c>
      <c r="Y16" s="36">
        <v>-202.6</v>
      </c>
      <c r="Z16" s="50">
        <v>-222.5</v>
      </c>
      <c r="AA16" s="836">
        <f>SUM(W16:Z16)</f>
        <v>-827.8</v>
      </c>
      <c r="AB16" s="53">
        <v>-211.1</v>
      </c>
      <c r="AC16" s="53">
        <v>-215.9</v>
      </c>
      <c r="AD16" s="36">
        <v>-224</v>
      </c>
      <c r="AE16" s="36">
        <v>-243.3</v>
      </c>
      <c r="AF16" s="836">
        <f t="shared" si="8"/>
        <v>-894.3</v>
      </c>
      <c r="AG16" s="53">
        <v>-205.2</v>
      </c>
      <c r="AH16" s="52">
        <v>-214.9</v>
      </c>
      <c r="AI16" s="52">
        <v>-217.1</v>
      </c>
      <c r="AJ16" s="36">
        <v>-265.60000000000002</v>
      </c>
      <c r="AK16" s="836">
        <f t="shared" si="20"/>
        <v>-902.80000000000007</v>
      </c>
      <c r="AL16" s="848"/>
      <c r="AM16" s="53">
        <v>-205.2</v>
      </c>
      <c r="AN16" s="52">
        <v>-223.5</v>
      </c>
      <c r="AO16" s="52">
        <v>-236.5</v>
      </c>
      <c r="AP16" s="36">
        <v>-268.69999999999993</v>
      </c>
      <c r="AQ16" s="836">
        <f t="shared" si="21"/>
        <v>-933.9</v>
      </c>
      <c r="AR16" s="53">
        <v>-249.5</v>
      </c>
      <c r="AS16" s="52">
        <v>-245.6</v>
      </c>
      <c r="AT16" s="52">
        <v>-261</v>
      </c>
      <c r="AU16" s="36">
        <v>-282.7</v>
      </c>
      <c r="AV16" s="836">
        <f t="shared" si="22"/>
        <v>-1038.8</v>
      </c>
      <c r="AW16" s="53">
        <v>-244.8</v>
      </c>
      <c r="AX16" s="52">
        <v>-241.8</v>
      </c>
      <c r="AY16" s="52">
        <v>-256.60000000000002</v>
      </c>
      <c r="AZ16" s="36">
        <v>-278.10000000000002</v>
      </c>
      <c r="BA16" s="836">
        <f t="shared" si="23"/>
        <v>-1021.3000000000001</v>
      </c>
      <c r="BB16" s="53">
        <v>-224.4</v>
      </c>
      <c r="BC16" s="52">
        <v>-232</v>
      </c>
      <c r="BD16" s="52">
        <v>-247.4</v>
      </c>
      <c r="BE16" s="36">
        <v>-259.39999999999998</v>
      </c>
      <c r="BF16" s="836">
        <f t="shared" si="24"/>
        <v>-963.19999999999993</v>
      </c>
      <c r="BG16" s="53">
        <v>-229</v>
      </c>
      <c r="BH16" s="52">
        <v>-230.6</v>
      </c>
      <c r="BI16" s="52">
        <v>-280.60000000000002</v>
      </c>
      <c r="BJ16" s="36">
        <v>-284.8</v>
      </c>
      <c r="BK16" s="836">
        <f t="shared" si="25"/>
        <v>-1025</v>
      </c>
      <c r="BL16" s="53">
        <v>-251.1</v>
      </c>
      <c r="BM16" s="52">
        <v>-256.2</v>
      </c>
      <c r="BN16" s="52">
        <v>-256.60000000000002</v>
      </c>
      <c r="BO16" s="36">
        <f>-1035-BN16-BM16-BL16</f>
        <v>-271.10000000000002</v>
      </c>
      <c r="BP16" s="836">
        <f t="shared" si="26"/>
        <v>-1035</v>
      </c>
      <c r="BQ16" s="710">
        <v>-243.6</v>
      </c>
      <c r="BR16" s="52">
        <v>-247.7</v>
      </c>
      <c r="BS16" s="52">
        <v>-258.2</v>
      </c>
      <c r="BT16" s="52">
        <v>-277.39999999999998</v>
      </c>
      <c r="BU16" s="836">
        <f t="shared" si="27"/>
        <v>-1026.9000000000001</v>
      </c>
      <c r="BV16" s="710">
        <v>-268.7</v>
      </c>
      <c r="BW16" s="52">
        <v>-255.8</v>
      </c>
      <c r="BX16" s="52">
        <v>-264.10000000000002</v>
      </c>
      <c r="BY16" s="52">
        <v>-290.5</v>
      </c>
      <c r="BZ16" s="836">
        <f t="shared" si="28"/>
        <v>-1079.0999999999999</v>
      </c>
      <c r="CA16" s="710">
        <v>-258.7</v>
      </c>
      <c r="CB16" s="52"/>
      <c r="CC16" s="52"/>
      <c r="CD16" s="52"/>
      <c r="CE16" s="836">
        <f t="shared" si="29"/>
        <v>-258.7</v>
      </c>
      <c r="CF16" s="941"/>
      <c r="CG16" s="714"/>
      <c r="CH16" s="714"/>
    </row>
    <row r="17" spans="1:89" ht="18.75" customHeight="1">
      <c r="A17" s="868" t="s">
        <v>53</v>
      </c>
      <c r="B17" s="859" t="s">
        <v>54</v>
      </c>
      <c r="C17" s="53"/>
      <c r="D17" s="52"/>
      <c r="E17" s="52"/>
      <c r="F17" s="52"/>
      <c r="G17" s="836"/>
      <c r="H17" s="53"/>
      <c r="I17" s="52"/>
      <c r="J17" s="52"/>
      <c r="K17" s="52"/>
      <c r="L17" s="836"/>
      <c r="M17" s="53"/>
      <c r="N17" s="52"/>
      <c r="O17" s="52"/>
      <c r="P17" s="52"/>
      <c r="Q17" s="836"/>
      <c r="R17" s="53"/>
      <c r="S17" s="52"/>
      <c r="T17" s="52"/>
      <c r="U17" s="50"/>
      <c r="V17" s="836"/>
      <c r="W17" s="53"/>
      <c r="X17" s="53"/>
      <c r="Y17" s="36"/>
      <c r="Z17" s="50"/>
      <c r="AA17" s="836"/>
      <c r="AB17" s="53"/>
      <c r="AC17" s="53"/>
      <c r="AD17" s="36"/>
      <c r="AE17" s="36"/>
      <c r="AF17" s="836"/>
      <c r="AG17" s="53"/>
      <c r="AH17" s="52"/>
      <c r="AI17" s="52"/>
      <c r="AJ17" s="36"/>
      <c r="AK17" s="836"/>
      <c r="AL17" s="848"/>
      <c r="AM17" s="53"/>
      <c r="AN17" s="52"/>
      <c r="AO17" s="52"/>
      <c r="AP17" s="36"/>
      <c r="AQ17" s="836"/>
      <c r="AR17" s="53"/>
      <c r="AS17" s="52"/>
      <c r="AT17" s="52"/>
      <c r="AU17" s="36"/>
      <c r="AV17" s="836"/>
      <c r="AW17" s="53"/>
      <c r="AX17" s="52"/>
      <c r="AY17" s="52"/>
      <c r="AZ17" s="36"/>
      <c r="BA17" s="836"/>
      <c r="BB17" s="53"/>
      <c r="BC17" s="52"/>
      <c r="BD17" s="52"/>
      <c r="BE17" s="36"/>
      <c r="BF17" s="836"/>
      <c r="BG17" s="53"/>
      <c r="BH17" s="52"/>
      <c r="BI17" s="52"/>
      <c r="BJ17" s="36"/>
      <c r="BK17" s="836"/>
      <c r="BL17" s="53"/>
      <c r="BM17" s="52"/>
      <c r="BN17" s="52"/>
      <c r="BO17" s="36"/>
      <c r="BP17" s="836"/>
      <c r="BQ17" s="710"/>
      <c r="BR17" s="52"/>
      <c r="BS17" s="52">
        <v>-255.1</v>
      </c>
      <c r="BT17" s="52">
        <v>-268.2</v>
      </c>
      <c r="BU17" s="836">
        <f t="shared" si="27"/>
        <v>-523.29999999999995</v>
      </c>
      <c r="BV17" s="710">
        <v>-241.8</v>
      </c>
      <c r="BW17" s="52">
        <v>-194.1</v>
      </c>
      <c r="BX17" s="52">
        <v>-262.2</v>
      </c>
      <c r="BY17" s="52">
        <v>-263.39999999999998</v>
      </c>
      <c r="BZ17" s="836">
        <f t="shared" si="28"/>
        <v>-961.49999999999989</v>
      </c>
      <c r="CA17" s="710">
        <v>-263.5</v>
      </c>
      <c r="CB17" s="52"/>
      <c r="CC17" s="52"/>
      <c r="CD17" s="52"/>
      <c r="CE17" s="836">
        <f t="shared" si="29"/>
        <v>-263.5</v>
      </c>
      <c r="CF17" s="941"/>
      <c r="CG17" s="714"/>
      <c r="CH17" s="714"/>
    </row>
    <row r="18" spans="1:89" s="745" customFormat="1" ht="18.75" customHeight="1">
      <c r="A18" s="862" t="s">
        <v>55</v>
      </c>
      <c r="B18" s="862" t="s">
        <v>56</v>
      </c>
      <c r="C18" s="742"/>
      <c r="D18" s="740"/>
      <c r="E18" s="740"/>
      <c r="F18" s="740"/>
      <c r="G18" s="837"/>
      <c r="H18" s="742"/>
      <c r="I18" s="740"/>
      <c r="J18" s="740"/>
      <c r="K18" s="740"/>
      <c r="L18" s="837"/>
      <c r="M18" s="742"/>
      <c r="N18" s="740"/>
      <c r="O18" s="740"/>
      <c r="P18" s="740"/>
      <c r="Q18" s="837"/>
      <c r="R18" s="742"/>
      <c r="S18" s="740"/>
      <c r="T18" s="740"/>
      <c r="U18" s="741"/>
      <c r="V18" s="837"/>
      <c r="W18" s="742"/>
      <c r="X18" s="742"/>
      <c r="Y18" s="743"/>
      <c r="Z18" s="741"/>
      <c r="AA18" s="837"/>
      <c r="AB18" s="742"/>
      <c r="AC18" s="742"/>
      <c r="AD18" s="743"/>
      <c r="AE18" s="743"/>
      <c r="AF18" s="837"/>
      <c r="AG18" s="742"/>
      <c r="AH18" s="740"/>
      <c r="AI18" s="740"/>
      <c r="AJ18" s="743"/>
      <c r="AK18" s="837"/>
      <c r="AL18" s="850"/>
      <c r="AM18" s="742"/>
      <c r="AN18" s="740"/>
      <c r="AO18" s="740"/>
      <c r="AP18" s="743"/>
      <c r="AQ18" s="837"/>
      <c r="AR18" s="742"/>
      <c r="AS18" s="740"/>
      <c r="AT18" s="740"/>
      <c r="AU18" s="743"/>
      <c r="AV18" s="837"/>
      <c r="AW18" s="742"/>
      <c r="AX18" s="740"/>
      <c r="AY18" s="740"/>
      <c r="AZ18" s="743"/>
      <c r="BA18" s="837"/>
      <c r="BB18" s="742"/>
      <c r="BC18" s="740"/>
      <c r="BD18" s="740"/>
      <c r="BE18" s="743"/>
      <c r="BF18" s="837"/>
      <c r="BG18" s="742"/>
      <c r="BH18" s="740"/>
      <c r="BI18" s="740"/>
      <c r="BJ18" s="743"/>
      <c r="BK18" s="837"/>
      <c r="BL18" s="742"/>
      <c r="BM18" s="740"/>
      <c r="BN18" s="740"/>
      <c r="BO18" s="743"/>
      <c r="BP18" s="837"/>
      <c r="BQ18" s="744"/>
      <c r="BR18" s="740"/>
      <c r="BS18" s="740">
        <v>-8.5</v>
      </c>
      <c r="BT18" s="740">
        <v>-9.3000000000000007</v>
      </c>
      <c r="BU18" s="837">
        <f>SUM(BQ18:BT18)</f>
        <v>-17.8</v>
      </c>
      <c r="BV18" s="744">
        <v>-11.6</v>
      </c>
      <c r="BW18" s="740">
        <v>-12.3</v>
      </c>
      <c r="BX18" s="740">
        <v>-12.4</v>
      </c>
      <c r="BY18" s="740">
        <v>-17.600000000000001</v>
      </c>
      <c r="BZ18" s="837">
        <f>SUM(BV18:BY18)</f>
        <v>-53.9</v>
      </c>
      <c r="CA18" s="744">
        <v>-23.1</v>
      </c>
      <c r="CB18" s="740"/>
      <c r="CC18" s="740"/>
      <c r="CD18" s="740"/>
      <c r="CE18" s="837">
        <f>SUM(CA18:CD18)</f>
        <v>-23.1</v>
      </c>
      <c r="CF18" s="941"/>
      <c r="CG18" s="714"/>
      <c r="CH18" s="714"/>
    </row>
    <row r="19" spans="1:89" ht="18.75" customHeight="1">
      <c r="A19" s="868" t="s">
        <v>57</v>
      </c>
      <c r="B19" s="859" t="s">
        <v>58</v>
      </c>
      <c r="C19" s="53">
        <v>-40.6</v>
      </c>
      <c r="D19" s="52">
        <v>-40.299999999999997</v>
      </c>
      <c r="E19" s="52">
        <v>-38.9</v>
      </c>
      <c r="F19" s="52">
        <v>-58.6</v>
      </c>
      <c r="G19" s="836">
        <f t="shared" ref="G19:G24" si="30">SUM(C19:F19)</f>
        <v>-178.4</v>
      </c>
      <c r="H19" s="53">
        <v>-43.1</v>
      </c>
      <c r="I19" s="52">
        <v>-41.9</v>
      </c>
      <c r="J19" s="52">
        <v>-40.4</v>
      </c>
      <c r="K19" s="52">
        <v>-53.2</v>
      </c>
      <c r="L19" s="836">
        <f t="shared" ref="L19:L24" si="31">SUM(H19:K19)</f>
        <v>-178.60000000000002</v>
      </c>
      <c r="M19" s="53">
        <v>-44.600000000000009</v>
      </c>
      <c r="N19" s="52">
        <v>-108.2</v>
      </c>
      <c r="O19" s="52">
        <v>-118</v>
      </c>
      <c r="P19" s="52">
        <v>-150.9</v>
      </c>
      <c r="Q19" s="836">
        <f t="shared" ref="Q19:Q24" si="32">SUM(M19:P19)</f>
        <v>-421.70000000000005</v>
      </c>
      <c r="R19" s="53">
        <v>-129.1</v>
      </c>
      <c r="S19" s="52">
        <v>-140.80000000000001</v>
      </c>
      <c r="T19" s="52">
        <v>-122.3</v>
      </c>
      <c r="U19" s="50">
        <v>-158.00000000000006</v>
      </c>
      <c r="V19" s="836">
        <v>-550.20000000000005</v>
      </c>
      <c r="W19" s="53">
        <v>-137.9</v>
      </c>
      <c r="X19" s="53">
        <v>-138.19999999999999</v>
      </c>
      <c r="Y19" s="36">
        <v>-130.5</v>
      </c>
      <c r="Z19" s="50">
        <v>-163.9</v>
      </c>
      <c r="AA19" s="836">
        <f t="shared" si="7"/>
        <v>-570.5</v>
      </c>
      <c r="AB19" s="53">
        <v>-127.8</v>
      </c>
      <c r="AC19" s="53">
        <v>-133.69999999999999</v>
      </c>
      <c r="AD19" s="36">
        <v>-127.4</v>
      </c>
      <c r="AE19" s="36">
        <v>-164.2</v>
      </c>
      <c r="AF19" s="836">
        <f t="shared" si="8"/>
        <v>-553.09999999999991</v>
      </c>
      <c r="AG19" s="53">
        <v>-143.80000000000001</v>
      </c>
      <c r="AH19" s="52">
        <v>-146</v>
      </c>
      <c r="AI19" s="52">
        <v>-137</v>
      </c>
      <c r="AJ19" s="36">
        <v>-184.2</v>
      </c>
      <c r="AK19" s="836">
        <f t="shared" si="20"/>
        <v>-611</v>
      </c>
      <c r="AL19" s="851"/>
      <c r="AM19" s="53">
        <v>-143.80000000000001</v>
      </c>
      <c r="AN19" s="52">
        <v>-169.3</v>
      </c>
      <c r="AO19" s="52">
        <v>-187.1</v>
      </c>
      <c r="AP19" s="36">
        <v>-238.7</v>
      </c>
      <c r="AQ19" s="836">
        <f t="shared" si="21"/>
        <v>-738.90000000000009</v>
      </c>
      <c r="AR19" s="53">
        <v>-212.6</v>
      </c>
      <c r="AS19" s="52">
        <v>-205.6</v>
      </c>
      <c r="AT19" s="52">
        <v>-199.3</v>
      </c>
      <c r="AU19" s="36">
        <v>-253.1</v>
      </c>
      <c r="AV19" s="836">
        <f t="shared" si="22"/>
        <v>-870.6</v>
      </c>
      <c r="AW19" s="53">
        <v>-212.6</v>
      </c>
      <c r="AX19" s="52">
        <v>-205.6</v>
      </c>
      <c r="AY19" s="52">
        <v>-199.3</v>
      </c>
      <c r="AZ19" s="36">
        <v>-253.1</v>
      </c>
      <c r="BA19" s="836">
        <f t="shared" si="23"/>
        <v>-870.6</v>
      </c>
      <c r="BB19" s="53">
        <v>-221.9</v>
      </c>
      <c r="BC19" s="52">
        <v>-210.2</v>
      </c>
      <c r="BD19" s="52">
        <v>-208</v>
      </c>
      <c r="BE19" s="36">
        <v>-265.8</v>
      </c>
      <c r="BF19" s="836">
        <f t="shared" si="24"/>
        <v>-905.90000000000009</v>
      </c>
      <c r="BG19" s="53">
        <v>-236.9</v>
      </c>
      <c r="BH19" s="52">
        <v>-227.9</v>
      </c>
      <c r="BI19" s="52">
        <v>-210.8</v>
      </c>
      <c r="BJ19" s="36">
        <v>-271.3</v>
      </c>
      <c r="BK19" s="836">
        <f t="shared" si="25"/>
        <v>-946.90000000000009</v>
      </c>
      <c r="BL19" s="53">
        <v>-244.6</v>
      </c>
      <c r="BM19" s="52">
        <v>-247.1</v>
      </c>
      <c r="BN19" s="52">
        <v>-242.3</v>
      </c>
      <c r="BO19" s="36">
        <f>-1034-BN19-BM19-BL19</f>
        <v>-300</v>
      </c>
      <c r="BP19" s="836">
        <f t="shared" si="26"/>
        <v>-1034</v>
      </c>
      <c r="BQ19" s="710">
        <v>-276.10000000000002</v>
      </c>
      <c r="BR19" s="52">
        <v>-274.89999999999998</v>
      </c>
      <c r="BS19" s="52">
        <v>-271.60000000000002</v>
      </c>
      <c r="BT19" s="52">
        <v>-335.6</v>
      </c>
      <c r="BU19" s="836">
        <f t="shared" ref="BU19:BU22" si="33">SUM(BQ19:BT19)</f>
        <v>-1158.2</v>
      </c>
      <c r="BV19" s="710">
        <v>-304</v>
      </c>
      <c r="BW19" s="52">
        <v>-296.39999999999998</v>
      </c>
      <c r="BX19" s="52">
        <v>-290.10000000000002</v>
      </c>
      <c r="BY19" s="52">
        <v>-352.9</v>
      </c>
      <c r="BZ19" s="836">
        <f t="shared" ref="BZ19:BZ22" si="34">SUM(BV19:BY19)</f>
        <v>-1243.4000000000001</v>
      </c>
      <c r="CA19" s="710">
        <v>-320.60000000000002</v>
      </c>
      <c r="CB19" s="52"/>
      <c r="CC19" s="52"/>
      <c r="CD19" s="52"/>
      <c r="CE19" s="836">
        <f t="shared" ref="CE19:CE22" si="35">SUM(CA19:CD19)</f>
        <v>-320.60000000000002</v>
      </c>
      <c r="CF19" s="941"/>
      <c r="CG19" s="714"/>
      <c r="CH19" s="714"/>
    </row>
    <row r="20" spans="1:89" ht="30" customHeight="1">
      <c r="A20" s="868" t="s">
        <v>59</v>
      </c>
      <c r="B20" s="863" t="s">
        <v>60</v>
      </c>
      <c r="C20" s="53">
        <v>-5.9</v>
      </c>
      <c r="D20" s="52">
        <v>-8.4</v>
      </c>
      <c r="E20" s="52">
        <v>-5.3</v>
      </c>
      <c r="F20" s="52">
        <v>-7.8</v>
      </c>
      <c r="G20" s="836">
        <f t="shared" si="30"/>
        <v>-27.400000000000002</v>
      </c>
      <c r="H20" s="53">
        <v>-6.42</v>
      </c>
      <c r="I20" s="52">
        <v>-9.3000000000000007</v>
      </c>
      <c r="J20" s="52">
        <v>-5.3</v>
      </c>
      <c r="K20" s="52">
        <v>-7.2</v>
      </c>
      <c r="L20" s="836">
        <f t="shared" si="31"/>
        <v>-28.22</v>
      </c>
      <c r="M20" s="53">
        <v>-6.6999999999999993</v>
      </c>
      <c r="N20" s="52">
        <v>-18.100000000000001</v>
      </c>
      <c r="O20" s="52">
        <v>-15.3</v>
      </c>
      <c r="P20" s="52">
        <v>-27.5</v>
      </c>
      <c r="Q20" s="836">
        <f t="shared" si="32"/>
        <v>-67.599999999999994</v>
      </c>
      <c r="R20" s="53">
        <v>-18.7</v>
      </c>
      <c r="S20" s="52">
        <v>-27.8</v>
      </c>
      <c r="T20" s="52">
        <v>-8.5</v>
      </c>
      <c r="U20" s="50">
        <v>-7.6000000000000014</v>
      </c>
      <c r="V20" s="836">
        <v>-62.6</v>
      </c>
      <c r="W20" s="53">
        <v>-9.6</v>
      </c>
      <c r="X20" s="53">
        <v>-16.3</v>
      </c>
      <c r="Y20" s="36">
        <v>-5.7</v>
      </c>
      <c r="Z20" s="50">
        <v>-15.3</v>
      </c>
      <c r="AA20" s="836">
        <f t="shared" si="7"/>
        <v>-46.9</v>
      </c>
      <c r="AB20" s="53">
        <v>-19.3</v>
      </c>
      <c r="AC20" s="53">
        <v>-16.3</v>
      </c>
      <c r="AD20" s="36">
        <v>-21.3</v>
      </c>
      <c r="AE20" s="36">
        <v>-10.5</v>
      </c>
      <c r="AF20" s="836">
        <f t="shared" si="8"/>
        <v>-67.400000000000006</v>
      </c>
      <c r="AG20" s="53">
        <v>-11.9</v>
      </c>
      <c r="AH20" s="52">
        <v>-18.2</v>
      </c>
      <c r="AI20" s="52">
        <v>-32.9</v>
      </c>
      <c r="AJ20" s="36">
        <v>-19</v>
      </c>
      <c r="AK20" s="836">
        <f t="shared" si="20"/>
        <v>-82</v>
      </c>
      <c r="AL20" s="848"/>
      <c r="AM20" s="53">
        <v>-11.9</v>
      </c>
      <c r="AN20" s="52">
        <v>-17.600000000000001</v>
      </c>
      <c r="AO20" s="52">
        <v>-34.799999999999997</v>
      </c>
      <c r="AP20" s="36">
        <v>-19.600000000000009</v>
      </c>
      <c r="AQ20" s="836">
        <f t="shared" si="21"/>
        <v>-83.9</v>
      </c>
      <c r="AR20" s="53">
        <v>-34.6</v>
      </c>
      <c r="AS20" s="52">
        <v>-16.899999999999999</v>
      </c>
      <c r="AT20" s="52">
        <v>-19.8</v>
      </c>
      <c r="AU20" s="36">
        <v>-27.6</v>
      </c>
      <c r="AV20" s="836">
        <f t="shared" si="22"/>
        <v>-98.9</v>
      </c>
      <c r="AW20" s="53">
        <v>-34.6</v>
      </c>
      <c r="AX20" s="52">
        <v>-16.899999999999999</v>
      </c>
      <c r="AY20" s="52">
        <v>-19.8</v>
      </c>
      <c r="AZ20" s="36">
        <v>-27.6</v>
      </c>
      <c r="BA20" s="836">
        <f t="shared" si="23"/>
        <v>-98.9</v>
      </c>
      <c r="BB20" s="53">
        <v>-44.311173479999866</v>
      </c>
      <c r="BC20" s="52">
        <v>-36.6</v>
      </c>
      <c r="BD20" s="52">
        <v>-22.8</v>
      </c>
      <c r="BE20" s="36">
        <v>-25.2</v>
      </c>
      <c r="BF20" s="836">
        <f t="shared" si="24"/>
        <v>-128.91117347999986</v>
      </c>
      <c r="BG20" s="53">
        <v>-29.8</v>
      </c>
      <c r="BH20" s="52">
        <v>-22.7</v>
      </c>
      <c r="BI20" s="52">
        <v>-30.4</v>
      </c>
      <c r="BJ20" s="36">
        <v>-12.5</v>
      </c>
      <c r="BK20" s="836">
        <f t="shared" si="25"/>
        <v>-95.4</v>
      </c>
      <c r="BL20" s="53">
        <v>-24.8</v>
      </c>
      <c r="BM20" s="52">
        <v>-22.3</v>
      </c>
      <c r="BN20" s="52">
        <v>-25.6</v>
      </c>
      <c r="BO20" s="36">
        <f>-97.8-BN20-BM20-BL20</f>
        <v>-25.099999999999991</v>
      </c>
      <c r="BP20" s="836">
        <f t="shared" si="26"/>
        <v>-97.8</v>
      </c>
      <c r="BQ20" s="710">
        <v>-29.4</v>
      </c>
      <c r="BR20" s="52">
        <v>-32.5</v>
      </c>
      <c r="BS20" s="52">
        <v>-32.9</v>
      </c>
      <c r="BT20" s="52">
        <v>-26.2</v>
      </c>
      <c r="BU20" s="836">
        <f t="shared" si="33"/>
        <v>-121</v>
      </c>
      <c r="BV20" s="710">
        <v>-13.1</v>
      </c>
      <c r="BW20" s="52">
        <v>-28.4</v>
      </c>
      <c r="BX20" s="52">
        <v>-27.7</v>
      </c>
      <c r="BY20" s="52">
        <v>-21.4</v>
      </c>
      <c r="BZ20" s="836">
        <f t="shared" si="34"/>
        <v>-90.6</v>
      </c>
      <c r="CA20" s="710">
        <v>-30</v>
      </c>
      <c r="CB20" s="52"/>
      <c r="CC20" s="52"/>
      <c r="CD20" s="52"/>
      <c r="CE20" s="836">
        <f t="shared" si="35"/>
        <v>-30</v>
      </c>
      <c r="CF20" s="941"/>
      <c r="CG20" s="714"/>
      <c r="CH20" s="714"/>
    </row>
    <row r="21" spans="1:89" ht="18.75" customHeight="1">
      <c r="A21" s="868" t="s">
        <v>61</v>
      </c>
      <c r="B21" s="859" t="s">
        <v>62</v>
      </c>
      <c r="C21" s="53">
        <v>-30.1</v>
      </c>
      <c r="D21" s="52">
        <v>-33.200000000000003</v>
      </c>
      <c r="E21" s="52">
        <v>-29.7</v>
      </c>
      <c r="F21" s="52">
        <v>-34.200000000000003</v>
      </c>
      <c r="G21" s="836">
        <f t="shared" si="30"/>
        <v>-127.2</v>
      </c>
      <c r="H21" s="53">
        <v>-29.7</v>
      </c>
      <c r="I21" s="52">
        <v>-29.3</v>
      </c>
      <c r="J21" s="52">
        <v>-28.7</v>
      </c>
      <c r="K21" s="52">
        <v>-27.6</v>
      </c>
      <c r="L21" s="836">
        <f t="shared" si="31"/>
        <v>-115.30000000000001</v>
      </c>
      <c r="M21" s="53">
        <v>-26.000000000000007</v>
      </c>
      <c r="N21" s="52">
        <v>-43.4</v>
      </c>
      <c r="O21" s="52">
        <v>-87.2</v>
      </c>
      <c r="P21" s="52">
        <v>-55.5</v>
      </c>
      <c r="Q21" s="836">
        <f t="shared" si="32"/>
        <v>-212.10000000000002</v>
      </c>
      <c r="R21" s="53">
        <v>-53.8</v>
      </c>
      <c r="S21" s="52">
        <v>-56.1</v>
      </c>
      <c r="T21" s="52">
        <v>-44.6</v>
      </c>
      <c r="U21" s="50">
        <v>-59.099999999999994</v>
      </c>
      <c r="V21" s="836">
        <v>-213.5</v>
      </c>
      <c r="W21" s="53">
        <v>-50.7</v>
      </c>
      <c r="X21" s="53">
        <v>-67.599999999999994</v>
      </c>
      <c r="Y21" s="36">
        <v>-50.2</v>
      </c>
      <c r="Z21" s="50">
        <v>-76.5</v>
      </c>
      <c r="AA21" s="836">
        <f t="shared" si="7"/>
        <v>-245</v>
      </c>
      <c r="AB21" s="53">
        <v>-51.6</v>
      </c>
      <c r="AC21" s="53">
        <v>-49.5</v>
      </c>
      <c r="AD21" s="36">
        <v>-52.3</v>
      </c>
      <c r="AE21" s="36">
        <v>-73.5</v>
      </c>
      <c r="AF21" s="836">
        <f t="shared" si="8"/>
        <v>-226.89999999999998</v>
      </c>
      <c r="AG21" s="53">
        <v>-55.3</v>
      </c>
      <c r="AH21" s="52">
        <v>-55.2</v>
      </c>
      <c r="AI21" s="52">
        <v>-53.4</v>
      </c>
      <c r="AJ21" s="36">
        <v>-68</v>
      </c>
      <c r="AK21" s="836">
        <f t="shared" si="20"/>
        <v>-231.9</v>
      </c>
      <c r="AL21" s="848"/>
      <c r="AM21" s="53">
        <v>-55.3</v>
      </c>
      <c r="AN21" s="52">
        <v>-61.8</v>
      </c>
      <c r="AO21" s="52">
        <v>-69.099999999999994</v>
      </c>
      <c r="AP21" s="36">
        <v>-86.800000000000011</v>
      </c>
      <c r="AQ21" s="836">
        <f t="shared" si="21"/>
        <v>-273</v>
      </c>
      <c r="AR21" s="53">
        <v>-70.599999999999994</v>
      </c>
      <c r="AS21" s="52">
        <v>-73.599999999999994</v>
      </c>
      <c r="AT21" s="52">
        <v>-76.599999999999994</v>
      </c>
      <c r="AU21" s="36">
        <v>-80.7</v>
      </c>
      <c r="AV21" s="836">
        <f t="shared" si="22"/>
        <v>-301.5</v>
      </c>
      <c r="AW21" s="53">
        <v>-57.8</v>
      </c>
      <c r="AX21" s="52">
        <v>-60.4</v>
      </c>
      <c r="AY21" s="52">
        <v>-62.1</v>
      </c>
      <c r="AZ21" s="36">
        <v>-63.8</v>
      </c>
      <c r="BA21" s="836">
        <f t="shared" si="23"/>
        <v>-244.09999999999997</v>
      </c>
      <c r="BB21" s="53">
        <v>-65.099999999999994</v>
      </c>
      <c r="BC21" s="52">
        <v>-71.099999999999994</v>
      </c>
      <c r="BD21" s="52">
        <v>-76.3</v>
      </c>
      <c r="BE21" s="36">
        <v>-120.1</v>
      </c>
      <c r="BF21" s="836">
        <f t="shared" si="24"/>
        <v>-332.6</v>
      </c>
      <c r="BG21" s="53">
        <v>-93.2</v>
      </c>
      <c r="BH21" s="52">
        <v>-158.30000000000001</v>
      </c>
      <c r="BI21" s="52">
        <v>-95.7</v>
      </c>
      <c r="BJ21" s="36">
        <v>-110.5</v>
      </c>
      <c r="BK21" s="836">
        <f t="shared" si="25"/>
        <v>-457.7</v>
      </c>
      <c r="BL21" s="53">
        <v>-106.4</v>
      </c>
      <c r="BM21" s="92">
        <v>-127.4</v>
      </c>
      <c r="BN21" s="93">
        <v>-182.1</v>
      </c>
      <c r="BO21" s="86">
        <f>-614.2-BN21-BM21-BL21</f>
        <v>-198.30000000000004</v>
      </c>
      <c r="BP21" s="836">
        <f t="shared" si="26"/>
        <v>-614.20000000000005</v>
      </c>
      <c r="BQ21" s="710">
        <v>-164.6</v>
      </c>
      <c r="BR21" s="92">
        <v>-183.9</v>
      </c>
      <c r="BS21" s="52">
        <v>-169.6</v>
      </c>
      <c r="BT21" s="52">
        <v>-242.2</v>
      </c>
      <c r="BU21" s="836">
        <f t="shared" si="33"/>
        <v>-760.3</v>
      </c>
      <c r="BV21" s="710">
        <v>-164.1</v>
      </c>
      <c r="BW21" s="92">
        <v>-146.19999999999999</v>
      </c>
      <c r="BX21" s="92">
        <v>-190.3</v>
      </c>
      <c r="BY21" s="52">
        <v>-270.60000000000002</v>
      </c>
      <c r="BZ21" s="836">
        <f t="shared" si="34"/>
        <v>-771.2</v>
      </c>
      <c r="CA21" s="710">
        <v>-196.8</v>
      </c>
      <c r="CB21" s="92"/>
      <c r="CC21" s="92"/>
      <c r="CD21" s="52"/>
      <c r="CE21" s="836">
        <f t="shared" si="35"/>
        <v>-196.8</v>
      </c>
      <c r="CF21" s="941"/>
      <c r="CG21" s="714"/>
      <c r="CH21" s="714"/>
    </row>
    <row r="22" spans="1:89" s="745" customFormat="1" ht="18.75" customHeight="1">
      <c r="A22" s="862" t="s">
        <v>55</v>
      </c>
      <c r="B22" s="862" t="s">
        <v>56</v>
      </c>
      <c r="C22" s="742"/>
      <c r="D22" s="740"/>
      <c r="E22" s="740"/>
      <c r="F22" s="740"/>
      <c r="G22" s="837"/>
      <c r="H22" s="742"/>
      <c r="I22" s="740"/>
      <c r="J22" s="740"/>
      <c r="K22" s="740"/>
      <c r="L22" s="837"/>
      <c r="M22" s="742"/>
      <c r="N22" s="740"/>
      <c r="O22" s="740"/>
      <c r="P22" s="740"/>
      <c r="Q22" s="837"/>
      <c r="R22" s="742"/>
      <c r="S22" s="740"/>
      <c r="T22" s="740"/>
      <c r="U22" s="741"/>
      <c r="V22" s="837"/>
      <c r="W22" s="742"/>
      <c r="X22" s="742"/>
      <c r="Y22" s="743"/>
      <c r="Z22" s="741"/>
      <c r="AA22" s="837"/>
      <c r="AB22" s="742"/>
      <c r="AC22" s="742"/>
      <c r="AD22" s="743"/>
      <c r="AE22" s="743"/>
      <c r="AF22" s="837"/>
      <c r="AG22" s="742"/>
      <c r="AH22" s="740"/>
      <c r="AI22" s="740"/>
      <c r="AJ22" s="743"/>
      <c r="AK22" s="837"/>
      <c r="AL22" s="850"/>
      <c r="AM22" s="742"/>
      <c r="AN22" s="740"/>
      <c r="AO22" s="740"/>
      <c r="AP22" s="743"/>
      <c r="AQ22" s="837"/>
      <c r="AR22" s="742"/>
      <c r="AS22" s="740"/>
      <c r="AT22" s="740"/>
      <c r="AU22" s="743"/>
      <c r="AV22" s="837"/>
      <c r="AW22" s="742"/>
      <c r="AX22" s="740"/>
      <c r="AY22" s="740"/>
      <c r="AZ22" s="743"/>
      <c r="BA22" s="837"/>
      <c r="BB22" s="742"/>
      <c r="BC22" s="740"/>
      <c r="BD22" s="740"/>
      <c r="BE22" s="743"/>
      <c r="BF22" s="837"/>
      <c r="BG22" s="742"/>
      <c r="BH22" s="740"/>
      <c r="BI22" s="740"/>
      <c r="BJ22" s="743"/>
      <c r="BK22" s="837"/>
      <c r="BL22" s="742"/>
      <c r="BM22" s="746"/>
      <c r="BN22" s="747"/>
      <c r="BO22" s="748"/>
      <c r="BP22" s="837"/>
      <c r="BQ22" s="744"/>
      <c r="BR22" s="746"/>
      <c r="BS22" s="747">
        <v>-0.4</v>
      </c>
      <c r="BT22" s="746">
        <v>-1</v>
      </c>
      <c r="BU22" s="837">
        <f t="shared" si="33"/>
        <v>-1.4</v>
      </c>
      <c r="BV22" s="744">
        <v>-1</v>
      </c>
      <c r="BW22" s="746">
        <v>-1</v>
      </c>
      <c r="BX22" s="746">
        <v>-1.3</v>
      </c>
      <c r="BY22" s="746">
        <v>-1.1000000000000001</v>
      </c>
      <c r="BZ22" s="837">
        <f t="shared" si="34"/>
        <v>-4.4000000000000004</v>
      </c>
      <c r="CA22" s="744">
        <v>-1.1000000000000001</v>
      </c>
      <c r="CB22" s="746"/>
      <c r="CC22" s="746"/>
      <c r="CD22" s="746"/>
      <c r="CE22" s="837">
        <f t="shared" si="35"/>
        <v>-1.1000000000000001</v>
      </c>
      <c r="CF22" s="941"/>
      <c r="CG22" s="714"/>
      <c r="CH22" s="714"/>
    </row>
    <row r="23" spans="1:89" s="378" customFormat="1" ht="22.5" customHeight="1">
      <c r="A23" s="872" t="s">
        <v>63</v>
      </c>
      <c r="B23" s="872" t="s">
        <v>64</v>
      </c>
      <c r="C23" s="873"/>
      <c r="D23" s="874"/>
      <c r="E23" s="874"/>
      <c r="F23" s="874"/>
      <c r="G23" s="875"/>
      <c r="H23" s="873"/>
      <c r="I23" s="876"/>
      <c r="J23" s="876"/>
      <c r="K23" s="874"/>
      <c r="L23" s="875"/>
      <c r="M23" s="873"/>
      <c r="N23" s="876"/>
      <c r="O23" s="876"/>
      <c r="P23" s="874"/>
      <c r="Q23" s="875"/>
      <c r="R23" s="873"/>
      <c r="S23" s="876"/>
      <c r="T23" s="877"/>
      <c r="U23" s="877"/>
      <c r="V23" s="875"/>
      <c r="W23" s="873"/>
      <c r="X23" s="876"/>
      <c r="Y23" s="874"/>
      <c r="Z23" s="877"/>
      <c r="AA23" s="875"/>
      <c r="AB23" s="873"/>
      <c r="AC23" s="876"/>
      <c r="AD23" s="876"/>
      <c r="AE23" s="877"/>
      <c r="AF23" s="875"/>
      <c r="AG23" s="873"/>
      <c r="AH23" s="877"/>
      <c r="AI23" s="876"/>
      <c r="AJ23" s="874"/>
      <c r="AK23" s="875"/>
      <c r="AL23" s="846"/>
      <c r="AM23" s="876"/>
      <c r="AN23" s="877"/>
      <c r="AO23" s="876"/>
      <c r="AP23" s="874"/>
      <c r="AQ23" s="875"/>
      <c r="AR23" s="873"/>
      <c r="AS23" s="876"/>
      <c r="AT23" s="876"/>
      <c r="AU23" s="876"/>
      <c r="AV23" s="875"/>
      <c r="AW23" s="873"/>
      <c r="AX23" s="876"/>
      <c r="AY23" s="876"/>
      <c r="AZ23" s="876"/>
      <c r="BA23" s="875"/>
      <c r="BB23" s="873"/>
      <c r="BC23" s="877"/>
      <c r="BD23" s="877"/>
      <c r="BE23" s="876"/>
      <c r="BF23" s="875"/>
      <c r="BG23" s="873"/>
      <c r="BH23" s="877"/>
      <c r="BI23" s="876">
        <v>3690.8</v>
      </c>
      <c r="BJ23" s="659">
        <v>-10.199999999999999</v>
      </c>
      <c r="BK23" s="875">
        <f t="shared" si="25"/>
        <v>3680.6000000000004</v>
      </c>
      <c r="BL23" s="873">
        <v>0</v>
      </c>
      <c r="BM23" s="873">
        <v>0</v>
      </c>
      <c r="BN23" s="873">
        <v>113.4</v>
      </c>
      <c r="BO23" s="877">
        <f>153.2-BN23</f>
        <v>39.799999999999983</v>
      </c>
      <c r="BP23" s="875">
        <f t="shared" si="26"/>
        <v>153.19999999999999</v>
      </c>
      <c r="BQ23" s="884">
        <v>0</v>
      </c>
      <c r="BR23" s="873">
        <v>0</v>
      </c>
      <c r="BS23" s="873">
        <v>220.1</v>
      </c>
      <c r="BT23" s="873">
        <v>-0.4</v>
      </c>
      <c r="BU23" s="875">
        <f>SUM(BQ23:BT23)</f>
        <v>219.7</v>
      </c>
      <c r="BV23" s="884">
        <v>10</v>
      </c>
      <c r="BW23" s="873">
        <v>0</v>
      </c>
      <c r="BX23" s="873">
        <v>0</v>
      </c>
      <c r="BY23" s="873">
        <v>0</v>
      </c>
      <c r="BZ23" s="875">
        <f>SUM(BV23:BY23)</f>
        <v>10</v>
      </c>
      <c r="CA23" s="884">
        <v>-0.2</v>
      </c>
      <c r="CB23" s="873"/>
      <c r="CC23" s="873"/>
      <c r="CD23" s="873"/>
      <c r="CE23" s="875">
        <f>SUM(CA23:CD23)</f>
        <v>-0.2</v>
      </c>
      <c r="CF23" s="941"/>
      <c r="CG23" s="714"/>
      <c r="CH23" s="714"/>
    </row>
    <row r="24" spans="1:89" s="378" customFormat="1" ht="22.5" customHeight="1">
      <c r="A24" s="858" t="s">
        <v>65</v>
      </c>
      <c r="B24" s="858" t="s">
        <v>66</v>
      </c>
      <c r="C24" s="878">
        <v>-1.7</v>
      </c>
      <c r="D24" s="870">
        <v>-1.1000000000000001</v>
      </c>
      <c r="E24" s="870">
        <v>-2</v>
      </c>
      <c r="F24" s="870">
        <v>-12.7</v>
      </c>
      <c r="G24" s="834">
        <f t="shared" si="30"/>
        <v>-17.5</v>
      </c>
      <c r="H24" s="878">
        <v>0.5</v>
      </c>
      <c r="I24" s="831">
        <v>1.5</v>
      </c>
      <c r="J24" s="831">
        <v>36.799999999999997</v>
      </c>
      <c r="K24" s="870">
        <v>-2</v>
      </c>
      <c r="L24" s="834">
        <f t="shared" si="31"/>
        <v>36.799999999999997</v>
      </c>
      <c r="M24" s="878">
        <v>3.6</v>
      </c>
      <c r="N24" s="831">
        <v>3.5</v>
      </c>
      <c r="O24" s="831">
        <v>4.7</v>
      </c>
      <c r="P24" s="870">
        <v>-2.2000000000000002</v>
      </c>
      <c r="Q24" s="834">
        <f t="shared" si="32"/>
        <v>9.6000000000000014</v>
      </c>
      <c r="R24" s="878">
        <v>8.6999999999999993</v>
      </c>
      <c r="S24" s="831">
        <v>13.8</v>
      </c>
      <c r="T24" s="878">
        <v>14.4</v>
      </c>
      <c r="U24" s="878">
        <v>-6.2</v>
      </c>
      <c r="V24" s="834">
        <v>30.7</v>
      </c>
      <c r="W24" s="878">
        <v>6.8</v>
      </c>
      <c r="X24" s="831">
        <v>6.6</v>
      </c>
      <c r="Y24" s="870">
        <v>0</v>
      </c>
      <c r="Z24" s="878">
        <v>-4.5999999999999996</v>
      </c>
      <c r="AA24" s="834">
        <f t="shared" si="7"/>
        <v>8.7999999999999989</v>
      </c>
      <c r="AB24" s="878">
        <v>6.8</v>
      </c>
      <c r="AC24" s="831">
        <v>9.9</v>
      </c>
      <c r="AD24" s="831">
        <v>6.7</v>
      </c>
      <c r="AE24" s="878">
        <v>-2.1</v>
      </c>
      <c r="AF24" s="834">
        <f t="shared" si="8"/>
        <v>21.299999999999997</v>
      </c>
      <c r="AG24" s="878">
        <v>6.7</v>
      </c>
      <c r="AH24" s="878">
        <v>-1.9</v>
      </c>
      <c r="AI24" s="831">
        <v>4.5999999999999996</v>
      </c>
      <c r="AJ24" s="870">
        <v>0</v>
      </c>
      <c r="AK24" s="834">
        <f t="shared" si="20"/>
        <v>9.4</v>
      </c>
      <c r="AL24" s="846"/>
      <c r="AM24" s="831">
        <v>6.7</v>
      </c>
      <c r="AN24" s="878">
        <v>-0.6</v>
      </c>
      <c r="AO24" s="831">
        <v>7.3</v>
      </c>
      <c r="AP24" s="870">
        <v>6.2999999999999989</v>
      </c>
      <c r="AQ24" s="834">
        <f t="shared" si="21"/>
        <v>19.7</v>
      </c>
      <c r="AR24" s="878">
        <v>16.600000000000001</v>
      </c>
      <c r="AS24" s="831">
        <v>6.7</v>
      </c>
      <c r="AT24" s="831">
        <v>3.4</v>
      </c>
      <c r="AU24" s="831">
        <v>19</v>
      </c>
      <c r="AV24" s="834">
        <f t="shared" si="22"/>
        <v>45.7</v>
      </c>
      <c r="AW24" s="878">
        <v>16.600000000000001</v>
      </c>
      <c r="AX24" s="831">
        <v>6.7</v>
      </c>
      <c r="AY24" s="831">
        <v>3.4</v>
      </c>
      <c r="AZ24" s="831">
        <v>19</v>
      </c>
      <c r="BA24" s="834">
        <f t="shared" si="23"/>
        <v>45.7</v>
      </c>
      <c r="BB24" s="878">
        <v>5.8</v>
      </c>
      <c r="BC24" s="878">
        <v>-13</v>
      </c>
      <c r="BD24" s="878">
        <v>-2.8</v>
      </c>
      <c r="BE24" s="831">
        <v>7.1</v>
      </c>
      <c r="BF24" s="834">
        <f t="shared" si="24"/>
        <v>-2.9000000000000004</v>
      </c>
      <c r="BG24" s="878">
        <v>5</v>
      </c>
      <c r="BH24" s="878">
        <v>-7.9</v>
      </c>
      <c r="BI24" s="831">
        <v>4.5999999999999996</v>
      </c>
      <c r="BJ24" s="878">
        <v>-24.4</v>
      </c>
      <c r="BK24" s="834">
        <f>SUM(BG24:BJ24)</f>
        <v>-22.7</v>
      </c>
      <c r="BL24" s="878">
        <v>-32.700000000000003</v>
      </c>
      <c r="BM24" s="878">
        <v>13.1</v>
      </c>
      <c r="BN24" s="878">
        <v>-6.1</v>
      </c>
      <c r="BO24" s="878">
        <f>-26.5-BN24-BM24-BL24</f>
        <v>-0.79999999999999716</v>
      </c>
      <c r="BP24" s="834">
        <f>SUM(BL24:BO24)</f>
        <v>-26.5</v>
      </c>
      <c r="BQ24" s="711">
        <v>-8.6999999999999993</v>
      </c>
      <c r="BR24" s="878">
        <v>-15</v>
      </c>
      <c r="BS24" s="878">
        <v>0.3</v>
      </c>
      <c r="BT24" s="830">
        <v>-22.2</v>
      </c>
      <c r="BU24" s="834">
        <f>SUM(BQ24:BT24)</f>
        <v>-45.599999999999994</v>
      </c>
      <c r="BV24" s="711">
        <v>154</v>
      </c>
      <c r="BW24" s="878">
        <v>27.5</v>
      </c>
      <c r="BX24" s="878">
        <v>-22.2</v>
      </c>
      <c r="BY24" s="830">
        <v>-39.700000000000003</v>
      </c>
      <c r="BZ24" s="834">
        <f>SUM(BV24:BY24)</f>
        <v>119.60000000000001</v>
      </c>
      <c r="CA24" s="711">
        <v>-13.8</v>
      </c>
      <c r="CB24" s="878"/>
      <c r="CC24" s="878"/>
      <c r="CD24" s="830"/>
      <c r="CE24" s="834">
        <f>SUM(CA24:CD24)</f>
        <v>-13.8</v>
      </c>
      <c r="CF24" s="941"/>
      <c r="CG24" s="714"/>
      <c r="CH24" s="714"/>
      <c r="CI24" s="770"/>
      <c r="CJ24" s="770"/>
      <c r="CK24" s="770"/>
    </row>
    <row r="25" spans="1:89" s="378" customFormat="1" ht="22.5" customHeight="1">
      <c r="A25" s="879" t="s">
        <v>67</v>
      </c>
      <c r="B25" s="879" t="s">
        <v>68</v>
      </c>
      <c r="C25" s="880">
        <f t="shared" ref="C25:AK25" si="36">C5+C11+C24</f>
        <v>203.00000000000006</v>
      </c>
      <c r="D25" s="880">
        <f t="shared" si="36"/>
        <v>212.99999999999997</v>
      </c>
      <c r="E25" s="880">
        <f t="shared" si="36"/>
        <v>197.60000000000002</v>
      </c>
      <c r="F25" s="880">
        <f t="shared" si="36"/>
        <v>175.50000000000017</v>
      </c>
      <c r="G25" s="881">
        <f t="shared" si="36"/>
        <v>789.09999999999923</v>
      </c>
      <c r="H25" s="880">
        <f t="shared" si="36"/>
        <v>184.67999999999995</v>
      </c>
      <c r="I25" s="880">
        <f t="shared" si="36"/>
        <v>195</v>
      </c>
      <c r="J25" s="880">
        <f t="shared" si="36"/>
        <v>203.39999999999998</v>
      </c>
      <c r="K25" s="880">
        <f t="shared" si="36"/>
        <v>206.79999999999995</v>
      </c>
      <c r="L25" s="881">
        <f t="shared" si="36"/>
        <v>789.88000000000034</v>
      </c>
      <c r="M25" s="880">
        <f t="shared" si="36"/>
        <v>219.4999999999998</v>
      </c>
      <c r="N25" s="880">
        <f t="shared" si="36"/>
        <v>397.59999999999991</v>
      </c>
      <c r="O25" s="880">
        <f t="shared" si="36"/>
        <v>431.79999999999967</v>
      </c>
      <c r="P25" s="880">
        <f t="shared" si="36"/>
        <v>393.50000000000074</v>
      </c>
      <c r="Q25" s="881">
        <f t="shared" si="36"/>
        <v>1442.3999999999992</v>
      </c>
      <c r="R25" s="880">
        <f t="shared" si="36"/>
        <v>428.7</v>
      </c>
      <c r="S25" s="880">
        <f t="shared" si="36"/>
        <v>583.5</v>
      </c>
      <c r="T25" s="880">
        <f t="shared" si="36"/>
        <v>529.1999999999997</v>
      </c>
      <c r="U25" s="880">
        <f t="shared" si="36"/>
        <v>444.40000000000038</v>
      </c>
      <c r="V25" s="881">
        <f t="shared" si="36"/>
        <v>1985.7999999999995</v>
      </c>
      <c r="W25" s="880">
        <f t="shared" si="36"/>
        <v>422.8</v>
      </c>
      <c r="X25" s="880">
        <f t="shared" si="36"/>
        <v>407.50000000000011</v>
      </c>
      <c r="Y25" s="882">
        <f t="shared" si="36"/>
        <v>449.10000000000036</v>
      </c>
      <c r="Z25" s="882">
        <f t="shared" si="36"/>
        <v>389.9</v>
      </c>
      <c r="AA25" s="881">
        <f t="shared" si="36"/>
        <v>1669.3</v>
      </c>
      <c r="AB25" s="880">
        <f t="shared" si="36"/>
        <v>457.20000000000033</v>
      </c>
      <c r="AC25" s="880">
        <f t="shared" si="36"/>
        <v>516.99999999999989</v>
      </c>
      <c r="AD25" s="880">
        <f t="shared" si="36"/>
        <v>421.90000000000003</v>
      </c>
      <c r="AE25" s="880">
        <f t="shared" si="36"/>
        <v>437.9</v>
      </c>
      <c r="AF25" s="881">
        <f t="shared" si="36"/>
        <v>1834.0000000000007</v>
      </c>
      <c r="AG25" s="880">
        <f t="shared" si="36"/>
        <v>464.29999999999967</v>
      </c>
      <c r="AH25" s="880">
        <f t="shared" si="36"/>
        <v>488.49999999999989</v>
      </c>
      <c r="AI25" s="880">
        <f t="shared" si="36"/>
        <v>396.00000000000011</v>
      </c>
      <c r="AJ25" s="883">
        <f t="shared" si="36"/>
        <v>416</v>
      </c>
      <c r="AK25" s="881">
        <f t="shared" si="36"/>
        <v>1764.7999999999997</v>
      </c>
      <c r="AL25" s="846"/>
      <c r="AM25" s="880">
        <f t="shared" ref="AM25:BH25" si="37">AM5+AM11+AM24</f>
        <v>435.49999999999994</v>
      </c>
      <c r="AN25" s="880">
        <f t="shared" si="37"/>
        <v>475.5999999999998</v>
      </c>
      <c r="AO25" s="880">
        <f t="shared" si="37"/>
        <v>396.49999999999983</v>
      </c>
      <c r="AP25" s="883">
        <f t="shared" si="37"/>
        <v>419.39999999999992</v>
      </c>
      <c r="AQ25" s="881">
        <f t="shared" si="37"/>
        <v>1727.000000000003</v>
      </c>
      <c r="AR25" s="880">
        <f t="shared" si="37"/>
        <v>481.9000000000002</v>
      </c>
      <c r="AS25" s="880">
        <f t="shared" si="37"/>
        <v>515.29999999999995</v>
      </c>
      <c r="AT25" s="880">
        <f t="shared" si="37"/>
        <v>452.6999999999997</v>
      </c>
      <c r="AU25" s="880">
        <f t="shared" si="37"/>
        <v>485.00000000000091</v>
      </c>
      <c r="AV25" s="881">
        <f t="shared" si="37"/>
        <v>1934.9000000000026</v>
      </c>
      <c r="AW25" s="880">
        <f t="shared" si="37"/>
        <v>491.19999999999948</v>
      </c>
      <c r="AX25" s="880">
        <f t="shared" si="37"/>
        <v>522.49999999999977</v>
      </c>
      <c r="AY25" s="880">
        <f t="shared" si="37"/>
        <v>458.99999999999989</v>
      </c>
      <c r="AZ25" s="880">
        <f t="shared" si="37"/>
        <v>494.30000000000018</v>
      </c>
      <c r="BA25" s="881">
        <f t="shared" si="37"/>
        <v>1967.0000000000011</v>
      </c>
      <c r="BB25" s="880">
        <f t="shared" si="37"/>
        <v>462.18882651999985</v>
      </c>
      <c r="BC25" s="880">
        <f t="shared" si="37"/>
        <v>394.10000000000082</v>
      </c>
      <c r="BD25" s="880">
        <f t="shared" si="37"/>
        <v>505.89999999999981</v>
      </c>
      <c r="BE25" s="880">
        <f t="shared" si="37"/>
        <v>524.00000000000011</v>
      </c>
      <c r="BF25" s="881">
        <f t="shared" si="37"/>
        <v>1886.1888265199991</v>
      </c>
      <c r="BG25" s="880">
        <f t="shared" si="37"/>
        <v>561.5</v>
      </c>
      <c r="BH25" s="880">
        <f t="shared" si="37"/>
        <v>683.69999999999993</v>
      </c>
      <c r="BI25" s="880">
        <f>BI5+BI11+BI24+BI23</f>
        <v>4131.4000000000005</v>
      </c>
      <c r="BJ25" s="880">
        <f>BJ5+BJ11+BJ24+BJ23</f>
        <v>419.79999999999967</v>
      </c>
      <c r="BK25" s="881">
        <f>BK5+BK11+BK24+BK23</f>
        <v>5796.3999999999987</v>
      </c>
      <c r="BL25" s="880">
        <f>BL5+BL11+BL24</f>
        <v>320.3</v>
      </c>
      <c r="BM25" s="880">
        <f>BM5+BM11+BM24</f>
        <v>425.79999999999984</v>
      </c>
      <c r="BN25" s="880">
        <f t="shared" ref="BN25:CE25" si="38">BN5+BN11+BN24+BN23</f>
        <v>500.90000000000077</v>
      </c>
      <c r="BO25" s="880">
        <f t="shared" si="38"/>
        <v>395.19999999999891</v>
      </c>
      <c r="BP25" s="881">
        <f t="shared" si="38"/>
        <v>1642.2</v>
      </c>
      <c r="BQ25" s="885">
        <f t="shared" si="38"/>
        <v>298.70000000000056</v>
      </c>
      <c r="BR25" s="885">
        <f t="shared" si="38"/>
        <v>329.80000000000018</v>
      </c>
      <c r="BS25" s="886">
        <f t="shared" si="38"/>
        <v>510.90000000000043</v>
      </c>
      <c r="BT25" s="886">
        <f t="shared" si="38"/>
        <v>172.20000000000019</v>
      </c>
      <c r="BU25" s="881">
        <f t="shared" si="38"/>
        <v>1311.600000000002</v>
      </c>
      <c r="BV25" s="885">
        <f t="shared" si="38"/>
        <v>452.69862972000101</v>
      </c>
      <c r="BW25" s="885">
        <f t="shared" si="38"/>
        <v>396.00000000000045</v>
      </c>
      <c r="BX25" s="885">
        <f t="shared" si="38"/>
        <v>569.49999999999977</v>
      </c>
      <c r="BY25" s="886">
        <f t="shared" si="38"/>
        <v>347.99999999999983</v>
      </c>
      <c r="BZ25" s="881">
        <f t="shared" si="38"/>
        <v>1766.1986297199996</v>
      </c>
      <c r="CA25" s="885">
        <f t="shared" si="38"/>
        <v>410.30000000000018</v>
      </c>
      <c r="CB25" s="711"/>
      <c r="CC25" s="711"/>
      <c r="CD25" s="886"/>
      <c r="CE25" s="881">
        <f t="shared" si="38"/>
        <v>410.30000000000018</v>
      </c>
      <c r="CF25" s="941"/>
      <c r="CG25" s="714"/>
      <c r="CH25" s="714"/>
      <c r="CI25" s="771"/>
      <c r="CK25" s="771"/>
    </row>
    <row r="26" spans="1:89" ht="20.149999999999999" customHeight="1">
      <c r="A26" s="901" t="s">
        <v>69</v>
      </c>
      <c r="B26" s="902" t="s">
        <v>70</v>
      </c>
      <c r="C26" s="903">
        <v>12.5</v>
      </c>
      <c r="D26" s="903">
        <v>-8.5</v>
      </c>
      <c r="E26" s="903">
        <v>5.3</v>
      </c>
      <c r="F26" s="903">
        <v>5</v>
      </c>
      <c r="G26" s="904">
        <f>SUM(C26:F26)</f>
        <v>14.3</v>
      </c>
      <c r="H26" s="903">
        <v>3.9</v>
      </c>
      <c r="I26" s="903">
        <v>0.7</v>
      </c>
      <c r="J26" s="903">
        <v>7.4</v>
      </c>
      <c r="K26" s="903">
        <v>4.0999999999999996</v>
      </c>
      <c r="L26" s="904">
        <f>SUM(H26:K26)</f>
        <v>16.100000000000001</v>
      </c>
      <c r="M26" s="903">
        <v>1.2000000000000028</v>
      </c>
      <c r="N26" s="903">
        <v>23.9</v>
      </c>
      <c r="O26" s="903">
        <v>1.5</v>
      </c>
      <c r="P26" s="903">
        <v>-11.4</v>
      </c>
      <c r="Q26" s="904">
        <f>SUM(M26:P26)</f>
        <v>15.200000000000001</v>
      </c>
      <c r="R26" s="903">
        <v>28.9</v>
      </c>
      <c r="S26" s="903">
        <v>-11.9</v>
      </c>
      <c r="T26" s="903">
        <v>-5.2</v>
      </c>
      <c r="U26" s="905">
        <v>-3.2</v>
      </c>
      <c r="V26" s="904">
        <v>8.6000000000000014</v>
      </c>
      <c r="W26" s="903">
        <v>-35.200000000000003</v>
      </c>
      <c r="X26" s="903">
        <v>-21.4</v>
      </c>
      <c r="Y26" s="906">
        <v>13.1</v>
      </c>
      <c r="Z26" s="905">
        <v>-26.3</v>
      </c>
      <c r="AA26" s="904">
        <f t="shared" si="7"/>
        <v>-69.8</v>
      </c>
      <c r="AB26" s="903">
        <v>30.5</v>
      </c>
      <c r="AC26" s="903">
        <v>-14.4</v>
      </c>
      <c r="AD26" s="906">
        <v>-28</v>
      </c>
      <c r="AE26" s="906">
        <v>19.100000000000001</v>
      </c>
      <c r="AF26" s="904">
        <f t="shared" si="8"/>
        <v>7.2000000000000028</v>
      </c>
      <c r="AG26" s="903">
        <v>-3.4</v>
      </c>
      <c r="AH26" s="903">
        <v>-34.4</v>
      </c>
      <c r="AI26" s="903">
        <v>12.7</v>
      </c>
      <c r="AJ26" s="906">
        <v>4.7</v>
      </c>
      <c r="AK26" s="904">
        <f t="shared" ref="AK26:AK30" si="39">SUM(AG26:AJ26)</f>
        <v>-20.399999999999999</v>
      </c>
      <c r="AL26" s="907"/>
      <c r="AM26" s="903">
        <v>-3.4</v>
      </c>
      <c r="AN26" s="903">
        <v>-45.9</v>
      </c>
      <c r="AO26" s="903">
        <v>11.7</v>
      </c>
      <c r="AP26" s="906">
        <v>4.6000000000000014</v>
      </c>
      <c r="AQ26" s="904">
        <f t="shared" ref="AQ26:AQ30" si="40">SUM(AM26:AP26)</f>
        <v>-32.999999999999993</v>
      </c>
      <c r="AR26" s="903">
        <v>1.3</v>
      </c>
      <c r="AS26" s="903">
        <v>13.6</v>
      </c>
      <c r="AT26" s="903">
        <v>-34.5</v>
      </c>
      <c r="AU26" s="906">
        <v>39.200000000000003</v>
      </c>
      <c r="AV26" s="904">
        <f t="shared" ref="AV26:AV30" si="41">SUM(AR26:AU26)</f>
        <v>19.600000000000001</v>
      </c>
      <c r="AW26" s="903">
        <v>-12.2</v>
      </c>
      <c r="AX26" s="903">
        <v>4.8</v>
      </c>
      <c r="AY26" s="903">
        <v>-53.8</v>
      </c>
      <c r="AZ26" s="906">
        <v>34.200000000000003</v>
      </c>
      <c r="BA26" s="904">
        <f t="shared" ref="BA26:BA30" si="42">SUM(AW26:AZ26)</f>
        <v>-26.999999999999993</v>
      </c>
      <c r="BB26" s="903">
        <v>-74.2</v>
      </c>
      <c r="BC26" s="903">
        <v>-1.2</v>
      </c>
      <c r="BD26" s="903">
        <v>-26.2</v>
      </c>
      <c r="BE26" s="906">
        <v>-11.5</v>
      </c>
      <c r="BF26" s="904">
        <f>SUM(BB26:BE26)</f>
        <v>-113.10000000000001</v>
      </c>
      <c r="BG26" s="903">
        <v>-22.4</v>
      </c>
      <c r="BH26" s="903">
        <v>7.8</v>
      </c>
      <c r="BI26" s="903">
        <v>-16.5</v>
      </c>
      <c r="BJ26" s="906">
        <v>4.2</v>
      </c>
      <c r="BK26" s="904">
        <f>SUM(BG26:BJ26)</f>
        <v>-26.9</v>
      </c>
      <c r="BL26" s="903">
        <v>6.9</v>
      </c>
      <c r="BM26" s="903">
        <v>5.7</v>
      </c>
      <c r="BN26" s="903">
        <v>-18.100000000000001</v>
      </c>
      <c r="BO26" s="906">
        <f>23.5-BN26-BM26-BL26</f>
        <v>29</v>
      </c>
      <c r="BP26" s="904">
        <f>SUM(BL26:BO26)</f>
        <v>23.5</v>
      </c>
      <c r="BQ26" s="908">
        <v>20.8</v>
      </c>
      <c r="BR26" s="903">
        <v>21</v>
      </c>
      <c r="BS26" s="903">
        <v>39.9</v>
      </c>
      <c r="BT26" s="909">
        <v>80.700000000000017</v>
      </c>
      <c r="BU26" s="910">
        <f>SUM(BQ26:BT26)</f>
        <v>162.4</v>
      </c>
      <c r="BV26" s="908">
        <v>19.2</v>
      </c>
      <c r="BW26" s="903">
        <v>84.2</v>
      </c>
      <c r="BX26" s="903">
        <v>81.8</v>
      </c>
      <c r="BY26" s="916" t="s">
        <v>782</v>
      </c>
      <c r="BZ26" s="917" t="s">
        <v>782</v>
      </c>
      <c r="CA26" s="940" t="s">
        <v>782</v>
      </c>
      <c r="CB26" s="940"/>
      <c r="CC26" s="940"/>
      <c r="CD26" s="916"/>
      <c r="CE26" s="917" t="s">
        <v>782</v>
      </c>
      <c r="CF26" s="941"/>
      <c r="CG26" s="714"/>
      <c r="CH26" s="714"/>
      <c r="CI26" s="771"/>
      <c r="CK26" s="771"/>
    </row>
    <row r="27" spans="1:89" s="94" customFormat="1" ht="20.149999999999999" customHeight="1">
      <c r="A27" s="911" t="s">
        <v>71</v>
      </c>
      <c r="B27" s="912" t="s">
        <v>72</v>
      </c>
      <c r="C27" s="903">
        <v>30.1</v>
      </c>
      <c r="D27" s="913">
        <v>-92.4</v>
      </c>
      <c r="E27" s="913">
        <v>-5.2</v>
      </c>
      <c r="F27" s="913">
        <v>-43.1</v>
      </c>
      <c r="G27" s="904">
        <f t="shared" ref="G27" si="43">SUM(C27:F27)</f>
        <v>-110.6</v>
      </c>
      <c r="H27" s="903">
        <v>-80.099999999999994</v>
      </c>
      <c r="I27" s="913">
        <v>-102.4</v>
      </c>
      <c r="J27" s="913">
        <v>-10.7</v>
      </c>
      <c r="K27" s="913">
        <v>-22.8</v>
      </c>
      <c r="L27" s="904">
        <f t="shared" ref="L27" si="44">SUM(H27:K27)</f>
        <v>-216</v>
      </c>
      <c r="M27" s="903">
        <v>-108.70000000000005</v>
      </c>
      <c r="N27" s="913">
        <v>-273.39999999999998</v>
      </c>
      <c r="O27" s="913">
        <v>-384.7</v>
      </c>
      <c r="P27" s="913">
        <v>-379.2</v>
      </c>
      <c r="Q27" s="904">
        <f t="shared" ref="Q27" si="45">SUM(M27:P27)</f>
        <v>-1146</v>
      </c>
      <c r="R27" s="903">
        <v>-261.3</v>
      </c>
      <c r="S27" s="913">
        <v>-222.1</v>
      </c>
      <c r="T27" s="913">
        <v>88.8</v>
      </c>
      <c r="U27" s="905">
        <v>-270</v>
      </c>
      <c r="V27" s="904">
        <v>-664.59999999999991</v>
      </c>
      <c r="W27" s="903">
        <v>-182.7</v>
      </c>
      <c r="X27" s="913">
        <v>-133.19999999999999</v>
      </c>
      <c r="Y27" s="914">
        <v>-127.3</v>
      </c>
      <c r="Z27" s="905">
        <v>-122.9</v>
      </c>
      <c r="AA27" s="904">
        <f t="shared" si="7"/>
        <v>-566.1</v>
      </c>
      <c r="AB27" s="903">
        <v>-185.5</v>
      </c>
      <c r="AC27" s="913">
        <v>-113.3</v>
      </c>
      <c r="AD27" s="914">
        <v>-104.8</v>
      </c>
      <c r="AE27" s="914">
        <v>-105.4</v>
      </c>
      <c r="AF27" s="904">
        <f t="shared" si="8"/>
        <v>-509</v>
      </c>
      <c r="AG27" s="903">
        <v>-72.599999999999994</v>
      </c>
      <c r="AH27" s="913">
        <v>-98.8</v>
      </c>
      <c r="AI27" s="913">
        <v>-100.9</v>
      </c>
      <c r="AJ27" s="914">
        <v>-113.3</v>
      </c>
      <c r="AK27" s="904">
        <f t="shared" si="39"/>
        <v>-385.59999999999997</v>
      </c>
      <c r="AL27" s="915"/>
      <c r="AM27" s="913">
        <v>-72.599999999999994</v>
      </c>
      <c r="AN27" s="913">
        <v>-98.9</v>
      </c>
      <c r="AO27" s="913">
        <v>-101.6</v>
      </c>
      <c r="AP27" s="914">
        <v>-113.59999999999997</v>
      </c>
      <c r="AQ27" s="904">
        <f t="shared" si="40"/>
        <v>-386.7</v>
      </c>
      <c r="AR27" s="903">
        <v>-102.7</v>
      </c>
      <c r="AS27" s="913">
        <v>-170</v>
      </c>
      <c r="AT27" s="913">
        <v>-97.9</v>
      </c>
      <c r="AU27" s="914">
        <v>-95.3</v>
      </c>
      <c r="AV27" s="904">
        <f t="shared" si="41"/>
        <v>-465.90000000000003</v>
      </c>
      <c r="AW27" s="903">
        <v>-102.7</v>
      </c>
      <c r="AX27" s="913">
        <v>-170</v>
      </c>
      <c r="AY27" s="913">
        <v>-97.9</v>
      </c>
      <c r="AZ27" s="914">
        <v>-95.3</v>
      </c>
      <c r="BA27" s="904">
        <f t="shared" si="42"/>
        <v>-465.90000000000003</v>
      </c>
      <c r="BB27" s="903">
        <v>-153.80000000000001</v>
      </c>
      <c r="BC27" s="913">
        <v>-47.7</v>
      </c>
      <c r="BD27" s="913">
        <v>-66.599999999999994</v>
      </c>
      <c r="BE27" s="914">
        <v>-64.900000000000006</v>
      </c>
      <c r="BF27" s="904">
        <f t="shared" ref="BF27:BF30" si="46">SUM(BB27:BE27)</f>
        <v>-333</v>
      </c>
      <c r="BG27" s="903">
        <v>-57.1</v>
      </c>
      <c r="BH27" s="903">
        <v>-60.5</v>
      </c>
      <c r="BI27" s="913">
        <v>-54.7</v>
      </c>
      <c r="BJ27" s="914">
        <v>-6.5</v>
      </c>
      <c r="BK27" s="904">
        <f t="shared" ref="BK27:BK30" si="47">SUM(BG27:BJ27)</f>
        <v>-178.8</v>
      </c>
      <c r="BL27" s="903">
        <v>-76.8</v>
      </c>
      <c r="BM27" s="903">
        <v>-130.69999999999999</v>
      </c>
      <c r="BN27" s="913">
        <v>-209.3</v>
      </c>
      <c r="BO27" s="914">
        <f>-649.9-BN27-BM27-BL27</f>
        <v>-233.09999999999997</v>
      </c>
      <c r="BP27" s="904">
        <f t="shared" ref="BP27:BP31" si="48">SUM(BL27:BO27)</f>
        <v>-649.9</v>
      </c>
      <c r="BQ27" s="908">
        <v>-255.7</v>
      </c>
      <c r="BR27" s="903">
        <v>-300.7</v>
      </c>
      <c r="BS27" s="913">
        <v>-399</v>
      </c>
      <c r="BT27" s="909">
        <v>-126.5</v>
      </c>
      <c r="BU27" s="910">
        <f>SUM(BQ27:BT27)</f>
        <v>-1081.9000000000001</v>
      </c>
      <c r="BV27" s="908">
        <v>-201.3</v>
      </c>
      <c r="BW27" s="903">
        <v>-267.10000000000002</v>
      </c>
      <c r="BX27" s="913">
        <v>-278.60000000000002</v>
      </c>
      <c r="BY27" s="918" t="s">
        <v>782</v>
      </c>
      <c r="BZ27" s="919" t="s">
        <v>782</v>
      </c>
      <c r="CA27" s="940" t="s">
        <v>782</v>
      </c>
      <c r="CB27" s="940"/>
      <c r="CC27" s="940"/>
      <c r="CD27" s="918"/>
      <c r="CE27" s="919" t="s">
        <v>782</v>
      </c>
      <c r="CF27" s="941"/>
      <c r="CG27" s="714"/>
      <c r="CH27" s="714"/>
      <c r="CI27" s="771"/>
      <c r="CK27" s="771"/>
    </row>
    <row r="28" spans="1:89" s="94" customFormat="1" ht="20.149999999999999" customHeight="1">
      <c r="A28" s="920" t="s">
        <v>786</v>
      </c>
      <c r="B28" s="921" t="s">
        <v>787</v>
      </c>
      <c r="C28" s="52"/>
      <c r="D28" s="92"/>
      <c r="E28" s="92"/>
      <c r="F28" s="92"/>
      <c r="G28" s="922"/>
      <c r="H28" s="52"/>
      <c r="I28" s="92"/>
      <c r="J28" s="92"/>
      <c r="K28" s="92"/>
      <c r="L28" s="922"/>
      <c r="M28" s="52"/>
      <c r="N28" s="92"/>
      <c r="O28" s="92"/>
      <c r="P28" s="92"/>
      <c r="Q28" s="922"/>
      <c r="R28" s="52"/>
      <c r="S28" s="92"/>
      <c r="T28" s="92"/>
      <c r="U28" s="50"/>
      <c r="V28" s="922"/>
      <c r="W28" s="52"/>
      <c r="X28" s="92"/>
      <c r="Y28" s="923"/>
      <c r="Z28" s="50"/>
      <c r="AA28" s="922"/>
      <c r="AB28" s="52"/>
      <c r="AC28" s="92"/>
      <c r="AD28" s="923"/>
      <c r="AE28" s="923"/>
      <c r="AF28" s="922"/>
      <c r="AG28" s="52"/>
      <c r="AH28" s="92"/>
      <c r="AI28" s="92"/>
      <c r="AJ28" s="923"/>
      <c r="AK28" s="922"/>
      <c r="AL28" s="924"/>
      <c r="AM28" s="92"/>
      <c r="AN28" s="92"/>
      <c r="AO28" s="92"/>
      <c r="AP28" s="923"/>
      <c r="AQ28" s="922"/>
      <c r="AR28" s="52"/>
      <c r="AS28" s="92"/>
      <c r="AT28" s="92"/>
      <c r="AU28" s="923"/>
      <c r="AV28" s="922"/>
      <c r="AW28" s="52"/>
      <c r="AX28" s="92"/>
      <c r="AY28" s="92"/>
      <c r="AZ28" s="923"/>
      <c r="BA28" s="836"/>
      <c r="BB28" s="52"/>
      <c r="BC28" s="92"/>
      <c r="BD28" s="92"/>
      <c r="BE28" s="923"/>
      <c r="BF28" s="836"/>
      <c r="BG28" s="52"/>
      <c r="BH28" s="52"/>
      <c r="BI28" s="92"/>
      <c r="BJ28" s="923"/>
      <c r="BK28" s="836"/>
      <c r="BL28" s="52"/>
      <c r="BM28" s="52"/>
      <c r="BN28" s="92"/>
      <c r="BO28" s="923"/>
      <c r="BP28" s="836"/>
      <c r="BQ28" s="925">
        <v>56.4</v>
      </c>
      <c r="BR28" s="52">
        <v>89.8</v>
      </c>
      <c r="BS28" s="92">
        <v>81.2</v>
      </c>
      <c r="BT28" s="92">
        <v>368.8</v>
      </c>
      <c r="BU28" s="836">
        <v>452.7</v>
      </c>
      <c r="BV28" s="925">
        <v>99.3</v>
      </c>
      <c r="BW28" s="52">
        <v>95.8</v>
      </c>
      <c r="BX28" s="92">
        <v>117.5</v>
      </c>
      <c r="BY28" s="92">
        <v>122.2</v>
      </c>
      <c r="BZ28" s="836">
        <v>426.2</v>
      </c>
      <c r="CA28" s="925">
        <v>74.099999999999994</v>
      </c>
      <c r="CB28" s="52"/>
      <c r="CC28" s="92"/>
      <c r="CD28" s="92"/>
      <c r="CE28" s="836">
        <v>426.2</v>
      </c>
      <c r="CF28" s="941"/>
      <c r="CG28" s="714"/>
      <c r="CH28" s="926"/>
      <c r="CI28" s="771"/>
      <c r="CK28" s="771"/>
    </row>
    <row r="29" spans="1:89" s="94" customFormat="1" ht="20.149999999999999" customHeight="1">
      <c r="A29" s="920" t="s">
        <v>785</v>
      </c>
      <c r="B29" s="921" t="s">
        <v>788</v>
      </c>
      <c r="C29" s="52"/>
      <c r="D29" s="92"/>
      <c r="E29" s="92"/>
      <c r="F29" s="92"/>
      <c r="G29" s="922"/>
      <c r="H29" s="52"/>
      <c r="I29" s="92"/>
      <c r="J29" s="92"/>
      <c r="K29" s="92"/>
      <c r="L29" s="922"/>
      <c r="M29" s="52"/>
      <c r="N29" s="92"/>
      <c r="O29" s="92"/>
      <c r="P29" s="92"/>
      <c r="Q29" s="922"/>
      <c r="R29" s="52"/>
      <c r="S29" s="92"/>
      <c r="T29" s="92"/>
      <c r="U29" s="50"/>
      <c r="V29" s="922"/>
      <c r="W29" s="52"/>
      <c r="X29" s="92"/>
      <c r="Y29" s="923"/>
      <c r="Z29" s="50"/>
      <c r="AA29" s="922"/>
      <c r="AB29" s="52"/>
      <c r="AC29" s="92"/>
      <c r="AD29" s="923"/>
      <c r="AE29" s="923"/>
      <c r="AF29" s="922"/>
      <c r="AG29" s="52"/>
      <c r="AH29" s="92"/>
      <c r="AI29" s="92"/>
      <c r="AJ29" s="923"/>
      <c r="AK29" s="922"/>
      <c r="AL29" s="924"/>
      <c r="AM29" s="92"/>
      <c r="AN29" s="92"/>
      <c r="AO29" s="92"/>
      <c r="AP29" s="923"/>
      <c r="AQ29" s="922"/>
      <c r="AR29" s="52"/>
      <c r="AS29" s="92"/>
      <c r="AT29" s="92"/>
      <c r="AU29" s="923"/>
      <c r="AV29" s="922"/>
      <c r="AW29" s="52"/>
      <c r="AX29" s="92"/>
      <c r="AY29" s="92"/>
      <c r="AZ29" s="923"/>
      <c r="BA29" s="836"/>
      <c r="BB29" s="52"/>
      <c r="BC29" s="92"/>
      <c r="BD29" s="92"/>
      <c r="BE29" s="923"/>
      <c r="BF29" s="836"/>
      <c r="BG29" s="52"/>
      <c r="BH29" s="52"/>
      <c r="BI29" s="92"/>
      <c r="BJ29" s="923"/>
      <c r="BK29" s="836"/>
      <c r="BL29" s="52"/>
      <c r="BM29" s="52"/>
      <c r="BN29" s="92"/>
      <c r="BO29" s="923"/>
      <c r="BP29" s="836"/>
      <c r="BQ29" s="925">
        <v>-291.3</v>
      </c>
      <c r="BR29" s="52">
        <v>-369.5</v>
      </c>
      <c r="BS29" s="92">
        <v>-440.3</v>
      </c>
      <c r="BT29" s="92">
        <v>-414.6</v>
      </c>
      <c r="BU29" s="836">
        <v>-1372.2</v>
      </c>
      <c r="BV29" s="925">
        <v>-281.39999999999998</v>
      </c>
      <c r="BW29" s="52">
        <v>-278.7</v>
      </c>
      <c r="BX29" s="92">
        <v>-314.3</v>
      </c>
      <c r="BY29" s="92">
        <v>-246.4</v>
      </c>
      <c r="BZ29" s="836">
        <v>-1112.2</v>
      </c>
      <c r="CA29" s="925">
        <v>-361.9</v>
      </c>
      <c r="CB29" s="52"/>
      <c r="CC29" s="92"/>
      <c r="CD29" s="92"/>
      <c r="CE29" s="836">
        <v>-1112.2</v>
      </c>
      <c r="CF29" s="941"/>
      <c r="CG29" s="714"/>
      <c r="CH29" s="926"/>
      <c r="CI29" s="771"/>
      <c r="CK29" s="771"/>
    </row>
    <row r="30" spans="1:89" ht="30" customHeight="1">
      <c r="A30" s="868" t="s">
        <v>73</v>
      </c>
      <c r="B30" s="865" t="s">
        <v>74</v>
      </c>
      <c r="C30" s="46">
        <v>0.7</v>
      </c>
      <c r="D30" s="52">
        <v>0.8</v>
      </c>
      <c r="E30" s="52">
        <v>0.5</v>
      </c>
      <c r="F30" s="52">
        <v>0.8</v>
      </c>
      <c r="G30" s="836">
        <f t="shared" ref="G30" si="49">SUM(C30:F30)</f>
        <v>2.8</v>
      </c>
      <c r="H30" s="46">
        <v>0.8</v>
      </c>
      <c r="I30" s="52">
        <v>0.8</v>
      </c>
      <c r="J30" s="52">
        <v>0.7</v>
      </c>
      <c r="K30" s="52">
        <v>0.6</v>
      </c>
      <c r="L30" s="836">
        <f t="shared" ref="L30" si="50">SUM(H30:K30)</f>
        <v>2.9</v>
      </c>
      <c r="M30" s="46">
        <v>0.60000000000000009</v>
      </c>
      <c r="N30" s="52">
        <v>0.7</v>
      </c>
      <c r="O30" s="52">
        <v>0.7</v>
      </c>
      <c r="P30" s="52">
        <v>0.6</v>
      </c>
      <c r="Q30" s="836">
        <f t="shared" ref="Q30" si="51">SUM(M30:P30)</f>
        <v>2.6</v>
      </c>
      <c r="R30" s="46">
        <v>0.5</v>
      </c>
      <c r="S30" s="52">
        <v>0.9</v>
      </c>
      <c r="T30" s="52">
        <v>0.5</v>
      </c>
      <c r="U30" s="50">
        <v>0.70000000000000018</v>
      </c>
      <c r="V30" s="836">
        <v>2.6</v>
      </c>
      <c r="W30" s="46">
        <v>0.8</v>
      </c>
      <c r="X30" s="53">
        <v>-0.8</v>
      </c>
      <c r="Y30" s="46">
        <v>0</v>
      </c>
      <c r="Z30" s="46">
        <v>0</v>
      </c>
      <c r="AA30" s="836">
        <f t="shared" ref="AA30" si="52">SUM(W30:Z30)</f>
        <v>0</v>
      </c>
      <c r="AB30" s="46">
        <v>0</v>
      </c>
      <c r="AC30" s="46">
        <v>0</v>
      </c>
      <c r="AD30" s="46">
        <v>0</v>
      </c>
      <c r="AE30" s="46">
        <v>0</v>
      </c>
      <c r="AF30" s="836">
        <f t="shared" ref="AF30:AF31" si="53">SUM(AB30:AE30)</f>
        <v>0</v>
      </c>
      <c r="AG30" s="46">
        <v>0</v>
      </c>
      <c r="AH30" s="46">
        <v>0</v>
      </c>
      <c r="AI30" s="46">
        <v>0</v>
      </c>
      <c r="AJ30" s="46">
        <v>0</v>
      </c>
      <c r="AK30" s="836">
        <f t="shared" si="39"/>
        <v>0</v>
      </c>
      <c r="AL30" s="852"/>
      <c r="AM30" s="46">
        <v>0</v>
      </c>
      <c r="AN30" s="46">
        <v>0</v>
      </c>
      <c r="AO30" s="46">
        <v>0</v>
      </c>
      <c r="AP30" s="46">
        <v>0</v>
      </c>
      <c r="AQ30" s="836">
        <f t="shared" si="40"/>
        <v>0</v>
      </c>
      <c r="AR30" s="46">
        <v>0</v>
      </c>
      <c r="AS30" s="46">
        <v>0</v>
      </c>
      <c r="AT30" s="46">
        <v>0</v>
      </c>
      <c r="AU30" s="46">
        <v>0</v>
      </c>
      <c r="AV30" s="836">
        <f t="shared" si="41"/>
        <v>0</v>
      </c>
      <c r="AW30" s="46">
        <v>0</v>
      </c>
      <c r="AX30" s="46">
        <v>0</v>
      </c>
      <c r="AY30" s="46">
        <v>0</v>
      </c>
      <c r="AZ30" s="46">
        <v>0</v>
      </c>
      <c r="BA30" s="836">
        <f t="shared" si="42"/>
        <v>0</v>
      </c>
      <c r="BB30" s="46">
        <v>0</v>
      </c>
      <c r="BC30" s="46">
        <v>0</v>
      </c>
      <c r="BD30" s="46">
        <v>0</v>
      </c>
      <c r="BE30" s="46">
        <v>0</v>
      </c>
      <c r="BF30" s="836">
        <f t="shared" si="46"/>
        <v>0</v>
      </c>
      <c r="BG30" s="46">
        <v>0</v>
      </c>
      <c r="BH30" s="46">
        <v>0</v>
      </c>
      <c r="BI30" s="46">
        <v>0</v>
      </c>
      <c r="BJ30" s="46">
        <v>0</v>
      </c>
      <c r="BK30" s="836">
        <f t="shared" si="47"/>
        <v>0</v>
      </c>
      <c r="BL30" s="46">
        <v>0</v>
      </c>
      <c r="BM30" s="46">
        <v>0</v>
      </c>
      <c r="BN30" s="46">
        <v>0</v>
      </c>
      <c r="BO30" s="46">
        <v>0</v>
      </c>
      <c r="BP30" s="836">
        <f t="shared" si="48"/>
        <v>0</v>
      </c>
      <c r="BQ30" s="733">
        <v>0</v>
      </c>
      <c r="BR30" s="46">
        <v>0</v>
      </c>
      <c r="BS30" s="46">
        <v>0</v>
      </c>
      <c r="BT30" s="46">
        <v>0</v>
      </c>
      <c r="BU30" s="836">
        <f>SUM(BQ30:BT30)</f>
        <v>0</v>
      </c>
      <c r="BV30" s="733">
        <v>0</v>
      </c>
      <c r="BW30" s="46">
        <v>0</v>
      </c>
      <c r="BX30" s="46">
        <v>0</v>
      </c>
      <c r="BY30" s="46">
        <v>0</v>
      </c>
      <c r="BZ30" s="836">
        <f>SUM(BV30:BY30)</f>
        <v>0</v>
      </c>
      <c r="CA30" s="733">
        <v>0</v>
      </c>
      <c r="CB30" s="46"/>
      <c r="CC30" s="46"/>
      <c r="CD30" s="46"/>
      <c r="CE30" s="836">
        <f>SUM(CA30:CD30)</f>
        <v>0</v>
      </c>
      <c r="CF30" s="941"/>
      <c r="CG30" s="714"/>
      <c r="CH30" s="714"/>
      <c r="CI30" s="771"/>
      <c r="CK30" s="771"/>
    </row>
    <row r="31" spans="1:89" ht="30" customHeight="1">
      <c r="A31" s="868" t="s">
        <v>75</v>
      </c>
      <c r="B31" s="865" t="s">
        <v>76</v>
      </c>
      <c r="C31" s="52"/>
      <c r="D31" s="52"/>
      <c r="E31" s="52"/>
      <c r="F31" s="52"/>
      <c r="G31" s="836"/>
      <c r="H31" s="52"/>
      <c r="I31" s="52"/>
      <c r="J31" s="52"/>
      <c r="K31" s="52"/>
      <c r="L31" s="836"/>
      <c r="M31" s="52"/>
      <c r="N31" s="52"/>
      <c r="O31" s="52"/>
      <c r="P31" s="52"/>
      <c r="Q31" s="836"/>
      <c r="R31" s="52"/>
      <c r="S31" s="52"/>
      <c r="T31" s="52"/>
      <c r="U31" s="50"/>
      <c r="V31" s="836"/>
      <c r="W31" s="52"/>
      <c r="X31" s="53"/>
      <c r="Y31" s="46"/>
      <c r="Z31" s="46"/>
      <c r="AA31" s="836"/>
      <c r="AB31" s="52"/>
      <c r="AC31" s="46"/>
      <c r="AD31" s="46"/>
      <c r="AE31" s="46">
        <v>2.8</v>
      </c>
      <c r="AF31" s="836">
        <f t="shared" si="53"/>
        <v>2.8</v>
      </c>
      <c r="AG31" s="52">
        <v>5.2</v>
      </c>
      <c r="AH31" s="66">
        <v>-0.1</v>
      </c>
      <c r="AI31" s="66">
        <v>-3.5</v>
      </c>
      <c r="AJ31" s="36">
        <v>-2.8</v>
      </c>
      <c r="AK31" s="836">
        <f t="shared" ref="AK31" si="54">SUM(AG31:AJ31)</f>
        <v>-1.1999999999999993</v>
      </c>
      <c r="AL31" s="848"/>
      <c r="AM31" s="46">
        <v>5.2</v>
      </c>
      <c r="AN31" s="66">
        <v>-0.1</v>
      </c>
      <c r="AO31" s="66">
        <v>-3.5</v>
      </c>
      <c r="AP31" s="46">
        <v>-2.8</v>
      </c>
      <c r="AQ31" s="836">
        <f t="shared" ref="AQ31" si="55">SUM(AM31:AP31)</f>
        <v>-1.1999999999999993</v>
      </c>
      <c r="AR31" s="52">
        <v>-1.7</v>
      </c>
      <c r="AS31" s="66">
        <v>-1.9</v>
      </c>
      <c r="AT31" s="66">
        <v>-1.3</v>
      </c>
      <c r="AU31" s="46">
        <v>-1.6</v>
      </c>
      <c r="AV31" s="836">
        <f>SUM(AR31:AU31)</f>
        <v>-6.5</v>
      </c>
      <c r="AW31" s="52">
        <v>-1.7</v>
      </c>
      <c r="AX31" s="66">
        <v>-1.9</v>
      </c>
      <c r="AY31" s="66">
        <v>-1.3</v>
      </c>
      <c r="AZ31" s="46">
        <v>-1.6</v>
      </c>
      <c r="BA31" s="836">
        <f>SUM(AW31:AZ31)</f>
        <v>-6.5</v>
      </c>
      <c r="BB31" s="52">
        <v>16.3</v>
      </c>
      <c r="BC31" s="66">
        <v>17.8</v>
      </c>
      <c r="BD31" s="66">
        <v>13.5</v>
      </c>
      <c r="BE31" s="46">
        <v>-45.6</v>
      </c>
      <c r="BF31" s="836">
        <f>SUM(BB31:BE31)</f>
        <v>2</v>
      </c>
      <c r="BG31" s="52">
        <v>16.5</v>
      </c>
      <c r="BH31" s="52">
        <v>25</v>
      </c>
      <c r="BI31" s="66">
        <v>22.5</v>
      </c>
      <c r="BJ31" s="66">
        <v>11.4</v>
      </c>
      <c r="BK31" s="836">
        <f>SUM(BG31:BJ31)</f>
        <v>75.400000000000006</v>
      </c>
      <c r="BL31" s="52">
        <v>14.7</v>
      </c>
      <c r="BM31" s="52">
        <v>24.2</v>
      </c>
      <c r="BN31" s="66">
        <v>23.8</v>
      </c>
      <c r="BO31" s="66">
        <f>94.5-BN31-BM31-BL31</f>
        <v>31.8</v>
      </c>
      <c r="BP31" s="836">
        <f t="shared" si="48"/>
        <v>94.5</v>
      </c>
      <c r="BQ31" s="710">
        <v>20.3</v>
      </c>
      <c r="BR31" s="52">
        <v>-9.9</v>
      </c>
      <c r="BS31" s="46">
        <v>19.3</v>
      </c>
      <c r="BT31" s="46">
        <v>0</v>
      </c>
      <c r="BU31" s="836">
        <f t="shared" ref="BU31" si="56">SUM(BQ31:BT31)</f>
        <v>29.700000000000003</v>
      </c>
      <c r="BV31" s="733">
        <v>0</v>
      </c>
      <c r="BW31" s="52">
        <v>0.1</v>
      </c>
      <c r="BX31" s="46">
        <v>-0.8</v>
      </c>
      <c r="BY31" s="46">
        <v>0</v>
      </c>
      <c r="BZ31" s="836">
        <f t="shared" ref="BZ31" si="57">SUM(BV31:BY31)</f>
        <v>-0.70000000000000007</v>
      </c>
      <c r="CA31" s="733">
        <v>0</v>
      </c>
      <c r="CB31" s="52"/>
      <c r="CC31" s="46"/>
      <c r="CD31" s="46"/>
      <c r="CE31" s="836">
        <f t="shared" ref="CE31" si="58">SUM(CA31:CD31)</f>
        <v>0</v>
      </c>
      <c r="CF31" s="941"/>
      <c r="CG31" s="714"/>
      <c r="CH31" s="714"/>
      <c r="CI31" s="771"/>
      <c r="CK31" s="771"/>
    </row>
    <row r="32" spans="1:89" s="378" customFormat="1" ht="22.5" customHeight="1">
      <c r="A32" s="871" t="s">
        <v>77</v>
      </c>
      <c r="B32" s="871" t="s">
        <v>78</v>
      </c>
      <c r="C32" s="656">
        <f t="shared" ref="C32:AK32" si="59">C25+C26+C27+C30+C31</f>
        <v>246.30000000000004</v>
      </c>
      <c r="D32" s="656">
        <f t="shared" si="59"/>
        <v>112.89999999999996</v>
      </c>
      <c r="E32" s="656">
        <f t="shared" si="59"/>
        <v>198.20000000000005</v>
      </c>
      <c r="F32" s="656">
        <f t="shared" si="59"/>
        <v>138.20000000000019</v>
      </c>
      <c r="G32" s="832">
        <f t="shared" si="59"/>
        <v>695.59999999999911</v>
      </c>
      <c r="H32" s="656">
        <f t="shared" si="59"/>
        <v>109.27999999999996</v>
      </c>
      <c r="I32" s="656">
        <f t="shared" si="59"/>
        <v>94.09999999999998</v>
      </c>
      <c r="J32" s="656">
        <f t="shared" si="59"/>
        <v>200.79999999999998</v>
      </c>
      <c r="K32" s="656">
        <f t="shared" si="59"/>
        <v>188.69999999999993</v>
      </c>
      <c r="L32" s="832">
        <f t="shared" si="59"/>
        <v>592.88000000000034</v>
      </c>
      <c r="M32" s="656">
        <f t="shared" si="59"/>
        <v>112.59999999999977</v>
      </c>
      <c r="N32" s="656">
        <f t="shared" si="59"/>
        <v>148.7999999999999</v>
      </c>
      <c r="O32" s="656">
        <f t="shared" si="59"/>
        <v>49.299999999999685</v>
      </c>
      <c r="P32" s="656">
        <f t="shared" si="59"/>
        <v>3.5000000000007732</v>
      </c>
      <c r="Q32" s="832">
        <f t="shared" si="59"/>
        <v>314.19999999999925</v>
      </c>
      <c r="R32" s="656">
        <f t="shared" si="59"/>
        <v>196.79999999999995</v>
      </c>
      <c r="S32" s="656">
        <f t="shared" si="59"/>
        <v>350.4</v>
      </c>
      <c r="T32" s="656">
        <f t="shared" si="59"/>
        <v>613.29999999999961</v>
      </c>
      <c r="U32" s="656">
        <f t="shared" si="59"/>
        <v>171.90000000000038</v>
      </c>
      <c r="V32" s="832">
        <f t="shared" si="59"/>
        <v>1332.3999999999994</v>
      </c>
      <c r="W32" s="656">
        <f t="shared" si="59"/>
        <v>205.70000000000005</v>
      </c>
      <c r="X32" s="656">
        <f t="shared" si="59"/>
        <v>252.10000000000014</v>
      </c>
      <c r="Y32" s="657">
        <f t="shared" si="59"/>
        <v>334.90000000000038</v>
      </c>
      <c r="Z32" s="657">
        <f t="shared" si="59"/>
        <v>240.69999999999996</v>
      </c>
      <c r="AA32" s="832">
        <f t="shared" si="59"/>
        <v>1033.4000000000001</v>
      </c>
      <c r="AB32" s="656">
        <f t="shared" si="59"/>
        <v>302.20000000000033</v>
      </c>
      <c r="AC32" s="656">
        <f t="shared" si="59"/>
        <v>389.2999999999999</v>
      </c>
      <c r="AD32" s="656">
        <f t="shared" si="59"/>
        <v>289.10000000000002</v>
      </c>
      <c r="AE32" s="656">
        <f t="shared" si="59"/>
        <v>354.40000000000003</v>
      </c>
      <c r="AF32" s="832">
        <f t="shared" si="59"/>
        <v>1335.0000000000007</v>
      </c>
      <c r="AG32" s="656">
        <f t="shared" si="59"/>
        <v>393.49999999999972</v>
      </c>
      <c r="AH32" s="656">
        <f t="shared" si="59"/>
        <v>355.19999999999987</v>
      </c>
      <c r="AI32" s="656">
        <f t="shared" si="59"/>
        <v>304.30000000000007</v>
      </c>
      <c r="AJ32" s="658">
        <f t="shared" si="59"/>
        <v>304.59999999999997</v>
      </c>
      <c r="AK32" s="832">
        <f t="shared" si="59"/>
        <v>1357.5999999999997</v>
      </c>
      <c r="AL32" s="846"/>
      <c r="AM32" s="887">
        <f t="shared" ref="AM32:AV32" si="60">AM25+AM26+AM27+AM30+AM31</f>
        <v>364.7</v>
      </c>
      <c r="AN32" s="656">
        <f t="shared" si="60"/>
        <v>330.69999999999982</v>
      </c>
      <c r="AO32" s="656">
        <f t="shared" si="60"/>
        <v>303.0999999999998</v>
      </c>
      <c r="AP32" s="658">
        <f t="shared" si="60"/>
        <v>307.59999999999997</v>
      </c>
      <c r="AQ32" s="832">
        <f t="shared" si="60"/>
        <v>1306.1000000000029</v>
      </c>
      <c r="AR32" s="656">
        <f t="shared" si="60"/>
        <v>378.80000000000024</v>
      </c>
      <c r="AS32" s="656">
        <f t="shared" si="60"/>
        <v>357</v>
      </c>
      <c r="AT32" s="656">
        <f t="shared" si="60"/>
        <v>318.99999999999972</v>
      </c>
      <c r="AU32" s="656">
        <f t="shared" si="60"/>
        <v>427.30000000000092</v>
      </c>
      <c r="AV32" s="832">
        <f t="shared" si="60"/>
        <v>1482.1000000000024</v>
      </c>
      <c r="AW32" s="656">
        <f>AW25+AW26+AW27+AW31+AW30</f>
        <v>374.59999999999951</v>
      </c>
      <c r="AX32" s="656">
        <f>AX25+AX26+AX27+AX30+AX31</f>
        <v>355.39999999999975</v>
      </c>
      <c r="AY32" s="656">
        <f>AY25+AY26+AY27+AY30+AY31</f>
        <v>305.99999999999983</v>
      </c>
      <c r="AZ32" s="656">
        <f>AZ25+AZ26+AZ27+AZ30+AZ31</f>
        <v>431.60000000000019</v>
      </c>
      <c r="BA32" s="832">
        <f>BA25+BA26+BA27+BA30+BA31</f>
        <v>1467.600000000001</v>
      </c>
      <c r="BB32" s="656">
        <f>BB25+BB26+BB27+BB31+BB30</f>
        <v>250.48882651999986</v>
      </c>
      <c r="BC32" s="656">
        <f>BC25+BC26+BC27+BC30+BC31</f>
        <v>363.00000000000085</v>
      </c>
      <c r="BD32" s="656">
        <f>BD25+BD26+BD27+BD30+BD31</f>
        <v>426.5999999999998</v>
      </c>
      <c r="BE32" s="656">
        <f>BE25+BE26+BE27+BE30+BE31</f>
        <v>402.00000000000011</v>
      </c>
      <c r="BF32" s="832">
        <f>BF25+BF26+BF27+BF30+BF31</f>
        <v>1442.0888265199992</v>
      </c>
      <c r="BG32" s="656">
        <f>BG25+BG26+BG27+BG31+BG30</f>
        <v>498.5</v>
      </c>
      <c r="BH32" s="656">
        <f>BH25+BH26+BH27+BH30+BH31</f>
        <v>655.99999999999989</v>
      </c>
      <c r="BI32" s="656">
        <f>BI25+BI26+BI27+BI30+BI31</f>
        <v>4082.7000000000007</v>
      </c>
      <c r="BJ32" s="656">
        <f>BJ25+BJ26+BJ27+BJ30+BJ31</f>
        <v>428.89999999999964</v>
      </c>
      <c r="BK32" s="832">
        <f>BK25+BK26+BK27+BK30+BK31</f>
        <v>5666.0999999999985</v>
      </c>
      <c r="BL32" s="656">
        <f>BL25+BL26+BL27+BL31+BL30</f>
        <v>265.09999999999997</v>
      </c>
      <c r="BM32" s="656">
        <f>BM25+BM26+BM27+BM30+BM31</f>
        <v>324.99999999999983</v>
      </c>
      <c r="BN32" s="656">
        <f>BN25+BN26+BN27+BN30+BN31</f>
        <v>297.30000000000075</v>
      </c>
      <c r="BO32" s="656">
        <f>BO25+BO26+BO27+BO30+BO31</f>
        <v>222.89999999999895</v>
      </c>
      <c r="BP32" s="832">
        <f>BP25+BP26+BP27+BP30+BP31</f>
        <v>1110.3000000000002</v>
      </c>
      <c r="BQ32" s="707">
        <f>BQ25+BQ26+BQ27+BQ31+BQ30</f>
        <v>84.100000000000577</v>
      </c>
      <c r="BR32" s="707">
        <f>BR25+BR26+BR27+BR31+BR30</f>
        <v>40.200000000000195</v>
      </c>
      <c r="BS32" s="656">
        <f>BS25+BS26+BS27+BS30+BS31</f>
        <v>171.10000000000042</v>
      </c>
      <c r="BT32" s="656">
        <f>BT25+BT26+BT27+BT30+BT31</f>
        <v>126.4000000000002</v>
      </c>
      <c r="BU32" s="832">
        <f>BU25+BU26+BU27+BU30+BU31</f>
        <v>421.80000000000194</v>
      </c>
      <c r="BV32" s="707">
        <f>BV25+BV26+BV27+BV31+BV30</f>
        <v>270.59862972000099</v>
      </c>
      <c r="BW32" s="707">
        <f>BW25+BW26+BW27+BW31+BW30</f>
        <v>213.20000000000041</v>
      </c>
      <c r="BX32" s="707">
        <f>BX25+BX26+BX27+BX31+BX30</f>
        <v>371.89999999999969</v>
      </c>
      <c r="BY32" s="656">
        <f>BY25+BY28+BY29+BY31+BY30</f>
        <v>223.79999999999981</v>
      </c>
      <c r="BZ32" s="832">
        <f>BZ25+BZ28+BZ29+BZ31+BZ30</f>
        <v>1079.4986297199994</v>
      </c>
      <c r="CA32" s="707">
        <f t="shared" ref="CA32" si="61">CA25+CA28+CA29+CA31+CA30</f>
        <v>122.50000000000023</v>
      </c>
      <c r="CB32" s="707"/>
      <c r="CC32" s="707"/>
      <c r="CD32" s="656"/>
      <c r="CE32" s="832">
        <f>CE25+CE28+CE29+CE31+CE30</f>
        <v>-275.69999999999982</v>
      </c>
      <c r="CF32" s="941"/>
      <c r="CG32" s="714"/>
      <c r="CH32" s="714"/>
      <c r="CI32" s="771"/>
      <c r="CK32" s="771"/>
    </row>
    <row r="33" spans="1:16357" ht="20.149999999999999" customHeight="1">
      <c r="A33" s="868" t="s">
        <v>79</v>
      </c>
      <c r="B33" s="864" t="s">
        <v>80</v>
      </c>
      <c r="C33" s="53">
        <v>-41.2</v>
      </c>
      <c r="D33" s="52">
        <v>-13.4</v>
      </c>
      <c r="E33" s="52">
        <v>-26.2</v>
      </c>
      <c r="F33" s="52">
        <v>-16.600000000000001</v>
      </c>
      <c r="G33" s="836">
        <f>SUM(C33:F33)</f>
        <v>-97.4</v>
      </c>
      <c r="H33" s="53">
        <v>-14.1</v>
      </c>
      <c r="I33" s="52">
        <v>-13.4</v>
      </c>
      <c r="J33" s="52">
        <v>-24.4</v>
      </c>
      <c r="K33" s="52">
        <v>-15.5</v>
      </c>
      <c r="L33" s="836">
        <f>SUM(H33:K33)</f>
        <v>-67.400000000000006</v>
      </c>
      <c r="M33" s="53">
        <v>-14.400000000000002</v>
      </c>
      <c r="N33" s="52">
        <v>-16.7</v>
      </c>
      <c r="O33" s="52">
        <v>-1.1000000000000001</v>
      </c>
      <c r="P33" s="52">
        <v>10.5</v>
      </c>
      <c r="Q33" s="836">
        <f>SUM(M33:P33)</f>
        <v>-21.700000000000003</v>
      </c>
      <c r="R33" s="53">
        <v>-26</v>
      </c>
      <c r="S33" s="52">
        <v>-45.9</v>
      </c>
      <c r="T33" s="52">
        <v>-110.8</v>
      </c>
      <c r="U33" s="53">
        <v>13.7</v>
      </c>
      <c r="V33" s="836">
        <v>-169</v>
      </c>
      <c r="W33" s="53">
        <v>-27.2</v>
      </c>
      <c r="X33" s="53">
        <v>-21.2</v>
      </c>
      <c r="Y33" s="36">
        <v>-65.099999999999994</v>
      </c>
      <c r="Z33" s="53">
        <v>101.1</v>
      </c>
      <c r="AA33" s="836">
        <f t="shared" si="7"/>
        <v>-12.400000000000006</v>
      </c>
      <c r="AB33" s="53">
        <v>-30.8</v>
      </c>
      <c r="AC33" s="53">
        <v>-107.6</v>
      </c>
      <c r="AD33" s="36">
        <v>-54.2</v>
      </c>
      <c r="AE33" s="53">
        <v>-197.2</v>
      </c>
      <c r="AF33" s="836">
        <f t="shared" si="8"/>
        <v>-389.8</v>
      </c>
      <c r="AG33" s="53">
        <v>-78</v>
      </c>
      <c r="AH33" s="53">
        <v>-102.1</v>
      </c>
      <c r="AI33" s="75">
        <v>-77.3</v>
      </c>
      <c r="AJ33" s="53">
        <v>-246.74845572261776</v>
      </c>
      <c r="AK33" s="836">
        <f>SUM(AG33:AJ33)</f>
        <v>-504.14845572261777</v>
      </c>
      <c r="AL33" s="848"/>
      <c r="AM33" s="53">
        <v>-72.5</v>
      </c>
      <c r="AN33" s="53">
        <v>-99.3</v>
      </c>
      <c r="AO33" s="706">
        <v>-76</v>
      </c>
      <c r="AP33" s="53">
        <v>-242.2</v>
      </c>
      <c r="AQ33" s="836">
        <f>SUM(AM33:AP33)</f>
        <v>-490</v>
      </c>
      <c r="AR33" s="53">
        <v>-78</v>
      </c>
      <c r="AS33" s="53">
        <v>-86.9</v>
      </c>
      <c r="AT33" s="53">
        <v>-72</v>
      </c>
      <c r="AU33" s="53">
        <v>-118.9</v>
      </c>
      <c r="AV33" s="836">
        <f>SUM(AR33:AU33)</f>
        <v>-355.8</v>
      </c>
      <c r="AW33" s="53">
        <v>-77.3</v>
      </c>
      <c r="AX33" s="53">
        <v>-86.5</v>
      </c>
      <c r="AY33" s="706">
        <v>-69.5</v>
      </c>
      <c r="AZ33" s="53">
        <v>-119.7</v>
      </c>
      <c r="BA33" s="836">
        <f>SUM(AW33:AZ33)</f>
        <v>-353</v>
      </c>
      <c r="BB33" s="53">
        <v>-66.7</v>
      </c>
      <c r="BC33" s="53">
        <v>-72.3</v>
      </c>
      <c r="BD33" s="706">
        <v>-81.599999999999994</v>
      </c>
      <c r="BE33" s="53">
        <v>-75.3</v>
      </c>
      <c r="BF33" s="836">
        <f>SUM(BB33:BE33)</f>
        <v>-295.89999999999998</v>
      </c>
      <c r="BG33" s="53">
        <v>-108.1</v>
      </c>
      <c r="BH33" s="52">
        <v>-114.3</v>
      </c>
      <c r="BI33" s="52">
        <v>-934</v>
      </c>
      <c r="BJ33" s="52">
        <v>-95.2</v>
      </c>
      <c r="BK33" s="836">
        <f>SUM(BG33:BJ33)</f>
        <v>-1251.6000000000001</v>
      </c>
      <c r="BL33" s="53">
        <v>-52.3</v>
      </c>
      <c r="BM33" s="52">
        <v>-42.3</v>
      </c>
      <c r="BN33" s="92">
        <v>-66.2</v>
      </c>
      <c r="BO33" s="52">
        <f>-209.2-BN33-BM33-BL33</f>
        <v>-48.400000000000006</v>
      </c>
      <c r="BP33" s="836">
        <f>SUM(BL33:BO33)</f>
        <v>-209.20000000000002</v>
      </c>
      <c r="BQ33" s="710">
        <v>-13.1</v>
      </c>
      <c r="BR33" s="52">
        <v>-32.1</v>
      </c>
      <c r="BS33" s="92">
        <v>-68.900000000000006</v>
      </c>
      <c r="BT33" s="92">
        <v>3.9</v>
      </c>
      <c r="BU33" s="836">
        <f>SUM(BQ33:BT33)</f>
        <v>-110.2</v>
      </c>
      <c r="BV33" s="710">
        <v>-86.3</v>
      </c>
      <c r="BW33" s="52">
        <v>-37.700000000000003</v>
      </c>
      <c r="BX33" s="92">
        <v>-122.1</v>
      </c>
      <c r="BY33" s="92">
        <v>-56.1</v>
      </c>
      <c r="BZ33" s="836">
        <f>SUM(BV33:BY33)</f>
        <v>-302.2</v>
      </c>
      <c r="CA33" s="710">
        <v>-35.799999999999997</v>
      </c>
      <c r="CB33" s="52"/>
      <c r="CC33" s="92"/>
      <c r="CD33" s="92"/>
      <c r="CE33" s="836">
        <f>SUM(CA33:CD33)</f>
        <v>-35.799999999999997</v>
      </c>
      <c r="CF33" s="941"/>
      <c r="CG33" s="714"/>
      <c r="CH33" s="714"/>
      <c r="CI33" s="771"/>
      <c r="CK33" s="771"/>
    </row>
    <row r="34" spans="1:16357" s="378" customFormat="1" ht="22.5" customHeight="1">
      <c r="A34" s="871" t="s">
        <v>81</v>
      </c>
      <c r="B34" s="871" t="s">
        <v>82</v>
      </c>
      <c r="C34" s="656">
        <f t="shared" ref="C34:AK34" si="62">C32+C33</f>
        <v>205.10000000000002</v>
      </c>
      <c r="D34" s="656">
        <f t="shared" si="62"/>
        <v>99.499999999999957</v>
      </c>
      <c r="E34" s="656">
        <f t="shared" si="62"/>
        <v>172.00000000000006</v>
      </c>
      <c r="F34" s="656">
        <f t="shared" si="62"/>
        <v>121.60000000000019</v>
      </c>
      <c r="G34" s="832">
        <f>G32+G33</f>
        <v>598.19999999999914</v>
      </c>
      <c r="H34" s="656">
        <f t="shared" si="62"/>
        <v>95.179999999999964</v>
      </c>
      <c r="I34" s="656">
        <f t="shared" si="62"/>
        <v>80.699999999999974</v>
      </c>
      <c r="J34" s="656">
        <f t="shared" si="62"/>
        <v>176.39999999999998</v>
      </c>
      <c r="K34" s="656">
        <f t="shared" si="62"/>
        <v>173.19999999999993</v>
      </c>
      <c r="L34" s="832">
        <f t="shared" si="62"/>
        <v>525.48000000000036</v>
      </c>
      <c r="M34" s="656">
        <f t="shared" si="62"/>
        <v>98.199999999999761</v>
      </c>
      <c r="N34" s="656">
        <f t="shared" si="62"/>
        <v>132.09999999999991</v>
      </c>
      <c r="O34" s="656">
        <f t="shared" si="62"/>
        <v>48.199999999999683</v>
      </c>
      <c r="P34" s="656">
        <f t="shared" si="62"/>
        <v>14.000000000000773</v>
      </c>
      <c r="Q34" s="832">
        <f t="shared" si="62"/>
        <v>292.49999999999926</v>
      </c>
      <c r="R34" s="656">
        <f t="shared" si="62"/>
        <v>170.79999999999995</v>
      </c>
      <c r="S34" s="656">
        <f t="shared" si="62"/>
        <v>304.5</v>
      </c>
      <c r="T34" s="656">
        <f t="shared" si="62"/>
        <v>502.4999999999996</v>
      </c>
      <c r="U34" s="656">
        <f t="shared" si="62"/>
        <v>185.60000000000036</v>
      </c>
      <c r="V34" s="832">
        <f t="shared" si="62"/>
        <v>1163.3999999999994</v>
      </c>
      <c r="W34" s="656">
        <f t="shared" si="62"/>
        <v>178.50000000000006</v>
      </c>
      <c r="X34" s="656">
        <f t="shared" si="62"/>
        <v>230.90000000000015</v>
      </c>
      <c r="Y34" s="657">
        <f t="shared" si="62"/>
        <v>269.80000000000041</v>
      </c>
      <c r="Z34" s="657">
        <f t="shared" si="62"/>
        <v>341.79999999999995</v>
      </c>
      <c r="AA34" s="832">
        <f t="shared" si="62"/>
        <v>1021.0000000000001</v>
      </c>
      <c r="AB34" s="656">
        <f t="shared" si="62"/>
        <v>271.40000000000032</v>
      </c>
      <c r="AC34" s="656">
        <f t="shared" si="62"/>
        <v>281.69999999999993</v>
      </c>
      <c r="AD34" s="656">
        <f t="shared" si="62"/>
        <v>234.90000000000003</v>
      </c>
      <c r="AE34" s="656">
        <f t="shared" si="62"/>
        <v>157.20000000000005</v>
      </c>
      <c r="AF34" s="832">
        <f t="shared" si="62"/>
        <v>945.20000000000073</v>
      </c>
      <c r="AG34" s="656">
        <f t="shared" si="62"/>
        <v>315.49999999999972</v>
      </c>
      <c r="AH34" s="656">
        <f t="shared" si="62"/>
        <v>253.09999999999988</v>
      </c>
      <c r="AI34" s="656">
        <f t="shared" si="62"/>
        <v>227.00000000000006</v>
      </c>
      <c r="AJ34" s="658">
        <f t="shared" si="62"/>
        <v>57.851544277382203</v>
      </c>
      <c r="AK34" s="832">
        <f t="shared" si="62"/>
        <v>853.45154427738191</v>
      </c>
      <c r="AL34" s="846"/>
      <c r="AM34" s="887">
        <f t="shared" ref="AM34:BK34" si="63">AM32+AM33</f>
        <v>292.2</v>
      </c>
      <c r="AN34" s="656">
        <f t="shared" si="63"/>
        <v>231.39999999999981</v>
      </c>
      <c r="AO34" s="656">
        <f t="shared" si="63"/>
        <v>227.0999999999998</v>
      </c>
      <c r="AP34" s="658">
        <f t="shared" si="63"/>
        <v>65.399999999999977</v>
      </c>
      <c r="AQ34" s="832">
        <f t="shared" si="63"/>
        <v>816.10000000000286</v>
      </c>
      <c r="AR34" s="656">
        <f>AR32+AR33</f>
        <v>300.80000000000024</v>
      </c>
      <c r="AS34" s="656">
        <f t="shared" si="63"/>
        <v>270.10000000000002</v>
      </c>
      <c r="AT34" s="656">
        <f t="shared" si="63"/>
        <v>246.99999999999972</v>
      </c>
      <c r="AU34" s="656">
        <f t="shared" si="63"/>
        <v>308.40000000000089</v>
      </c>
      <c r="AV34" s="832">
        <f t="shared" si="63"/>
        <v>1126.3000000000025</v>
      </c>
      <c r="AW34" s="656">
        <f t="shared" si="63"/>
        <v>297.2999999999995</v>
      </c>
      <c r="AX34" s="656">
        <f t="shared" si="63"/>
        <v>268.89999999999975</v>
      </c>
      <c r="AY34" s="656">
        <f t="shared" si="63"/>
        <v>236.49999999999983</v>
      </c>
      <c r="AZ34" s="656">
        <f t="shared" si="63"/>
        <v>311.9000000000002</v>
      </c>
      <c r="BA34" s="832">
        <f t="shared" si="63"/>
        <v>1114.600000000001</v>
      </c>
      <c r="BB34" s="656">
        <f t="shared" si="63"/>
        <v>183.78882651999987</v>
      </c>
      <c r="BC34" s="656">
        <f t="shared" si="63"/>
        <v>290.70000000000084</v>
      </c>
      <c r="BD34" s="656">
        <f t="shared" si="63"/>
        <v>344.99999999999977</v>
      </c>
      <c r="BE34" s="656">
        <f t="shared" si="63"/>
        <v>326.7000000000001</v>
      </c>
      <c r="BF34" s="832">
        <f t="shared" si="63"/>
        <v>1146.1888265199991</v>
      </c>
      <c r="BG34" s="656">
        <f t="shared" si="63"/>
        <v>390.4</v>
      </c>
      <c r="BH34" s="656">
        <f t="shared" si="63"/>
        <v>541.69999999999993</v>
      </c>
      <c r="BI34" s="656">
        <f t="shared" si="63"/>
        <v>3148.7000000000007</v>
      </c>
      <c r="BJ34" s="656">
        <f t="shared" si="63"/>
        <v>333.69999999999965</v>
      </c>
      <c r="BK34" s="832">
        <f t="shared" si="63"/>
        <v>4414.4999999999982</v>
      </c>
      <c r="BL34" s="656">
        <f>BL32+BL33</f>
        <v>212.79999999999995</v>
      </c>
      <c r="BM34" s="656">
        <f t="shared" ref="BM34:BP34" si="64">BM32+BM33</f>
        <v>282.69999999999982</v>
      </c>
      <c r="BN34" s="656">
        <f t="shared" si="64"/>
        <v>231.10000000000076</v>
      </c>
      <c r="BO34" s="656">
        <f t="shared" si="64"/>
        <v>174.49999999999895</v>
      </c>
      <c r="BP34" s="832">
        <f t="shared" si="64"/>
        <v>901.10000000000014</v>
      </c>
      <c r="BQ34" s="707">
        <f>BQ32+BQ33</f>
        <v>71.000000000000583</v>
      </c>
      <c r="BR34" s="656">
        <f t="shared" ref="BR34:BU34" si="65">BR32+BR33</f>
        <v>8.1000000000001933</v>
      </c>
      <c r="BS34" s="656">
        <f t="shared" si="65"/>
        <v>102.20000000000041</v>
      </c>
      <c r="BT34" s="656">
        <f t="shared" si="65"/>
        <v>130.30000000000021</v>
      </c>
      <c r="BU34" s="832">
        <f t="shared" si="65"/>
        <v>311.60000000000196</v>
      </c>
      <c r="BV34" s="707">
        <f>BV32+BV33</f>
        <v>184.29862972000097</v>
      </c>
      <c r="BW34" s="707">
        <f>BW32+BW33</f>
        <v>175.5000000000004</v>
      </c>
      <c r="BX34" s="707">
        <f>BX32+BX33</f>
        <v>249.7999999999997</v>
      </c>
      <c r="BY34" s="656">
        <f>BY32+BY33</f>
        <v>167.69999999999982</v>
      </c>
      <c r="BZ34" s="832">
        <f t="shared" ref="BZ34:CA34" si="66">BZ32+BZ33</f>
        <v>777.29862971999933</v>
      </c>
      <c r="CA34" s="707">
        <f t="shared" si="66"/>
        <v>86.70000000000023</v>
      </c>
      <c r="CB34" s="707"/>
      <c r="CC34" s="707"/>
      <c r="CD34" s="656"/>
      <c r="CE34" s="832">
        <f t="shared" ref="CE34" si="67">CE32+CE33</f>
        <v>-311.49999999999983</v>
      </c>
      <c r="CF34" s="769"/>
      <c r="CG34" s="714"/>
      <c r="CH34" s="714"/>
      <c r="CI34" s="772"/>
    </row>
    <row r="35" spans="1:16357" ht="30" customHeight="1">
      <c r="A35" s="868" t="s">
        <v>83</v>
      </c>
      <c r="B35" s="859" t="s">
        <v>84</v>
      </c>
      <c r="C35" s="36">
        <f>C34</f>
        <v>205.10000000000002</v>
      </c>
      <c r="D35" s="52">
        <f t="shared" ref="D35:V35" si="68">D34</f>
        <v>99.499999999999957</v>
      </c>
      <c r="E35" s="52">
        <f t="shared" si="68"/>
        <v>172.00000000000006</v>
      </c>
      <c r="F35" s="52">
        <f t="shared" si="68"/>
        <v>121.60000000000019</v>
      </c>
      <c r="G35" s="836">
        <f t="shared" si="68"/>
        <v>598.19999999999914</v>
      </c>
      <c r="H35" s="36">
        <f t="shared" si="68"/>
        <v>95.179999999999964</v>
      </c>
      <c r="I35" s="52">
        <f t="shared" si="68"/>
        <v>80.699999999999974</v>
      </c>
      <c r="J35" s="52">
        <f t="shared" si="68"/>
        <v>176.39999999999998</v>
      </c>
      <c r="K35" s="52">
        <f t="shared" si="68"/>
        <v>173.19999999999993</v>
      </c>
      <c r="L35" s="836">
        <f t="shared" si="68"/>
        <v>525.48000000000036</v>
      </c>
      <c r="M35" s="36">
        <f t="shared" si="68"/>
        <v>98.199999999999761</v>
      </c>
      <c r="N35" s="52">
        <f t="shared" si="68"/>
        <v>132.09999999999991</v>
      </c>
      <c r="O35" s="52">
        <f t="shared" si="68"/>
        <v>48.199999999999683</v>
      </c>
      <c r="P35" s="52">
        <f t="shared" si="68"/>
        <v>14.000000000000773</v>
      </c>
      <c r="Q35" s="836">
        <f t="shared" si="68"/>
        <v>292.49999999999926</v>
      </c>
      <c r="R35" s="36">
        <f t="shared" si="68"/>
        <v>170.79999999999995</v>
      </c>
      <c r="S35" s="52">
        <f t="shared" si="68"/>
        <v>304.5</v>
      </c>
      <c r="T35" s="52">
        <f t="shared" si="68"/>
        <v>502.4999999999996</v>
      </c>
      <c r="U35" s="54">
        <f t="shared" si="68"/>
        <v>185.60000000000036</v>
      </c>
      <c r="V35" s="836">
        <f t="shared" si="68"/>
        <v>1163.3999999999994</v>
      </c>
      <c r="W35" s="36">
        <v>175.5</v>
      </c>
      <c r="X35" s="53">
        <v>237.7</v>
      </c>
      <c r="Y35" s="36">
        <v>278.2</v>
      </c>
      <c r="Z35" s="54">
        <v>349.9</v>
      </c>
      <c r="AA35" s="836">
        <f t="shared" si="7"/>
        <v>1041.3</v>
      </c>
      <c r="AB35" s="36">
        <v>279.39999999999998</v>
      </c>
      <c r="AC35" s="53">
        <v>291.2</v>
      </c>
      <c r="AD35" s="36">
        <v>242.9</v>
      </c>
      <c r="AE35" s="36">
        <v>167.1</v>
      </c>
      <c r="AF35" s="836">
        <f t="shared" si="8"/>
        <v>980.59999999999991</v>
      </c>
      <c r="AG35" s="36"/>
      <c r="AH35" s="53"/>
      <c r="AI35" s="75"/>
      <c r="AJ35" s="36"/>
      <c r="AK35" s="836">
        <f t="shared" ref="AK35:AK36" si="69">SUM(AG35:AJ35)</f>
        <v>0</v>
      </c>
      <c r="AL35" s="848"/>
      <c r="AM35" s="36">
        <v>300.8</v>
      </c>
      <c r="AN35" s="53">
        <v>235.8</v>
      </c>
      <c r="AO35" s="53">
        <v>226.1</v>
      </c>
      <c r="AP35" s="36">
        <v>70.900000000000006</v>
      </c>
      <c r="AQ35" s="836">
        <f t="shared" ref="AQ35:AQ36" si="70">SUM(AM35:AP35)</f>
        <v>833.6</v>
      </c>
      <c r="AR35" s="36"/>
      <c r="AS35" s="53"/>
      <c r="AT35" s="53"/>
      <c r="AU35" s="36"/>
      <c r="AV35" s="836"/>
      <c r="AW35" s="36">
        <v>291.89999999999998</v>
      </c>
      <c r="AX35" s="53">
        <v>263.60000000000002</v>
      </c>
      <c r="AY35" s="53">
        <v>231.3</v>
      </c>
      <c r="AZ35" s="36">
        <v>313.8</v>
      </c>
      <c r="BA35" s="836">
        <f t="shared" ref="BA35:BA36" si="71">SUM(AW35:AZ35)</f>
        <v>1100.5999999999999</v>
      </c>
      <c r="BB35" s="36">
        <v>182.4</v>
      </c>
      <c r="BC35" s="53">
        <v>288.39999999999998</v>
      </c>
      <c r="BD35" s="379">
        <v>345.9</v>
      </c>
      <c r="BE35" s="36">
        <v>324.89999999999998</v>
      </c>
      <c r="BF35" s="836">
        <f>SUM(BB35:BE35)</f>
        <v>1141.5999999999999</v>
      </c>
      <c r="BG35" s="36">
        <v>389.6</v>
      </c>
      <c r="BH35" s="52">
        <v>539.29999999999995</v>
      </c>
      <c r="BI35" s="49">
        <v>3142.4</v>
      </c>
      <c r="BJ35" s="36">
        <v>337.5</v>
      </c>
      <c r="BK35" s="836">
        <f>SUM(BG35:BJ35)</f>
        <v>4408.8</v>
      </c>
      <c r="BL35" s="36">
        <v>214.9</v>
      </c>
      <c r="BM35" s="92">
        <v>288.89999999999998</v>
      </c>
      <c r="BN35" s="673">
        <v>236.7</v>
      </c>
      <c r="BO35" s="52">
        <f>900-BN35-BM35-BL35</f>
        <v>159.49999999999997</v>
      </c>
      <c r="BP35" s="836">
        <f>SUM(BL35:BO35)</f>
        <v>900</v>
      </c>
      <c r="BQ35" s="713">
        <v>64.5</v>
      </c>
      <c r="BR35" s="92">
        <v>-7.3</v>
      </c>
      <c r="BS35" s="673">
        <v>120.8</v>
      </c>
      <c r="BT35" s="673">
        <v>100.5</v>
      </c>
      <c r="BU35" s="836">
        <f>SUM(BQ35:BT35)</f>
        <v>278.5</v>
      </c>
      <c r="BV35" s="713">
        <v>180.1</v>
      </c>
      <c r="BW35" s="92">
        <v>146.4</v>
      </c>
      <c r="BX35" s="92">
        <v>248.9</v>
      </c>
      <c r="BY35" s="673">
        <v>135.1</v>
      </c>
      <c r="BZ35" s="836">
        <f>SUM(BV35:BY35)</f>
        <v>710.5</v>
      </c>
      <c r="CA35" s="713">
        <v>82.6</v>
      </c>
      <c r="CB35" s="92"/>
      <c r="CC35" s="92"/>
      <c r="CD35" s="673"/>
      <c r="CE35" s="836">
        <f>SUM(CA35:CD35)</f>
        <v>82.6</v>
      </c>
      <c r="CF35" s="378"/>
      <c r="CG35" s="714"/>
      <c r="CH35" s="714"/>
    </row>
    <row r="36" spans="1:16357" ht="30" customHeight="1">
      <c r="A36" s="868" t="s">
        <v>85</v>
      </c>
      <c r="B36" s="859" t="s">
        <v>86</v>
      </c>
      <c r="C36" s="36"/>
      <c r="D36" s="52"/>
      <c r="E36" s="52"/>
      <c r="F36" s="52"/>
      <c r="G36" s="836"/>
      <c r="H36" s="36"/>
      <c r="I36" s="52"/>
      <c r="J36" s="52"/>
      <c r="K36" s="52"/>
      <c r="L36" s="836"/>
      <c r="M36" s="36"/>
      <c r="N36" s="52"/>
      <c r="O36" s="52"/>
      <c r="P36" s="52"/>
      <c r="Q36" s="836"/>
      <c r="R36" s="36"/>
      <c r="S36" s="52"/>
      <c r="T36" s="52"/>
      <c r="U36" s="54"/>
      <c r="V36" s="836"/>
      <c r="W36" s="36">
        <v>3</v>
      </c>
      <c r="X36" s="53">
        <v>-6.8</v>
      </c>
      <c r="Y36" s="36">
        <v>-8.4</v>
      </c>
      <c r="Z36" s="54">
        <v>-8.1</v>
      </c>
      <c r="AA36" s="836">
        <f t="shared" si="7"/>
        <v>-20.299999999999997</v>
      </c>
      <c r="AB36" s="36">
        <v>-8</v>
      </c>
      <c r="AC36" s="53">
        <v>-9.5</v>
      </c>
      <c r="AD36" s="36">
        <v>-8</v>
      </c>
      <c r="AE36" s="36">
        <v>-9.9</v>
      </c>
      <c r="AF36" s="836">
        <f t="shared" si="8"/>
        <v>-35.4</v>
      </c>
      <c r="AG36" s="36"/>
      <c r="AH36" s="53"/>
      <c r="AI36" s="75"/>
      <c r="AJ36" s="36"/>
      <c r="AK36" s="836">
        <f t="shared" si="69"/>
        <v>0</v>
      </c>
      <c r="AL36" s="848"/>
      <c r="AM36" s="36">
        <v>-8.6</v>
      </c>
      <c r="AN36" s="53">
        <v>-4.4000000000000004</v>
      </c>
      <c r="AO36" s="53">
        <v>1</v>
      </c>
      <c r="AP36" s="36">
        <v>-5.5</v>
      </c>
      <c r="AQ36" s="836">
        <f t="shared" si="70"/>
        <v>-17.5</v>
      </c>
      <c r="AR36" s="36"/>
      <c r="AS36" s="53"/>
      <c r="AT36" s="53"/>
      <c r="AU36" s="36"/>
      <c r="AV36" s="836"/>
      <c r="AW36" s="36">
        <v>5.4</v>
      </c>
      <c r="AX36" s="53">
        <v>5.3</v>
      </c>
      <c r="AY36" s="53">
        <v>5.2</v>
      </c>
      <c r="AZ36" s="36">
        <v>-1.9</v>
      </c>
      <c r="BA36" s="836">
        <f t="shared" si="71"/>
        <v>13.999999999999998</v>
      </c>
      <c r="BB36" s="36">
        <v>1.4</v>
      </c>
      <c r="BC36" s="53">
        <v>2.2999999999999998</v>
      </c>
      <c r="BD36" s="53">
        <v>-0.9</v>
      </c>
      <c r="BE36" s="36">
        <v>1.8</v>
      </c>
      <c r="BF36" s="836">
        <f t="shared" ref="BF36" si="72">SUM(BB36:BE36)</f>
        <v>4.5999999999999996</v>
      </c>
      <c r="BG36" s="36">
        <v>0.8</v>
      </c>
      <c r="BH36" s="52">
        <v>2.4</v>
      </c>
      <c r="BI36" s="53">
        <v>6.3</v>
      </c>
      <c r="BJ36" s="36">
        <v>-3.8</v>
      </c>
      <c r="BK36" s="836">
        <f t="shared" ref="BK36" si="73">SUM(BG36:BJ36)</f>
        <v>5.7</v>
      </c>
      <c r="BL36" s="36">
        <v>-2.1</v>
      </c>
      <c r="BM36" s="92">
        <v>-6.2</v>
      </c>
      <c r="BN36" s="93">
        <v>-5.6</v>
      </c>
      <c r="BO36" s="52">
        <f>1.1-BN36-BM36-BL36</f>
        <v>14.999999999999998</v>
      </c>
      <c r="BP36" s="836">
        <f>SUM(BL36:BO36)</f>
        <v>1.0999999999999979</v>
      </c>
      <c r="BQ36" s="713">
        <v>6.5</v>
      </c>
      <c r="BR36" s="92">
        <v>15.4</v>
      </c>
      <c r="BS36" s="93">
        <v>-18.600000000000001</v>
      </c>
      <c r="BT36" s="93">
        <v>29.8</v>
      </c>
      <c r="BU36" s="836">
        <f>SUM(BQ36:BT36)</f>
        <v>33.099999999999994</v>
      </c>
      <c r="BV36" s="713">
        <v>4.2</v>
      </c>
      <c r="BW36" s="92">
        <v>29.1</v>
      </c>
      <c r="BX36" s="92">
        <v>0.9</v>
      </c>
      <c r="BY36" s="93">
        <v>32.6</v>
      </c>
      <c r="BZ36" s="836">
        <f>SUM(BV36:BY36)</f>
        <v>66.800000000000011</v>
      </c>
      <c r="CA36" s="713">
        <v>4.0999999999999996</v>
      </c>
      <c r="CB36" s="92"/>
      <c r="CC36" s="92"/>
      <c r="CD36" s="93"/>
      <c r="CE36" s="836">
        <f>SUM(CA36:CD36)</f>
        <v>4.0999999999999996</v>
      </c>
      <c r="CF36" s="378"/>
      <c r="CG36" s="714"/>
      <c r="CH36" s="714"/>
    </row>
    <row r="37" spans="1:16357" s="51" customFormat="1" ht="20.149999999999999" customHeight="1">
      <c r="A37" s="869" t="s">
        <v>87</v>
      </c>
      <c r="B37" s="866" t="s">
        <v>88</v>
      </c>
      <c r="C37" s="87">
        <f t="shared" ref="C37:M37" si="74">ROUND(C34/348.352836,2)</f>
        <v>0.59</v>
      </c>
      <c r="D37" s="55">
        <f t="shared" si="74"/>
        <v>0.28999999999999998</v>
      </c>
      <c r="E37" s="55">
        <f t="shared" si="74"/>
        <v>0.49</v>
      </c>
      <c r="F37" s="55">
        <f t="shared" si="74"/>
        <v>0.35</v>
      </c>
      <c r="G37" s="838">
        <f t="shared" si="74"/>
        <v>1.72</v>
      </c>
      <c r="H37" s="87">
        <f t="shared" si="74"/>
        <v>0.27</v>
      </c>
      <c r="I37" s="55">
        <f t="shared" si="74"/>
        <v>0.23</v>
      </c>
      <c r="J37" s="55">
        <f t="shared" si="74"/>
        <v>0.51</v>
      </c>
      <c r="K37" s="55">
        <f t="shared" si="74"/>
        <v>0.5</v>
      </c>
      <c r="L37" s="838">
        <f t="shared" si="74"/>
        <v>1.51</v>
      </c>
      <c r="M37" s="87">
        <f t="shared" si="74"/>
        <v>0.28000000000000003</v>
      </c>
      <c r="N37" s="55">
        <f>ROUND(N34/524.348714,2)</f>
        <v>0.25</v>
      </c>
      <c r="O37" s="55">
        <f>ROUND(O34/639.546016,2)</f>
        <v>0.08</v>
      </c>
      <c r="P37" s="55">
        <f>ROUND(P34/639.546016,2)</f>
        <v>0.02</v>
      </c>
      <c r="Q37" s="838">
        <f>ROUND(Q34/539.024535,2)</f>
        <v>0.54</v>
      </c>
      <c r="R37" s="87">
        <f t="shared" ref="R37:AK37" si="75">ROUND(R34/639.546016,2)</f>
        <v>0.27</v>
      </c>
      <c r="S37" s="55">
        <f t="shared" si="75"/>
        <v>0.48</v>
      </c>
      <c r="T37" s="55">
        <f t="shared" si="75"/>
        <v>0.79</v>
      </c>
      <c r="U37" s="56">
        <f t="shared" si="75"/>
        <v>0.28999999999999998</v>
      </c>
      <c r="V37" s="838">
        <f t="shared" si="75"/>
        <v>1.82</v>
      </c>
      <c r="W37" s="87">
        <f t="shared" si="75"/>
        <v>0.28000000000000003</v>
      </c>
      <c r="X37" s="57">
        <f>ROUNDUP(X34/639.546016,2)</f>
        <v>0.37</v>
      </c>
      <c r="Y37" s="37">
        <f t="shared" si="75"/>
        <v>0.42</v>
      </c>
      <c r="Z37" s="37">
        <f>ROUNDUP(Z34/639.546016,2)</f>
        <v>0.54</v>
      </c>
      <c r="AA37" s="838">
        <f t="shared" si="75"/>
        <v>1.6</v>
      </c>
      <c r="AB37" s="87">
        <f t="shared" si="75"/>
        <v>0.42</v>
      </c>
      <c r="AC37" s="57">
        <f t="shared" si="75"/>
        <v>0.44</v>
      </c>
      <c r="AD37" s="57">
        <f t="shared" si="75"/>
        <v>0.37</v>
      </c>
      <c r="AE37" s="57">
        <f t="shared" si="75"/>
        <v>0.25</v>
      </c>
      <c r="AF37" s="838">
        <f t="shared" si="75"/>
        <v>1.48</v>
      </c>
      <c r="AG37" s="87">
        <f t="shared" si="75"/>
        <v>0.49</v>
      </c>
      <c r="AH37" s="57">
        <f t="shared" si="75"/>
        <v>0.4</v>
      </c>
      <c r="AI37" s="57">
        <f t="shared" si="75"/>
        <v>0.35</v>
      </c>
      <c r="AJ37" s="87">
        <f t="shared" si="75"/>
        <v>0.09</v>
      </c>
      <c r="AK37" s="838">
        <f t="shared" si="75"/>
        <v>1.33</v>
      </c>
      <c r="AL37" s="853"/>
      <c r="AM37" s="57">
        <f t="shared" ref="AM37:AQ37" si="76">ROUND(AM34/639.546016,2)</f>
        <v>0.46</v>
      </c>
      <c r="AN37" s="57">
        <f t="shared" si="76"/>
        <v>0.36</v>
      </c>
      <c r="AO37" s="57">
        <v>0.35</v>
      </c>
      <c r="AP37" s="87">
        <v>0.11</v>
      </c>
      <c r="AQ37" s="838">
        <f t="shared" si="76"/>
        <v>1.28</v>
      </c>
      <c r="AR37" s="87"/>
      <c r="AS37" s="57"/>
      <c r="AT37" s="57"/>
      <c r="AU37" s="87"/>
      <c r="AV37" s="838"/>
      <c r="AW37" s="87">
        <f>ROUND(AW34/639.546016,2)</f>
        <v>0.46</v>
      </c>
      <c r="AX37" s="57">
        <v>0.43</v>
      </c>
      <c r="AY37" s="57">
        <v>0.37</v>
      </c>
      <c r="AZ37" s="87">
        <v>0.48</v>
      </c>
      <c r="BA37" s="838">
        <f t="shared" ref="BA37" si="77">ROUND(BA34/639.546016,2)</f>
        <v>1.74</v>
      </c>
      <c r="BB37" s="87">
        <f>ROUND(BB34/639.546016,2)</f>
        <v>0.28999999999999998</v>
      </c>
      <c r="BC37" s="87">
        <f t="shared" ref="BC37:BF37" si="78">ROUND(BC34/639.546016,2)</f>
        <v>0.45</v>
      </c>
      <c r="BD37" s="87">
        <f t="shared" si="78"/>
        <v>0.54</v>
      </c>
      <c r="BE37" s="87">
        <f t="shared" si="78"/>
        <v>0.51</v>
      </c>
      <c r="BF37" s="838">
        <f t="shared" si="78"/>
        <v>1.79</v>
      </c>
      <c r="BG37" s="87">
        <f>ROUND(BG34/639.546016,2)</f>
        <v>0.61</v>
      </c>
      <c r="BH37" s="87">
        <f t="shared" ref="BH37" si="79">ROUND(BH34/639.546016,2)</f>
        <v>0.85</v>
      </c>
      <c r="BI37" s="87">
        <f>ROUNDDOWN(BI34/639.546016,2)</f>
        <v>4.92</v>
      </c>
      <c r="BJ37" s="87">
        <f>BJ34/621.258207</f>
        <v>0.53713576133087548</v>
      </c>
      <c r="BK37" s="838">
        <f>BK34/634.936486</f>
        <v>6.9526639236164458</v>
      </c>
      <c r="BL37" s="87">
        <f>BL34/568.37189</f>
        <v>0.37440275239509108</v>
      </c>
      <c r="BM37" s="674">
        <f>BM34/561.525804</f>
        <v>0.50344970433451319</v>
      </c>
      <c r="BN37" s="682">
        <f>BN34/550.703531</f>
        <v>0.41964503038568818</v>
      </c>
      <c r="BO37" s="682">
        <f>BP37-BL37-BM37-BN37</f>
        <v>0.32250251288470771</v>
      </c>
      <c r="BP37" s="838">
        <v>1.62</v>
      </c>
      <c r="BQ37" s="720">
        <v>0.13</v>
      </c>
      <c r="BR37" s="674">
        <v>0.01</v>
      </c>
      <c r="BS37" s="682">
        <v>0.19</v>
      </c>
      <c r="BT37" s="682">
        <v>0.24</v>
      </c>
      <c r="BU37" s="838">
        <f>SUM(BQ37:BT37)</f>
        <v>0.57000000000000006</v>
      </c>
      <c r="BV37" s="720">
        <v>0.33</v>
      </c>
      <c r="BW37" s="674">
        <v>0.32</v>
      </c>
      <c r="BX37" s="682">
        <v>0.46</v>
      </c>
      <c r="BY37" s="682">
        <v>0.3</v>
      </c>
      <c r="BZ37" s="838">
        <f>SUM(BV37:BY37)</f>
        <v>1.4100000000000001</v>
      </c>
      <c r="CA37" s="720">
        <v>0.16</v>
      </c>
      <c r="CB37" s="674"/>
      <c r="CC37" s="682"/>
      <c r="CD37" s="682"/>
      <c r="CE37" s="838">
        <f>SUM(CA37:CD37)</f>
        <v>0.16</v>
      </c>
      <c r="CF37" s="750"/>
      <c r="CG37" s="714"/>
      <c r="CH37" s="749"/>
    </row>
    <row r="38" spans="1:16357" s="378" customFormat="1" ht="22.5" customHeight="1">
      <c r="A38" s="872" t="s">
        <v>89</v>
      </c>
      <c r="B38" s="872" t="s">
        <v>89</v>
      </c>
      <c r="C38" s="876">
        <f t="shared" ref="C38:AK38" si="80">C25-C13</f>
        <v>257.40000000000003</v>
      </c>
      <c r="D38" s="876">
        <f t="shared" si="80"/>
        <v>269.7</v>
      </c>
      <c r="E38" s="876">
        <f t="shared" si="80"/>
        <v>257.8</v>
      </c>
      <c r="F38" s="876">
        <f t="shared" si="80"/>
        <v>247.20000000000016</v>
      </c>
      <c r="G38" s="889">
        <f t="shared" si="80"/>
        <v>1032.0999999999992</v>
      </c>
      <c r="H38" s="876">
        <f t="shared" si="80"/>
        <v>245.37999999999994</v>
      </c>
      <c r="I38" s="876">
        <f t="shared" si="80"/>
        <v>257.3</v>
      </c>
      <c r="J38" s="876">
        <f t="shared" si="80"/>
        <v>268.2</v>
      </c>
      <c r="K38" s="876">
        <f t="shared" si="80"/>
        <v>275.39999999999998</v>
      </c>
      <c r="L38" s="889">
        <f t="shared" si="80"/>
        <v>1046.2800000000002</v>
      </c>
      <c r="M38" s="876">
        <f t="shared" si="80"/>
        <v>281.99999999999977</v>
      </c>
      <c r="N38" s="876">
        <f t="shared" si="80"/>
        <v>708.89999999999986</v>
      </c>
      <c r="O38" s="876">
        <f t="shared" si="80"/>
        <v>910.09999999999968</v>
      </c>
      <c r="P38" s="876">
        <f t="shared" si="80"/>
        <v>837.30000000000075</v>
      </c>
      <c r="Q38" s="889">
        <f t="shared" si="80"/>
        <v>2738.2999999999993</v>
      </c>
      <c r="R38" s="876">
        <f t="shared" si="80"/>
        <v>896.59999999999991</v>
      </c>
      <c r="S38" s="876">
        <f t="shared" si="80"/>
        <v>977</v>
      </c>
      <c r="T38" s="876">
        <f t="shared" si="80"/>
        <v>930.39999999999964</v>
      </c>
      <c r="U38" s="876">
        <f t="shared" si="80"/>
        <v>881.10000000000036</v>
      </c>
      <c r="V38" s="889">
        <f t="shared" si="80"/>
        <v>3685.0999999999995</v>
      </c>
      <c r="W38" s="876">
        <f t="shared" si="80"/>
        <v>846.5</v>
      </c>
      <c r="X38" s="876">
        <f t="shared" si="80"/>
        <v>935.00000000000011</v>
      </c>
      <c r="Y38" s="895">
        <f t="shared" si="80"/>
        <v>957.00000000000034</v>
      </c>
      <c r="Z38" s="895">
        <f t="shared" si="80"/>
        <v>902.3</v>
      </c>
      <c r="AA38" s="889">
        <f t="shared" si="80"/>
        <v>3640.8</v>
      </c>
      <c r="AB38" s="876">
        <f t="shared" si="80"/>
        <v>929.50000000000034</v>
      </c>
      <c r="AC38" s="876">
        <f t="shared" si="80"/>
        <v>963.69999999999982</v>
      </c>
      <c r="AD38" s="876">
        <f t="shared" si="80"/>
        <v>851.1</v>
      </c>
      <c r="AE38" s="876">
        <f t="shared" si="80"/>
        <v>872.7</v>
      </c>
      <c r="AF38" s="889">
        <f t="shared" si="80"/>
        <v>3617.0000000000009</v>
      </c>
      <c r="AG38" s="876">
        <f t="shared" si="80"/>
        <v>918.79999999999973</v>
      </c>
      <c r="AH38" s="876">
        <f t="shared" si="80"/>
        <v>927.59999999999991</v>
      </c>
      <c r="AI38" s="876">
        <f t="shared" si="80"/>
        <v>848.50000000000011</v>
      </c>
      <c r="AJ38" s="874">
        <f t="shared" si="80"/>
        <v>846.6</v>
      </c>
      <c r="AK38" s="889">
        <f t="shared" si="80"/>
        <v>3541.4999999999995</v>
      </c>
      <c r="AL38" s="846"/>
      <c r="AM38" s="888">
        <f t="shared" ref="AM38:BR38" si="81">AM25-AM13</f>
        <v>890</v>
      </c>
      <c r="AN38" s="876">
        <f t="shared" si="81"/>
        <v>946.39999999999986</v>
      </c>
      <c r="AO38" s="876">
        <f t="shared" si="81"/>
        <v>919.99999999999977</v>
      </c>
      <c r="AP38" s="874">
        <f t="shared" si="81"/>
        <v>941.3</v>
      </c>
      <c r="AQ38" s="889">
        <f t="shared" si="81"/>
        <v>3697.700000000003</v>
      </c>
      <c r="AR38" s="876">
        <f t="shared" si="81"/>
        <v>922.00000000000023</v>
      </c>
      <c r="AS38" s="876">
        <f t="shared" si="81"/>
        <v>959.9</v>
      </c>
      <c r="AT38" s="876">
        <f t="shared" si="81"/>
        <v>901.1999999999997</v>
      </c>
      <c r="AU38" s="876">
        <f t="shared" si="81"/>
        <v>938.20000000000095</v>
      </c>
      <c r="AV38" s="889">
        <f t="shared" si="81"/>
        <v>3721.3000000000029</v>
      </c>
      <c r="AW38" s="876">
        <f t="shared" si="81"/>
        <v>1038.2999999999995</v>
      </c>
      <c r="AX38" s="876">
        <f t="shared" si="81"/>
        <v>1076.0999999999999</v>
      </c>
      <c r="AY38" s="876">
        <f t="shared" si="81"/>
        <v>1020.4999999999999</v>
      </c>
      <c r="AZ38" s="876">
        <f t="shared" si="81"/>
        <v>1061.8000000000002</v>
      </c>
      <c r="BA38" s="889">
        <f t="shared" si="81"/>
        <v>4196.7000000000007</v>
      </c>
      <c r="BB38" s="876">
        <f t="shared" si="81"/>
        <v>1026.6888265199998</v>
      </c>
      <c r="BC38" s="876">
        <f t="shared" si="81"/>
        <v>960.0000000000008</v>
      </c>
      <c r="BD38" s="876">
        <f t="shared" si="81"/>
        <v>1078.8999999999999</v>
      </c>
      <c r="BE38" s="876">
        <f t="shared" si="81"/>
        <v>1126.3000000000002</v>
      </c>
      <c r="BF38" s="889">
        <f t="shared" si="81"/>
        <v>4191.8888265199985</v>
      </c>
      <c r="BG38" s="876">
        <f t="shared" si="81"/>
        <v>1082.7</v>
      </c>
      <c r="BH38" s="876">
        <f t="shared" si="81"/>
        <v>1140.8999999999999</v>
      </c>
      <c r="BI38" s="876">
        <f t="shared" si="81"/>
        <v>4595.0000000000009</v>
      </c>
      <c r="BJ38" s="876">
        <f t="shared" si="81"/>
        <v>880.99999999999966</v>
      </c>
      <c r="BK38" s="889">
        <f t="shared" si="81"/>
        <v>7699.5999999999985</v>
      </c>
      <c r="BL38" s="876">
        <f t="shared" si="81"/>
        <v>766.6</v>
      </c>
      <c r="BM38" s="876">
        <f t="shared" si="81"/>
        <v>893.29999999999984</v>
      </c>
      <c r="BN38" s="876">
        <f t="shared" si="81"/>
        <v>953.0000000000008</v>
      </c>
      <c r="BO38" s="876">
        <f t="shared" si="81"/>
        <v>858.29999999999905</v>
      </c>
      <c r="BP38" s="889">
        <f t="shared" si="81"/>
        <v>3471.2000000000003</v>
      </c>
      <c r="BQ38" s="890">
        <f t="shared" si="81"/>
        <v>761.2000000000005</v>
      </c>
      <c r="BR38" s="876">
        <f t="shared" si="81"/>
        <v>798.50000000000023</v>
      </c>
      <c r="BS38" s="876">
        <f t="shared" ref="BS38:CE38" si="82">BS25-BS13-BS18-BS22</f>
        <v>994.80000000000041</v>
      </c>
      <c r="BT38" s="876">
        <f t="shared" si="82"/>
        <v>676.70000000000016</v>
      </c>
      <c r="BU38" s="889">
        <f t="shared" si="82"/>
        <v>3231.2000000000021</v>
      </c>
      <c r="BV38" s="876">
        <f t="shared" si="82"/>
        <v>946.29862972000103</v>
      </c>
      <c r="BW38" s="876">
        <f t="shared" si="82"/>
        <v>865.00000000000045</v>
      </c>
      <c r="BX38" s="876">
        <f t="shared" si="82"/>
        <v>886.39999999999975</v>
      </c>
      <c r="BY38" s="876">
        <f t="shared" si="82"/>
        <v>739.89999999999986</v>
      </c>
      <c r="BZ38" s="889">
        <f t="shared" si="82"/>
        <v>3437.5986297199997</v>
      </c>
      <c r="CA38" s="876">
        <f t="shared" si="82"/>
        <v>809.10000000000025</v>
      </c>
      <c r="CB38" s="876"/>
      <c r="CC38" s="876"/>
      <c r="CD38" s="876"/>
      <c r="CE38" s="889">
        <f t="shared" si="82"/>
        <v>809.10000000000025</v>
      </c>
      <c r="CG38" s="714"/>
      <c r="CH38" s="714"/>
    </row>
    <row r="39" spans="1:16357" s="378" customFormat="1" ht="22.5" customHeight="1">
      <c r="A39" s="896" t="s">
        <v>90</v>
      </c>
      <c r="B39" s="896" t="s">
        <v>91</v>
      </c>
      <c r="C39" s="892">
        <f t="shared" ref="C39:AK39" si="83">C38/C5</f>
        <v>0.38463837417812313</v>
      </c>
      <c r="D39" s="892">
        <f t="shared" si="83"/>
        <v>0.377836929111796</v>
      </c>
      <c r="E39" s="892">
        <f t="shared" si="83"/>
        <v>0.4</v>
      </c>
      <c r="F39" s="892">
        <f t="shared" si="83"/>
        <v>0.32933653077537983</v>
      </c>
      <c r="G39" s="893">
        <f t="shared" si="83"/>
        <v>0.37151290450307745</v>
      </c>
      <c r="H39" s="892">
        <f t="shared" si="83"/>
        <v>0.35200114761153339</v>
      </c>
      <c r="I39" s="892">
        <f t="shared" si="83"/>
        <v>0.34963989672509854</v>
      </c>
      <c r="J39" s="892">
        <f t="shared" si="83"/>
        <v>0.39598405433338257</v>
      </c>
      <c r="K39" s="892">
        <f t="shared" si="83"/>
        <v>0.34403497813866329</v>
      </c>
      <c r="L39" s="893">
        <f t="shared" si="83"/>
        <v>0.35944757454995196</v>
      </c>
      <c r="M39" s="892">
        <f t="shared" si="83"/>
        <v>0.38987971795935272</v>
      </c>
      <c r="N39" s="892">
        <f t="shared" si="83"/>
        <v>0.40603700097370976</v>
      </c>
      <c r="O39" s="892">
        <f t="shared" si="83"/>
        <v>0.37613655149611497</v>
      </c>
      <c r="P39" s="892">
        <f t="shared" si="83"/>
        <v>0.33211693308476481</v>
      </c>
      <c r="Q39" s="893">
        <f t="shared" si="83"/>
        <v>0.36954614772129168</v>
      </c>
      <c r="R39" s="892">
        <f t="shared" si="83"/>
        <v>0.38497209102619145</v>
      </c>
      <c r="S39" s="892">
        <f t="shared" si="83"/>
        <v>0.39567471245747615</v>
      </c>
      <c r="T39" s="892">
        <f t="shared" si="83"/>
        <v>0.3852747525777464</v>
      </c>
      <c r="U39" s="892">
        <f t="shared" si="83"/>
        <v>0.33759914172956829</v>
      </c>
      <c r="V39" s="893">
        <f t="shared" si="83"/>
        <v>0.37515015779293487</v>
      </c>
      <c r="W39" s="892">
        <f t="shared" si="83"/>
        <v>0.35807952622673433</v>
      </c>
      <c r="X39" s="892">
        <f t="shared" si="83"/>
        <v>0.3827418232428671</v>
      </c>
      <c r="Y39" s="897">
        <f t="shared" si="83"/>
        <v>0.4007873356227491</v>
      </c>
      <c r="Z39" s="897">
        <f t="shared" si="83"/>
        <v>0.35592284328034396</v>
      </c>
      <c r="AA39" s="893">
        <f t="shared" si="83"/>
        <v>0.37419063084544396</v>
      </c>
      <c r="AB39" s="892">
        <f t="shared" si="83"/>
        <v>0.38914008205643491</v>
      </c>
      <c r="AC39" s="892">
        <f t="shared" si="83"/>
        <v>0.39017773998947319</v>
      </c>
      <c r="AD39" s="892">
        <f t="shared" si="83"/>
        <v>0.35597473754653058</v>
      </c>
      <c r="AE39" s="892">
        <f t="shared" si="83"/>
        <v>0.33836073200992561</v>
      </c>
      <c r="AF39" s="893">
        <f t="shared" si="83"/>
        <v>0.36800765114054906</v>
      </c>
      <c r="AG39" s="892">
        <f t="shared" si="83"/>
        <v>0.3892065912653026</v>
      </c>
      <c r="AH39" s="892">
        <f t="shared" si="83"/>
        <v>0.37450038354394599</v>
      </c>
      <c r="AI39" s="892">
        <f t="shared" si="83"/>
        <v>0.34840272645150699</v>
      </c>
      <c r="AJ39" s="892">
        <f t="shared" si="83"/>
        <v>0.3156599552572707</v>
      </c>
      <c r="AK39" s="893">
        <f t="shared" si="83"/>
        <v>0.35575087895529878</v>
      </c>
      <c r="AL39" s="854"/>
      <c r="AM39" s="891">
        <f t="shared" ref="AM39:CE39" si="84">AM38/AM5</f>
        <v>0.37938531054179631</v>
      </c>
      <c r="AN39" s="892">
        <f t="shared" si="84"/>
        <v>0.36355255070682235</v>
      </c>
      <c r="AO39" s="892">
        <f t="shared" si="84"/>
        <v>0.33638025594149901</v>
      </c>
      <c r="AP39" s="892">
        <f t="shared" si="84"/>
        <v>0.31355762824783479</v>
      </c>
      <c r="AQ39" s="893">
        <f t="shared" si="84"/>
        <v>0.3460289535003418</v>
      </c>
      <c r="AR39" s="892">
        <f t="shared" si="84"/>
        <v>0.33136860264519846</v>
      </c>
      <c r="AS39" s="892">
        <f t="shared" si="84"/>
        <v>0.32952282869893579</v>
      </c>
      <c r="AT39" s="892">
        <f t="shared" si="84"/>
        <v>0.31266696735246147</v>
      </c>
      <c r="AU39" s="892">
        <f t="shared" si="84"/>
        <v>0.30670153644982046</v>
      </c>
      <c r="AV39" s="893">
        <f t="shared" si="84"/>
        <v>0.31978997482104055</v>
      </c>
      <c r="AW39" s="892">
        <f t="shared" si="84"/>
        <v>0.37193724029230529</v>
      </c>
      <c r="AX39" s="892">
        <f t="shared" si="84"/>
        <v>0.36814916182004787</v>
      </c>
      <c r="AY39" s="892">
        <f t="shared" si="84"/>
        <v>0.35282118655787575</v>
      </c>
      <c r="AZ39" s="892">
        <f t="shared" si="84"/>
        <v>0.34596461503372328</v>
      </c>
      <c r="BA39" s="893">
        <f t="shared" si="84"/>
        <v>0.35942652084171944</v>
      </c>
      <c r="BB39" s="892">
        <f t="shared" si="84"/>
        <v>0.36043139424960502</v>
      </c>
      <c r="BC39" s="892">
        <f t="shared" si="84"/>
        <v>0.33534774862891703</v>
      </c>
      <c r="BD39" s="892">
        <f t="shared" si="84"/>
        <v>0.35921425004161806</v>
      </c>
      <c r="BE39" s="892">
        <f t="shared" si="84"/>
        <v>0.34674589003140205</v>
      </c>
      <c r="BF39" s="893">
        <f t="shared" si="84"/>
        <v>0.35040741179145513</v>
      </c>
      <c r="BG39" s="892">
        <f t="shared" si="84"/>
        <v>0.36242217312713398</v>
      </c>
      <c r="BH39" s="892">
        <f t="shared" si="84"/>
        <v>0.3610785834098173</v>
      </c>
      <c r="BI39" s="892">
        <f t="shared" si="84"/>
        <v>1.5155513044625486</v>
      </c>
      <c r="BJ39" s="892">
        <f t="shared" si="84"/>
        <v>0.2698315467075037</v>
      </c>
      <c r="BK39" s="893">
        <f t="shared" si="84"/>
        <v>0.61873995499839274</v>
      </c>
      <c r="BL39" s="892">
        <f t="shared" si="84"/>
        <v>0.25667124250845413</v>
      </c>
      <c r="BM39" s="892">
        <f t="shared" si="84"/>
        <v>0.27672624763792941</v>
      </c>
      <c r="BN39" s="892">
        <f t="shared" si="84"/>
        <v>0.29135711883579463</v>
      </c>
      <c r="BO39" s="892">
        <f t="shared" si="84"/>
        <v>0.2502624212736177</v>
      </c>
      <c r="BP39" s="893">
        <f t="shared" si="84"/>
        <v>0.2687665017459912</v>
      </c>
      <c r="BQ39" s="894">
        <f t="shared" si="84"/>
        <v>0.23792704654143107</v>
      </c>
      <c r="BR39" s="892">
        <f t="shared" si="84"/>
        <v>0.24271992218371943</v>
      </c>
      <c r="BS39" s="892">
        <f t="shared" si="84"/>
        <v>0.28787221112943845</v>
      </c>
      <c r="BT39" s="892">
        <f t="shared" si="84"/>
        <v>0.18381094662501704</v>
      </c>
      <c r="BU39" s="893">
        <f t="shared" si="84"/>
        <v>0.2371296683619179</v>
      </c>
      <c r="BV39" s="894">
        <f t="shared" si="84"/>
        <v>0.27791454054059839</v>
      </c>
      <c r="BW39" s="894">
        <f t="shared" si="84"/>
        <v>0.25041252931129326</v>
      </c>
      <c r="BX39" s="894">
        <f t="shared" si="84"/>
        <v>0.24763235088699534</v>
      </c>
      <c r="BY39" s="892">
        <f t="shared" si="84"/>
        <v>0.19333176556661699</v>
      </c>
      <c r="BZ39" s="893">
        <f t="shared" si="84"/>
        <v>0.24096614723999829</v>
      </c>
      <c r="CA39" s="894">
        <f t="shared" si="84"/>
        <v>0.22919381338167816</v>
      </c>
      <c r="CB39" s="894"/>
      <c r="CC39" s="894"/>
      <c r="CD39" s="892"/>
      <c r="CE39" s="893">
        <f t="shared" si="84"/>
        <v>0.22919381338167816</v>
      </c>
      <c r="CG39" s="714"/>
      <c r="CH39" s="714"/>
    </row>
    <row r="40" spans="1:16357" s="51" customFormat="1" ht="20.149999999999999" customHeight="1">
      <c r="A40" s="868" t="s">
        <v>92</v>
      </c>
      <c r="B40" s="867" t="s">
        <v>93</v>
      </c>
      <c r="C40" s="46"/>
      <c r="D40" s="110"/>
      <c r="E40" s="110"/>
      <c r="F40" s="110"/>
      <c r="G40" s="836"/>
      <c r="H40" s="46"/>
      <c r="I40" s="110"/>
      <c r="J40" s="110"/>
      <c r="K40" s="110"/>
      <c r="L40" s="836"/>
      <c r="M40" s="46"/>
      <c r="N40" s="110"/>
      <c r="O40" s="110"/>
      <c r="P40" s="110"/>
      <c r="Q40" s="836"/>
      <c r="R40" s="46"/>
      <c r="S40" s="110"/>
      <c r="T40" s="110"/>
      <c r="U40" s="110"/>
      <c r="V40" s="836"/>
      <c r="W40" s="46"/>
      <c r="X40" s="110"/>
      <c r="Y40" s="111"/>
      <c r="Z40" s="111"/>
      <c r="AA40" s="836"/>
      <c r="AB40" s="46"/>
      <c r="AC40" s="110"/>
      <c r="AD40" s="110"/>
      <c r="AE40" s="110"/>
      <c r="AF40" s="836"/>
      <c r="AG40" s="46"/>
      <c r="AH40" s="110"/>
      <c r="AI40" s="110"/>
      <c r="AJ40" s="111"/>
      <c r="AK40" s="836"/>
      <c r="AL40" s="855"/>
      <c r="AM40" s="110"/>
      <c r="AN40" s="110"/>
      <c r="AO40" s="110"/>
      <c r="AP40" s="111"/>
      <c r="AQ40" s="836"/>
      <c r="AR40" s="46"/>
      <c r="AS40" s="110"/>
      <c r="AT40" s="110"/>
      <c r="AU40" s="110"/>
      <c r="AV40" s="836"/>
      <c r="AW40" s="46"/>
      <c r="AX40" s="110"/>
      <c r="AY40" s="110"/>
      <c r="AZ40" s="110"/>
      <c r="BA40" s="836"/>
      <c r="BB40" s="46"/>
      <c r="BC40" s="53">
        <v>-41.5</v>
      </c>
      <c r="BD40" s="53">
        <v>-3.3</v>
      </c>
      <c r="BE40" s="53">
        <v>-1.1000000000000001</v>
      </c>
      <c r="BF40" s="836">
        <f>SUM(BB40:BE40)</f>
        <v>-45.9</v>
      </c>
      <c r="BG40" s="46"/>
      <c r="BH40" s="93"/>
      <c r="BI40" s="93"/>
      <c r="BJ40" s="93"/>
      <c r="BK40" s="836">
        <f>SUM(BG40:BJ40)</f>
        <v>0</v>
      </c>
      <c r="BL40" s="46">
        <v>0</v>
      </c>
      <c r="BM40" s="46">
        <v>0</v>
      </c>
      <c r="BN40" s="46">
        <v>0</v>
      </c>
      <c r="BO40" s="53"/>
      <c r="BP40" s="836">
        <f>SUM(BL40:BO40)</f>
        <v>0</v>
      </c>
      <c r="BQ40" s="712">
        <v>0</v>
      </c>
      <c r="BR40" s="46">
        <v>0</v>
      </c>
      <c r="BS40" s="46">
        <v>0</v>
      </c>
      <c r="BT40" s="46">
        <v>0</v>
      </c>
      <c r="BU40" s="836">
        <f>SUM(BQ40:BT40)</f>
        <v>0</v>
      </c>
      <c r="BV40" s="712">
        <v>0</v>
      </c>
      <c r="BW40" s="46">
        <v>0</v>
      </c>
      <c r="BX40" s="46">
        <v>0</v>
      </c>
      <c r="BY40" s="46">
        <v>0</v>
      </c>
      <c r="BZ40" s="836">
        <f>SUM(BV40:BY40)</f>
        <v>0</v>
      </c>
      <c r="CA40" s="712">
        <v>0</v>
      </c>
      <c r="CB40" s="46"/>
      <c r="CC40" s="46"/>
      <c r="CD40" s="46"/>
      <c r="CE40" s="836">
        <f>SUM(CA40:CD40)</f>
        <v>0</v>
      </c>
      <c r="CF40" s="378"/>
      <c r="CG40" s="714"/>
      <c r="CH40" s="714"/>
    </row>
    <row r="41" spans="1:16357" s="51" customFormat="1" ht="20.149999999999999" customHeight="1">
      <c r="A41" s="868" t="s">
        <v>94</v>
      </c>
      <c r="B41" s="867" t="s">
        <v>95</v>
      </c>
      <c r="C41" s="53"/>
      <c r="D41" s="110"/>
      <c r="E41" s="110"/>
      <c r="F41" s="110"/>
      <c r="G41" s="836"/>
      <c r="H41" s="53"/>
      <c r="I41" s="110"/>
      <c r="J41" s="110"/>
      <c r="K41" s="110"/>
      <c r="L41" s="836"/>
      <c r="M41" s="53"/>
      <c r="N41" s="110"/>
      <c r="O41" s="110"/>
      <c r="P41" s="110"/>
      <c r="Q41" s="836"/>
      <c r="R41" s="53"/>
      <c r="S41" s="110"/>
      <c r="T41" s="110"/>
      <c r="U41" s="110"/>
      <c r="V41" s="836"/>
      <c r="W41" s="53"/>
      <c r="X41" s="110"/>
      <c r="Y41" s="111"/>
      <c r="Z41" s="111"/>
      <c r="AA41" s="836"/>
      <c r="AB41" s="53"/>
      <c r="AC41" s="110"/>
      <c r="AD41" s="110"/>
      <c r="AE41" s="110"/>
      <c r="AF41" s="836"/>
      <c r="AG41" s="53"/>
      <c r="AH41" s="110"/>
      <c r="AI41" s="110"/>
      <c r="AJ41" s="111"/>
      <c r="AK41" s="836"/>
      <c r="AL41" s="855"/>
      <c r="AM41" s="110"/>
      <c r="AN41" s="110"/>
      <c r="AO41" s="110"/>
      <c r="AP41" s="111"/>
      <c r="AQ41" s="836"/>
      <c r="AR41" s="53"/>
      <c r="AS41" s="110"/>
      <c r="AT41" s="110"/>
      <c r="AU41" s="110"/>
      <c r="AV41" s="836"/>
      <c r="AW41" s="53"/>
      <c r="AX41" s="110"/>
      <c r="AY41" s="110"/>
      <c r="AZ41" s="110"/>
      <c r="BA41" s="836"/>
      <c r="BB41" s="53"/>
      <c r="BC41" s="53"/>
      <c r="BD41" s="53"/>
      <c r="BE41" s="53"/>
      <c r="BF41" s="836"/>
      <c r="BG41" s="53"/>
      <c r="BH41" s="93"/>
      <c r="BI41" s="93"/>
      <c r="BJ41" s="93"/>
      <c r="BK41" s="836"/>
      <c r="BL41" s="53">
        <v>-34.1</v>
      </c>
      <c r="BM41" s="46">
        <v>0</v>
      </c>
      <c r="BN41" s="46">
        <v>0</v>
      </c>
      <c r="BO41" s="53"/>
      <c r="BP41" s="836">
        <f>SUM(BL41:BO41)</f>
        <v>-34.1</v>
      </c>
      <c r="BQ41" s="712">
        <v>0</v>
      </c>
      <c r="BR41" s="46">
        <v>0</v>
      </c>
      <c r="BS41" s="46">
        <v>0</v>
      </c>
      <c r="BT41" s="46">
        <v>0</v>
      </c>
      <c r="BU41" s="836">
        <f t="shared" ref="BU41:BU44" si="85">SUM(BQ41:BT41)</f>
        <v>0</v>
      </c>
      <c r="BV41" s="712">
        <v>0</v>
      </c>
      <c r="BW41" s="46">
        <v>0</v>
      </c>
      <c r="BX41" s="46">
        <v>0</v>
      </c>
      <c r="BY41" s="46">
        <v>0</v>
      </c>
      <c r="BZ41" s="836">
        <f t="shared" ref="BZ41:BZ44" si="86">SUM(BV41:BY41)</f>
        <v>0</v>
      </c>
      <c r="CA41" s="712">
        <v>0</v>
      </c>
      <c r="CB41" s="46"/>
      <c r="CC41" s="46"/>
      <c r="CD41" s="46"/>
      <c r="CE41" s="836">
        <f t="shared" ref="CE41:CE44" si="87">SUM(CA41:CD41)</f>
        <v>0</v>
      </c>
      <c r="CF41" s="378"/>
      <c r="CG41" s="714"/>
      <c r="CH41" s="714"/>
    </row>
    <row r="42" spans="1:16357" s="51" customFormat="1" ht="29.4" customHeight="1">
      <c r="A42" s="868" t="s">
        <v>813</v>
      </c>
      <c r="B42" s="868" t="s">
        <v>810</v>
      </c>
      <c r="C42" s="46"/>
      <c r="D42" s="110"/>
      <c r="E42" s="110"/>
      <c r="F42" s="110"/>
      <c r="G42" s="836"/>
      <c r="H42" s="46"/>
      <c r="I42" s="110"/>
      <c r="J42" s="110"/>
      <c r="K42" s="110"/>
      <c r="L42" s="836"/>
      <c r="M42" s="46"/>
      <c r="N42" s="110"/>
      <c r="O42" s="110"/>
      <c r="P42" s="110"/>
      <c r="Q42" s="836"/>
      <c r="R42" s="46"/>
      <c r="S42" s="110"/>
      <c r="T42" s="110"/>
      <c r="U42" s="110"/>
      <c r="V42" s="836"/>
      <c r="W42" s="46"/>
      <c r="X42" s="110"/>
      <c r="Y42" s="111"/>
      <c r="Z42" s="111"/>
      <c r="AA42" s="836"/>
      <c r="AB42" s="46"/>
      <c r="AC42" s="110"/>
      <c r="AD42" s="110"/>
      <c r="AE42" s="110"/>
      <c r="AF42" s="836"/>
      <c r="AG42" s="46"/>
      <c r="AH42" s="110"/>
      <c r="AI42" s="110"/>
      <c r="AJ42" s="111"/>
      <c r="AK42" s="836"/>
      <c r="AL42" s="855"/>
      <c r="AM42" s="110"/>
      <c r="AN42" s="110"/>
      <c r="AO42" s="110"/>
      <c r="AP42" s="111"/>
      <c r="AQ42" s="836"/>
      <c r="AR42" s="46"/>
      <c r="AS42" s="110"/>
      <c r="AT42" s="110"/>
      <c r="AU42" s="110"/>
      <c r="AV42" s="836"/>
      <c r="AW42" s="46"/>
      <c r="AX42" s="110"/>
      <c r="AY42" s="110"/>
      <c r="AZ42" s="110"/>
      <c r="BA42" s="836"/>
      <c r="BB42" s="46"/>
      <c r="BC42" s="53"/>
      <c r="BD42" s="53"/>
      <c r="BE42" s="53"/>
      <c r="BF42" s="836"/>
      <c r="BG42" s="46"/>
      <c r="BH42" s="93"/>
      <c r="BI42" s="93"/>
      <c r="BJ42" s="93"/>
      <c r="BK42" s="836"/>
      <c r="BL42" s="46"/>
      <c r="BM42" s="46"/>
      <c r="BN42" s="46"/>
      <c r="BO42" s="53"/>
      <c r="BP42" s="836"/>
      <c r="BQ42" s="712">
        <v>0</v>
      </c>
      <c r="BR42" s="46">
        <v>0</v>
      </c>
      <c r="BS42" s="46">
        <v>220.1</v>
      </c>
      <c r="BT42" s="46">
        <v>-0.4</v>
      </c>
      <c r="BU42" s="836">
        <f t="shared" si="85"/>
        <v>219.7</v>
      </c>
      <c r="BV42" s="712">
        <v>10</v>
      </c>
      <c r="BW42" s="46">
        <v>0</v>
      </c>
      <c r="BX42" s="46">
        <v>0</v>
      </c>
      <c r="BY42" s="46">
        <v>0</v>
      </c>
      <c r="BZ42" s="836">
        <f t="shared" si="86"/>
        <v>10</v>
      </c>
      <c r="CA42" s="712">
        <v>-0.2</v>
      </c>
      <c r="CB42" s="46"/>
      <c r="CC42" s="46"/>
      <c r="CD42" s="46"/>
      <c r="CE42" s="836">
        <f t="shared" si="87"/>
        <v>-0.2</v>
      </c>
      <c r="CF42" s="378"/>
      <c r="CG42" s="714"/>
      <c r="CH42" s="714"/>
    </row>
    <row r="43" spans="1:16357" s="51" customFormat="1" ht="20.149999999999999" customHeight="1">
      <c r="A43" s="868" t="s">
        <v>807</v>
      </c>
      <c r="B43" s="868" t="s">
        <v>811</v>
      </c>
      <c r="C43" s="46"/>
      <c r="D43" s="110"/>
      <c r="E43" s="110"/>
      <c r="F43" s="110"/>
      <c r="G43" s="836"/>
      <c r="H43" s="46"/>
      <c r="I43" s="110"/>
      <c r="J43" s="110"/>
      <c r="K43" s="110"/>
      <c r="L43" s="836"/>
      <c r="M43" s="46"/>
      <c r="N43" s="110"/>
      <c r="O43" s="110"/>
      <c r="P43" s="110"/>
      <c r="Q43" s="836"/>
      <c r="R43" s="46"/>
      <c r="S43" s="110"/>
      <c r="T43" s="110"/>
      <c r="U43" s="110"/>
      <c r="V43" s="836"/>
      <c r="W43" s="46"/>
      <c r="X43" s="110"/>
      <c r="Y43" s="111"/>
      <c r="Z43" s="111"/>
      <c r="AA43" s="836"/>
      <c r="AB43" s="46"/>
      <c r="AC43" s="110"/>
      <c r="AD43" s="110"/>
      <c r="AE43" s="110"/>
      <c r="AF43" s="836"/>
      <c r="AG43" s="46"/>
      <c r="AH43" s="110"/>
      <c r="AI43" s="110"/>
      <c r="AJ43" s="111"/>
      <c r="AK43" s="836"/>
      <c r="AL43" s="855"/>
      <c r="AM43" s="110"/>
      <c r="AN43" s="110"/>
      <c r="AO43" s="110"/>
      <c r="AP43" s="111"/>
      <c r="AQ43" s="836"/>
      <c r="AR43" s="46"/>
      <c r="AS43" s="110"/>
      <c r="AT43" s="110"/>
      <c r="AU43" s="110"/>
      <c r="AV43" s="836"/>
      <c r="AW43" s="46"/>
      <c r="AX43" s="110"/>
      <c r="AY43" s="110"/>
      <c r="AZ43" s="110"/>
      <c r="BA43" s="836"/>
      <c r="BB43" s="46"/>
      <c r="BC43" s="53"/>
      <c r="BD43" s="53"/>
      <c r="BE43" s="53"/>
      <c r="BF43" s="836"/>
      <c r="BG43" s="46"/>
      <c r="BH43" s="93"/>
      <c r="BI43" s="93"/>
      <c r="BJ43" s="93"/>
      <c r="BK43" s="836"/>
      <c r="BL43" s="46"/>
      <c r="BM43" s="46"/>
      <c r="BN43" s="46"/>
      <c r="BO43" s="53"/>
      <c r="BP43" s="836"/>
      <c r="BQ43" s="712">
        <v>0</v>
      </c>
      <c r="BR43" s="46">
        <v>0</v>
      </c>
      <c r="BS43" s="46">
        <v>0</v>
      </c>
      <c r="BT43" s="46">
        <v>0</v>
      </c>
      <c r="BU43" s="836">
        <f t="shared" si="85"/>
        <v>0</v>
      </c>
      <c r="BV43" s="712">
        <v>164</v>
      </c>
      <c r="BW43" s="46">
        <v>21.1</v>
      </c>
      <c r="BX43" s="46">
        <v>14.6</v>
      </c>
      <c r="BY43" s="46">
        <v>0</v>
      </c>
      <c r="BZ43" s="836">
        <f t="shared" si="86"/>
        <v>199.7</v>
      </c>
      <c r="CA43" s="712">
        <v>0</v>
      </c>
      <c r="CB43" s="46"/>
      <c r="CC43" s="46"/>
      <c r="CD43" s="46"/>
      <c r="CE43" s="836">
        <f t="shared" si="87"/>
        <v>0</v>
      </c>
      <c r="CF43" s="378"/>
      <c r="CG43" s="714"/>
      <c r="CH43" s="714"/>
    </row>
    <row r="44" spans="1:16357" s="51" customFormat="1" ht="20.149999999999999" customHeight="1">
      <c r="A44" s="868" t="s">
        <v>806</v>
      </c>
      <c r="B44" s="868" t="s">
        <v>812</v>
      </c>
      <c r="C44" s="46"/>
      <c r="D44" s="110"/>
      <c r="E44" s="110"/>
      <c r="F44" s="110"/>
      <c r="G44" s="836"/>
      <c r="H44" s="46"/>
      <c r="I44" s="110"/>
      <c r="J44" s="110"/>
      <c r="K44" s="110"/>
      <c r="L44" s="836"/>
      <c r="M44" s="46"/>
      <c r="N44" s="110"/>
      <c r="O44" s="110"/>
      <c r="P44" s="110"/>
      <c r="Q44" s="836"/>
      <c r="R44" s="46"/>
      <c r="S44" s="110"/>
      <c r="T44" s="110"/>
      <c r="U44" s="110"/>
      <c r="V44" s="836"/>
      <c r="W44" s="46"/>
      <c r="X44" s="110"/>
      <c r="Y44" s="111"/>
      <c r="Z44" s="111"/>
      <c r="AA44" s="836"/>
      <c r="AB44" s="46"/>
      <c r="AC44" s="110"/>
      <c r="AD44" s="110"/>
      <c r="AE44" s="110"/>
      <c r="AF44" s="836"/>
      <c r="AG44" s="46"/>
      <c r="AH44" s="110"/>
      <c r="AI44" s="110"/>
      <c r="AJ44" s="111"/>
      <c r="AK44" s="836"/>
      <c r="AL44" s="855"/>
      <c r="AM44" s="110"/>
      <c r="AN44" s="110"/>
      <c r="AO44" s="110"/>
      <c r="AP44" s="111"/>
      <c r="AQ44" s="836"/>
      <c r="AR44" s="46"/>
      <c r="AS44" s="110"/>
      <c r="AT44" s="110"/>
      <c r="AU44" s="110"/>
      <c r="AV44" s="836"/>
      <c r="AW44" s="46"/>
      <c r="AX44" s="110"/>
      <c r="AY44" s="110"/>
      <c r="AZ44" s="110"/>
      <c r="BA44" s="836"/>
      <c r="BB44" s="46"/>
      <c r="BC44" s="53"/>
      <c r="BD44" s="53"/>
      <c r="BE44" s="53"/>
      <c r="BF44" s="836"/>
      <c r="BG44" s="46"/>
      <c r="BH44" s="93"/>
      <c r="BI44" s="93"/>
      <c r="BJ44" s="93"/>
      <c r="BK44" s="836"/>
      <c r="BL44" s="46"/>
      <c r="BM44" s="46"/>
      <c r="BN44" s="46"/>
      <c r="BO44" s="53"/>
      <c r="BP44" s="836"/>
      <c r="BQ44" s="712">
        <v>0</v>
      </c>
      <c r="BR44" s="46">
        <v>0</v>
      </c>
      <c r="BS44" s="46">
        <v>0</v>
      </c>
      <c r="BT44" s="46">
        <v>0</v>
      </c>
      <c r="BU44" s="836">
        <f t="shared" si="85"/>
        <v>0</v>
      </c>
      <c r="BV44" s="712">
        <v>0</v>
      </c>
      <c r="BW44" s="46">
        <v>0</v>
      </c>
      <c r="BX44" s="46">
        <v>-30</v>
      </c>
      <c r="BY44" s="46">
        <v>-41</v>
      </c>
      <c r="BZ44" s="836">
        <f t="shared" si="86"/>
        <v>-71</v>
      </c>
      <c r="CA44" s="712">
        <v>0</v>
      </c>
      <c r="CB44" s="46"/>
      <c r="CC44" s="46"/>
      <c r="CD44" s="46"/>
      <c r="CE44" s="836">
        <f t="shared" si="87"/>
        <v>0</v>
      </c>
      <c r="CF44" s="378"/>
      <c r="CG44" s="714"/>
      <c r="CH44" s="714"/>
    </row>
    <row r="45" spans="1:16357" s="378" customFormat="1" ht="22.5" customHeight="1">
      <c r="A45" s="872" t="s">
        <v>96</v>
      </c>
      <c r="B45" s="872" t="s">
        <v>808</v>
      </c>
      <c r="C45" s="876"/>
      <c r="D45" s="876"/>
      <c r="E45" s="876"/>
      <c r="F45" s="876"/>
      <c r="G45" s="889"/>
      <c r="H45" s="876"/>
      <c r="I45" s="876"/>
      <c r="J45" s="876"/>
      <c r="K45" s="876"/>
      <c r="L45" s="889"/>
      <c r="M45" s="876"/>
      <c r="N45" s="876"/>
      <c r="O45" s="876"/>
      <c r="P45" s="876"/>
      <c r="Q45" s="889"/>
      <c r="R45" s="876"/>
      <c r="S45" s="876"/>
      <c r="T45" s="876"/>
      <c r="U45" s="876"/>
      <c r="V45" s="889"/>
      <c r="W45" s="876"/>
      <c r="X45" s="876"/>
      <c r="Y45" s="895"/>
      <c r="Z45" s="895"/>
      <c r="AA45" s="889"/>
      <c r="AB45" s="876"/>
      <c r="AC45" s="876"/>
      <c r="AD45" s="876"/>
      <c r="AE45" s="876"/>
      <c r="AF45" s="889"/>
      <c r="AG45" s="876"/>
      <c r="AH45" s="876"/>
      <c r="AI45" s="876"/>
      <c r="AJ45" s="874"/>
      <c r="AK45" s="889"/>
      <c r="AL45" s="846"/>
      <c r="AM45" s="888"/>
      <c r="AN45" s="876"/>
      <c r="AO45" s="876"/>
      <c r="AP45" s="874"/>
      <c r="AQ45" s="889"/>
      <c r="AR45" s="876"/>
      <c r="AS45" s="876"/>
      <c r="AT45" s="876"/>
      <c r="AU45" s="876"/>
      <c r="AV45" s="889"/>
      <c r="AW45" s="876"/>
      <c r="AX45" s="876"/>
      <c r="AY45" s="876"/>
      <c r="AZ45" s="876"/>
      <c r="BA45" s="889"/>
      <c r="BB45" s="876"/>
      <c r="BC45" s="876"/>
      <c r="BD45" s="876"/>
      <c r="BE45" s="876"/>
      <c r="BF45" s="889"/>
      <c r="BG45" s="876"/>
      <c r="BH45" s="876"/>
      <c r="BI45" s="876"/>
      <c r="BJ45" s="876"/>
      <c r="BK45" s="889"/>
      <c r="BL45" s="876"/>
      <c r="BM45" s="876"/>
      <c r="BN45" s="876"/>
      <c r="BO45" s="876"/>
      <c r="BP45" s="889"/>
      <c r="BQ45" s="890">
        <f>BQ38-SUM(BQ40:BQ44)</f>
        <v>761.2000000000005</v>
      </c>
      <c r="BR45" s="876">
        <f t="shared" ref="BR45:BT45" si="88">BR38-SUM(BR40:BR44)</f>
        <v>798.50000000000023</v>
      </c>
      <c r="BS45" s="876">
        <f t="shared" si="88"/>
        <v>774.70000000000039</v>
      </c>
      <c r="BT45" s="876">
        <f t="shared" si="88"/>
        <v>677.10000000000014</v>
      </c>
      <c r="BU45" s="889">
        <f>SUM(BQ45:BT45)</f>
        <v>3011.5000000000009</v>
      </c>
      <c r="BV45" s="890">
        <f>BV38-SUM(BV40:BV44)</f>
        <v>772.29862972000103</v>
      </c>
      <c r="BW45" s="876">
        <f t="shared" ref="BW45" si="89">BW38-SUM(BW40:BW44)</f>
        <v>843.90000000000043</v>
      </c>
      <c r="BX45" s="876">
        <f t="shared" ref="BX45" si="90">BX38-SUM(BX40:BX44)</f>
        <v>901.79999999999973</v>
      </c>
      <c r="BY45" s="876">
        <f t="shared" ref="BY45" si="91">BY38-SUM(BY40:BY44)</f>
        <v>780.89999999999986</v>
      </c>
      <c r="BZ45" s="889">
        <f>SUM(BV45:BY45)</f>
        <v>3298.8986297200008</v>
      </c>
      <c r="CA45" s="876">
        <f>CA38-SUM(CA40:CA44)</f>
        <v>809.3000000000003</v>
      </c>
      <c r="CB45" s="876"/>
      <c r="CC45" s="876"/>
      <c r="CD45" s="876"/>
      <c r="CE45" s="889">
        <f>SUM(CA45:CD45)</f>
        <v>809.3000000000003</v>
      </c>
      <c r="CG45" s="714"/>
      <c r="CH45" s="714"/>
    </row>
    <row r="46" spans="1:16357" s="378" customFormat="1" ht="22.5" customHeight="1">
      <c r="A46" s="896" t="s">
        <v>97</v>
      </c>
      <c r="B46" s="896" t="s">
        <v>809</v>
      </c>
      <c r="C46" s="892"/>
      <c r="D46" s="892"/>
      <c r="E46" s="892"/>
      <c r="F46" s="892"/>
      <c r="G46" s="893"/>
      <c r="H46" s="892"/>
      <c r="I46" s="892"/>
      <c r="J46" s="892"/>
      <c r="K46" s="892"/>
      <c r="L46" s="893"/>
      <c r="M46" s="892"/>
      <c r="N46" s="892"/>
      <c r="O46" s="892"/>
      <c r="P46" s="892"/>
      <c r="Q46" s="893"/>
      <c r="R46" s="892"/>
      <c r="S46" s="892"/>
      <c r="T46" s="892"/>
      <c r="U46" s="892"/>
      <c r="V46" s="893"/>
      <c r="W46" s="892"/>
      <c r="X46" s="892"/>
      <c r="Y46" s="897"/>
      <c r="Z46" s="897"/>
      <c r="AA46" s="893"/>
      <c r="AB46" s="892"/>
      <c r="AC46" s="892"/>
      <c r="AD46" s="892"/>
      <c r="AE46" s="892"/>
      <c r="AF46" s="893"/>
      <c r="AG46" s="892"/>
      <c r="AH46" s="892"/>
      <c r="AI46" s="892"/>
      <c r="AJ46" s="892"/>
      <c r="AK46" s="893"/>
      <c r="AL46" s="854"/>
      <c r="AM46" s="891"/>
      <c r="AN46" s="892"/>
      <c r="AO46" s="892"/>
      <c r="AP46" s="892"/>
      <c r="AQ46" s="893"/>
      <c r="AR46" s="892"/>
      <c r="AS46" s="892"/>
      <c r="AT46" s="892"/>
      <c r="AU46" s="892"/>
      <c r="AV46" s="893"/>
      <c r="AW46" s="892"/>
      <c r="AX46" s="892"/>
      <c r="AY46" s="892"/>
      <c r="AZ46" s="892"/>
      <c r="BA46" s="893"/>
      <c r="BB46" s="892"/>
      <c r="BC46" s="892"/>
      <c r="BD46" s="892"/>
      <c r="BE46" s="892"/>
      <c r="BF46" s="893"/>
      <c r="BG46" s="892"/>
      <c r="BH46" s="892"/>
      <c r="BI46" s="892"/>
      <c r="BJ46" s="892"/>
      <c r="BK46" s="893"/>
      <c r="BL46" s="892"/>
      <c r="BM46" s="892"/>
      <c r="BN46" s="892"/>
      <c r="BO46" s="892"/>
      <c r="BP46" s="893"/>
      <c r="BQ46" s="894"/>
      <c r="BR46" s="892"/>
      <c r="BS46" s="892"/>
      <c r="BT46" s="892"/>
      <c r="BU46" s="893"/>
      <c r="BV46" s="894">
        <f t="shared" ref="BV46:CA46" si="92">BV45/BV5</f>
        <v>0.22681319838989439</v>
      </c>
      <c r="BW46" s="894">
        <f t="shared" si="92"/>
        <v>0.24430420056161894</v>
      </c>
      <c r="BX46" s="894">
        <f t="shared" si="92"/>
        <v>0.2519346277413046</v>
      </c>
      <c r="BY46" s="892">
        <f>BY45/BY5</f>
        <v>0.20404483812808652</v>
      </c>
      <c r="BZ46" s="893">
        <f t="shared" si="92"/>
        <v>0.23124366121931073</v>
      </c>
      <c r="CA46" s="894">
        <f t="shared" si="92"/>
        <v>0.22925046739561505</v>
      </c>
      <c r="CB46" s="894"/>
      <c r="CC46" s="894"/>
      <c r="CD46" s="892"/>
      <c r="CE46" s="893">
        <f>CE45/CE5</f>
        <v>0.22925046739561505</v>
      </c>
      <c r="CG46" s="714"/>
      <c r="CH46" s="714"/>
    </row>
    <row r="47" spans="1:16357" ht="15" customHeight="1">
      <c r="U47" s="6"/>
      <c r="V47" s="6"/>
      <c r="W47" s="6"/>
      <c r="X47" s="6"/>
      <c r="Y47" s="38"/>
      <c r="Z47" s="6"/>
      <c r="AA47" s="6"/>
      <c r="AB47" s="6"/>
      <c r="AC47" s="6"/>
      <c r="AD47" s="38"/>
      <c r="AE47" s="6"/>
      <c r="AF47" s="6"/>
      <c r="AG47" s="6"/>
      <c r="AH47" s="6"/>
      <c r="AI47" s="38"/>
      <c r="AJ47" s="6"/>
      <c r="AK47" s="89"/>
      <c r="AL47" s="5"/>
      <c r="AM47" s="6"/>
      <c r="AN47" s="68"/>
      <c r="AO47" s="38"/>
      <c r="AP47" s="6"/>
      <c r="AQ47" s="68"/>
      <c r="AR47" s="6"/>
      <c r="AS47" s="68"/>
      <c r="AT47" s="38"/>
      <c r="AU47" s="6"/>
      <c r="AV47" s="68"/>
      <c r="AW47" s="6"/>
      <c r="AX47" s="68"/>
      <c r="AY47" s="38"/>
      <c r="AZ47" s="6"/>
      <c r="BA47" s="68"/>
      <c r="BB47" s="6"/>
      <c r="BC47" s="68"/>
      <c r="BD47" s="38"/>
      <c r="BE47" s="6"/>
      <c r="BF47" s="633"/>
      <c r="BG47" s="761"/>
      <c r="BH47" s="761"/>
      <c r="BI47" s="761"/>
      <c r="BJ47" s="761"/>
      <c r="BK47" s="628"/>
      <c r="BL47" s="761"/>
      <c r="BM47" s="761"/>
      <c r="BN47" s="761"/>
      <c r="BO47" s="761"/>
      <c r="BP47" s="761"/>
      <c r="BQ47" s="761"/>
      <c r="BR47" s="761"/>
      <c r="BS47" s="761"/>
      <c r="BT47" s="6"/>
      <c r="BU47" s="661"/>
      <c r="BV47" s="764"/>
      <c r="BW47" s="764"/>
      <c r="BX47" s="769"/>
      <c r="BY47" s="714"/>
      <c r="BZ47" s="714"/>
      <c r="CA47" s="764"/>
      <c r="CB47" s="764"/>
      <c r="CC47" s="769"/>
      <c r="CD47" s="714"/>
      <c r="CE47" s="714"/>
      <c r="CF47" s="378"/>
      <c r="CG47" s="714"/>
      <c r="CH47" s="714"/>
    </row>
    <row r="48" spans="1:16357" ht="23.25" customHeight="1">
      <c r="A48" s="97" t="s">
        <v>98</v>
      </c>
      <c r="B48" s="101" t="s">
        <v>99</v>
      </c>
      <c r="C48" s="100"/>
      <c r="D48" s="100"/>
      <c r="E48" s="100"/>
      <c r="F48" s="100"/>
      <c r="G48" s="100"/>
      <c r="H48" s="100"/>
      <c r="I48" s="100"/>
      <c r="J48" s="100"/>
      <c r="K48" s="100"/>
      <c r="L48" s="100"/>
      <c r="M48" s="100"/>
      <c r="N48" s="100"/>
      <c r="O48" s="97"/>
      <c r="P48" s="97"/>
      <c r="Q48" s="97"/>
      <c r="R48" s="97"/>
      <c r="S48" s="952"/>
      <c r="T48" s="952"/>
      <c r="U48" s="952"/>
      <c r="V48" s="952"/>
      <c r="W48" s="952"/>
      <c r="X48" s="952"/>
      <c r="Y48" s="952"/>
      <c r="Z48" s="952"/>
      <c r="AA48" s="952"/>
      <c r="AB48" s="952"/>
      <c r="AC48" s="952"/>
      <c r="AD48" s="952"/>
      <c r="AE48" s="952"/>
      <c r="AF48" s="952"/>
      <c r="AG48" s="952"/>
      <c r="AH48" s="7"/>
      <c r="AI48" s="35"/>
      <c r="AJ48" s="7"/>
      <c r="AK48" s="90"/>
      <c r="AL48" s="5"/>
      <c r="AM48" s="7"/>
      <c r="AN48" s="7"/>
      <c r="AO48" s="35"/>
      <c r="AP48" s="7"/>
      <c r="AQ48" s="7"/>
      <c r="AR48" s="7"/>
      <c r="AS48" s="7"/>
      <c r="AT48" s="35"/>
      <c r="AU48" s="7"/>
      <c r="AV48" s="7"/>
      <c r="AW48" s="7"/>
      <c r="AX48" s="952"/>
      <c r="AY48" s="952"/>
      <c r="AZ48" s="952"/>
      <c r="BA48" s="952"/>
      <c r="BB48" s="952"/>
      <c r="BC48" s="952"/>
      <c r="BD48" s="952"/>
      <c r="BE48" s="952"/>
      <c r="BF48" s="952"/>
      <c r="BG48" s="952"/>
      <c r="BH48" s="952"/>
      <c r="BI48" s="952"/>
      <c r="BJ48" s="952"/>
      <c r="BK48" s="952"/>
      <c r="BL48" s="952"/>
      <c r="BM48" s="952"/>
      <c r="BN48" s="952"/>
      <c r="BO48" s="952"/>
      <c r="BP48" s="952"/>
      <c r="BQ48" s="952"/>
      <c r="BR48" s="952"/>
      <c r="BS48" s="952"/>
      <c r="BT48" s="952"/>
      <c r="BU48" s="952"/>
      <c r="BY48" s="952"/>
      <c r="BZ48" s="952"/>
      <c r="CA48" s="952"/>
      <c r="CB48" s="952"/>
      <c r="CC48" s="952"/>
      <c r="CD48" s="952"/>
      <c r="CE48" s="952"/>
      <c r="CF48" s="952"/>
      <c r="CG48" s="952"/>
      <c r="CH48" s="952"/>
      <c r="CI48" s="952"/>
      <c r="CJ48" s="952"/>
      <c r="CK48" s="952"/>
      <c r="CL48" s="952"/>
      <c r="CM48" s="952"/>
      <c r="CN48" s="952"/>
      <c r="CO48" s="952"/>
      <c r="CP48" s="952"/>
      <c r="CQ48" s="952"/>
      <c r="CR48" s="952"/>
      <c r="CS48" s="952"/>
      <c r="CT48" s="952"/>
      <c r="CU48" s="952"/>
      <c r="CV48" s="952"/>
      <c r="CW48" s="952"/>
      <c r="CX48" s="952"/>
      <c r="CY48" s="952"/>
      <c r="CZ48" s="952"/>
      <c r="DA48" s="952"/>
      <c r="DB48" s="952"/>
      <c r="DC48" s="952"/>
      <c r="DD48" s="952"/>
      <c r="DE48" s="952"/>
      <c r="DF48" s="952"/>
      <c r="DG48" s="952"/>
      <c r="DH48" s="952"/>
      <c r="DI48" s="952"/>
      <c r="DJ48" s="952"/>
      <c r="DK48" s="952"/>
      <c r="DL48" s="952"/>
      <c r="DM48" s="952"/>
      <c r="DN48" s="952"/>
      <c r="DO48" s="952"/>
      <c r="DP48" s="952"/>
      <c r="DQ48" s="952"/>
      <c r="DR48" s="952"/>
      <c r="DS48" s="952"/>
      <c r="DT48" s="952"/>
      <c r="DU48" s="952"/>
      <c r="DV48" s="952"/>
      <c r="DW48" s="952"/>
      <c r="DX48" s="952"/>
      <c r="DY48" s="952"/>
      <c r="DZ48" s="952"/>
      <c r="EA48" s="952"/>
      <c r="EB48" s="952"/>
      <c r="EC48" s="952"/>
      <c r="ED48" s="952"/>
      <c r="EE48" s="952"/>
      <c r="EF48" s="952"/>
      <c r="EG48" s="952"/>
      <c r="EH48" s="952"/>
      <c r="EI48" s="952"/>
      <c r="EJ48" s="952"/>
      <c r="EK48" s="952"/>
      <c r="EL48" s="952"/>
      <c r="EM48" s="952"/>
      <c r="EN48" s="952"/>
      <c r="EO48" s="952"/>
      <c r="EP48" s="952"/>
      <c r="EQ48" s="952"/>
      <c r="ER48" s="952"/>
      <c r="ES48" s="952"/>
      <c r="ET48" s="952"/>
      <c r="EU48" s="952"/>
      <c r="EV48" s="952"/>
      <c r="EW48" s="952"/>
      <c r="EX48" s="952"/>
      <c r="EY48" s="952"/>
      <c r="EZ48" s="952"/>
      <c r="FA48" s="952"/>
      <c r="FB48" s="952"/>
      <c r="FC48" s="952"/>
      <c r="FD48" s="952"/>
      <c r="FE48" s="952"/>
      <c r="FF48" s="952"/>
      <c r="FG48" s="952"/>
      <c r="FH48" s="952"/>
      <c r="FI48" s="952"/>
      <c r="FJ48" s="952"/>
      <c r="FK48" s="952"/>
      <c r="FL48" s="952"/>
      <c r="FM48" s="952"/>
      <c r="FN48" s="952"/>
      <c r="FO48" s="952"/>
      <c r="FP48" s="952"/>
      <c r="FQ48" s="952"/>
      <c r="FR48" s="952"/>
      <c r="FS48" s="952"/>
      <c r="FT48" s="952"/>
      <c r="FU48" s="952"/>
      <c r="FV48" s="952"/>
      <c r="FW48" s="952"/>
      <c r="FX48" s="952"/>
      <c r="FY48" s="952"/>
      <c r="FZ48" s="952"/>
      <c r="GA48" s="952"/>
      <c r="GB48" s="952"/>
      <c r="GC48" s="952"/>
      <c r="GD48" s="952"/>
      <c r="GE48" s="952"/>
      <c r="GF48" s="952"/>
      <c r="GG48" s="952"/>
      <c r="GH48" s="952"/>
      <c r="GI48" s="952"/>
      <c r="GJ48" s="952"/>
      <c r="GK48" s="952"/>
      <c r="GL48" s="952"/>
      <c r="GM48" s="952"/>
      <c r="GN48" s="952"/>
      <c r="GO48" s="952"/>
      <c r="GP48" s="952"/>
      <c r="GQ48" s="952"/>
      <c r="GR48" s="952"/>
      <c r="GS48" s="952"/>
      <c r="GT48" s="952"/>
      <c r="GU48" s="952"/>
      <c r="GV48" s="952"/>
      <c r="GW48" s="952"/>
      <c r="GX48" s="952"/>
      <c r="GY48" s="952"/>
      <c r="GZ48" s="952"/>
      <c r="HA48" s="952"/>
      <c r="HB48" s="952"/>
      <c r="HC48" s="952"/>
      <c r="HD48" s="952"/>
      <c r="HE48" s="952"/>
      <c r="HF48" s="952"/>
      <c r="HG48" s="952"/>
      <c r="HH48" s="952"/>
      <c r="HI48" s="952"/>
      <c r="HJ48" s="952"/>
      <c r="HK48" s="952"/>
      <c r="HL48" s="952"/>
      <c r="HM48" s="952"/>
      <c r="HN48" s="952"/>
      <c r="HO48" s="952"/>
      <c r="HP48" s="952"/>
      <c r="HQ48" s="952"/>
      <c r="HR48" s="952"/>
      <c r="HS48" s="952"/>
      <c r="HT48" s="952"/>
      <c r="HU48" s="952"/>
      <c r="HV48" s="952"/>
      <c r="HW48" s="952"/>
      <c r="HX48" s="952"/>
      <c r="HY48" s="952"/>
      <c r="HZ48" s="952"/>
      <c r="IA48" s="952"/>
      <c r="IB48" s="952"/>
      <c r="IC48" s="952"/>
      <c r="ID48" s="952"/>
      <c r="IE48" s="952"/>
      <c r="IF48" s="952"/>
      <c r="IG48" s="952"/>
      <c r="IH48" s="952"/>
      <c r="II48" s="952"/>
      <c r="IJ48" s="952"/>
      <c r="IK48" s="952"/>
      <c r="IL48" s="952"/>
      <c r="IM48" s="952"/>
      <c r="IN48" s="952"/>
      <c r="IO48" s="952"/>
      <c r="IP48" s="952"/>
      <c r="IQ48" s="952"/>
      <c r="IR48" s="952"/>
      <c r="IS48" s="952"/>
      <c r="IT48" s="952"/>
      <c r="IU48" s="952"/>
      <c r="IV48" s="952"/>
      <c r="IW48" s="952"/>
      <c r="IX48" s="952"/>
      <c r="IY48" s="952"/>
      <c r="IZ48" s="952"/>
      <c r="JA48" s="952"/>
      <c r="JB48" s="952"/>
      <c r="JC48" s="952"/>
      <c r="JD48" s="952"/>
      <c r="JE48" s="952"/>
      <c r="JF48" s="952"/>
      <c r="JG48" s="952"/>
      <c r="JH48" s="952"/>
      <c r="JI48" s="952"/>
      <c r="JJ48" s="952"/>
      <c r="JK48" s="952"/>
      <c r="JL48" s="952"/>
      <c r="JM48" s="952"/>
      <c r="JN48" s="952"/>
      <c r="JO48" s="952"/>
      <c r="JP48" s="952"/>
      <c r="JQ48" s="952"/>
      <c r="JR48" s="952"/>
      <c r="JS48" s="952"/>
      <c r="JT48" s="952"/>
      <c r="JU48" s="952"/>
      <c r="JV48" s="952"/>
      <c r="JW48" s="952"/>
      <c r="JX48" s="952"/>
      <c r="JY48" s="952"/>
      <c r="JZ48" s="952"/>
      <c r="KA48" s="952"/>
      <c r="KB48" s="952"/>
      <c r="KC48" s="952"/>
      <c r="KD48" s="952"/>
      <c r="KE48" s="952"/>
      <c r="KF48" s="952"/>
      <c r="KG48" s="952"/>
      <c r="KH48" s="952"/>
      <c r="KI48" s="952"/>
      <c r="KJ48" s="952"/>
      <c r="KK48" s="952"/>
      <c r="KL48" s="952"/>
      <c r="KM48" s="952"/>
      <c r="KN48" s="952"/>
      <c r="KO48" s="952"/>
      <c r="KP48" s="952"/>
      <c r="KQ48" s="952"/>
      <c r="KR48" s="952"/>
      <c r="KS48" s="952"/>
      <c r="KT48" s="952"/>
      <c r="KU48" s="952"/>
      <c r="KV48" s="952"/>
      <c r="KW48" s="952"/>
      <c r="KX48" s="952"/>
      <c r="KY48" s="952"/>
      <c r="KZ48" s="952"/>
      <c r="LA48" s="952"/>
      <c r="LB48" s="952"/>
      <c r="LC48" s="952"/>
      <c r="LD48" s="952"/>
      <c r="LE48" s="952"/>
      <c r="LF48" s="952"/>
      <c r="LG48" s="952"/>
      <c r="LH48" s="952"/>
      <c r="LI48" s="952"/>
      <c r="LJ48" s="952"/>
      <c r="LK48" s="952"/>
      <c r="LL48" s="952"/>
      <c r="LM48" s="952"/>
      <c r="LN48" s="952"/>
      <c r="LO48" s="952"/>
      <c r="LP48" s="952"/>
      <c r="LQ48" s="952"/>
      <c r="LR48" s="952"/>
      <c r="LS48" s="952"/>
      <c r="LT48" s="952"/>
      <c r="LU48" s="952"/>
      <c r="LV48" s="952"/>
      <c r="LW48" s="952"/>
      <c r="LX48" s="952"/>
      <c r="LY48" s="952"/>
      <c r="LZ48" s="952"/>
      <c r="MA48" s="952"/>
      <c r="MB48" s="952"/>
      <c r="MC48" s="952"/>
      <c r="MD48" s="952"/>
      <c r="ME48" s="952"/>
      <c r="MF48" s="952"/>
      <c r="MG48" s="952"/>
      <c r="MH48" s="952"/>
      <c r="MI48" s="952"/>
      <c r="MJ48" s="952"/>
      <c r="MK48" s="952"/>
      <c r="ML48" s="952"/>
      <c r="MM48" s="952"/>
      <c r="MN48" s="952"/>
      <c r="MO48" s="952"/>
      <c r="MP48" s="952"/>
      <c r="MQ48" s="952"/>
      <c r="MR48" s="952"/>
      <c r="MS48" s="952"/>
      <c r="MT48" s="952"/>
      <c r="MU48" s="952"/>
      <c r="MV48" s="952"/>
      <c r="MW48" s="952"/>
      <c r="MX48" s="952"/>
      <c r="MY48" s="952"/>
      <c r="MZ48" s="952"/>
      <c r="NA48" s="952"/>
      <c r="NB48" s="952"/>
      <c r="NC48" s="952"/>
      <c r="ND48" s="952"/>
      <c r="NE48" s="952"/>
      <c r="NF48" s="952"/>
      <c r="NG48" s="952"/>
      <c r="NH48" s="952"/>
      <c r="NI48" s="952"/>
      <c r="NJ48" s="952"/>
      <c r="NK48" s="952"/>
      <c r="NL48" s="952"/>
      <c r="NM48" s="952"/>
      <c r="NN48" s="952"/>
      <c r="NO48" s="952"/>
      <c r="NP48" s="952"/>
      <c r="NQ48" s="952"/>
      <c r="NR48" s="952"/>
      <c r="NS48" s="952"/>
      <c r="NT48" s="952"/>
      <c r="NU48" s="952"/>
      <c r="NV48" s="952"/>
      <c r="NW48" s="952"/>
      <c r="NX48" s="952"/>
      <c r="NY48" s="952"/>
      <c r="NZ48" s="952"/>
      <c r="OA48" s="952"/>
      <c r="OB48" s="952"/>
      <c r="OC48" s="952"/>
      <c r="OD48" s="952"/>
      <c r="OE48" s="952"/>
      <c r="OF48" s="952"/>
      <c r="OG48" s="952"/>
      <c r="OH48" s="952"/>
      <c r="OI48" s="952"/>
      <c r="OJ48" s="952"/>
      <c r="OK48" s="952"/>
      <c r="OL48" s="952"/>
      <c r="OM48" s="952"/>
      <c r="ON48" s="952"/>
      <c r="OO48" s="952"/>
      <c r="OP48" s="952"/>
      <c r="OQ48" s="952"/>
      <c r="OR48" s="952"/>
      <c r="OS48" s="952"/>
      <c r="OT48" s="952"/>
      <c r="OU48" s="952"/>
      <c r="OV48" s="952"/>
      <c r="OW48" s="952"/>
      <c r="OX48" s="952"/>
      <c r="OY48" s="952"/>
      <c r="OZ48" s="952"/>
      <c r="PA48" s="952"/>
      <c r="PB48" s="952"/>
      <c r="PC48" s="952"/>
      <c r="PD48" s="952"/>
      <c r="PE48" s="952"/>
      <c r="PF48" s="952"/>
      <c r="PG48" s="952"/>
      <c r="PH48" s="952"/>
      <c r="PI48" s="952"/>
      <c r="PJ48" s="952"/>
      <c r="PK48" s="952"/>
      <c r="PL48" s="952"/>
      <c r="PM48" s="952"/>
      <c r="PN48" s="952"/>
      <c r="PO48" s="952"/>
      <c r="PP48" s="952"/>
      <c r="PQ48" s="952"/>
      <c r="PR48" s="952"/>
      <c r="PS48" s="952"/>
      <c r="PT48" s="952"/>
      <c r="PU48" s="952"/>
      <c r="PV48" s="952"/>
      <c r="PW48" s="952"/>
      <c r="PX48" s="952"/>
      <c r="PY48" s="952"/>
      <c r="PZ48" s="952"/>
      <c r="QA48" s="952"/>
      <c r="QB48" s="952"/>
      <c r="QC48" s="952"/>
      <c r="QD48" s="952"/>
      <c r="QE48" s="952"/>
      <c r="QF48" s="952"/>
      <c r="QG48" s="952"/>
      <c r="QH48" s="952"/>
      <c r="QI48" s="952"/>
      <c r="QJ48" s="952"/>
      <c r="QK48" s="952"/>
      <c r="QL48" s="952"/>
      <c r="QM48" s="952"/>
      <c r="QN48" s="952"/>
      <c r="QO48" s="952"/>
      <c r="QP48" s="952"/>
      <c r="QQ48" s="952"/>
      <c r="QR48" s="952"/>
      <c r="QS48" s="952"/>
      <c r="QT48" s="952"/>
      <c r="QU48" s="952"/>
      <c r="QV48" s="952"/>
      <c r="QW48" s="952"/>
      <c r="QX48" s="952"/>
      <c r="QY48" s="952"/>
      <c r="QZ48" s="952"/>
      <c r="RA48" s="952"/>
      <c r="RB48" s="952"/>
      <c r="RC48" s="952"/>
      <c r="RD48" s="952"/>
      <c r="RE48" s="952"/>
      <c r="RF48" s="952"/>
      <c r="RG48" s="952"/>
      <c r="RH48" s="952"/>
      <c r="RI48" s="952"/>
      <c r="RJ48" s="952"/>
      <c r="RK48" s="952"/>
      <c r="RL48" s="952"/>
      <c r="RM48" s="952"/>
      <c r="RN48" s="952"/>
      <c r="RO48" s="952"/>
      <c r="RP48" s="952"/>
      <c r="RQ48" s="952"/>
      <c r="RR48" s="952"/>
      <c r="RS48" s="952"/>
      <c r="RT48" s="952"/>
      <c r="RU48" s="952"/>
      <c r="RV48" s="952"/>
      <c r="RW48" s="952"/>
      <c r="RX48" s="952"/>
      <c r="RY48" s="952"/>
      <c r="RZ48" s="952"/>
      <c r="SA48" s="952"/>
      <c r="SB48" s="952"/>
      <c r="SC48" s="952"/>
      <c r="SD48" s="952"/>
      <c r="SE48" s="952"/>
      <c r="SF48" s="952"/>
      <c r="SG48" s="952"/>
      <c r="SH48" s="952"/>
      <c r="SI48" s="952"/>
      <c r="SJ48" s="952"/>
      <c r="SK48" s="952"/>
      <c r="SL48" s="952"/>
      <c r="SM48" s="952"/>
      <c r="SN48" s="952"/>
      <c r="SO48" s="952"/>
      <c r="SP48" s="952"/>
      <c r="SQ48" s="952"/>
      <c r="SR48" s="952"/>
      <c r="SS48" s="952"/>
      <c r="ST48" s="952"/>
      <c r="SU48" s="952"/>
      <c r="SV48" s="952"/>
      <c r="SW48" s="952"/>
      <c r="SX48" s="952"/>
      <c r="SY48" s="952"/>
      <c r="SZ48" s="952"/>
      <c r="TA48" s="952"/>
      <c r="TB48" s="952"/>
      <c r="TC48" s="952"/>
      <c r="TD48" s="952"/>
      <c r="TE48" s="952"/>
      <c r="TF48" s="952"/>
      <c r="TG48" s="952"/>
      <c r="TH48" s="952"/>
      <c r="TI48" s="952"/>
      <c r="TJ48" s="952"/>
      <c r="TK48" s="952"/>
      <c r="TL48" s="952"/>
      <c r="TM48" s="952"/>
      <c r="TN48" s="952"/>
      <c r="TO48" s="952"/>
      <c r="TP48" s="952"/>
      <c r="TQ48" s="952"/>
      <c r="TR48" s="952"/>
      <c r="TS48" s="952"/>
      <c r="TT48" s="952"/>
      <c r="TU48" s="952"/>
      <c r="TV48" s="952"/>
      <c r="TW48" s="952"/>
      <c r="TX48" s="952"/>
      <c r="TY48" s="952"/>
      <c r="TZ48" s="952"/>
      <c r="UA48" s="952"/>
      <c r="UB48" s="952"/>
      <c r="UC48" s="952"/>
      <c r="UD48" s="952"/>
      <c r="UE48" s="952"/>
      <c r="UF48" s="952"/>
      <c r="UG48" s="952"/>
      <c r="UH48" s="952"/>
      <c r="UI48" s="952"/>
      <c r="UJ48" s="952"/>
      <c r="UK48" s="952"/>
      <c r="UL48" s="952"/>
      <c r="UM48" s="952"/>
      <c r="UN48" s="952"/>
      <c r="UO48" s="952"/>
      <c r="UP48" s="952"/>
      <c r="UQ48" s="952"/>
      <c r="UR48" s="952"/>
      <c r="US48" s="952"/>
      <c r="UT48" s="952"/>
      <c r="UU48" s="952"/>
      <c r="UV48" s="952"/>
      <c r="UW48" s="952"/>
      <c r="UX48" s="952"/>
      <c r="UY48" s="952"/>
      <c r="UZ48" s="952"/>
      <c r="VA48" s="952"/>
      <c r="VB48" s="952"/>
      <c r="VC48" s="952"/>
      <c r="VD48" s="952"/>
      <c r="VE48" s="952"/>
      <c r="VF48" s="952"/>
      <c r="VG48" s="952"/>
      <c r="VH48" s="952"/>
      <c r="VI48" s="952"/>
      <c r="VJ48" s="952"/>
      <c r="VK48" s="952"/>
      <c r="VL48" s="952"/>
      <c r="VM48" s="952"/>
      <c r="VN48" s="952"/>
      <c r="VO48" s="952"/>
      <c r="VP48" s="952"/>
      <c r="VQ48" s="952"/>
      <c r="VR48" s="952"/>
      <c r="VS48" s="952"/>
      <c r="VT48" s="952"/>
      <c r="VU48" s="952"/>
      <c r="VV48" s="952"/>
      <c r="VW48" s="952"/>
      <c r="VX48" s="952"/>
      <c r="VY48" s="952"/>
      <c r="VZ48" s="952"/>
      <c r="WA48" s="952"/>
      <c r="WB48" s="952"/>
      <c r="WC48" s="952"/>
      <c r="WD48" s="952"/>
      <c r="WE48" s="952"/>
      <c r="WF48" s="952"/>
      <c r="WG48" s="952"/>
      <c r="WH48" s="952"/>
      <c r="WI48" s="952"/>
      <c r="WJ48" s="952"/>
      <c r="WK48" s="952"/>
      <c r="WL48" s="952"/>
      <c r="WM48" s="952"/>
      <c r="WN48" s="952"/>
      <c r="WO48" s="952"/>
      <c r="WP48" s="952"/>
      <c r="WQ48" s="952"/>
      <c r="WR48" s="952"/>
      <c r="WS48" s="952"/>
      <c r="WT48" s="952"/>
      <c r="WU48" s="952"/>
      <c r="WV48" s="952"/>
      <c r="WW48" s="952"/>
      <c r="WX48" s="952"/>
      <c r="WY48" s="952"/>
      <c r="WZ48" s="952"/>
      <c r="XA48" s="952"/>
      <c r="XB48" s="952"/>
      <c r="XC48" s="952"/>
      <c r="XD48" s="952"/>
      <c r="XE48" s="952"/>
      <c r="XF48" s="952"/>
      <c r="XG48" s="952"/>
      <c r="XH48" s="952"/>
      <c r="XI48" s="952"/>
      <c r="XJ48" s="952"/>
      <c r="XK48" s="952"/>
      <c r="XL48" s="952"/>
      <c r="XM48" s="952"/>
      <c r="XN48" s="952"/>
      <c r="XO48" s="952"/>
      <c r="XP48" s="952"/>
      <c r="XQ48" s="952"/>
      <c r="XR48" s="952"/>
      <c r="XS48" s="952"/>
      <c r="XT48" s="952"/>
      <c r="XU48" s="952"/>
      <c r="XV48" s="952"/>
      <c r="XW48" s="952"/>
      <c r="XX48" s="952"/>
      <c r="XY48" s="952"/>
      <c r="XZ48" s="952"/>
      <c r="YA48" s="952"/>
      <c r="YB48" s="952"/>
      <c r="YC48" s="952"/>
      <c r="YD48" s="952"/>
      <c r="YE48" s="952"/>
      <c r="YF48" s="952"/>
      <c r="YG48" s="952"/>
      <c r="YH48" s="952"/>
      <c r="YI48" s="952"/>
      <c r="YJ48" s="952"/>
      <c r="YK48" s="952"/>
      <c r="YL48" s="952"/>
      <c r="YM48" s="952"/>
      <c r="YN48" s="952"/>
      <c r="YO48" s="952"/>
      <c r="YP48" s="952"/>
      <c r="YQ48" s="952"/>
      <c r="YR48" s="952"/>
      <c r="YS48" s="952"/>
      <c r="YT48" s="952"/>
      <c r="YU48" s="952"/>
      <c r="YV48" s="952"/>
      <c r="YW48" s="952"/>
      <c r="YX48" s="952"/>
      <c r="YY48" s="952"/>
      <c r="YZ48" s="952"/>
      <c r="ZA48" s="952"/>
      <c r="ZB48" s="952"/>
      <c r="ZC48" s="952"/>
      <c r="ZD48" s="952"/>
      <c r="ZE48" s="952"/>
      <c r="ZF48" s="952"/>
      <c r="ZG48" s="952"/>
      <c r="ZH48" s="952"/>
      <c r="ZI48" s="952"/>
      <c r="ZJ48" s="952"/>
      <c r="ZK48" s="952"/>
      <c r="ZL48" s="952"/>
      <c r="ZM48" s="952"/>
      <c r="ZN48" s="952"/>
      <c r="ZO48" s="952"/>
      <c r="ZP48" s="952"/>
      <c r="ZQ48" s="952"/>
      <c r="ZR48" s="952"/>
      <c r="ZS48" s="952"/>
      <c r="ZT48" s="952"/>
      <c r="ZU48" s="952"/>
      <c r="ZV48" s="952"/>
      <c r="ZW48" s="952"/>
      <c r="ZX48" s="952"/>
      <c r="ZY48" s="952"/>
      <c r="ZZ48" s="952"/>
      <c r="AAA48" s="952"/>
      <c r="AAB48" s="952"/>
      <c r="AAC48" s="952"/>
      <c r="AAD48" s="952"/>
      <c r="AAE48" s="952"/>
      <c r="AAF48" s="952"/>
      <c r="AAG48" s="952"/>
      <c r="AAH48" s="952"/>
      <c r="AAI48" s="952"/>
      <c r="AAJ48" s="952"/>
      <c r="AAK48" s="952"/>
      <c r="AAL48" s="952"/>
      <c r="AAM48" s="952"/>
      <c r="AAN48" s="952"/>
      <c r="AAO48" s="952"/>
      <c r="AAP48" s="952"/>
      <c r="AAQ48" s="952"/>
      <c r="AAR48" s="952"/>
      <c r="AAS48" s="952"/>
      <c r="AAT48" s="952"/>
      <c r="AAU48" s="952"/>
      <c r="AAV48" s="952"/>
      <c r="AAW48" s="952"/>
      <c r="AAX48" s="952"/>
      <c r="AAY48" s="952"/>
      <c r="AAZ48" s="952"/>
      <c r="ABA48" s="952"/>
      <c r="ABB48" s="952"/>
      <c r="ABC48" s="952"/>
      <c r="ABD48" s="952"/>
      <c r="ABE48" s="952"/>
      <c r="ABF48" s="952"/>
      <c r="ABG48" s="952"/>
      <c r="ABH48" s="952"/>
      <c r="ABI48" s="952"/>
      <c r="ABJ48" s="952"/>
      <c r="ABK48" s="952"/>
      <c r="ABL48" s="952"/>
      <c r="ABM48" s="952"/>
      <c r="ABN48" s="952"/>
      <c r="ABO48" s="952"/>
      <c r="ABP48" s="952"/>
      <c r="ABQ48" s="952"/>
      <c r="ABR48" s="952"/>
      <c r="ABS48" s="952"/>
      <c r="ABT48" s="952"/>
      <c r="ABU48" s="952"/>
      <c r="ABV48" s="952"/>
      <c r="ABW48" s="952"/>
      <c r="ABX48" s="952"/>
      <c r="ABY48" s="952"/>
      <c r="ABZ48" s="952"/>
      <c r="ACA48" s="952"/>
      <c r="ACB48" s="952"/>
      <c r="ACC48" s="952"/>
      <c r="ACD48" s="952"/>
      <c r="ACE48" s="952"/>
      <c r="ACF48" s="952"/>
      <c r="ACG48" s="952"/>
      <c r="ACH48" s="952"/>
      <c r="ACI48" s="952"/>
      <c r="ACJ48" s="952"/>
      <c r="ACK48" s="952"/>
      <c r="ACL48" s="952"/>
      <c r="ACM48" s="952"/>
      <c r="ACN48" s="952"/>
      <c r="ACO48" s="952"/>
      <c r="ACP48" s="952"/>
      <c r="ACQ48" s="952"/>
      <c r="ACR48" s="952"/>
      <c r="ACS48" s="952"/>
      <c r="ACT48" s="952"/>
      <c r="ACU48" s="952"/>
      <c r="ACV48" s="952"/>
      <c r="ACW48" s="952"/>
      <c r="ACX48" s="952"/>
      <c r="ACY48" s="952"/>
      <c r="ACZ48" s="952"/>
      <c r="ADA48" s="952"/>
      <c r="ADB48" s="952"/>
      <c r="ADC48" s="952"/>
      <c r="ADD48" s="952"/>
      <c r="ADE48" s="952"/>
      <c r="ADF48" s="952"/>
      <c r="ADG48" s="952"/>
      <c r="ADH48" s="952"/>
      <c r="ADI48" s="952"/>
      <c r="ADJ48" s="952"/>
      <c r="ADK48" s="952"/>
      <c r="ADL48" s="952"/>
      <c r="ADM48" s="952"/>
      <c r="ADN48" s="952"/>
      <c r="ADO48" s="952"/>
      <c r="ADP48" s="952"/>
      <c r="ADQ48" s="952"/>
      <c r="ADR48" s="952"/>
      <c r="ADS48" s="952"/>
      <c r="ADT48" s="952"/>
      <c r="ADU48" s="952"/>
      <c r="ADV48" s="952"/>
      <c r="ADW48" s="952"/>
      <c r="ADX48" s="952"/>
      <c r="ADY48" s="952"/>
      <c r="ADZ48" s="952"/>
      <c r="AEA48" s="952"/>
      <c r="AEB48" s="952"/>
      <c r="AEC48" s="952"/>
      <c r="AED48" s="952"/>
      <c r="AEE48" s="952"/>
      <c r="AEF48" s="952"/>
      <c r="AEG48" s="952"/>
      <c r="AEH48" s="952"/>
      <c r="AEI48" s="952"/>
      <c r="AEJ48" s="952"/>
      <c r="AEK48" s="952"/>
      <c r="AEL48" s="952"/>
      <c r="AEM48" s="952"/>
      <c r="AEN48" s="952"/>
      <c r="AEO48" s="952"/>
      <c r="AEP48" s="952"/>
      <c r="AEQ48" s="952"/>
      <c r="AER48" s="952"/>
      <c r="AES48" s="952"/>
      <c r="AET48" s="952"/>
      <c r="AEU48" s="952"/>
      <c r="AEV48" s="952"/>
      <c r="AEW48" s="952"/>
      <c r="AEX48" s="952"/>
      <c r="AEY48" s="952"/>
      <c r="AEZ48" s="952"/>
      <c r="AFA48" s="952"/>
      <c r="AFB48" s="952"/>
      <c r="AFC48" s="952"/>
      <c r="AFD48" s="952"/>
      <c r="AFE48" s="952"/>
      <c r="AFF48" s="952"/>
      <c r="AFG48" s="952"/>
      <c r="AFH48" s="952"/>
      <c r="AFI48" s="952"/>
      <c r="AFJ48" s="952"/>
      <c r="AFK48" s="952"/>
      <c r="AFL48" s="952"/>
      <c r="AFM48" s="952"/>
      <c r="AFN48" s="952"/>
      <c r="AFO48" s="952"/>
      <c r="AFP48" s="952"/>
      <c r="AFQ48" s="952"/>
      <c r="AFR48" s="952"/>
      <c r="AFS48" s="952"/>
      <c r="AFT48" s="952"/>
      <c r="AFU48" s="952"/>
      <c r="AFV48" s="952"/>
      <c r="AFW48" s="952"/>
      <c r="AFX48" s="952"/>
      <c r="AFY48" s="952"/>
      <c r="AFZ48" s="952"/>
      <c r="AGA48" s="952"/>
      <c r="AGB48" s="952"/>
      <c r="AGC48" s="952"/>
      <c r="AGD48" s="952"/>
      <c r="AGE48" s="952"/>
      <c r="AGF48" s="952"/>
      <c r="AGG48" s="952"/>
      <c r="AGH48" s="952"/>
      <c r="AGI48" s="952"/>
      <c r="AGJ48" s="952"/>
      <c r="AGK48" s="952"/>
      <c r="AGL48" s="952"/>
      <c r="AGM48" s="952"/>
      <c r="AGN48" s="952"/>
      <c r="AGO48" s="952"/>
      <c r="AGP48" s="952"/>
      <c r="AGQ48" s="952"/>
      <c r="AGR48" s="952"/>
      <c r="AGS48" s="952"/>
      <c r="AGT48" s="952"/>
      <c r="AGU48" s="952"/>
      <c r="AGV48" s="952"/>
      <c r="AGW48" s="952"/>
      <c r="AGX48" s="952"/>
      <c r="AGY48" s="952"/>
      <c r="AGZ48" s="952"/>
      <c r="AHA48" s="952"/>
      <c r="AHB48" s="952"/>
      <c r="AHC48" s="952"/>
      <c r="AHD48" s="952"/>
      <c r="AHE48" s="952"/>
      <c r="AHF48" s="952"/>
      <c r="AHG48" s="952"/>
      <c r="AHH48" s="952"/>
      <c r="AHI48" s="952"/>
      <c r="AHJ48" s="952"/>
      <c r="AHK48" s="952"/>
      <c r="AHL48" s="952"/>
      <c r="AHM48" s="952"/>
      <c r="AHN48" s="952"/>
      <c r="AHO48" s="952"/>
      <c r="AHP48" s="952"/>
      <c r="AHQ48" s="952"/>
      <c r="AHR48" s="952"/>
      <c r="AHS48" s="952"/>
      <c r="AHT48" s="952"/>
      <c r="AHU48" s="952"/>
      <c r="AHV48" s="952"/>
      <c r="AHW48" s="952"/>
      <c r="AHX48" s="952"/>
      <c r="AHY48" s="952"/>
      <c r="AHZ48" s="952"/>
      <c r="AIA48" s="952"/>
      <c r="AIB48" s="952"/>
      <c r="AIC48" s="952"/>
      <c r="AID48" s="952"/>
      <c r="AIE48" s="952"/>
      <c r="AIF48" s="952"/>
      <c r="AIG48" s="952"/>
      <c r="AIH48" s="952"/>
      <c r="AII48" s="952"/>
      <c r="AIJ48" s="952"/>
      <c r="AIK48" s="952"/>
      <c r="AIL48" s="952"/>
      <c r="AIM48" s="952"/>
      <c r="AIN48" s="952"/>
      <c r="AIO48" s="952"/>
      <c r="AIP48" s="952"/>
      <c r="AIQ48" s="952"/>
      <c r="AIR48" s="952"/>
      <c r="AIS48" s="952"/>
      <c r="AIT48" s="952"/>
      <c r="AIU48" s="952"/>
      <c r="AIV48" s="952"/>
      <c r="AIW48" s="952"/>
      <c r="AIX48" s="952"/>
      <c r="AIY48" s="952"/>
      <c r="AIZ48" s="952"/>
      <c r="AJA48" s="952"/>
      <c r="AJB48" s="952"/>
      <c r="AJC48" s="952"/>
      <c r="AJD48" s="952"/>
      <c r="AJE48" s="952"/>
      <c r="AJF48" s="952"/>
      <c r="AJG48" s="952"/>
      <c r="AJH48" s="952"/>
      <c r="AJI48" s="952"/>
      <c r="AJJ48" s="952"/>
      <c r="AJK48" s="952"/>
      <c r="AJL48" s="952"/>
      <c r="AJM48" s="952"/>
      <c r="AJN48" s="952"/>
      <c r="AJO48" s="952"/>
      <c r="AJP48" s="952"/>
      <c r="AJQ48" s="952"/>
      <c r="AJR48" s="952"/>
      <c r="AJS48" s="952"/>
      <c r="AJT48" s="952"/>
      <c r="AJU48" s="952"/>
      <c r="AJV48" s="952"/>
      <c r="AJW48" s="952"/>
      <c r="AJX48" s="952"/>
      <c r="AJY48" s="952"/>
      <c r="AJZ48" s="952"/>
      <c r="AKA48" s="952"/>
      <c r="AKB48" s="952"/>
      <c r="AKC48" s="952"/>
      <c r="AKD48" s="952"/>
      <c r="AKE48" s="952"/>
      <c r="AKF48" s="952"/>
      <c r="AKG48" s="952"/>
      <c r="AKH48" s="952"/>
      <c r="AKI48" s="952"/>
      <c r="AKJ48" s="952"/>
      <c r="AKK48" s="952"/>
      <c r="AKL48" s="952"/>
      <c r="AKM48" s="952"/>
      <c r="AKN48" s="952"/>
      <c r="AKO48" s="952"/>
      <c r="AKP48" s="952"/>
      <c r="AKQ48" s="952"/>
      <c r="AKR48" s="952"/>
      <c r="AKS48" s="952"/>
      <c r="AKT48" s="952"/>
      <c r="AKU48" s="952"/>
      <c r="AKV48" s="952"/>
      <c r="AKW48" s="952"/>
      <c r="AKX48" s="952"/>
      <c r="AKY48" s="952"/>
      <c r="AKZ48" s="952"/>
      <c r="ALA48" s="952"/>
      <c r="ALB48" s="952"/>
      <c r="ALC48" s="952"/>
      <c r="ALD48" s="952"/>
      <c r="ALE48" s="952"/>
      <c r="ALF48" s="952"/>
      <c r="ALG48" s="952"/>
      <c r="ALH48" s="952"/>
      <c r="ALI48" s="952"/>
      <c r="ALJ48" s="952"/>
      <c r="ALK48" s="952"/>
      <c r="ALL48" s="952"/>
      <c r="ALM48" s="952"/>
      <c r="ALN48" s="952"/>
      <c r="ALO48" s="952"/>
      <c r="ALP48" s="952"/>
      <c r="ALQ48" s="952"/>
      <c r="ALR48" s="952"/>
      <c r="ALS48" s="952"/>
      <c r="ALT48" s="952"/>
      <c r="ALU48" s="952"/>
      <c r="ALV48" s="952"/>
      <c r="ALW48" s="952"/>
      <c r="ALX48" s="952"/>
      <c r="ALY48" s="952"/>
      <c r="ALZ48" s="952"/>
      <c r="AMA48" s="952"/>
      <c r="AMB48" s="952"/>
      <c r="AMC48" s="952"/>
      <c r="AMD48" s="952"/>
      <c r="AME48" s="952"/>
      <c r="AMF48" s="952"/>
      <c r="AMG48" s="952"/>
      <c r="AMH48" s="952"/>
      <c r="AMI48" s="952"/>
      <c r="AMJ48" s="952"/>
      <c r="AMK48" s="952"/>
      <c r="AML48" s="952"/>
      <c r="AMM48" s="952"/>
      <c r="AMN48" s="952"/>
      <c r="AMO48" s="952"/>
      <c r="AMP48" s="952"/>
      <c r="AMQ48" s="952"/>
      <c r="AMR48" s="952"/>
      <c r="AMS48" s="952"/>
      <c r="AMT48" s="952"/>
      <c r="AMU48" s="952"/>
      <c r="AMV48" s="952"/>
      <c r="AMW48" s="952"/>
      <c r="AMX48" s="952"/>
      <c r="AMY48" s="952"/>
      <c r="AMZ48" s="952"/>
      <c r="ANA48" s="952"/>
      <c r="ANB48" s="952"/>
      <c r="ANC48" s="952"/>
      <c r="AND48" s="952"/>
      <c r="ANE48" s="952"/>
      <c r="ANF48" s="952"/>
      <c r="ANG48" s="952"/>
      <c r="ANH48" s="952"/>
      <c r="ANI48" s="952"/>
      <c r="ANJ48" s="952"/>
      <c r="ANK48" s="952"/>
      <c r="ANL48" s="952"/>
      <c r="ANM48" s="952"/>
      <c r="ANN48" s="952"/>
      <c r="ANO48" s="952"/>
      <c r="ANP48" s="952"/>
      <c r="ANQ48" s="952"/>
      <c r="ANR48" s="952"/>
      <c r="ANS48" s="952"/>
      <c r="ANT48" s="952"/>
      <c r="ANU48" s="952"/>
      <c r="ANV48" s="952"/>
      <c r="ANW48" s="952"/>
      <c r="ANX48" s="952"/>
      <c r="ANY48" s="952"/>
      <c r="ANZ48" s="952"/>
      <c r="AOA48" s="952"/>
      <c r="AOB48" s="952"/>
      <c r="AOC48" s="952"/>
      <c r="AOD48" s="952"/>
      <c r="AOE48" s="952"/>
      <c r="AOF48" s="952"/>
      <c r="AOG48" s="952"/>
      <c r="AOH48" s="952"/>
      <c r="AOI48" s="952"/>
      <c r="AOJ48" s="952"/>
      <c r="AOK48" s="952"/>
      <c r="AOL48" s="952"/>
      <c r="AOM48" s="952"/>
      <c r="AON48" s="952"/>
      <c r="AOO48" s="952"/>
      <c r="AOP48" s="952"/>
      <c r="AOQ48" s="952"/>
      <c r="AOR48" s="952"/>
      <c r="AOS48" s="952"/>
      <c r="AOT48" s="952"/>
      <c r="AOU48" s="952"/>
      <c r="AOV48" s="952"/>
      <c r="AOW48" s="952"/>
      <c r="AOX48" s="952"/>
      <c r="AOY48" s="952"/>
      <c r="AOZ48" s="952"/>
      <c r="APA48" s="952"/>
      <c r="APB48" s="952"/>
      <c r="APC48" s="952"/>
      <c r="APD48" s="952"/>
      <c r="APE48" s="952"/>
      <c r="APF48" s="952"/>
      <c r="APG48" s="952"/>
      <c r="APH48" s="952"/>
      <c r="API48" s="952"/>
      <c r="APJ48" s="952"/>
      <c r="APK48" s="952"/>
      <c r="APL48" s="952"/>
      <c r="APM48" s="952"/>
      <c r="APN48" s="952"/>
      <c r="APO48" s="952"/>
      <c r="APP48" s="952"/>
      <c r="APQ48" s="952"/>
      <c r="APR48" s="952"/>
      <c r="APS48" s="952"/>
      <c r="APT48" s="952"/>
      <c r="APU48" s="952"/>
      <c r="APV48" s="952"/>
      <c r="APW48" s="952"/>
      <c r="APX48" s="952"/>
      <c r="APY48" s="952"/>
      <c r="APZ48" s="952"/>
      <c r="AQA48" s="952"/>
      <c r="AQB48" s="952"/>
      <c r="AQC48" s="952"/>
      <c r="AQD48" s="952"/>
      <c r="AQE48" s="952"/>
      <c r="AQF48" s="952"/>
      <c r="AQG48" s="952"/>
      <c r="AQH48" s="952"/>
      <c r="AQI48" s="952"/>
      <c r="AQJ48" s="952"/>
      <c r="AQK48" s="952"/>
      <c r="AQL48" s="952"/>
      <c r="AQM48" s="952"/>
      <c r="AQN48" s="952"/>
      <c r="AQO48" s="952"/>
      <c r="AQP48" s="952"/>
      <c r="AQQ48" s="952"/>
      <c r="AQR48" s="952"/>
      <c r="AQS48" s="952"/>
      <c r="AQT48" s="952"/>
      <c r="AQU48" s="952"/>
      <c r="AQV48" s="952"/>
      <c r="AQW48" s="952"/>
      <c r="AQX48" s="952"/>
      <c r="AQY48" s="952"/>
      <c r="AQZ48" s="952"/>
      <c r="ARA48" s="952"/>
      <c r="ARB48" s="952"/>
      <c r="ARC48" s="952"/>
      <c r="ARD48" s="952"/>
      <c r="ARE48" s="952"/>
      <c r="ARF48" s="952"/>
      <c r="ARG48" s="952"/>
      <c r="ARH48" s="952"/>
      <c r="ARI48" s="952"/>
      <c r="ARJ48" s="952"/>
      <c r="ARK48" s="952"/>
      <c r="ARL48" s="952"/>
      <c r="ARM48" s="952"/>
      <c r="ARN48" s="952"/>
      <c r="ARO48" s="952"/>
      <c r="ARP48" s="952"/>
      <c r="ARQ48" s="952"/>
      <c r="ARR48" s="952"/>
      <c r="ARS48" s="952"/>
      <c r="ART48" s="952"/>
      <c r="ARU48" s="952"/>
      <c r="ARV48" s="952"/>
      <c r="ARW48" s="952"/>
      <c r="ARX48" s="952"/>
      <c r="ARY48" s="952"/>
      <c r="ARZ48" s="952"/>
      <c r="ASA48" s="952"/>
      <c r="ASB48" s="952"/>
      <c r="ASC48" s="952"/>
      <c r="ASD48" s="952"/>
      <c r="ASE48" s="952"/>
      <c r="ASF48" s="952"/>
      <c r="ASG48" s="952"/>
      <c r="ASH48" s="952"/>
      <c r="ASI48" s="952"/>
      <c r="ASJ48" s="952"/>
      <c r="ASK48" s="952"/>
      <c r="ASL48" s="952"/>
      <c r="ASM48" s="952"/>
      <c r="ASN48" s="952"/>
      <c r="ASO48" s="952"/>
      <c r="ASP48" s="952"/>
      <c r="ASQ48" s="952"/>
      <c r="ASR48" s="952"/>
      <c r="ASS48" s="952"/>
      <c r="AST48" s="952"/>
      <c r="ASU48" s="952"/>
      <c r="ASV48" s="952"/>
      <c r="ASW48" s="952"/>
      <c r="ASX48" s="952"/>
      <c r="ASY48" s="952"/>
      <c r="ASZ48" s="952"/>
      <c r="ATA48" s="952"/>
      <c r="ATB48" s="952"/>
      <c r="ATC48" s="952"/>
      <c r="ATD48" s="952"/>
      <c r="ATE48" s="952"/>
      <c r="ATF48" s="952"/>
      <c r="ATG48" s="952"/>
      <c r="ATH48" s="952"/>
      <c r="ATI48" s="952"/>
      <c r="ATJ48" s="952"/>
      <c r="ATK48" s="952"/>
      <c r="ATL48" s="952"/>
      <c r="ATM48" s="952"/>
      <c r="ATN48" s="952"/>
      <c r="ATO48" s="952"/>
      <c r="ATP48" s="952"/>
      <c r="ATQ48" s="952"/>
      <c r="ATR48" s="952"/>
      <c r="ATS48" s="952"/>
      <c r="ATT48" s="952"/>
      <c r="ATU48" s="952"/>
      <c r="ATV48" s="952"/>
      <c r="ATW48" s="952"/>
      <c r="ATX48" s="952"/>
      <c r="ATY48" s="952"/>
      <c r="ATZ48" s="952"/>
      <c r="AUA48" s="952"/>
      <c r="AUB48" s="952"/>
      <c r="AUC48" s="952"/>
      <c r="AUD48" s="952"/>
      <c r="AUE48" s="952"/>
      <c r="AUF48" s="952"/>
      <c r="AUG48" s="952"/>
      <c r="AUH48" s="952"/>
      <c r="AUI48" s="952"/>
      <c r="AUJ48" s="952"/>
      <c r="AUK48" s="952"/>
      <c r="AUL48" s="952"/>
      <c r="AUM48" s="952"/>
      <c r="AUN48" s="952"/>
      <c r="AUO48" s="952"/>
      <c r="AUP48" s="952"/>
      <c r="AUQ48" s="952"/>
      <c r="AUR48" s="952"/>
      <c r="AUS48" s="952"/>
      <c r="AUT48" s="952"/>
      <c r="AUU48" s="952"/>
      <c r="AUV48" s="952"/>
      <c r="AUW48" s="952"/>
      <c r="AUX48" s="952"/>
      <c r="AUY48" s="952"/>
      <c r="AUZ48" s="952"/>
      <c r="AVA48" s="952"/>
      <c r="AVB48" s="952"/>
      <c r="AVC48" s="952"/>
      <c r="AVD48" s="952"/>
      <c r="AVE48" s="952"/>
      <c r="AVF48" s="952"/>
      <c r="AVG48" s="952"/>
      <c r="AVH48" s="952"/>
      <c r="AVI48" s="952"/>
      <c r="AVJ48" s="952"/>
      <c r="AVK48" s="952"/>
      <c r="AVL48" s="952"/>
      <c r="AVM48" s="952"/>
      <c r="AVN48" s="952"/>
      <c r="AVO48" s="952"/>
      <c r="AVP48" s="952"/>
      <c r="AVQ48" s="952"/>
      <c r="AVR48" s="952"/>
      <c r="AVS48" s="952"/>
      <c r="AVT48" s="952"/>
      <c r="AVU48" s="952"/>
      <c r="AVV48" s="952"/>
      <c r="AVW48" s="952"/>
      <c r="AVX48" s="952"/>
      <c r="AVY48" s="952"/>
      <c r="AVZ48" s="952"/>
      <c r="AWA48" s="952"/>
      <c r="AWB48" s="952"/>
      <c r="AWC48" s="952"/>
      <c r="AWD48" s="952"/>
      <c r="AWE48" s="952"/>
      <c r="AWF48" s="952"/>
      <c r="AWG48" s="952"/>
      <c r="AWH48" s="952"/>
      <c r="AWI48" s="952"/>
      <c r="AWJ48" s="952"/>
      <c r="AWK48" s="952"/>
      <c r="AWL48" s="952"/>
      <c r="AWM48" s="952"/>
      <c r="AWN48" s="952"/>
      <c r="AWO48" s="952"/>
      <c r="AWP48" s="952"/>
      <c r="AWQ48" s="952"/>
      <c r="AWR48" s="952"/>
      <c r="AWS48" s="952"/>
      <c r="AWT48" s="952"/>
      <c r="AWU48" s="952"/>
      <c r="AWV48" s="952"/>
      <c r="AWW48" s="952"/>
      <c r="AWX48" s="952"/>
      <c r="AWY48" s="952"/>
      <c r="AWZ48" s="952"/>
      <c r="AXA48" s="952"/>
      <c r="AXB48" s="952"/>
      <c r="AXC48" s="952"/>
      <c r="AXD48" s="952"/>
      <c r="AXE48" s="952"/>
      <c r="AXF48" s="952"/>
      <c r="AXG48" s="952"/>
      <c r="AXH48" s="952"/>
      <c r="AXI48" s="952"/>
      <c r="AXJ48" s="952"/>
      <c r="AXK48" s="952"/>
      <c r="AXL48" s="952"/>
      <c r="AXM48" s="952"/>
      <c r="AXN48" s="952"/>
      <c r="AXO48" s="952"/>
      <c r="AXP48" s="952"/>
      <c r="AXQ48" s="952"/>
      <c r="AXR48" s="952"/>
      <c r="AXS48" s="952"/>
      <c r="AXT48" s="952"/>
      <c r="AXU48" s="952"/>
      <c r="AXV48" s="952"/>
      <c r="AXW48" s="952"/>
      <c r="AXX48" s="952"/>
      <c r="AXY48" s="952"/>
      <c r="AXZ48" s="952"/>
      <c r="AYA48" s="952"/>
      <c r="AYB48" s="952"/>
      <c r="AYC48" s="952"/>
      <c r="AYD48" s="952"/>
      <c r="AYE48" s="952"/>
      <c r="AYF48" s="952"/>
      <c r="AYG48" s="952"/>
      <c r="AYH48" s="952"/>
      <c r="AYI48" s="952"/>
      <c r="AYJ48" s="952"/>
      <c r="AYK48" s="952"/>
      <c r="AYL48" s="952"/>
      <c r="AYM48" s="952"/>
      <c r="AYN48" s="952"/>
      <c r="AYO48" s="952"/>
      <c r="AYP48" s="952"/>
      <c r="AYQ48" s="952"/>
      <c r="AYR48" s="952"/>
      <c r="AYS48" s="952"/>
      <c r="AYT48" s="952"/>
      <c r="AYU48" s="952"/>
      <c r="AYV48" s="952"/>
      <c r="AYW48" s="952"/>
      <c r="AYX48" s="952"/>
      <c r="AYY48" s="952"/>
      <c r="AYZ48" s="952"/>
      <c r="AZA48" s="952"/>
      <c r="AZB48" s="952"/>
      <c r="AZC48" s="952"/>
      <c r="AZD48" s="952"/>
      <c r="AZE48" s="952"/>
      <c r="AZF48" s="952"/>
      <c r="AZG48" s="952"/>
      <c r="AZH48" s="952"/>
      <c r="AZI48" s="952"/>
      <c r="AZJ48" s="952"/>
      <c r="AZK48" s="952"/>
      <c r="AZL48" s="952"/>
      <c r="AZM48" s="952"/>
      <c r="AZN48" s="952"/>
      <c r="AZO48" s="952"/>
      <c r="AZP48" s="952"/>
      <c r="AZQ48" s="952"/>
      <c r="AZR48" s="952"/>
      <c r="AZS48" s="952"/>
      <c r="AZT48" s="952"/>
      <c r="AZU48" s="952"/>
      <c r="AZV48" s="952"/>
      <c r="AZW48" s="952"/>
      <c r="AZX48" s="952"/>
      <c r="AZY48" s="952"/>
      <c r="AZZ48" s="952"/>
      <c r="BAA48" s="952"/>
      <c r="BAB48" s="952"/>
      <c r="BAC48" s="952"/>
      <c r="BAD48" s="952"/>
      <c r="BAE48" s="952"/>
      <c r="BAF48" s="952"/>
      <c r="BAG48" s="952"/>
      <c r="BAH48" s="952"/>
      <c r="BAI48" s="952"/>
      <c r="BAJ48" s="952"/>
      <c r="BAK48" s="952"/>
      <c r="BAL48" s="952"/>
      <c r="BAM48" s="952"/>
      <c r="BAN48" s="952"/>
      <c r="BAO48" s="952"/>
      <c r="BAP48" s="952"/>
      <c r="BAQ48" s="952"/>
      <c r="BAR48" s="952"/>
      <c r="BAS48" s="952"/>
      <c r="BAT48" s="952"/>
      <c r="BAU48" s="952"/>
      <c r="BAV48" s="952"/>
      <c r="BAW48" s="952"/>
      <c r="BAX48" s="952"/>
      <c r="BAY48" s="952"/>
      <c r="BAZ48" s="952"/>
      <c r="BBA48" s="952"/>
      <c r="BBB48" s="952"/>
      <c r="BBC48" s="952"/>
      <c r="BBD48" s="952"/>
      <c r="BBE48" s="952"/>
      <c r="BBF48" s="952"/>
      <c r="BBG48" s="952"/>
      <c r="BBH48" s="952"/>
      <c r="BBI48" s="952"/>
      <c r="BBJ48" s="952"/>
      <c r="BBK48" s="952"/>
      <c r="BBL48" s="952"/>
      <c r="BBM48" s="952"/>
      <c r="BBN48" s="952"/>
      <c r="BBO48" s="952"/>
      <c r="BBP48" s="952"/>
      <c r="BBQ48" s="952"/>
      <c r="BBR48" s="952"/>
      <c r="BBS48" s="952"/>
      <c r="BBT48" s="952"/>
      <c r="BBU48" s="952"/>
      <c r="BBV48" s="952"/>
      <c r="BBW48" s="952"/>
      <c r="BBX48" s="952"/>
      <c r="BBY48" s="952"/>
      <c r="BBZ48" s="952"/>
      <c r="BCA48" s="952"/>
      <c r="BCB48" s="952"/>
      <c r="BCC48" s="952"/>
      <c r="BCD48" s="952"/>
      <c r="BCE48" s="952"/>
      <c r="BCF48" s="952"/>
      <c r="BCG48" s="952"/>
      <c r="BCH48" s="952"/>
      <c r="BCI48" s="952"/>
      <c r="BCJ48" s="952"/>
      <c r="BCK48" s="952"/>
      <c r="BCL48" s="952"/>
      <c r="BCM48" s="952"/>
      <c r="BCN48" s="952"/>
      <c r="BCO48" s="952"/>
      <c r="BCP48" s="952"/>
      <c r="BCQ48" s="952"/>
      <c r="BCR48" s="952"/>
      <c r="BCS48" s="952"/>
      <c r="BCT48" s="952"/>
      <c r="BCU48" s="952"/>
      <c r="BCV48" s="952"/>
      <c r="BCW48" s="952"/>
      <c r="BCX48" s="952"/>
      <c r="BCY48" s="952"/>
      <c r="BCZ48" s="952"/>
      <c r="BDA48" s="952"/>
      <c r="BDB48" s="952"/>
      <c r="BDC48" s="952"/>
      <c r="BDD48" s="952"/>
      <c r="BDE48" s="952"/>
      <c r="BDF48" s="952"/>
      <c r="BDG48" s="952"/>
      <c r="BDH48" s="952"/>
      <c r="BDI48" s="952"/>
      <c r="BDJ48" s="952"/>
      <c r="BDK48" s="952"/>
      <c r="BDL48" s="952"/>
      <c r="BDM48" s="952"/>
      <c r="BDN48" s="952"/>
      <c r="BDO48" s="952"/>
      <c r="BDP48" s="952"/>
      <c r="BDQ48" s="952"/>
      <c r="BDR48" s="952"/>
      <c r="BDS48" s="952"/>
      <c r="BDT48" s="952"/>
      <c r="BDU48" s="952"/>
      <c r="BDV48" s="952"/>
      <c r="BDW48" s="952"/>
      <c r="BDX48" s="952"/>
      <c r="BDY48" s="952"/>
      <c r="BDZ48" s="952"/>
      <c r="BEA48" s="952"/>
      <c r="BEB48" s="952"/>
      <c r="BEC48" s="952"/>
      <c r="BED48" s="952"/>
      <c r="BEE48" s="952"/>
      <c r="BEF48" s="952"/>
      <c r="BEG48" s="952"/>
      <c r="BEH48" s="952"/>
      <c r="BEI48" s="952"/>
      <c r="BEJ48" s="952"/>
      <c r="BEK48" s="952"/>
      <c r="BEL48" s="952"/>
      <c r="BEM48" s="952"/>
      <c r="BEN48" s="952"/>
      <c r="BEO48" s="952"/>
      <c r="BEP48" s="952"/>
      <c r="BEQ48" s="952"/>
      <c r="BER48" s="952"/>
      <c r="BES48" s="952"/>
      <c r="BET48" s="952"/>
      <c r="BEU48" s="952"/>
      <c r="BEV48" s="952"/>
      <c r="BEW48" s="952"/>
      <c r="BEX48" s="952"/>
      <c r="BEY48" s="952"/>
      <c r="BEZ48" s="952"/>
      <c r="BFA48" s="952"/>
      <c r="BFB48" s="952"/>
      <c r="BFC48" s="952"/>
      <c r="BFD48" s="952"/>
      <c r="BFE48" s="952"/>
      <c r="BFF48" s="952"/>
      <c r="BFG48" s="952"/>
      <c r="BFH48" s="952"/>
      <c r="BFI48" s="952"/>
      <c r="BFJ48" s="952"/>
      <c r="BFK48" s="952"/>
      <c r="BFL48" s="952"/>
      <c r="BFM48" s="952"/>
      <c r="BFN48" s="952"/>
      <c r="BFO48" s="952"/>
      <c r="BFP48" s="952"/>
      <c r="BFQ48" s="952"/>
      <c r="BFR48" s="952"/>
      <c r="BFS48" s="952"/>
      <c r="BFT48" s="952"/>
      <c r="BFU48" s="952"/>
      <c r="BFV48" s="952"/>
      <c r="BFW48" s="952"/>
      <c r="BFX48" s="952"/>
      <c r="BFY48" s="952"/>
      <c r="BFZ48" s="952"/>
      <c r="BGA48" s="952"/>
      <c r="BGB48" s="952"/>
      <c r="BGC48" s="952"/>
      <c r="BGD48" s="952"/>
      <c r="BGE48" s="952"/>
      <c r="BGF48" s="952"/>
      <c r="BGG48" s="952"/>
      <c r="BGH48" s="952"/>
      <c r="BGI48" s="952"/>
      <c r="BGJ48" s="952"/>
      <c r="BGK48" s="952"/>
      <c r="BGL48" s="952"/>
      <c r="BGM48" s="952"/>
      <c r="BGN48" s="952"/>
      <c r="BGO48" s="952"/>
      <c r="BGP48" s="952"/>
      <c r="BGQ48" s="952"/>
      <c r="BGR48" s="952"/>
      <c r="BGS48" s="952"/>
      <c r="BGT48" s="952"/>
      <c r="BGU48" s="952"/>
      <c r="BGV48" s="952"/>
      <c r="BGW48" s="952"/>
      <c r="BGX48" s="952"/>
      <c r="BGY48" s="952"/>
      <c r="BGZ48" s="952"/>
      <c r="BHA48" s="952"/>
      <c r="BHB48" s="952"/>
      <c r="BHC48" s="952"/>
      <c r="BHD48" s="952"/>
      <c r="BHE48" s="952"/>
      <c r="BHF48" s="952"/>
      <c r="BHG48" s="952"/>
      <c r="BHH48" s="952"/>
      <c r="BHI48" s="952"/>
      <c r="BHJ48" s="952"/>
      <c r="BHK48" s="952"/>
      <c r="BHL48" s="952"/>
      <c r="BHM48" s="952"/>
      <c r="BHN48" s="952"/>
      <c r="BHO48" s="952"/>
      <c r="BHP48" s="952"/>
      <c r="BHQ48" s="952"/>
      <c r="BHR48" s="952"/>
      <c r="BHS48" s="952"/>
      <c r="BHT48" s="952"/>
      <c r="BHU48" s="952"/>
      <c r="BHV48" s="952"/>
      <c r="BHW48" s="952"/>
      <c r="BHX48" s="952"/>
      <c r="BHY48" s="952"/>
      <c r="BHZ48" s="952"/>
      <c r="BIA48" s="952"/>
      <c r="BIB48" s="952"/>
      <c r="BIC48" s="952"/>
      <c r="BID48" s="952"/>
      <c r="BIE48" s="952"/>
      <c r="BIF48" s="952"/>
      <c r="BIG48" s="952"/>
      <c r="BIH48" s="952"/>
      <c r="BII48" s="952"/>
      <c r="BIJ48" s="952"/>
      <c r="BIK48" s="952"/>
      <c r="BIL48" s="952"/>
      <c r="BIM48" s="952"/>
      <c r="BIN48" s="952"/>
      <c r="BIO48" s="952"/>
      <c r="BIP48" s="952"/>
      <c r="BIQ48" s="952"/>
      <c r="BIR48" s="952"/>
      <c r="BIS48" s="952"/>
      <c r="BIT48" s="952"/>
      <c r="BIU48" s="952"/>
      <c r="BIV48" s="952"/>
      <c r="BIW48" s="952"/>
      <c r="BIX48" s="952"/>
      <c r="BIY48" s="952"/>
      <c r="BIZ48" s="952"/>
      <c r="BJA48" s="952"/>
      <c r="BJB48" s="952"/>
      <c r="BJC48" s="952"/>
      <c r="BJD48" s="952"/>
      <c r="BJE48" s="952"/>
      <c r="BJF48" s="952"/>
      <c r="BJG48" s="952"/>
      <c r="BJH48" s="952"/>
      <c r="BJI48" s="952"/>
      <c r="BJJ48" s="952"/>
      <c r="BJK48" s="952"/>
      <c r="BJL48" s="952"/>
      <c r="BJM48" s="952"/>
      <c r="BJN48" s="952"/>
      <c r="BJO48" s="952"/>
      <c r="BJP48" s="952"/>
      <c r="BJQ48" s="952"/>
      <c r="BJR48" s="952"/>
      <c r="BJS48" s="952"/>
      <c r="BJT48" s="952"/>
      <c r="BJU48" s="952"/>
      <c r="BJV48" s="952"/>
      <c r="BJW48" s="952"/>
      <c r="BJX48" s="952"/>
      <c r="BJY48" s="952"/>
      <c r="BJZ48" s="952"/>
      <c r="BKA48" s="952"/>
      <c r="BKB48" s="952"/>
      <c r="BKC48" s="952"/>
      <c r="BKD48" s="952"/>
      <c r="BKE48" s="952"/>
      <c r="BKF48" s="952"/>
      <c r="BKG48" s="952"/>
      <c r="BKH48" s="952"/>
      <c r="BKI48" s="952"/>
      <c r="BKJ48" s="952"/>
      <c r="BKK48" s="952"/>
      <c r="BKL48" s="952"/>
      <c r="BKM48" s="952"/>
      <c r="BKN48" s="952"/>
      <c r="BKO48" s="952"/>
      <c r="BKP48" s="952"/>
      <c r="BKQ48" s="952"/>
      <c r="BKR48" s="952"/>
      <c r="BKS48" s="952"/>
      <c r="BKT48" s="952"/>
      <c r="BKU48" s="952"/>
      <c r="BKV48" s="952"/>
      <c r="BKW48" s="952"/>
      <c r="BKX48" s="952"/>
      <c r="BKY48" s="952"/>
      <c r="BKZ48" s="952"/>
      <c r="BLA48" s="952"/>
      <c r="BLB48" s="952"/>
      <c r="BLC48" s="952"/>
      <c r="BLD48" s="952"/>
      <c r="BLE48" s="952"/>
      <c r="BLF48" s="952"/>
      <c r="BLG48" s="952"/>
      <c r="BLH48" s="952"/>
      <c r="BLI48" s="952"/>
      <c r="BLJ48" s="952"/>
      <c r="BLK48" s="952"/>
      <c r="BLL48" s="952"/>
      <c r="BLM48" s="952"/>
      <c r="BLN48" s="952"/>
      <c r="BLO48" s="952"/>
      <c r="BLP48" s="952"/>
      <c r="BLQ48" s="952"/>
      <c r="BLR48" s="952"/>
      <c r="BLS48" s="952"/>
      <c r="BLT48" s="952"/>
      <c r="BLU48" s="952"/>
      <c r="BLV48" s="952"/>
      <c r="BLW48" s="952"/>
      <c r="BLX48" s="952"/>
      <c r="BLY48" s="952"/>
      <c r="BLZ48" s="952"/>
      <c r="BMA48" s="952"/>
      <c r="BMB48" s="952"/>
      <c r="BMC48" s="952"/>
      <c r="BMD48" s="952"/>
      <c r="BME48" s="952"/>
      <c r="BMF48" s="952"/>
      <c r="BMG48" s="952"/>
      <c r="BMH48" s="952"/>
      <c r="BMI48" s="952"/>
      <c r="BMJ48" s="952"/>
      <c r="BMK48" s="952"/>
      <c r="BML48" s="952"/>
      <c r="BMM48" s="952"/>
      <c r="BMN48" s="952"/>
      <c r="BMO48" s="952"/>
      <c r="BMP48" s="952"/>
      <c r="BMQ48" s="952"/>
      <c r="BMR48" s="952"/>
      <c r="BMS48" s="952"/>
      <c r="BMT48" s="952"/>
      <c r="BMU48" s="952"/>
      <c r="BMV48" s="952"/>
      <c r="BMW48" s="952"/>
      <c r="BMX48" s="952"/>
      <c r="BMY48" s="952"/>
      <c r="BMZ48" s="952"/>
      <c r="BNA48" s="952"/>
      <c r="BNB48" s="952"/>
      <c r="BNC48" s="952"/>
      <c r="BND48" s="952"/>
      <c r="BNE48" s="952"/>
      <c r="BNF48" s="952"/>
      <c r="BNG48" s="952"/>
      <c r="BNH48" s="952"/>
      <c r="BNI48" s="952"/>
      <c r="BNJ48" s="952"/>
      <c r="BNK48" s="952"/>
      <c r="BNL48" s="952"/>
      <c r="BNM48" s="952"/>
      <c r="BNN48" s="952"/>
      <c r="BNO48" s="952"/>
      <c r="BNP48" s="952"/>
      <c r="BNQ48" s="952"/>
      <c r="BNR48" s="952"/>
      <c r="BNS48" s="952"/>
      <c r="BNT48" s="952"/>
      <c r="BNU48" s="952"/>
      <c r="BNV48" s="952"/>
      <c r="BNW48" s="952"/>
      <c r="BNX48" s="952"/>
      <c r="BNY48" s="952"/>
      <c r="BNZ48" s="952"/>
      <c r="BOA48" s="952"/>
      <c r="BOB48" s="952"/>
      <c r="BOC48" s="952"/>
      <c r="BOD48" s="952"/>
      <c r="BOE48" s="952"/>
      <c r="BOF48" s="952"/>
      <c r="BOG48" s="952"/>
      <c r="BOH48" s="952"/>
      <c r="BOI48" s="952"/>
      <c r="BOJ48" s="952"/>
      <c r="BOK48" s="952"/>
      <c r="BOL48" s="952"/>
      <c r="BOM48" s="952"/>
      <c r="BON48" s="952"/>
      <c r="BOO48" s="952"/>
      <c r="BOP48" s="952"/>
      <c r="BOQ48" s="952"/>
      <c r="BOR48" s="952"/>
      <c r="BOS48" s="952"/>
      <c r="BOT48" s="952"/>
      <c r="BOU48" s="952"/>
      <c r="BOV48" s="952"/>
      <c r="BOW48" s="952"/>
      <c r="BOX48" s="952"/>
      <c r="BOY48" s="952"/>
      <c r="BOZ48" s="952"/>
      <c r="BPA48" s="952"/>
      <c r="BPB48" s="952"/>
      <c r="BPC48" s="952"/>
      <c r="BPD48" s="952"/>
      <c r="BPE48" s="952"/>
      <c r="BPF48" s="952"/>
      <c r="BPG48" s="952"/>
      <c r="BPH48" s="952"/>
      <c r="BPI48" s="952"/>
      <c r="BPJ48" s="952"/>
      <c r="BPK48" s="952"/>
      <c r="BPL48" s="952"/>
      <c r="BPM48" s="952"/>
      <c r="BPN48" s="952"/>
      <c r="BPO48" s="952"/>
      <c r="BPP48" s="952"/>
      <c r="BPQ48" s="952"/>
      <c r="BPR48" s="952"/>
      <c r="BPS48" s="952"/>
      <c r="BPT48" s="952"/>
      <c r="BPU48" s="952"/>
      <c r="BPV48" s="952"/>
      <c r="BPW48" s="952"/>
      <c r="BPX48" s="952"/>
      <c r="BPY48" s="952"/>
      <c r="BPZ48" s="952"/>
      <c r="BQA48" s="952"/>
      <c r="BQB48" s="952"/>
      <c r="BQC48" s="952"/>
      <c r="BQD48" s="952"/>
      <c r="BQE48" s="952"/>
      <c r="BQF48" s="952"/>
      <c r="BQG48" s="952"/>
      <c r="BQH48" s="952"/>
      <c r="BQI48" s="952"/>
      <c r="BQJ48" s="952"/>
      <c r="BQK48" s="952"/>
      <c r="BQL48" s="952"/>
      <c r="BQM48" s="952"/>
      <c r="BQN48" s="952"/>
      <c r="BQO48" s="952"/>
      <c r="BQP48" s="952"/>
      <c r="BQQ48" s="952"/>
      <c r="BQR48" s="952"/>
      <c r="BQS48" s="952"/>
      <c r="BQT48" s="952"/>
      <c r="BQU48" s="952"/>
      <c r="BQV48" s="952"/>
      <c r="BQW48" s="952"/>
      <c r="BQX48" s="952"/>
      <c r="BQY48" s="952"/>
      <c r="BQZ48" s="952"/>
      <c r="BRA48" s="952"/>
      <c r="BRB48" s="952"/>
      <c r="BRC48" s="952"/>
      <c r="BRD48" s="952"/>
      <c r="BRE48" s="952"/>
      <c r="BRF48" s="952"/>
      <c r="BRG48" s="952"/>
      <c r="BRH48" s="952"/>
      <c r="BRI48" s="952"/>
      <c r="BRJ48" s="952"/>
      <c r="BRK48" s="952"/>
      <c r="BRL48" s="952"/>
      <c r="BRM48" s="952"/>
      <c r="BRN48" s="952"/>
      <c r="BRO48" s="952"/>
      <c r="BRP48" s="952"/>
      <c r="BRQ48" s="952"/>
      <c r="BRR48" s="952"/>
      <c r="BRS48" s="952"/>
      <c r="BRT48" s="952"/>
      <c r="BRU48" s="952"/>
      <c r="BRV48" s="952"/>
      <c r="BRW48" s="952"/>
      <c r="BRX48" s="952"/>
      <c r="BRY48" s="952"/>
      <c r="BRZ48" s="952"/>
      <c r="BSA48" s="952"/>
      <c r="BSB48" s="952"/>
      <c r="BSC48" s="952"/>
      <c r="BSD48" s="952"/>
      <c r="BSE48" s="952"/>
      <c r="BSF48" s="952"/>
      <c r="BSG48" s="952"/>
      <c r="BSH48" s="952"/>
      <c r="BSI48" s="952"/>
      <c r="BSJ48" s="952"/>
      <c r="BSK48" s="952"/>
      <c r="BSL48" s="952"/>
      <c r="BSM48" s="952"/>
      <c r="BSN48" s="952"/>
      <c r="BSO48" s="952"/>
      <c r="BSP48" s="952"/>
      <c r="BSQ48" s="952"/>
      <c r="BSR48" s="952"/>
      <c r="BSS48" s="952"/>
      <c r="BST48" s="952"/>
      <c r="BSU48" s="952"/>
      <c r="BSV48" s="952"/>
      <c r="BSW48" s="952"/>
      <c r="BSX48" s="952"/>
      <c r="BSY48" s="952"/>
      <c r="BSZ48" s="952"/>
      <c r="BTA48" s="952"/>
      <c r="BTB48" s="952"/>
      <c r="BTC48" s="952"/>
      <c r="BTD48" s="952"/>
      <c r="BTE48" s="952"/>
      <c r="BTF48" s="952"/>
      <c r="BTG48" s="952"/>
      <c r="BTH48" s="952"/>
      <c r="BTI48" s="952"/>
      <c r="BTJ48" s="952"/>
      <c r="BTK48" s="952"/>
      <c r="BTL48" s="952"/>
      <c r="BTM48" s="952"/>
      <c r="BTN48" s="952"/>
      <c r="BTO48" s="952"/>
      <c r="BTP48" s="952"/>
      <c r="BTQ48" s="952"/>
      <c r="BTR48" s="952"/>
      <c r="BTS48" s="952"/>
      <c r="BTT48" s="952"/>
      <c r="BTU48" s="952"/>
      <c r="BTV48" s="952"/>
      <c r="BTW48" s="952"/>
      <c r="BTX48" s="952"/>
      <c r="BTY48" s="952"/>
      <c r="BTZ48" s="952"/>
      <c r="BUA48" s="952"/>
      <c r="BUB48" s="952"/>
      <c r="BUC48" s="952"/>
      <c r="BUD48" s="952"/>
      <c r="BUE48" s="952"/>
      <c r="BUF48" s="952"/>
      <c r="BUG48" s="952"/>
      <c r="BUH48" s="952"/>
      <c r="BUI48" s="952"/>
      <c r="BUJ48" s="952"/>
      <c r="BUK48" s="952"/>
      <c r="BUL48" s="952"/>
      <c r="BUM48" s="952"/>
      <c r="BUN48" s="952"/>
      <c r="BUO48" s="952"/>
      <c r="BUP48" s="952"/>
      <c r="BUQ48" s="952"/>
      <c r="BUR48" s="952"/>
      <c r="BUS48" s="952"/>
      <c r="BUT48" s="952"/>
      <c r="BUU48" s="952"/>
      <c r="BUV48" s="952"/>
      <c r="BUW48" s="952"/>
      <c r="BUX48" s="952"/>
      <c r="BUY48" s="952"/>
      <c r="BUZ48" s="952"/>
      <c r="BVA48" s="952"/>
      <c r="BVB48" s="952"/>
      <c r="BVC48" s="952"/>
      <c r="BVD48" s="952"/>
      <c r="BVE48" s="952"/>
      <c r="BVF48" s="952"/>
      <c r="BVG48" s="952"/>
      <c r="BVH48" s="952"/>
      <c r="BVI48" s="952"/>
      <c r="BVJ48" s="952"/>
      <c r="BVK48" s="952"/>
      <c r="BVL48" s="952"/>
      <c r="BVM48" s="952"/>
      <c r="BVN48" s="952"/>
      <c r="BVO48" s="952"/>
      <c r="BVP48" s="952"/>
      <c r="BVQ48" s="952"/>
      <c r="BVR48" s="952"/>
      <c r="BVS48" s="952"/>
      <c r="BVT48" s="952"/>
      <c r="BVU48" s="952"/>
      <c r="BVV48" s="952"/>
      <c r="BVW48" s="952"/>
      <c r="BVX48" s="952"/>
      <c r="BVY48" s="952"/>
      <c r="BVZ48" s="952"/>
      <c r="BWA48" s="952"/>
      <c r="BWB48" s="952"/>
      <c r="BWC48" s="952"/>
      <c r="BWD48" s="952"/>
      <c r="BWE48" s="952"/>
      <c r="BWF48" s="952"/>
      <c r="BWG48" s="952"/>
      <c r="BWH48" s="952"/>
      <c r="BWI48" s="952"/>
      <c r="BWJ48" s="952"/>
      <c r="BWK48" s="952"/>
      <c r="BWL48" s="952"/>
      <c r="BWM48" s="952"/>
      <c r="BWN48" s="952"/>
      <c r="BWO48" s="952"/>
      <c r="BWP48" s="952"/>
      <c r="BWQ48" s="952"/>
      <c r="BWR48" s="952"/>
      <c r="BWS48" s="952"/>
      <c r="BWT48" s="952"/>
      <c r="BWU48" s="952"/>
      <c r="BWV48" s="952"/>
      <c r="BWW48" s="952"/>
      <c r="BWX48" s="952"/>
      <c r="BWY48" s="952"/>
      <c r="BWZ48" s="952"/>
      <c r="BXA48" s="952"/>
      <c r="BXB48" s="952"/>
      <c r="BXC48" s="952"/>
      <c r="BXD48" s="952"/>
      <c r="BXE48" s="952"/>
      <c r="BXF48" s="952"/>
      <c r="BXG48" s="952"/>
      <c r="BXH48" s="952"/>
      <c r="BXI48" s="952"/>
      <c r="BXJ48" s="952"/>
      <c r="BXK48" s="952"/>
      <c r="BXL48" s="952"/>
      <c r="BXM48" s="952"/>
      <c r="BXN48" s="952"/>
      <c r="BXO48" s="952"/>
      <c r="BXP48" s="952"/>
      <c r="BXQ48" s="952"/>
      <c r="BXR48" s="952"/>
      <c r="BXS48" s="952"/>
      <c r="BXT48" s="952"/>
      <c r="BXU48" s="952"/>
      <c r="BXV48" s="952"/>
      <c r="BXW48" s="952"/>
      <c r="BXX48" s="952"/>
      <c r="BXY48" s="952"/>
      <c r="BXZ48" s="952"/>
      <c r="BYA48" s="952"/>
      <c r="BYB48" s="952"/>
      <c r="BYC48" s="952"/>
      <c r="BYD48" s="952"/>
      <c r="BYE48" s="952"/>
      <c r="BYF48" s="952"/>
      <c r="BYG48" s="952"/>
      <c r="BYH48" s="952"/>
      <c r="BYI48" s="952"/>
      <c r="BYJ48" s="952"/>
      <c r="BYK48" s="952"/>
      <c r="BYL48" s="952"/>
      <c r="BYM48" s="952"/>
      <c r="BYN48" s="952"/>
      <c r="BYO48" s="952"/>
      <c r="BYP48" s="952"/>
      <c r="BYQ48" s="952"/>
      <c r="BYR48" s="952"/>
      <c r="BYS48" s="952"/>
      <c r="BYT48" s="952"/>
      <c r="BYU48" s="952"/>
      <c r="BYV48" s="952"/>
      <c r="BYW48" s="952"/>
      <c r="BYX48" s="952"/>
      <c r="BYY48" s="952"/>
      <c r="BYZ48" s="952"/>
      <c r="BZA48" s="952"/>
      <c r="BZB48" s="952"/>
      <c r="BZC48" s="952"/>
      <c r="BZD48" s="952"/>
      <c r="BZE48" s="952"/>
      <c r="BZF48" s="952"/>
      <c r="BZG48" s="952"/>
      <c r="BZH48" s="952"/>
      <c r="BZI48" s="952"/>
      <c r="BZJ48" s="952"/>
      <c r="BZK48" s="952"/>
      <c r="BZL48" s="952"/>
      <c r="BZM48" s="952"/>
      <c r="BZN48" s="952"/>
      <c r="BZO48" s="952"/>
      <c r="BZP48" s="952"/>
      <c r="BZQ48" s="952"/>
      <c r="BZR48" s="952"/>
      <c r="BZS48" s="952"/>
      <c r="BZT48" s="952"/>
      <c r="BZU48" s="952"/>
      <c r="BZV48" s="952"/>
      <c r="BZW48" s="952"/>
      <c r="BZX48" s="952"/>
      <c r="BZY48" s="952"/>
      <c r="BZZ48" s="952"/>
      <c r="CAA48" s="952"/>
      <c r="CAB48" s="952"/>
      <c r="CAC48" s="952"/>
      <c r="CAD48" s="952"/>
      <c r="CAE48" s="952"/>
      <c r="CAF48" s="952"/>
      <c r="CAG48" s="952"/>
      <c r="CAH48" s="952"/>
      <c r="CAI48" s="952"/>
      <c r="CAJ48" s="952"/>
      <c r="CAK48" s="952"/>
      <c r="CAL48" s="952"/>
      <c r="CAM48" s="952"/>
      <c r="CAN48" s="952"/>
      <c r="CAO48" s="952"/>
      <c r="CAP48" s="952"/>
      <c r="CAQ48" s="952"/>
      <c r="CAR48" s="952"/>
      <c r="CAS48" s="952"/>
      <c r="CAT48" s="952"/>
      <c r="CAU48" s="952"/>
      <c r="CAV48" s="952"/>
      <c r="CAW48" s="952"/>
      <c r="CAX48" s="952"/>
      <c r="CAY48" s="952"/>
      <c r="CAZ48" s="952"/>
      <c r="CBA48" s="952"/>
      <c r="CBB48" s="952"/>
      <c r="CBC48" s="952"/>
      <c r="CBD48" s="952"/>
      <c r="CBE48" s="952"/>
      <c r="CBF48" s="952"/>
      <c r="CBG48" s="952"/>
      <c r="CBH48" s="952"/>
      <c r="CBI48" s="952"/>
      <c r="CBJ48" s="952"/>
      <c r="CBK48" s="952"/>
      <c r="CBL48" s="952"/>
      <c r="CBM48" s="952"/>
      <c r="CBN48" s="952"/>
      <c r="CBO48" s="952"/>
      <c r="CBP48" s="952"/>
      <c r="CBQ48" s="952"/>
      <c r="CBR48" s="952"/>
      <c r="CBS48" s="952"/>
      <c r="CBT48" s="952"/>
      <c r="CBU48" s="952"/>
      <c r="CBV48" s="952"/>
      <c r="CBW48" s="952"/>
      <c r="CBX48" s="952"/>
      <c r="CBY48" s="952"/>
      <c r="CBZ48" s="952"/>
      <c r="CCA48" s="952"/>
      <c r="CCB48" s="952"/>
      <c r="CCC48" s="952"/>
      <c r="CCD48" s="952"/>
      <c r="CCE48" s="952"/>
      <c r="CCF48" s="952"/>
      <c r="CCG48" s="952"/>
      <c r="CCH48" s="952"/>
      <c r="CCI48" s="952"/>
      <c r="CCJ48" s="952"/>
      <c r="CCK48" s="952"/>
      <c r="CCL48" s="952"/>
      <c r="CCM48" s="952"/>
      <c r="CCN48" s="952"/>
      <c r="CCO48" s="952"/>
      <c r="CCP48" s="952"/>
      <c r="CCQ48" s="952"/>
      <c r="CCR48" s="952"/>
      <c r="CCS48" s="952"/>
      <c r="CCT48" s="952"/>
      <c r="CCU48" s="952"/>
      <c r="CCV48" s="952"/>
      <c r="CCW48" s="952"/>
      <c r="CCX48" s="952"/>
      <c r="CCY48" s="952"/>
      <c r="CCZ48" s="952"/>
      <c r="CDA48" s="952"/>
      <c r="CDB48" s="952"/>
      <c r="CDC48" s="952"/>
      <c r="CDD48" s="952"/>
      <c r="CDE48" s="952"/>
      <c r="CDF48" s="952"/>
      <c r="CDG48" s="952"/>
      <c r="CDH48" s="952"/>
      <c r="CDI48" s="952"/>
      <c r="CDJ48" s="952"/>
      <c r="CDK48" s="952"/>
      <c r="CDL48" s="952"/>
      <c r="CDM48" s="952"/>
      <c r="CDN48" s="952"/>
      <c r="CDO48" s="952"/>
      <c r="CDP48" s="952"/>
      <c r="CDQ48" s="952"/>
      <c r="CDR48" s="952"/>
      <c r="CDS48" s="952"/>
      <c r="CDT48" s="952"/>
      <c r="CDU48" s="952"/>
      <c r="CDV48" s="952"/>
      <c r="CDW48" s="952"/>
      <c r="CDX48" s="952"/>
      <c r="CDY48" s="952"/>
      <c r="CDZ48" s="952"/>
      <c r="CEA48" s="952"/>
      <c r="CEB48" s="952"/>
      <c r="CEC48" s="952"/>
      <c r="CED48" s="952"/>
      <c r="CEE48" s="952"/>
      <c r="CEF48" s="952"/>
      <c r="CEG48" s="952"/>
      <c r="CEH48" s="952"/>
      <c r="CEI48" s="952"/>
      <c r="CEJ48" s="952"/>
      <c r="CEK48" s="952"/>
      <c r="CEL48" s="952"/>
      <c r="CEM48" s="952"/>
      <c r="CEN48" s="952"/>
      <c r="CEO48" s="952"/>
      <c r="CEP48" s="952"/>
      <c r="CEQ48" s="952"/>
      <c r="CER48" s="952"/>
      <c r="CES48" s="952"/>
      <c r="CET48" s="952"/>
      <c r="CEU48" s="952"/>
      <c r="CEV48" s="952"/>
      <c r="CEW48" s="952"/>
      <c r="CEX48" s="952"/>
      <c r="CEY48" s="952"/>
      <c r="CEZ48" s="952"/>
      <c r="CFA48" s="952"/>
      <c r="CFB48" s="952"/>
      <c r="CFC48" s="952"/>
      <c r="CFD48" s="952"/>
      <c r="CFE48" s="952"/>
      <c r="CFF48" s="952"/>
      <c r="CFG48" s="952"/>
      <c r="CFH48" s="952"/>
      <c r="CFI48" s="952"/>
      <c r="CFJ48" s="952"/>
      <c r="CFK48" s="952"/>
      <c r="CFL48" s="952"/>
      <c r="CFM48" s="952"/>
      <c r="CFN48" s="952"/>
      <c r="CFO48" s="952"/>
      <c r="CFP48" s="952"/>
      <c r="CFQ48" s="952"/>
      <c r="CFR48" s="952"/>
      <c r="CFS48" s="952"/>
      <c r="CFT48" s="952"/>
      <c r="CFU48" s="952"/>
      <c r="CFV48" s="952"/>
      <c r="CFW48" s="952"/>
      <c r="CFX48" s="952"/>
      <c r="CFY48" s="952"/>
      <c r="CFZ48" s="952"/>
      <c r="CGA48" s="952"/>
      <c r="CGB48" s="952"/>
      <c r="CGC48" s="952"/>
      <c r="CGD48" s="952"/>
      <c r="CGE48" s="952"/>
      <c r="CGF48" s="952"/>
      <c r="CGG48" s="952"/>
      <c r="CGH48" s="952"/>
      <c r="CGI48" s="952"/>
      <c r="CGJ48" s="952"/>
      <c r="CGK48" s="952"/>
      <c r="CGL48" s="952"/>
      <c r="CGM48" s="952"/>
      <c r="CGN48" s="952"/>
      <c r="CGO48" s="952"/>
      <c r="CGP48" s="952"/>
      <c r="CGQ48" s="952"/>
      <c r="CGR48" s="952"/>
      <c r="CGS48" s="952"/>
      <c r="CGT48" s="952"/>
      <c r="CGU48" s="952"/>
      <c r="CGV48" s="952"/>
      <c r="CGW48" s="952"/>
      <c r="CGX48" s="952"/>
      <c r="CGY48" s="952"/>
      <c r="CGZ48" s="952"/>
      <c r="CHA48" s="952"/>
      <c r="CHB48" s="952"/>
      <c r="CHC48" s="952"/>
      <c r="CHD48" s="952"/>
      <c r="CHE48" s="952"/>
      <c r="CHF48" s="952"/>
      <c r="CHG48" s="952"/>
      <c r="CHH48" s="952"/>
      <c r="CHI48" s="952"/>
      <c r="CHJ48" s="952"/>
      <c r="CHK48" s="952"/>
      <c r="CHL48" s="952"/>
      <c r="CHM48" s="952"/>
      <c r="CHN48" s="952"/>
      <c r="CHO48" s="952"/>
      <c r="CHP48" s="952"/>
      <c r="CHQ48" s="952"/>
      <c r="CHR48" s="952"/>
      <c r="CHS48" s="952"/>
      <c r="CHT48" s="952"/>
      <c r="CHU48" s="952"/>
      <c r="CHV48" s="952"/>
      <c r="CHW48" s="952"/>
      <c r="CHX48" s="952"/>
      <c r="CHY48" s="952"/>
      <c r="CHZ48" s="952"/>
      <c r="CIA48" s="952"/>
      <c r="CIB48" s="952"/>
      <c r="CIC48" s="952"/>
      <c r="CID48" s="952"/>
      <c r="CIE48" s="952"/>
      <c r="CIF48" s="952"/>
      <c r="CIG48" s="952"/>
      <c r="CIH48" s="952"/>
      <c r="CII48" s="952"/>
      <c r="CIJ48" s="952"/>
      <c r="CIK48" s="952"/>
      <c r="CIL48" s="952"/>
      <c r="CIM48" s="952"/>
      <c r="CIN48" s="952"/>
      <c r="CIO48" s="952"/>
      <c r="CIP48" s="952"/>
      <c r="CIQ48" s="952"/>
      <c r="CIR48" s="952"/>
      <c r="CIS48" s="952"/>
      <c r="CIT48" s="952"/>
      <c r="CIU48" s="952"/>
      <c r="CIV48" s="952"/>
      <c r="CIW48" s="952"/>
      <c r="CIX48" s="952"/>
      <c r="CIY48" s="952"/>
      <c r="CIZ48" s="952"/>
      <c r="CJA48" s="952"/>
      <c r="CJB48" s="952"/>
      <c r="CJC48" s="952"/>
      <c r="CJD48" s="952"/>
      <c r="CJE48" s="952"/>
      <c r="CJF48" s="952"/>
      <c r="CJG48" s="952"/>
      <c r="CJH48" s="952"/>
      <c r="CJI48" s="952"/>
      <c r="CJJ48" s="952"/>
      <c r="CJK48" s="952"/>
      <c r="CJL48" s="952"/>
      <c r="CJM48" s="952"/>
      <c r="CJN48" s="952"/>
      <c r="CJO48" s="952"/>
      <c r="CJP48" s="952"/>
      <c r="CJQ48" s="952"/>
      <c r="CJR48" s="952"/>
      <c r="CJS48" s="952"/>
      <c r="CJT48" s="952"/>
      <c r="CJU48" s="952"/>
      <c r="CJV48" s="952"/>
      <c r="CJW48" s="952"/>
      <c r="CJX48" s="952"/>
      <c r="CJY48" s="952"/>
      <c r="CJZ48" s="952"/>
      <c r="CKA48" s="952"/>
      <c r="CKB48" s="952"/>
      <c r="CKC48" s="952"/>
      <c r="CKD48" s="952"/>
      <c r="CKE48" s="952"/>
      <c r="CKF48" s="952"/>
      <c r="CKG48" s="952"/>
      <c r="CKH48" s="952"/>
      <c r="CKI48" s="952"/>
      <c r="CKJ48" s="952"/>
      <c r="CKK48" s="952"/>
      <c r="CKL48" s="952"/>
      <c r="CKM48" s="952"/>
      <c r="CKN48" s="952"/>
      <c r="CKO48" s="952"/>
      <c r="CKP48" s="952"/>
      <c r="CKQ48" s="952"/>
      <c r="CKR48" s="952"/>
      <c r="CKS48" s="952"/>
      <c r="CKT48" s="952"/>
      <c r="CKU48" s="952"/>
      <c r="CKV48" s="952"/>
      <c r="CKW48" s="952"/>
      <c r="CKX48" s="952"/>
      <c r="CKY48" s="952"/>
      <c r="CKZ48" s="952"/>
      <c r="CLA48" s="952"/>
      <c r="CLB48" s="952"/>
      <c r="CLC48" s="952"/>
      <c r="CLD48" s="952"/>
      <c r="CLE48" s="952"/>
      <c r="CLF48" s="952"/>
      <c r="CLG48" s="952"/>
      <c r="CLH48" s="952"/>
      <c r="CLI48" s="952"/>
      <c r="CLJ48" s="952"/>
      <c r="CLK48" s="952"/>
      <c r="CLL48" s="952"/>
      <c r="CLM48" s="952"/>
      <c r="CLN48" s="952"/>
      <c r="CLO48" s="952"/>
      <c r="CLP48" s="952"/>
      <c r="CLQ48" s="952"/>
      <c r="CLR48" s="952"/>
      <c r="CLS48" s="952"/>
      <c r="CLT48" s="952"/>
      <c r="CLU48" s="952"/>
      <c r="CLV48" s="952"/>
      <c r="CLW48" s="952"/>
      <c r="CLX48" s="952"/>
      <c r="CLY48" s="952"/>
      <c r="CLZ48" s="952"/>
      <c r="CMA48" s="952"/>
      <c r="CMB48" s="952"/>
      <c r="CMC48" s="952"/>
      <c r="CMD48" s="952"/>
      <c r="CME48" s="952"/>
      <c r="CMF48" s="952"/>
      <c r="CMG48" s="952"/>
      <c r="CMH48" s="952"/>
      <c r="CMI48" s="952"/>
      <c r="CMJ48" s="952"/>
      <c r="CMK48" s="952"/>
      <c r="CML48" s="952"/>
      <c r="CMM48" s="952"/>
      <c r="CMN48" s="952"/>
      <c r="CMO48" s="952"/>
      <c r="CMP48" s="952"/>
      <c r="CMQ48" s="952"/>
      <c r="CMR48" s="952"/>
      <c r="CMS48" s="952"/>
      <c r="CMT48" s="952"/>
      <c r="CMU48" s="952"/>
      <c r="CMV48" s="952"/>
      <c r="CMW48" s="952"/>
      <c r="CMX48" s="952"/>
      <c r="CMY48" s="952"/>
      <c r="CMZ48" s="952"/>
      <c r="CNA48" s="952"/>
      <c r="CNB48" s="952"/>
      <c r="CNC48" s="952"/>
      <c r="CND48" s="952"/>
      <c r="CNE48" s="952"/>
      <c r="CNF48" s="952"/>
      <c r="CNG48" s="952"/>
      <c r="CNH48" s="952"/>
      <c r="CNI48" s="952"/>
      <c r="CNJ48" s="952"/>
      <c r="CNK48" s="952"/>
      <c r="CNL48" s="952"/>
      <c r="CNM48" s="952"/>
      <c r="CNN48" s="952"/>
      <c r="CNO48" s="952"/>
      <c r="CNP48" s="952"/>
      <c r="CNQ48" s="952"/>
      <c r="CNR48" s="952"/>
      <c r="CNS48" s="952"/>
      <c r="CNT48" s="952"/>
      <c r="CNU48" s="952"/>
      <c r="CNV48" s="952"/>
      <c r="CNW48" s="952"/>
      <c r="CNX48" s="952"/>
      <c r="CNY48" s="952"/>
      <c r="CNZ48" s="952"/>
      <c r="COA48" s="952"/>
      <c r="COB48" s="952"/>
      <c r="COC48" s="952"/>
      <c r="COD48" s="952"/>
      <c r="COE48" s="952"/>
      <c r="COF48" s="952"/>
      <c r="COG48" s="952"/>
      <c r="COH48" s="952"/>
      <c r="COI48" s="952"/>
      <c r="COJ48" s="952"/>
      <c r="COK48" s="952"/>
      <c r="COL48" s="952"/>
      <c r="COM48" s="952"/>
      <c r="CON48" s="952"/>
      <c r="COO48" s="952"/>
      <c r="COP48" s="952"/>
      <c r="COQ48" s="952"/>
      <c r="COR48" s="952"/>
      <c r="COS48" s="952"/>
      <c r="COT48" s="952"/>
      <c r="COU48" s="952"/>
      <c r="COV48" s="952"/>
      <c r="COW48" s="952"/>
      <c r="COX48" s="952"/>
      <c r="COY48" s="952"/>
      <c r="COZ48" s="952"/>
      <c r="CPA48" s="952"/>
      <c r="CPB48" s="952"/>
      <c r="CPC48" s="952"/>
      <c r="CPD48" s="952"/>
      <c r="CPE48" s="952"/>
      <c r="CPF48" s="952"/>
      <c r="CPG48" s="952"/>
      <c r="CPH48" s="952"/>
      <c r="CPI48" s="952"/>
      <c r="CPJ48" s="952"/>
      <c r="CPK48" s="952"/>
      <c r="CPL48" s="952"/>
      <c r="CPM48" s="952"/>
      <c r="CPN48" s="952"/>
      <c r="CPO48" s="952"/>
      <c r="CPP48" s="952"/>
      <c r="CPQ48" s="952"/>
      <c r="CPR48" s="952"/>
      <c r="CPS48" s="952"/>
      <c r="CPT48" s="952"/>
      <c r="CPU48" s="952"/>
      <c r="CPV48" s="952"/>
      <c r="CPW48" s="952"/>
      <c r="CPX48" s="952"/>
      <c r="CPY48" s="952"/>
      <c r="CPZ48" s="952"/>
      <c r="CQA48" s="952"/>
      <c r="CQB48" s="952"/>
      <c r="CQC48" s="952"/>
      <c r="CQD48" s="952"/>
      <c r="CQE48" s="952"/>
      <c r="CQF48" s="952"/>
      <c r="CQG48" s="952"/>
      <c r="CQH48" s="952"/>
      <c r="CQI48" s="952"/>
      <c r="CQJ48" s="952"/>
      <c r="CQK48" s="952"/>
      <c r="CQL48" s="952"/>
      <c r="CQM48" s="952"/>
      <c r="CQN48" s="952"/>
      <c r="CQO48" s="952"/>
      <c r="CQP48" s="952"/>
      <c r="CQQ48" s="952"/>
      <c r="CQR48" s="952"/>
      <c r="CQS48" s="952"/>
      <c r="CQT48" s="952"/>
      <c r="CQU48" s="952"/>
      <c r="CQV48" s="952"/>
      <c r="CQW48" s="952"/>
      <c r="CQX48" s="952"/>
      <c r="CQY48" s="952"/>
      <c r="CQZ48" s="952"/>
      <c r="CRA48" s="952"/>
      <c r="CRB48" s="952"/>
      <c r="CRC48" s="952"/>
      <c r="CRD48" s="952"/>
      <c r="CRE48" s="952"/>
      <c r="CRF48" s="952"/>
      <c r="CRG48" s="952"/>
      <c r="CRH48" s="952"/>
      <c r="CRI48" s="952"/>
      <c r="CRJ48" s="952"/>
      <c r="CRK48" s="952"/>
      <c r="CRL48" s="952"/>
      <c r="CRM48" s="952"/>
      <c r="CRN48" s="952"/>
      <c r="CRO48" s="952"/>
      <c r="CRP48" s="952"/>
      <c r="CRQ48" s="952"/>
      <c r="CRR48" s="952"/>
      <c r="CRS48" s="952"/>
      <c r="CRT48" s="952"/>
      <c r="CRU48" s="952"/>
      <c r="CRV48" s="952"/>
      <c r="CRW48" s="952"/>
      <c r="CRX48" s="952"/>
      <c r="CRY48" s="952"/>
      <c r="CRZ48" s="952"/>
      <c r="CSA48" s="952"/>
      <c r="CSB48" s="952"/>
      <c r="CSC48" s="952"/>
      <c r="CSD48" s="952"/>
      <c r="CSE48" s="952"/>
      <c r="CSF48" s="952"/>
      <c r="CSG48" s="952"/>
      <c r="CSH48" s="952"/>
      <c r="CSI48" s="952"/>
      <c r="CSJ48" s="952"/>
      <c r="CSK48" s="952"/>
      <c r="CSL48" s="952"/>
      <c r="CSM48" s="952"/>
      <c r="CSN48" s="952"/>
      <c r="CSO48" s="952"/>
      <c r="CSP48" s="952"/>
      <c r="CSQ48" s="952"/>
      <c r="CSR48" s="952"/>
      <c r="CSS48" s="952"/>
      <c r="CST48" s="952"/>
      <c r="CSU48" s="952"/>
      <c r="CSV48" s="952"/>
      <c r="CSW48" s="952"/>
      <c r="CSX48" s="952"/>
      <c r="CSY48" s="952"/>
      <c r="CSZ48" s="952"/>
      <c r="CTA48" s="952"/>
      <c r="CTB48" s="952"/>
      <c r="CTC48" s="952"/>
      <c r="CTD48" s="952"/>
      <c r="CTE48" s="952"/>
      <c r="CTF48" s="952"/>
      <c r="CTG48" s="952"/>
      <c r="CTH48" s="952"/>
      <c r="CTI48" s="952"/>
      <c r="CTJ48" s="952"/>
      <c r="CTK48" s="952"/>
      <c r="CTL48" s="952"/>
      <c r="CTM48" s="952"/>
      <c r="CTN48" s="952"/>
      <c r="CTO48" s="952"/>
      <c r="CTP48" s="952"/>
      <c r="CTQ48" s="952"/>
      <c r="CTR48" s="952"/>
      <c r="CTS48" s="952"/>
      <c r="CTT48" s="952"/>
      <c r="CTU48" s="952"/>
      <c r="CTV48" s="952"/>
      <c r="CTW48" s="952"/>
      <c r="CTX48" s="952"/>
      <c r="CTY48" s="952"/>
      <c r="CTZ48" s="952"/>
      <c r="CUA48" s="952"/>
      <c r="CUB48" s="952"/>
      <c r="CUC48" s="952"/>
      <c r="CUD48" s="952"/>
      <c r="CUE48" s="952"/>
      <c r="CUF48" s="952"/>
      <c r="CUG48" s="952"/>
      <c r="CUH48" s="952"/>
      <c r="CUI48" s="952"/>
      <c r="CUJ48" s="952"/>
      <c r="CUK48" s="952"/>
      <c r="CUL48" s="952"/>
      <c r="CUM48" s="952"/>
      <c r="CUN48" s="952"/>
      <c r="CUO48" s="952"/>
      <c r="CUP48" s="952"/>
      <c r="CUQ48" s="952"/>
      <c r="CUR48" s="952"/>
      <c r="CUS48" s="952"/>
      <c r="CUT48" s="952"/>
      <c r="CUU48" s="952"/>
      <c r="CUV48" s="952"/>
      <c r="CUW48" s="952"/>
      <c r="CUX48" s="952"/>
      <c r="CUY48" s="952"/>
      <c r="CUZ48" s="952"/>
      <c r="CVA48" s="952"/>
      <c r="CVB48" s="952"/>
      <c r="CVC48" s="952"/>
      <c r="CVD48" s="952"/>
      <c r="CVE48" s="952"/>
      <c r="CVF48" s="952"/>
      <c r="CVG48" s="952"/>
      <c r="CVH48" s="952"/>
      <c r="CVI48" s="952"/>
      <c r="CVJ48" s="952"/>
      <c r="CVK48" s="952"/>
      <c r="CVL48" s="952"/>
      <c r="CVM48" s="952"/>
      <c r="CVN48" s="952"/>
      <c r="CVO48" s="952"/>
      <c r="CVP48" s="952"/>
      <c r="CVQ48" s="952"/>
      <c r="CVR48" s="952"/>
      <c r="CVS48" s="952"/>
      <c r="CVT48" s="952"/>
      <c r="CVU48" s="952"/>
      <c r="CVV48" s="952"/>
      <c r="CVW48" s="952"/>
      <c r="CVX48" s="952"/>
      <c r="CVY48" s="952"/>
      <c r="CVZ48" s="952"/>
      <c r="CWA48" s="952"/>
      <c r="CWB48" s="952"/>
      <c r="CWC48" s="952"/>
      <c r="CWD48" s="952"/>
      <c r="CWE48" s="952"/>
      <c r="CWF48" s="952"/>
      <c r="CWG48" s="952"/>
      <c r="CWH48" s="952"/>
      <c r="CWI48" s="952"/>
      <c r="CWJ48" s="952"/>
      <c r="CWK48" s="952"/>
      <c r="CWL48" s="952"/>
      <c r="CWM48" s="952"/>
      <c r="CWN48" s="952"/>
      <c r="CWO48" s="952"/>
      <c r="CWP48" s="952"/>
      <c r="CWQ48" s="952"/>
      <c r="CWR48" s="952"/>
      <c r="CWS48" s="952"/>
      <c r="CWT48" s="952"/>
      <c r="CWU48" s="952"/>
      <c r="CWV48" s="952"/>
      <c r="CWW48" s="952"/>
      <c r="CWX48" s="952"/>
      <c r="CWY48" s="952"/>
      <c r="CWZ48" s="952"/>
      <c r="CXA48" s="952"/>
      <c r="CXB48" s="952"/>
      <c r="CXC48" s="952"/>
      <c r="CXD48" s="952"/>
      <c r="CXE48" s="952"/>
      <c r="CXF48" s="952"/>
      <c r="CXG48" s="952"/>
      <c r="CXH48" s="952"/>
      <c r="CXI48" s="952"/>
      <c r="CXJ48" s="952"/>
      <c r="CXK48" s="952"/>
      <c r="CXL48" s="952"/>
      <c r="CXM48" s="952"/>
      <c r="CXN48" s="952"/>
      <c r="CXO48" s="952"/>
      <c r="CXP48" s="952"/>
      <c r="CXQ48" s="952"/>
      <c r="CXR48" s="952"/>
      <c r="CXS48" s="952"/>
      <c r="CXT48" s="952"/>
      <c r="CXU48" s="952"/>
      <c r="CXV48" s="952"/>
      <c r="CXW48" s="952"/>
      <c r="CXX48" s="952"/>
      <c r="CXY48" s="952"/>
      <c r="CXZ48" s="952"/>
      <c r="CYA48" s="952"/>
      <c r="CYB48" s="952"/>
      <c r="CYC48" s="952"/>
      <c r="CYD48" s="952"/>
      <c r="CYE48" s="952"/>
      <c r="CYF48" s="952"/>
      <c r="CYG48" s="952"/>
      <c r="CYH48" s="952"/>
      <c r="CYI48" s="952"/>
      <c r="CYJ48" s="952"/>
      <c r="CYK48" s="952"/>
      <c r="CYL48" s="952"/>
      <c r="CYM48" s="952"/>
      <c r="CYN48" s="952"/>
      <c r="CYO48" s="952"/>
      <c r="CYP48" s="952"/>
      <c r="CYQ48" s="952"/>
      <c r="CYR48" s="952"/>
      <c r="CYS48" s="952"/>
      <c r="CYT48" s="952"/>
      <c r="CYU48" s="952"/>
      <c r="CYV48" s="952"/>
      <c r="CYW48" s="952"/>
      <c r="CYX48" s="952"/>
      <c r="CYY48" s="952"/>
      <c r="CYZ48" s="952"/>
      <c r="CZA48" s="952"/>
      <c r="CZB48" s="952"/>
      <c r="CZC48" s="952"/>
      <c r="CZD48" s="952"/>
      <c r="CZE48" s="952"/>
      <c r="CZF48" s="952"/>
      <c r="CZG48" s="952"/>
      <c r="CZH48" s="952"/>
      <c r="CZI48" s="952"/>
      <c r="CZJ48" s="952"/>
      <c r="CZK48" s="952"/>
      <c r="CZL48" s="952"/>
      <c r="CZM48" s="952"/>
      <c r="CZN48" s="952"/>
      <c r="CZO48" s="952"/>
      <c r="CZP48" s="952"/>
      <c r="CZQ48" s="952"/>
      <c r="CZR48" s="952"/>
      <c r="CZS48" s="952"/>
      <c r="CZT48" s="952"/>
      <c r="CZU48" s="952"/>
      <c r="CZV48" s="952"/>
      <c r="CZW48" s="952"/>
      <c r="CZX48" s="952"/>
      <c r="CZY48" s="952"/>
      <c r="CZZ48" s="952"/>
      <c r="DAA48" s="952"/>
      <c r="DAB48" s="952"/>
      <c r="DAC48" s="952"/>
      <c r="DAD48" s="952"/>
      <c r="DAE48" s="952"/>
      <c r="DAF48" s="952"/>
      <c r="DAG48" s="952"/>
      <c r="DAH48" s="952"/>
      <c r="DAI48" s="952"/>
      <c r="DAJ48" s="952"/>
      <c r="DAK48" s="952"/>
      <c r="DAL48" s="952"/>
      <c r="DAM48" s="952"/>
      <c r="DAN48" s="952"/>
      <c r="DAO48" s="952"/>
      <c r="DAP48" s="952"/>
      <c r="DAQ48" s="952"/>
      <c r="DAR48" s="952"/>
      <c r="DAS48" s="952"/>
      <c r="DAT48" s="952"/>
      <c r="DAU48" s="952"/>
      <c r="DAV48" s="952"/>
      <c r="DAW48" s="952"/>
      <c r="DAX48" s="952"/>
      <c r="DAY48" s="952"/>
      <c r="DAZ48" s="952"/>
      <c r="DBA48" s="952"/>
      <c r="DBB48" s="952"/>
      <c r="DBC48" s="952"/>
      <c r="DBD48" s="952"/>
      <c r="DBE48" s="952"/>
      <c r="DBF48" s="952"/>
      <c r="DBG48" s="952"/>
      <c r="DBH48" s="952"/>
      <c r="DBI48" s="952"/>
      <c r="DBJ48" s="952"/>
      <c r="DBK48" s="952"/>
      <c r="DBL48" s="952"/>
      <c r="DBM48" s="952"/>
      <c r="DBN48" s="952"/>
      <c r="DBO48" s="952"/>
      <c r="DBP48" s="952"/>
      <c r="DBQ48" s="952"/>
      <c r="DBR48" s="952"/>
      <c r="DBS48" s="952"/>
      <c r="DBT48" s="952"/>
      <c r="DBU48" s="952"/>
      <c r="DBV48" s="952"/>
      <c r="DBW48" s="952"/>
      <c r="DBX48" s="952"/>
      <c r="DBY48" s="952"/>
      <c r="DBZ48" s="952"/>
      <c r="DCA48" s="952"/>
      <c r="DCB48" s="952"/>
      <c r="DCC48" s="952"/>
      <c r="DCD48" s="952"/>
      <c r="DCE48" s="952"/>
      <c r="DCF48" s="952"/>
      <c r="DCG48" s="952"/>
      <c r="DCH48" s="952"/>
      <c r="DCI48" s="952"/>
      <c r="DCJ48" s="952"/>
      <c r="DCK48" s="952"/>
      <c r="DCL48" s="952"/>
      <c r="DCM48" s="952"/>
      <c r="DCN48" s="952"/>
      <c r="DCO48" s="952"/>
      <c r="DCP48" s="952"/>
      <c r="DCQ48" s="952"/>
      <c r="DCR48" s="952"/>
      <c r="DCS48" s="952"/>
      <c r="DCT48" s="952"/>
      <c r="DCU48" s="952"/>
      <c r="DCV48" s="952"/>
      <c r="DCW48" s="952"/>
      <c r="DCX48" s="952"/>
      <c r="DCY48" s="952"/>
      <c r="DCZ48" s="952"/>
      <c r="DDA48" s="952"/>
      <c r="DDB48" s="952"/>
      <c r="DDC48" s="952"/>
      <c r="DDD48" s="952"/>
      <c r="DDE48" s="952"/>
      <c r="DDF48" s="952"/>
      <c r="DDG48" s="952"/>
      <c r="DDH48" s="952"/>
      <c r="DDI48" s="952"/>
      <c r="DDJ48" s="952"/>
      <c r="DDK48" s="952"/>
      <c r="DDL48" s="952"/>
      <c r="DDM48" s="952"/>
      <c r="DDN48" s="952"/>
      <c r="DDO48" s="952"/>
      <c r="DDP48" s="952"/>
      <c r="DDQ48" s="952"/>
      <c r="DDR48" s="952"/>
      <c r="DDS48" s="952"/>
      <c r="DDT48" s="952"/>
      <c r="DDU48" s="952"/>
      <c r="DDV48" s="952"/>
      <c r="DDW48" s="952"/>
      <c r="DDX48" s="952"/>
      <c r="DDY48" s="952"/>
      <c r="DDZ48" s="952"/>
      <c r="DEA48" s="952"/>
      <c r="DEB48" s="952"/>
      <c r="DEC48" s="952"/>
      <c r="DED48" s="952"/>
      <c r="DEE48" s="952"/>
      <c r="DEF48" s="952"/>
      <c r="DEG48" s="952"/>
      <c r="DEH48" s="952"/>
      <c r="DEI48" s="952"/>
      <c r="DEJ48" s="952"/>
      <c r="DEK48" s="952"/>
      <c r="DEL48" s="952"/>
      <c r="DEM48" s="952"/>
      <c r="DEN48" s="952"/>
      <c r="DEO48" s="952"/>
      <c r="DEP48" s="952"/>
      <c r="DEQ48" s="952"/>
      <c r="DER48" s="952"/>
      <c r="DES48" s="952"/>
      <c r="DET48" s="952"/>
      <c r="DEU48" s="952"/>
      <c r="DEV48" s="952"/>
      <c r="DEW48" s="952"/>
      <c r="DEX48" s="952"/>
      <c r="DEY48" s="952"/>
      <c r="DEZ48" s="952"/>
      <c r="DFA48" s="952"/>
      <c r="DFB48" s="952"/>
      <c r="DFC48" s="952"/>
      <c r="DFD48" s="952"/>
      <c r="DFE48" s="952"/>
      <c r="DFF48" s="952"/>
      <c r="DFG48" s="952"/>
      <c r="DFH48" s="952"/>
      <c r="DFI48" s="952"/>
      <c r="DFJ48" s="952"/>
      <c r="DFK48" s="952"/>
      <c r="DFL48" s="952"/>
      <c r="DFM48" s="952"/>
      <c r="DFN48" s="952"/>
      <c r="DFO48" s="952"/>
      <c r="DFP48" s="952"/>
      <c r="DFQ48" s="952"/>
      <c r="DFR48" s="952"/>
      <c r="DFS48" s="952"/>
      <c r="DFT48" s="952"/>
      <c r="DFU48" s="952"/>
      <c r="DFV48" s="952"/>
      <c r="DFW48" s="952"/>
      <c r="DFX48" s="952"/>
      <c r="DFY48" s="952"/>
      <c r="DFZ48" s="952"/>
      <c r="DGA48" s="952"/>
      <c r="DGB48" s="952"/>
      <c r="DGC48" s="952"/>
      <c r="DGD48" s="952"/>
      <c r="DGE48" s="952"/>
      <c r="DGF48" s="952"/>
      <c r="DGG48" s="952"/>
      <c r="DGH48" s="952"/>
      <c r="DGI48" s="952"/>
      <c r="DGJ48" s="952"/>
      <c r="DGK48" s="952"/>
      <c r="DGL48" s="952"/>
      <c r="DGM48" s="952"/>
      <c r="DGN48" s="952"/>
      <c r="DGO48" s="952"/>
      <c r="DGP48" s="952"/>
      <c r="DGQ48" s="952"/>
      <c r="DGR48" s="952"/>
      <c r="DGS48" s="952"/>
      <c r="DGT48" s="952"/>
      <c r="DGU48" s="952"/>
      <c r="DGV48" s="952"/>
      <c r="DGW48" s="952"/>
      <c r="DGX48" s="952"/>
      <c r="DGY48" s="952"/>
      <c r="DGZ48" s="952"/>
      <c r="DHA48" s="952"/>
      <c r="DHB48" s="952"/>
      <c r="DHC48" s="952"/>
      <c r="DHD48" s="952"/>
      <c r="DHE48" s="952"/>
      <c r="DHF48" s="952"/>
      <c r="DHG48" s="952"/>
      <c r="DHH48" s="952"/>
      <c r="DHI48" s="952"/>
      <c r="DHJ48" s="952"/>
      <c r="DHK48" s="952"/>
      <c r="DHL48" s="952"/>
      <c r="DHM48" s="952"/>
      <c r="DHN48" s="952"/>
      <c r="DHO48" s="952"/>
      <c r="DHP48" s="952"/>
      <c r="DHQ48" s="952"/>
      <c r="DHR48" s="952"/>
      <c r="DHS48" s="952"/>
      <c r="DHT48" s="952"/>
      <c r="DHU48" s="952"/>
      <c r="DHV48" s="952"/>
      <c r="DHW48" s="952"/>
      <c r="DHX48" s="952"/>
      <c r="DHY48" s="952"/>
      <c r="DHZ48" s="952"/>
      <c r="DIA48" s="952"/>
      <c r="DIB48" s="952"/>
      <c r="DIC48" s="952"/>
      <c r="DID48" s="952"/>
      <c r="DIE48" s="952"/>
      <c r="DIF48" s="952"/>
      <c r="DIG48" s="952"/>
      <c r="DIH48" s="952"/>
      <c r="DII48" s="952"/>
      <c r="DIJ48" s="952"/>
      <c r="DIK48" s="952"/>
      <c r="DIL48" s="952"/>
      <c r="DIM48" s="952"/>
      <c r="DIN48" s="952"/>
      <c r="DIO48" s="952"/>
      <c r="DIP48" s="952"/>
      <c r="DIQ48" s="952"/>
      <c r="DIR48" s="952"/>
      <c r="DIS48" s="952"/>
      <c r="DIT48" s="952"/>
      <c r="DIU48" s="952"/>
      <c r="DIV48" s="952"/>
      <c r="DIW48" s="952"/>
      <c r="DIX48" s="952"/>
      <c r="DIY48" s="952"/>
      <c r="DIZ48" s="952"/>
      <c r="DJA48" s="952"/>
      <c r="DJB48" s="952"/>
      <c r="DJC48" s="952"/>
      <c r="DJD48" s="952"/>
      <c r="DJE48" s="952"/>
      <c r="DJF48" s="952"/>
      <c r="DJG48" s="952"/>
      <c r="DJH48" s="952"/>
      <c r="DJI48" s="952"/>
      <c r="DJJ48" s="952"/>
      <c r="DJK48" s="952"/>
      <c r="DJL48" s="952"/>
      <c r="DJM48" s="952"/>
      <c r="DJN48" s="952"/>
      <c r="DJO48" s="952"/>
      <c r="DJP48" s="952"/>
      <c r="DJQ48" s="952"/>
      <c r="DJR48" s="952"/>
      <c r="DJS48" s="952"/>
      <c r="DJT48" s="952"/>
      <c r="DJU48" s="952"/>
      <c r="DJV48" s="952"/>
      <c r="DJW48" s="952"/>
      <c r="DJX48" s="952"/>
      <c r="DJY48" s="952"/>
      <c r="DJZ48" s="952"/>
      <c r="DKA48" s="952"/>
      <c r="DKB48" s="952"/>
      <c r="DKC48" s="952"/>
      <c r="DKD48" s="952"/>
      <c r="DKE48" s="952"/>
      <c r="DKF48" s="952"/>
      <c r="DKG48" s="952"/>
      <c r="DKH48" s="952"/>
      <c r="DKI48" s="952"/>
      <c r="DKJ48" s="952"/>
      <c r="DKK48" s="952"/>
      <c r="DKL48" s="952"/>
      <c r="DKM48" s="952"/>
      <c r="DKN48" s="952"/>
      <c r="DKO48" s="952"/>
      <c r="DKP48" s="952"/>
      <c r="DKQ48" s="952"/>
      <c r="DKR48" s="952"/>
      <c r="DKS48" s="952"/>
      <c r="DKT48" s="952"/>
      <c r="DKU48" s="952"/>
      <c r="DKV48" s="952"/>
      <c r="DKW48" s="952"/>
      <c r="DKX48" s="952"/>
      <c r="DKY48" s="952"/>
      <c r="DKZ48" s="952"/>
      <c r="DLA48" s="952"/>
      <c r="DLB48" s="952"/>
      <c r="DLC48" s="952"/>
      <c r="DLD48" s="952"/>
      <c r="DLE48" s="952"/>
      <c r="DLF48" s="952"/>
      <c r="DLG48" s="952"/>
      <c r="DLH48" s="952"/>
      <c r="DLI48" s="952"/>
      <c r="DLJ48" s="952"/>
      <c r="DLK48" s="952"/>
      <c r="DLL48" s="952"/>
      <c r="DLM48" s="952"/>
      <c r="DLN48" s="952"/>
      <c r="DLO48" s="952"/>
      <c r="DLP48" s="952"/>
      <c r="DLQ48" s="952"/>
      <c r="DLR48" s="952"/>
      <c r="DLS48" s="952"/>
      <c r="DLT48" s="952"/>
      <c r="DLU48" s="952"/>
      <c r="DLV48" s="952"/>
      <c r="DLW48" s="952"/>
      <c r="DLX48" s="952"/>
      <c r="DLY48" s="952"/>
      <c r="DLZ48" s="952"/>
      <c r="DMA48" s="952"/>
      <c r="DMB48" s="952"/>
      <c r="DMC48" s="952"/>
      <c r="DMD48" s="952"/>
      <c r="DME48" s="952"/>
      <c r="DMF48" s="952"/>
      <c r="DMG48" s="952"/>
      <c r="DMH48" s="952"/>
      <c r="DMI48" s="952"/>
      <c r="DMJ48" s="952"/>
      <c r="DMK48" s="952"/>
      <c r="DML48" s="952"/>
      <c r="DMM48" s="952"/>
      <c r="DMN48" s="952"/>
      <c r="DMO48" s="952"/>
      <c r="DMP48" s="952"/>
      <c r="DMQ48" s="952"/>
      <c r="DMR48" s="952"/>
      <c r="DMS48" s="952"/>
      <c r="DMT48" s="952"/>
      <c r="DMU48" s="952"/>
      <c r="DMV48" s="952"/>
      <c r="DMW48" s="952"/>
      <c r="DMX48" s="952"/>
      <c r="DMY48" s="952"/>
      <c r="DMZ48" s="952"/>
      <c r="DNA48" s="952"/>
      <c r="DNB48" s="952"/>
      <c r="DNC48" s="952"/>
      <c r="DND48" s="952"/>
      <c r="DNE48" s="952"/>
      <c r="DNF48" s="952"/>
      <c r="DNG48" s="952"/>
      <c r="DNH48" s="952"/>
      <c r="DNI48" s="952"/>
      <c r="DNJ48" s="952"/>
      <c r="DNK48" s="952"/>
      <c r="DNL48" s="952"/>
      <c r="DNM48" s="952"/>
      <c r="DNN48" s="952"/>
      <c r="DNO48" s="952"/>
      <c r="DNP48" s="952"/>
      <c r="DNQ48" s="952"/>
      <c r="DNR48" s="952"/>
      <c r="DNS48" s="952"/>
      <c r="DNT48" s="952"/>
      <c r="DNU48" s="952"/>
      <c r="DNV48" s="952"/>
      <c r="DNW48" s="952"/>
      <c r="DNX48" s="952"/>
      <c r="DNY48" s="952"/>
      <c r="DNZ48" s="952"/>
      <c r="DOA48" s="952"/>
      <c r="DOB48" s="952"/>
      <c r="DOC48" s="952"/>
      <c r="DOD48" s="952"/>
      <c r="DOE48" s="952"/>
      <c r="DOF48" s="952"/>
      <c r="DOG48" s="952"/>
      <c r="DOH48" s="952"/>
      <c r="DOI48" s="952"/>
      <c r="DOJ48" s="952"/>
      <c r="DOK48" s="952"/>
      <c r="DOL48" s="952"/>
      <c r="DOM48" s="952"/>
      <c r="DON48" s="952"/>
      <c r="DOO48" s="952"/>
      <c r="DOP48" s="952"/>
      <c r="DOQ48" s="952"/>
      <c r="DOR48" s="952"/>
      <c r="DOS48" s="952"/>
      <c r="DOT48" s="952"/>
      <c r="DOU48" s="952"/>
      <c r="DOV48" s="952"/>
      <c r="DOW48" s="952"/>
      <c r="DOX48" s="952"/>
      <c r="DOY48" s="952"/>
      <c r="DOZ48" s="952"/>
      <c r="DPA48" s="952"/>
      <c r="DPB48" s="952"/>
      <c r="DPC48" s="952"/>
      <c r="DPD48" s="952"/>
      <c r="DPE48" s="952"/>
      <c r="DPF48" s="952"/>
      <c r="DPG48" s="952"/>
      <c r="DPH48" s="952"/>
      <c r="DPI48" s="952"/>
      <c r="DPJ48" s="952"/>
      <c r="DPK48" s="952"/>
      <c r="DPL48" s="952"/>
      <c r="DPM48" s="952"/>
      <c r="DPN48" s="952"/>
      <c r="DPO48" s="952"/>
      <c r="DPP48" s="952"/>
      <c r="DPQ48" s="952"/>
      <c r="DPR48" s="952"/>
      <c r="DPS48" s="952"/>
      <c r="DPT48" s="952"/>
      <c r="DPU48" s="952"/>
      <c r="DPV48" s="952"/>
      <c r="DPW48" s="952"/>
      <c r="DPX48" s="952"/>
      <c r="DPY48" s="952"/>
      <c r="DPZ48" s="952"/>
      <c r="DQA48" s="952"/>
      <c r="DQB48" s="952"/>
      <c r="DQC48" s="952"/>
      <c r="DQD48" s="952"/>
      <c r="DQE48" s="952"/>
      <c r="DQF48" s="952"/>
      <c r="DQG48" s="952"/>
      <c r="DQH48" s="952"/>
      <c r="DQI48" s="952"/>
      <c r="DQJ48" s="952"/>
      <c r="DQK48" s="952"/>
      <c r="DQL48" s="952"/>
      <c r="DQM48" s="952"/>
      <c r="DQN48" s="952"/>
      <c r="DQO48" s="952"/>
      <c r="DQP48" s="952"/>
      <c r="DQQ48" s="952"/>
      <c r="DQR48" s="952"/>
      <c r="DQS48" s="952"/>
      <c r="DQT48" s="952"/>
      <c r="DQU48" s="952"/>
      <c r="DQV48" s="952"/>
      <c r="DQW48" s="952"/>
      <c r="DQX48" s="952"/>
      <c r="DQY48" s="952"/>
      <c r="DQZ48" s="952"/>
      <c r="DRA48" s="952"/>
      <c r="DRB48" s="952"/>
      <c r="DRC48" s="952"/>
      <c r="DRD48" s="952"/>
      <c r="DRE48" s="952"/>
      <c r="DRF48" s="952"/>
      <c r="DRG48" s="952"/>
      <c r="DRH48" s="952"/>
      <c r="DRI48" s="952"/>
      <c r="DRJ48" s="952"/>
      <c r="DRK48" s="952"/>
      <c r="DRL48" s="952"/>
      <c r="DRM48" s="952"/>
      <c r="DRN48" s="952"/>
      <c r="DRO48" s="952"/>
      <c r="DRP48" s="952"/>
      <c r="DRQ48" s="952"/>
      <c r="DRR48" s="952"/>
      <c r="DRS48" s="952"/>
      <c r="DRT48" s="952"/>
      <c r="DRU48" s="952"/>
      <c r="DRV48" s="952"/>
      <c r="DRW48" s="952"/>
      <c r="DRX48" s="952"/>
      <c r="DRY48" s="952"/>
      <c r="DRZ48" s="952"/>
      <c r="DSA48" s="952"/>
      <c r="DSB48" s="952"/>
      <c r="DSC48" s="952"/>
      <c r="DSD48" s="952"/>
      <c r="DSE48" s="952"/>
      <c r="DSF48" s="952"/>
      <c r="DSG48" s="952"/>
      <c r="DSH48" s="952"/>
      <c r="DSI48" s="952"/>
      <c r="DSJ48" s="952"/>
      <c r="DSK48" s="952"/>
      <c r="DSL48" s="952"/>
      <c r="DSM48" s="952"/>
      <c r="DSN48" s="952"/>
      <c r="DSO48" s="952"/>
      <c r="DSP48" s="952"/>
      <c r="DSQ48" s="952"/>
      <c r="DSR48" s="952"/>
      <c r="DSS48" s="952"/>
      <c r="DST48" s="952"/>
      <c r="DSU48" s="952"/>
      <c r="DSV48" s="952"/>
      <c r="DSW48" s="952"/>
      <c r="DSX48" s="952"/>
      <c r="DSY48" s="952"/>
      <c r="DSZ48" s="952"/>
      <c r="DTA48" s="952"/>
      <c r="DTB48" s="952"/>
      <c r="DTC48" s="952"/>
      <c r="DTD48" s="952"/>
      <c r="DTE48" s="952"/>
      <c r="DTF48" s="952"/>
      <c r="DTG48" s="952"/>
      <c r="DTH48" s="952"/>
      <c r="DTI48" s="952"/>
      <c r="DTJ48" s="952"/>
      <c r="DTK48" s="952"/>
      <c r="DTL48" s="952"/>
      <c r="DTM48" s="952"/>
      <c r="DTN48" s="952"/>
      <c r="DTO48" s="952"/>
      <c r="DTP48" s="952"/>
      <c r="DTQ48" s="952"/>
      <c r="DTR48" s="952"/>
      <c r="DTS48" s="952"/>
      <c r="DTT48" s="952"/>
      <c r="DTU48" s="952"/>
      <c r="DTV48" s="952"/>
      <c r="DTW48" s="952"/>
      <c r="DTX48" s="952"/>
      <c r="DTY48" s="952"/>
      <c r="DTZ48" s="952"/>
      <c r="DUA48" s="952"/>
      <c r="DUB48" s="952"/>
      <c r="DUC48" s="952"/>
      <c r="DUD48" s="952"/>
      <c r="DUE48" s="952"/>
      <c r="DUF48" s="952"/>
      <c r="DUG48" s="952"/>
      <c r="DUH48" s="952"/>
      <c r="DUI48" s="952"/>
      <c r="DUJ48" s="952"/>
      <c r="DUK48" s="952"/>
      <c r="DUL48" s="952"/>
      <c r="DUM48" s="952"/>
      <c r="DUN48" s="952"/>
      <c r="DUO48" s="952"/>
      <c r="DUP48" s="952"/>
      <c r="DUQ48" s="952"/>
      <c r="DUR48" s="952"/>
      <c r="DUS48" s="952"/>
      <c r="DUT48" s="952"/>
      <c r="DUU48" s="952"/>
      <c r="DUV48" s="952"/>
      <c r="DUW48" s="952"/>
      <c r="DUX48" s="952"/>
      <c r="DUY48" s="952"/>
      <c r="DUZ48" s="952"/>
      <c r="DVA48" s="952"/>
      <c r="DVB48" s="952"/>
      <c r="DVC48" s="952"/>
      <c r="DVD48" s="952"/>
      <c r="DVE48" s="952"/>
      <c r="DVF48" s="952"/>
      <c r="DVG48" s="952"/>
      <c r="DVH48" s="952"/>
      <c r="DVI48" s="952"/>
      <c r="DVJ48" s="952"/>
      <c r="DVK48" s="952"/>
      <c r="DVL48" s="952"/>
      <c r="DVM48" s="952"/>
      <c r="DVN48" s="952"/>
      <c r="DVO48" s="952"/>
      <c r="DVP48" s="952"/>
      <c r="DVQ48" s="952"/>
      <c r="DVR48" s="952"/>
      <c r="DVS48" s="952"/>
      <c r="DVT48" s="952"/>
      <c r="DVU48" s="952"/>
      <c r="DVV48" s="952"/>
      <c r="DVW48" s="952"/>
      <c r="DVX48" s="952"/>
      <c r="DVY48" s="952"/>
      <c r="DVZ48" s="952"/>
      <c r="DWA48" s="952"/>
      <c r="DWB48" s="952"/>
      <c r="DWC48" s="952"/>
      <c r="DWD48" s="952"/>
      <c r="DWE48" s="952"/>
      <c r="DWF48" s="952"/>
      <c r="DWG48" s="952"/>
      <c r="DWH48" s="952"/>
      <c r="DWI48" s="952"/>
      <c r="DWJ48" s="952"/>
      <c r="DWK48" s="952"/>
      <c r="DWL48" s="952"/>
      <c r="DWM48" s="952"/>
      <c r="DWN48" s="952"/>
      <c r="DWO48" s="952"/>
      <c r="DWP48" s="952"/>
      <c r="DWQ48" s="952"/>
      <c r="DWR48" s="952"/>
      <c r="DWS48" s="952"/>
      <c r="DWT48" s="952"/>
      <c r="DWU48" s="952"/>
      <c r="DWV48" s="952"/>
      <c r="DWW48" s="952"/>
      <c r="DWX48" s="952"/>
      <c r="DWY48" s="952"/>
      <c r="DWZ48" s="952"/>
      <c r="DXA48" s="952"/>
      <c r="DXB48" s="952"/>
      <c r="DXC48" s="952"/>
      <c r="DXD48" s="952"/>
      <c r="DXE48" s="952"/>
      <c r="DXF48" s="952"/>
      <c r="DXG48" s="952"/>
      <c r="DXH48" s="952"/>
      <c r="DXI48" s="952"/>
      <c r="DXJ48" s="952"/>
      <c r="DXK48" s="952"/>
      <c r="DXL48" s="952"/>
      <c r="DXM48" s="952"/>
      <c r="DXN48" s="952"/>
      <c r="DXO48" s="952"/>
      <c r="DXP48" s="952"/>
      <c r="DXQ48" s="952"/>
      <c r="DXR48" s="952"/>
      <c r="DXS48" s="952"/>
      <c r="DXT48" s="952"/>
      <c r="DXU48" s="952"/>
      <c r="DXV48" s="952"/>
      <c r="DXW48" s="952"/>
      <c r="DXX48" s="952"/>
      <c r="DXY48" s="952"/>
      <c r="DXZ48" s="952"/>
      <c r="DYA48" s="952"/>
      <c r="DYB48" s="952"/>
      <c r="DYC48" s="952"/>
      <c r="DYD48" s="952"/>
      <c r="DYE48" s="952"/>
      <c r="DYF48" s="952"/>
      <c r="DYG48" s="952"/>
      <c r="DYH48" s="952"/>
      <c r="DYI48" s="952"/>
      <c r="DYJ48" s="952"/>
      <c r="DYK48" s="952"/>
      <c r="DYL48" s="952"/>
      <c r="DYM48" s="952"/>
      <c r="DYN48" s="952"/>
      <c r="DYO48" s="952"/>
      <c r="DYP48" s="952"/>
      <c r="DYQ48" s="952"/>
      <c r="DYR48" s="952"/>
      <c r="DYS48" s="952"/>
      <c r="DYT48" s="952"/>
      <c r="DYU48" s="952"/>
      <c r="DYV48" s="952"/>
      <c r="DYW48" s="952"/>
      <c r="DYX48" s="952"/>
      <c r="DYY48" s="952"/>
      <c r="DYZ48" s="952"/>
      <c r="DZA48" s="952"/>
      <c r="DZB48" s="952"/>
      <c r="DZC48" s="952"/>
      <c r="DZD48" s="952"/>
      <c r="DZE48" s="952"/>
      <c r="DZF48" s="952"/>
      <c r="DZG48" s="952"/>
      <c r="DZH48" s="952"/>
      <c r="DZI48" s="952"/>
      <c r="DZJ48" s="952"/>
      <c r="DZK48" s="952"/>
      <c r="DZL48" s="952"/>
      <c r="DZM48" s="952"/>
      <c r="DZN48" s="952"/>
      <c r="DZO48" s="952"/>
      <c r="DZP48" s="952"/>
      <c r="DZQ48" s="952"/>
      <c r="DZR48" s="952"/>
      <c r="DZS48" s="952"/>
      <c r="DZT48" s="952"/>
      <c r="DZU48" s="952"/>
      <c r="DZV48" s="952"/>
      <c r="DZW48" s="952"/>
      <c r="DZX48" s="952"/>
      <c r="DZY48" s="952"/>
      <c r="DZZ48" s="952"/>
      <c r="EAA48" s="952"/>
      <c r="EAB48" s="952"/>
      <c r="EAC48" s="952"/>
      <c r="EAD48" s="952"/>
      <c r="EAE48" s="952"/>
      <c r="EAF48" s="952"/>
      <c r="EAG48" s="952"/>
      <c r="EAH48" s="952"/>
      <c r="EAI48" s="952"/>
      <c r="EAJ48" s="952"/>
      <c r="EAK48" s="952"/>
      <c r="EAL48" s="952"/>
      <c r="EAM48" s="952"/>
      <c r="EAN48" s="952"/>
      <c r="EAO48" s="952"/>
      <c r="EAP48" s="952"/>
      <c r="EAQ48" s="952"/>
      <c r="EAR48" s="952"/>
      <c r="EAS48" s="952"/>
      <c r="EAT48" s="952"/>
      <c r="EAU48" s="952"/>
      <c r="EAV48" s="952"/>
      <c r="EAW48" s="952"/>
      <c r="EAX48" s="952"/>
      <c r="EAY48" s="952"/>
      <c r="EAZ48" s="952"/>
      <c r="EBA48" s="952"/>
      <c r="EBB48" s="952"/>
      <c r="EBC48" s="952"/>
      <c r="EBD48" s="952"/>
      <c r="EBE48" s="952"/>
      <c r="EBF48" s="952"/>
      <c r="EBG48" s="952"/>
      <c r="EBH48" s="952"/>
      <c r="EBI48" s="952"/>
      <c r="EBJ48" s="952"/>
      <c r="EBK48" s="952"/>
      <c r="EBL48" s="952"/>
      <c r="EBM48" s="952"/>
      <c r="EBN48" s="952"/>
      <c r="EBO48" s="952"/>
      <c r="EBP48" s="952"/>
      <c r="EBQ48" s="952"/>
      <c r="EBR48" s="952"/>
      <c r="EBS48" s="952"/>
      <c r="EBT48" s="952"/>
      <c r="EBU48" s="952"/>
      <c r="EBV48" s="952"/>
      <c r="EBW48" s="952"/>
      <c r="EBX48" s="952"/>
      <c r="EBY48" s="952"/>
      <c r="EBZ48" s="952"/>
      <c r="ECA48" s="952"/>
      <c r="ECB48" s="952"/>
      <c r="ECC48" s="952"/>
      <c r="ECD48" s="952"/>
      <c r="ECE48" s="952"/>
      <c r="ECF48" s="952"/>
      <c r="ECG48" s="952"/>
      <c r="ECH48" s="952"/>
      <c r="ECI48" s="952"/>
      <c r="ECJ48" s="952"/>
      <c r="ECK48" s="952"/>
      <c r="ECL48" s="952"/>
      <c r="ECM48" s="952"/>
      <c r="ECN48" s="952"/>
      <c r="ECO48" s="952"/>
      <c r="ECP48" s="952"/>
      <c r="ECQ48" s="952"/>
      <c r="ECR48" s="952"/>
      <c r="ECS48" s="952"/>
      <c r="ECT48" s="952"/>
      <c r="ECU48" s="952"/>
      <c r="ECV48" s="952"/>
      <c r="ECW48" s="952"/>
      <c r="ECX48" s="952"/>
      <c r="ECY48" s="952"/>
      <c r="ECZ48" s="952"/>
      <c r="EDA48" s="952"/>
      <c r="EDB48" s="952"/>
      <c r="EDC48" s="952"/>
      <c r="EDD48" s="952"/>
      <c r="EDE48" s="952"/>
      <c r="EDF48" s="952"/>
      <c r="EDG48" s="952"/>
      <c r="EDH48" s="952"/>
      <c r="EDI48" s="952"/>
      <c r="EDJ48" s="952"/>
      <c r="EDK48" s="952"/>
      <c r="EDL48" s="952"/>
      <c r="EDM48" s="952"/>
      <c r="EDN48" s="952"/>
      <c r="EDO48" s="952"/>
      <c r="EDP48" s="952"/>
      <c r="EDQ48" s="952"/>
      <c r="EDR48" s="952"/>
      <c r="EDS48" s="952"/>
      <c r="EDT48" s="952"/>
      <c r="EDU48" s="952"/>
      <c r="EDV48" s="952"/>
      <c r="EDW48" s="952"/>
      <c r="EDX48" s="952"/>
      <c r="EDY48" s="952"/>
      <c r="EDZ48" s="952"/>
      <c r="EEA48" s="952"/>
      <c r="EEB48" s="952"/>
      <c r="EEC48" s="952"/>
      <c r="EED48" s="952"/>
      <c r="EEE48" s="952"/>
      <c r="EEF48" s="952"/>
      <c r="EEG48" s="952"/>
      <c r="EEH48" s="952"/>
      <c r="EEI48" s="952"/>
      <c r="EEJ48" s="952"/>
      <c r="EEK48" s="952"/>
      <c r="EEL48" s="952"/>
      <c r="EEM48" s="952"/>
      <c r="EEN48" s="952"/>
      <c r="EEO48" s="952"/>
      <c r="EEP48" s="952"/>
      <c r="EEQ48" s="952"/>
      <c r="EER48" s="952"/>
      <c r="EES48" s="952"/>
      <c r="EET48" s="952"/>
      <c r="EEU48" s="952"/>
      <c r="EEV48" s="952"/>
      <c r="EEW48" s="952"/>
      <c r="EEX48" s="952"/>
      <c r="EEY48" s="952"/>
      <c r="EEZ48" s="952"/>
      <c r="EFA48" s="952"/>
      <c r="EFB48" s="952"/>
      <c r="EFC48" s="952"/>
      <c r="EFD48" s="952"/>
      <c r="EFE48" s="952"/>
      <c r="EFF48" s="952"/>
      <c r="EFG48" s="952"/>
      <c r="EFH48" s="952"/>
      <c r="EFI48" s="952"/>
      <c r="EFJ48" s="952"/>
      <c r="EFK48" s="952"/>
      <c r="EFL48" s="952"/>
      <c r="EFM48" s="952"/>
      <c r="EFN48" s="952"/>
      <c r="EFO48" s="952"/>
      <c r="EFP48" s="952"/>
      <c r="EFQ48" s="952"/>
      <c r="EFR48" s="952"/>
      <c r="EFS48" s="952"/>
      <c r="EFT48" s="952"/>
      <c r="EFU48" s="952"/>
      <c r="EFV48" s="952"/>
      <c r="EFW48" s="952"/>
      <c r="EFX48" s="952"/>
      <c r="EFY48" s="952"/>
      <c r="EFZ48" s="952"/>
      <c r="EGA48" s="952"/>
      <c r="EGB48" s="952"/>
      <c r="EGC48" s="952"/>
      <c r="EGD48" s="952"/>
      <c r="EGE48" s="952"/>
      <c r="EGF48" s="952"/>
      <c r="EGG48" s="952"/>
      <c r="EGH48" s="952"/>
      <c r="EGI48" s="952"/>
      <c r="EGJ48" s="952"/>
      <c r="EGK48" s="952"/>
      <c r="EGL48" s="952"/>
      <c r="EGM48" s="952"/>
      <c r="EGN48" s="952"/>
      <c r="EGO48" s="952"/>
      <c r="EGP48" s="952"/>
      <c r="EGQ48" s="952"/>
      <c r="EGR48" s="952"/>
      <c r="EGS48" s="952"/>
      <c r="EGT48" s="952"/>
      <c r="EGU48" s="952"/>
      <c r="EGV48" s="952"/>
      <c r="EGW48" s="952"/>
      <c r="EGX48" s="952"/>
      <c r="EGY48" s="952"/>
      <c r="EGZ48" s="952"/>
      <c r="EHA48" s="952"/>
      <c r="EHB48" s="952"/>
      <c r="EHC48" s="952"/>
      <c r="EHD48" s="952"/>
      <c r="EHE48" s="952"/>
      <c r="EHF48" s="952"/>
      <c r="EHG48" s="952"/>
      <c r="EHH48" s="952"/>
      <c r="EHI48" s="952"/>
      <c r="EHJ48" s="952"/>
      <c r="EHK48" s="952"/>
      <c r="EHL48" s="952"/>
      <c r="EHM48" s="952"/>
      <c r="EHN48" s="952"/>
      <c r="EHO48" s="952"/>
      <c r="EHP48" s="952"/>
      <c r="EHQ48" s="952"/>
      <c r="EHR48" s="952"/>
      <c r="EHS48" s="952"/>
      <c r="EHT48" s="952"/>
      <c r="EHU48" s="952"/>
      <c r="EHV48" s="952"/>
      <c r="EHW48" s="952"/>
      <c r="EHX48" s="952"/>
      <c r="EHY48" s="952"/>
      <c r="EHZ48" s="952"/>
      <c r="EIA48" s="952"/>
      <c r="EIB48" s="952"/>
      <c r="EIC48" s="952"/>
      <c r="EID48" s="952"/>
      <c r="EIE48" s="952"/>
      <c r="EIF48" s="952"/>
      <c r="EIG48" s="952"/>
      <c r="EIH48" s="952"/>
      <c r="EII48" s="952"/>
      <c r="EIJ48" s="952"/>
      <c r="EIK48" s="952"/>
      <c r="EIL48" s="952"/>
      <c r="EIM48" s="952"/>
      <c r="EIN48" s="952"/>
      <c r="EIO48" s="952"/>
      <c r="EIP48" s="952"/>
      <c r="EIQ48" s="952"/>
      <c r="EIR48" s="952"/>
      <c r="EIS48" s="952"/>
      <c r="EIT48" s="952"/>
      <c r="EIU48" s="952"/>
      <c r="EIV48" s="952"/>
      <c r="EIW48" s="952"/>
      <c r="EIX48" s="952"/>
      <c r="EIY48" s="952"/>
      <c r="EIZ48" s="952"/>
      <c r="EJA48" s="952"/>
      <c r="EJB48" s="952"/>
      <c r="EJC48" s="952"/>
      <c r="EJD48" s="952"/>
      <c r="EJE48" s="952"/>
      <c r="EJF48" s="952"/>
      <c r="EJG48" s="952"/>
      <c r="EJH48" s="952"/>
      <c r="EJI48" s="952"/>
      <c r="EJJ48" s="952"/>
      <c r="EJK48" s="952"/>
      <c r="EJL48" s="952"/>
      <c r="EJM48" s="952"/>
      <c r="EJN48" s="952"/>
      <c r="EJO48" s="952"/>
      <c r="EJP48" s="952"/>
      <c r="EJQ48" s="952"/>
      <c r="EJR48" s="952"/>
      <c r="EJS48" s="952"/>
      <c r="EJT48" s="952"/>
      <c r="EJU48" s="952"/>
      <c r="EJV48" s="952"/>
      <c r="EJW48" s="952"/>
      <c r="EJX48" s="952"/>
      <c r="EJY48" s="952"/>
      <c r="EJZ48" s="952"/>
      <c r="EKA48" s="952"/>
      <c r="EKB48" s="952"/>
      <c r="EKC48" s="952"/>
      <c r="EKD48" s="952"/>
      <c r="EKE48" s="952"/>
      <c r="EKF48" s="952"/>
      <c r="EKG48" s="952"/>
      <c r="EKH48" s="952"/>
      <c r="EKI48" s="952"/>
      <c r="EKJ48" s="952"/>
      <c r="EKK48" s="952"/>
      <c r="EKL48" s="952"/>
      <c r="EKM48" s="952"/>
      <c r="EKN48" s="952"/>
      <c r="EKO48" s="952"/>
      <c r="EKP48" s="952"/>
      <c r="EKQ48" s="952"/>
      <c r="EKR48" s="952"/>
      <c r="EKS48" s="952"/>
      <c r="EKT48" s="952"/>
      <c r="EKU48" s="952"/>
      <c r="EKV48" s="952"/>
      <c r="EKW48" s="952"/>
      <c r="EKX48" s="952"/>
      <c r="EKY48" s="952"/>
      <c r="EKZ48" s="952"/>
      <c r="ELA48" s="952"/>
      <c r="ELB48" s="952"/>
      <c r="ELC48" s="952"/>
      <c r="ELD48" s="952"/>
      <c r="ELE48" s="952"/>
      <c r="ELF48" s="952"/>
      <c r="ELG48" s="952"/>
      <c r="ELH48" s="952"/>
      <c r="ELI48" s="952"/>
      <c r="ELJ48" s="952"/>
      <c r="ELK48" s="952"/>
      <c r="ELL48" s="952"/>
      <c r="ELM48" s="952"/>
      <c r="ELN48" s="952"/>
      <c r="ELO48" s="952"/>
      <c r="ELP48" s="952"/>
      <c r="ELQ48" s="952"/>
      <c r="ELR48" s="952"/>
      <c r="ELS48" s="952"/>
      <c r="ELT48" s="952"/>
      <c r="ELU48" s="952"/>
      <c r="ELV48" s="952"/>
      <c r="ELW48" s="952"/>
      <c r="ELX48" s="952"/>
      <c r="ELY48" s="952"/>
      <c r="ELZ48" s="952"/>
      <c r="EMA48" s="952"/>
      <c r="EMB48" s="952"/>
      <c r="EMC48" s="952"/>
      <c r="EMD48" s="952"/>
      <c r="EME48" s="952"/>
      <c r="EMF48" s="952"/>
      <c r="EMG48" s="952"/>
      <c r="EMH48" s="952"/>
      <c r="EMI48" s="952"/>
      <c r="EMJ48" s="952"/>
      <c r="EMK48" s="952"/>
      <c r="EML48" s="952"/>
      <c r="EMM48" s="952"/>
      <c r="EMN48" s="952"/>
      <c r="EMO48" s="952"/>
      <c r="EMP48" s="952"/>
      <c r="EMQ48" s="952"/>
      <c r="EMR48" s="952"/>
      <c r="EMS48" s="952"/>
      <c r="EMT48" s="952"/>
      <c r="EMU48" s="952"/>
      <c r="EMV48" s="952"/>
      <c r="EMW48" s="952"/>
      <c r="EMX48" s="952"/>
      <c r="EMY48" s="952"/>
      <c r="EMZ48" s="952"/>
      <c r="ENA48" s="952"/>
      <c r="ENB48" s="952"/>
      <c r="ENC48" s="952"/>
      <c r="END48" s="952"/>
      <c r="ENE48" s="952"/>
      <c r="ENF48" s="952"/>
      <c r="ENG48" s="952"/>
      <c r="ENH48" s="952"/>
      <c r="ENI48" s="952"/>
      <c r="ENJ48" s="952"/>
      <c r="ENK48" s="952"/>
      <c r="ENL48" s="952"/>
      <c r="ENM48" s="952"/>
      <c r="ENN48" s="952"/>
      <c r="ENO48" s="952"/>
      <c r="ENP48" s="952"/>
      <c r="ENQ48" s="952"/>
      <c r="ENR48" s="952"/>
      <c r="ENS48" s="952"/>
      <c r="ENT48" s="952"/>
      <c r="ENU48" s="952"/>
      <c r="ENV48" s="952"/>
      <c r="ENW48" s="952"/>
      <c r="ENX48" s="952"/>
      <c r="ENY48" s="952"/>
      <c r="ENZ48" s="952"/>
      <c r="EOA48" s="952"/>
      <c r="EOB48" s="952"/>
      <c r="EOC48" s="952"/>
      <c r="EOD48" s="952"/>
      <c r="EOE48" s="952"/>
      <c r="EOF48" s="952"/>
      <c r="EOG48" s="952"/>
      <c r="EOH48" s="952"/>
      <c r="EOI48" s="952"/>
      <c r="EOJ48" s="952"/>
      <c r="EOK48" s="952"/>
      <c r="EOL48" s="952"/>
      <c r="EOM48" s="952"/>
      <c r="EON48" s="952"/>
      <c r="EOO48" s="952"/>
      <c r="EOP48" s="952"/>
      <c r="EOQ48" s="952"/>
      <c r="EOR48" s="952"/>
      <c r="EOS48" s="952"/>
      <c r="EOT48" s="952"/>
      <c r="EOU48" s="952"/>
      <c r="EOV48" s="952"/>
      <c r="EOW48" s="952"/>
      <c r="EOX48" s="952"/>
      <c r="EOY48" s="952"/>
      <c r="EOZ48" s="952"/>
      <c r="EPA48" s="952"/>
      <c r="EPB48" s="952"/>
      <c r="EPC48" s="952"/>
      <c r="EPD48" s="952"/>
      <c r="EPE48" s="952"/>
      <c r="EPF48" s="952"/>
      <c r="EPG48" s="952"/>
      <c r="EPH48" s="952"/>
      <c r="EPI48" s="952"/>
      <c r="EPJ48" s="952"/>
      <c r="EPK48" s="952"/>
      <c r="EPL48" s="952"/>
      <c r="EPM48" s="952"/>
      <c r="EPN48" s="952"/>
      <c r="EPO48" s="952"/>
      <c r="EPP48" s="952"/>
      <c r="EPQ48" s="952"/>
      <c r="EPR48" s="952"/>
      <c r="EPS48" s="952"/>
      <c r="EPT48" s="952"/>
      <c r="EPU48" s="952"/>
      <c r="EPV48" s="952"/>
      <c r="EPW48" s="952"/>
      <c r="EPX48" s="952"/>
      <c r="EPY48" s="952"/>
      <c r="EPZ48" s="952"/>
      <c r="EQA48" s="952"/>
      <c r="EQB48" s="952"/>
      <c r="EQC48" s="952"/>
      <c r="EQD48" s="952"/>
      <c r="EQE48" s="952"/>
      <c r="EQF48" s="952"/>
      <c r="EQG48" s="952"/>
      <c r="EQH48" s="952"/>
      <c r="EQI48" s="952"/>
      <c r="EQJ48" s="952"/>
      <c r="EQK48" s="952"/>
      <c r="EQL48" s="952"/>
      <c r="EQM48" s="952"/>
      <c r="EQN48" s="952"/>
      <c r="EQO48" s="952"/>
      <c r="EQP48" s="952"/>
      <c r="EQQ48" s="952"/>
      <c r="EQR48" s="952"/>
      <c r="EQS48" s="952"/>
      <c r="EQT48" s="952"/>
      <c r="EQU48" s="952"/>
      <c r="EQV48" s="952"/>
      <c r="EQW48" s="952"/>
      <c r="EQX48" s="952"/>
      <c r="EQY48" s="952"/>
      <c r="EQZ48" s="952"/>
      <c r="ERA48" s="952"/>
      <c r="ERB48" s="952"/>
      <c r="ERC48" s="952"/>
      <c r="ERD48" s="952"/>
      <c r="ERE48" s="952"/>
      <c r="ERF48" s="952"/>
      <c r="ERG48" s="952"/>
      <c r="ERH48" s="952"/>
      <c r="ERI48" s="952"/>
      <c r="ERJ48" s="952"/>
      <c r="ERK48" s="952"/>
      <c r="ERL48" s="952"/>
      <c r="ERM48" s="952"/>
      <c r="ERN48" s="952"/>
      <c r="ERO48" s="952"/>
      <c r="ERP48" s="952"/>
      <c r="ERQ48" s="952"/>
      <c r="ERR48" s="952"/>
      <c r="ERS48" s="952"/>
      <c r="ERT48" s="952"/>
      <c r="ERU48" s="952"/>
      <c r="ERV48" s="952"/>
      <c r="ERW48" s="952"/>
      <c r="ERX48" s="952"/>
      <c r="ERY48" s="952"/>
      <c r="ERZ48" s="952"/>
      <c r="ESA48" s="952"/>
      <c r="ESB48" s="952"/>
      <c r="ESC48" s="952"/>
      <c r="ESD48" s="952"/>
      <c r="ESE48" s="952"/>
      <c r="ESF48" s="952"/>
      <c r="ESG48" s="952"/>
      <c r="ESH48" s="952"/>
      <c r="ESI48" s="952"/>
      <c r="ESJ48" s="952"/>
      <c r="ESK48" s="952"/>
      <c r="ESL48" s="952"/>
      <c r="ESM48" s="952"/>
      <c r="ESN48" s="952"/>
      <c r="ESO48" s="952"/>
      <c r="ESP48" s="952"/>
      <c r="ESQ48" s="952"/>
      <c r="ESR48" s="952"/>
      <c r="ESS48" s="952"/>
      <c r="EST48" s="952"/>
      <c r="ESU48" s="952"/>
      <c r="ESV48" s="952"/>
      <c r="ESW48" s="952"/>
      <c r="ESX48" s="952"/>
      <c r="ESY48" s="952"/>
      <c r="ESZ48" s="952"/>
      <c r="ETA48" s="952"/>
      <c r="ETB48" s="952"/>
      <c r="ETC48" s="952"/>
      <c r="ETD48" s="952"/>
      <c r="ETE48" s="952"/>
      <c r="ETF48" s="952"/>
      <c r="ETG48" s="952"/>
      <c r="ETH48" s="952"/>
      <c r="ETI48" s="952"/>
      <c r="ETJ48" s="952"/>
      <c r="ETK48" s="952"/>
      <c r="ETL48" s="952"/>
      <c r="ETM48" s="952"/>
      <c r="ETN48" s="952"/>
      <c r="ETO48" s="952"/>
      <c r="ETP48" s="952"/>
      <c r="ETQ48" s="952"/>
      <c r="ETR48" s="952"/>
      <c r="ETS48" s="952"/>
      <c r="ETT48" s="952"/>
      <c r="ETU48" s="952"/>
      <c r="ETV48" s="952"/>
      <c r="ETW48" s="952"/>
      <c r="ETX48" s="952"/>
      <c r="ETY48" s="952"/>
      <c r="ETZ48" s="952"/>
      <c r="EUA48" s="952"/>
      <c r="EUB48" s="952"/>
      <c r="EUC48" s="952"/>
      <c r="EUD48" s="952"/>
      <c r="EUE48" s="952"/>
      <c r="EUF48" s="952"/>
      <c r="EUG48" s="952"/>
      <c r="EUH48" s="952"/>
      <c r="EUI48" s="952"/>
      <c r="EUJ48" s="952"/>
      <c r="EUK48" s="952"/>
      <c r="EUL48" s="952"/>
      <c r="EUM48" s="952"/>
      <c r="EUN48" s="952"/>
      <c r="EUO48" s="952"/>
      <c r="EUP48" s="952"/>
      <c r="EUQ48" s="952"/>
      <c r="EUR48" s="952"/>
      <c r="EUS48" s="952"/>
      <c r="EUT48" s="952"/>
      <c r="EUU48" s="952"/>
      <c r="EUV48" s="952"/>
      <c r="EUW48" s="952"/>
      <c r="EUX48" s="952"/>
      <c r="EUY48" s="952"/>
      <c r="EUZ48" s="952"/>
      <c r="EVA48" s="952"/>
      <c r="EVB48" s="952"/>
      <c r="EVC48" s="952"/>
      <c r="EVD48" s="952"/>
      <c r="EVE48" s="952"/>
      <c r="EVF48" s="952"/>
      <c r="EVG48" s="952"/>
      <c r="EVH48" s="952"/>
      <c r="EVI48" s="952"/>
      <c r="EVJ48" s="952"/>
      <c r="EVK48" s="952"/>
      <c r="EVL48" s="952"/>
      <c r="EVM48" s="952"/>
      <c r="EVN48" s="952"/>
      <c r="EVO48" s="952"/>
      <c r="EVP48" s="952"/>
      <c r="EVQ48" s="952"/>
      <c r="EVR48" s="952"/>
      <c r="EVS48" s="952"/>
      <c r="EVT48" s="952"/>
      <c r="EVU48" s="952"/>
      <c r="EVV48" s="952"/>
      <c r="EVW48" s="952"/>
      <c r="EVX48" s="952"/>
      <c r="EVY48" s="952"/>
      <c r="EVZ48" s="952"/>
      <c r="EWA48" s="952"/>
      <c r="EWB48" s="952"/>
      <c r="EWC48" s="952"/>
      <c r="EWD48" s="952"/>
      <c r="EWE48" s="952"/>
      <c r="EWF48" s="952"/>
      <c r="EWG48" s="952"/>
      <c r="EWH48" s="952"/>
      <c r="EWI48" s="952"/>
      <c r="EWJ48" s="952"/>
      <c r="EWK48" s="952"/>
      <c r="EWL48" s="952"/>
      <c r="EWM48" s="952"/>
      <c r="EWN48" s="952"/>
      <c r="EWO48" s="952"/>
      <c r="EWP48" s="952"/>
      <c r="EWQ48" s="952"/>
      <c r="EWR48" s="952"/>
      <c r="EWS48" s="952"/>
      <c r="EWT48" s="952"/>
      <c r="EWU48" s="952"/>
      <c r="EWV48" s="952"/>
      <c r="EWW48" s="952"/>
      <c r="EWX48" s="952"/>
      <c r="EWY48" s="952"/>
      <c r="EWZ48" s="952"/>
      <c r="EXA48" s="952"/>
      <c r="EXB48" s="952"/>
      <c r="EXC48" s="952"/>
      <c r="EXD48" s="952"/>
      <c r="EXE48" s="952"/>
      <c r="EXF48" s="952"/>
      <c r="EXG48" s="952"/>
      <c r="EXH48" s="952"/>
      <c r="EXI48" s="952"/>
      <c r="EXJ48" s="952"/>
      <c r="EXK48" s="952"/>
      <c r="EXL48" s="952"/>
      <c r="EXM48" s="952"/>
      <c r="EXN48" s="952"/>
      <c r="EXO48" s="952"/>
      <c r="EXP48" s="952"/>
      <c r="EXQ48" s="952"/>
      <c r="EXR48" s="952"/>
      <c r="EXS48" s="952"/>
      <c r="EXT48" s="952"/>
      <c r="EXU48" s="952"/>
      <c r="EXV48" s="952"/>
      <c r="EXW48" s="952"/>
      <c r="EXX48" s="952"/>
      <c r="EXY48" s="952"/>
      <c r="EXZ48" s="952"/>
      <c r="EYA48" s="952"/>
      <c r="EYB48" s="952"/>
      <c r="EYC48" s="952"/>
      <c r="EYD48" s="952"/>
      <c r="EYE48" s="952"/>
      <c r="EYF48" s="952"/>
      <c r="EYG48" s="952"/>
      <c r="EYH48" s="952"/>
      <c r="EYI48" s="952"/>
      <c r="EYJ48" s="952"/>
      <c r="EYK48" s="952"/>
      <c r="EYL48" s="952"/>
      <c r="EYM48" s="952"/>
      <c r="EYN48" s="952"/>
      <c r="EYO48" s="952"/>
      <c r="EYP48" s="952"/>
      <c r="EYQ48" s="952"/>
      <c r="EYR48" s="952"/>
      <c r="EYS48" s="952"/>
      <c r="EYT48" s="952"/>
      <c r="EYU48" s="952"/>
      <c r="EYV48" s="952"/>
      <c r="EYW48" s="952"/>
      <c r="EYX48" s="952"/>
      <c r="EYY48" s="952"/>
      <c r="EYZ48" s="952"/>
      <c r="EZA48" s="952"/>
      <c r="EZB48" s="952"/>
      <c r="EZC48" s="952"/>
      <c r="EZD48" s="952"/>
      <c r="EZE48" s="952"/>
      <c r="EZF48" s="952"/>
      <c r="EZG48" s="952"/>
      <c r="EZH48" s="952"/>
      <c r="EZI48" s="952"/>
      <c r="EZJ48" s="952"/>
      <c r="EZK48" s="952"/>
      <c r="EZL48" s="952"/>
      <c r="EZM48" s="952"/>
      <c r="EZN48" s="952"/>
      <c r="EZO48" s="952"/>
      <c r="EZP48" s="952"/>
      <c r="EZQ48" s="952"/>
      <c r="EZR48" s="952"/>
      <c r="EZS48" s="952"/>
      <c r="EZT48" s="952"/>
      <c r="EZU48" s="952"/>
      <c r="EZV48" s="952"/>
      <c r="EZW48" s="952"/>
      <c r="EZX48" s="952"/>
      <c r="EZY48" s="952"/>
      <c r="EZZ48" s="952"/>
      <c r="FAA48" s="952"/>
      <c r="FAB48" s="952"/>
      <c r="FAC48" s="952"/>
      <c r="FAD48" s="952"/>
      <c r="FAE48" s="952"/>
      <c r="FAF48" s="952"/>
      <c r="FAG48" s="952"/>
      <c r="FAH48" s="952"/>
      <c r="FAI48" s="952"/>
      <c r="FAJ48" s="952"/>
      <c r="FAK48" s="952"/>
      <c r="FAL48" s="952"/>
      <c r="FAM48" s="952"/>
      <c r="FAN48" s="952"/>
      <c r="FAO48" s="952"/>
      <c r="FAP48" s="952"/>
      <c r="FAQ48" s="952"/>
      <c r="FAR48" s="952"/>
      <c r="FAS48" s="952"/>
      <c r="FAT48" s="952"/>
      <c r="FAU48" s="952"/>
      <c r="FAV48" s="952"/>
      <c r="FAW48" s="952"/>
      <c r="FAX48" s="952"/>
      <c r="FAY48" s="952"/>
      <c r="FAZ48" s="952"/>
      <c r="FBA48" s="952"/>
      <c r="FBB48" s="952"/>
      <c r="FBC48" s="952"/>
      <c r="FBD48" s="952"/>
      <c r="FBE48" s="952"/>
      <c r="FBF48" s="952"/>
      <c r="FBG48" s="952"/>
      <c r="FBH48" s="952"/>
      <c r="FBI48" s="952"/>
      <c r="FBJ48" s="952"/>
      <c r="FBK48" s="952"/>
      <c r="FBL48" s="952"/>
      <c r="FBM48" s="952"/>
      <c r="FBN48" s="952"/>
      <c r="FBO48" s="952"/>
      <c r="FBP48" s="952"/>
      <c r="FBQ48" s="952"/>
      <c r="FBR48" s="952"/>
      <c r="FBS48" s="952"/>
      <c r="FBT48" s="952"/>
      <c r="FBU48" s="952"/>
      <c r="FBV48" s="952"/>
      <c r="FBW48" s="952"/>
      <c r="FBX48" s="952"/>
      <c r="FBY48" s="952"/>
      <c r="FBZ48" s="952"/>
      <c r="FCA48" s="952"/>
      <c r="FCB48" s="952"/>
      <c r="FCC48" s="952"/>
      <c r="FCD48" s="952"/>
      <c r="FCE48" s="952"/>
      <c r="FCF48" s="952"/>
      <c r="FCG48" s="952"/>
      <c r="FCH48" s="952"/>
      <c r="FCI48" s="952"/>
      <c r="FCJ48" s="952"/>
      <c r="FCK48" s="952"/>
      <c r="FCL48" s="952"/>
      <c r="FCM48" s="952"/>
      <c r="FCN48" s="952"/>
      <c r="FCO48" s="952"/>
      <c r="FCP48" s="952"/>
      <c r="FCQ48" s="952"/>
      <c r="FCR48" s="952"/>
      <c r="FCS48" s="952"/>
      <c r="FCT48" s="952"/>
      <c r="FCU48" s="952"/>
      <c r="FCV48" s="952"/>
      <c r="FCW48" s="952"/>
      <c r="FCX48" s="952"/>
      <c r="FCY48" s="952"/>
      <c r="FCZ48" s="952"/>
      <c r="FDA48" s="952"/>
      <c r="FDB48" s="952"/>
      <c r="FDC48" s="952"/>
      <c r="FDD48" s="952"/>
      <c r="FDE48" s="952"/>
      <c r="FDF48" s="952"/>
      <c r="FDG48" s="952"/>
      <c r="FDH48" s="952"/>
      <c r="FDI48" s="952"/>
      <c r="FDJ48" s="952"/>
      <c r="FDK48" s="952"/>
      <c r="FDL48" s="952"/>
      <c r="FDM48" s="952"/>
      <c r="FDN48" s="952"/>
      <c r="FDO48" s="952"/>
      <c r="FDP48" s="952"/>
      <c r="FDQ48" s="952"/>
      <c r="FDR48" s="952"/>
      <c r="FDS48" s="952"/>
      <c r="FDT48" s="952"/>
      <c r="FDU48" s="952"/>
      <c r="FDV48" s="952"/>
      <c r="FDW48" s="952"/>
      <c r="FDX48" s="952"/>
      <c r="FDY48" s="952"/>
      <c r="FDZ48" s="952"/>
      <c r="FEA48" s="952"/>
      <c r="FEB48" s="952"/>
      <c r="FEC48" s="952"/>
      <c r="FED48" s="952"/>
      <c r="FEE48" s="952"/>
      <c r="FEF48" s="952"/>
      <c r="FEG48" s="952"/>
      <c r="FEH48" s="952"/>
      <c r="FEI48" s="952"/>
      <c r="FEJ48" s="952"/>
      <c r="FEK48" s="952"/>
      <c r="FEL48" s="952"/>
      <c r="FEM48" s="952"/>
      <c r="FEN48" s="952"/>
      <c r="FEO48" s="952"/>
      <c r="FEP48" s="952"/>
      <c r="FEQ48" s="952"/>
      <c r="FER48" s="952"/>
      <c r="FES48" s="952"/>
      <c r="FET48" s="952"/>
      <c r="FEU48" s="952"/>
      <c r="FEV48" s="952"/>
      <c r="FEW48" s="952"/>
      <c r="FEX48" s="952"/>
      <c r="FEY48" s="952"/>
      <c r="FEZ48" s="952"/>
      <c r="FFA48" s="952"/>
      <c r="FFB48" s="952"/>
      <c r="FFC48" s="952"/>
      <c r="FFD48" s="952"/>
      <c r="FFE48" s="952"/>
      <c r="FFF48" s="952"/>
      <c r="FFG48" s="952"/>
      <c r="FFH48" s="952"/>
      <c r="FFI48" s="952"/>
      <c r="FFJ48" s="952"/>
      <c r="FFK48" s="952"/>
      <c r="FFL48" s="952"/>
      <c r="FFM48" s="952"/>
      <c r="FFN48" s="952"/>
      <c r="FFO48" s="952"/>
      <c r="FFP48" s="952"/>
      <c r="FFQ48" s="952"/>
      <c r="FFR48" s="952"/>
      <c r="FFS48" s="952"/>
      <c r="FFT48" s="952"/>
      <c r="FFU48" s="952"/>
      <c r="FFV48" s="952"/>
      <c r="FFW48" s="952"/>
      <c r="FFX48" s="952"/>
      <c r="FFY48" s="952"/>
      <c r="FFZ48" s="952"/>
      <c r="FGA48" s="952"/>
      <c r="FGB48" s="952"/>
      <c r="FGC48" s="952"/>
      <c r="FGD48" s="952"/>
      <c r="FGE48" s="952"/>
      <c r="FGF48" s="952"/>
      <c r="FGG48" s="952"/>
      <c r="FGH48" s="952"/>
      <c r="FGI48" s="952"/>
      <c r="FGJ48" s="952"/>
      <c r="FGK48" s="952"/>
      <c r="FGL48" s="952"/>
      <c r="FGM48" s="952"/>
      <c r="FGN48" s="952"/>
      <c r="FGO48" s="952"/>
      <c r="FGP48" s="952"/>
      <c r="FGQ48" s="952"/>
      <c r="FGR48" s="952"/>
      <c r="FGS48" s="952"/>
      <c r="FGT48" s="952"/>
      <c r="FGU48" s="952"/>
      <c r="FGV48" s="952"/>
      <c r="FGW48" s="952"/>
      <c r="FGX48" s="952"/>
      <c r="FGY48" s="952"/>
      <c r="FGZ48" s="952"/>
      <c r="FHA48" s="952"/>
      <c r="FHB48" s="952"/>
      <c r="FHC48" s="952"/>
      <c r="FHD48" s="952"/>
      <c r="FHE48" s="952"/>
      <c r="FHF48" s="952"/>
      <c r="FHG48" s="952"/>
      <c r="FHH48" s="952"/>
      <c r="FHI48" s="952"/>
      <c r="FHJ48" s="952"/>
      <c r="FHK48" s="952"/>
      <c r="FHL48" s="952"/>
      <c r="FHM48" s="952"/>
      <c r="FHN48" s="952"/>
      <c r="FHO48" s="952"/>
      <c r="FHP48" s="952"/>
      <c r="FHQ48" s="952"/>
      <c r="FHR48" s="952"/>
      <c r="FHS48" s="952"/>
      <c r="FHT48" s="952"/>
      <c r="FHU48" s="952"/>
      <c r="FHV48" s="952"/>
      <c r="FHW48" s="952"/>
      <c r="FHX48" s="952"/>
      <c r="FHY48" s="952"/>
      <c r="FHZ48" s="952"/>
      <c r="FIA48" s="952"/>
      <c r="FIB48" s="952"/>
      <c r="FIC48" s="952"/>
      <c r="FID48" s="952"/>
      <c r="FIE48" s="952"/>
      <c r="FIF48" s="952"/>
      <c r="FIG48" s="952"/>
      <c r="FIH48" s="952"/>
      <c r="FII48" s="952"/>
      <c r="FIJ48" s="952"/>
      <c r="FIK48" s="952"/>
      <c r="FIL48" s="952"/>
      <c r="FIM48" s="952"/>
      <c r="FIN48" s="952"/>
      <c r="FIO48" s="952"/>
      <c r="FIP48" s="952"/>
      <c r="FIQ48" s="952"/>
      <c r="FIR48" s="952"/>
      <c r="FIS48" s="952"/>
      <c r="FIT48" s="952"/>
      <c r="FIU48" s="952"/>
      <c r="FIV48" s="952"/>
      <c r="FIW48" s="952"/>
      <c r="FIX48" s="952"/>
      <c r="FIY48" s="952"/>
      <c r="FIZ48" s="952"/>
      <c r="FJA48" s="952"/>
      <c r="FJB48" s="952"/>
      <c r="FJC48" s="952"/>
      <c r="FJD48" s="952"/>
      <c r="FJE48" s="952"/>
      <c r="FJF48" s="952"/>
      <c r="FJG48" s="952"/>
      <c r="FJH48" s="952"/>
      <c r="FJI48" s="952"/>
      <c r="FJJ48" s="952"/>
      <c r="FJK48" s="952"/>
      <c r="FJL48" s="952"/>
      <c r="FJM48" s="952"/>
      <c r="FJN48" s="952"/>
      <c r="FJO48" s="952"/>
      <c r="FJP48" s="952"/>
      <c r="FJQ48" s="952"/>
      <c r="FJR48" s="952"/>
      <c r="FJS48" s="952"/>
      <c r="FJT48" s="952"/>
      <c r="FJU48" s="952"/>
      <c r="FJV48" s="952"/>
      <c r="FJW48" s="952"/>
      <c r="FJX48" s="952"/>
      <c r="FJY48" s="952"/>
      <c r="FJZ48" s="952"/>
      <c r="FKA48" s="952"/>
      <c r="FKB48" s="952"/>
      <c r="FKC48" s="952"/>
      <c r="FKD48" s="952"/>
      <c r="FKE48" s="952"/>
      <c r="FKF48" s="952"/>
      <c r="FKG48" s="952"/>
      <c r="FKH48" s="952"/>
      <c r="FKI48" s="952"/>
      <c r="FKJ48" s="952"/>
      <c r="FKK48" s="952"/>
      <c r="FKL48" s="952"/>
      <c r="FKM48" s="952"/>
      <c r="FKN48" s="952"/>
      <c r="FKO48" s="952"/>
      <c r="FKP48" s="952"/>
      <c r="FKQ48" s="952"/>
      <c r="FKR48" s="952"/>
      <c r="FKS48" s="952"/>
      <c r="FKT48" s="952"/>
      <c r="FKU48" s="952"/>
      <c r="FKV48" s="952"/>
      <c r="FKW48" s="952"/>
      <c r="FKX48" s="952"/>
      <c r="FKY48" s="952"/>
      <c r="FKZ48" s="952"/>
      <c r="FLA48" s="952"/>
      <c r="FLB48" s="952"/>
      <c r="FLC48" s="952"/>
      <c r="FLD48" s="952"/>
      <c r="FLE48" s="952"/>
      <c r="FLF48" s="952"/>
      <c r="FLG48" s="952"/>
      <c r="FLH48" s="952"/>
      <c r="FLI48" s="952"/>
      <c r="FLJ48" s="952"/>
      <c r="FLK48" s="952"/>
      <c r="FLL48" s="952"/>
      <c r="FLM48" s="952"/>
      <c r="FLN48" s="952"/>
      <c r="FLO48" s="952"/>
      <c r="FLP48" s="952"/>
      <c r="FLQ48" s="952"/>
      <c r="FLR48" s="952"/>
      <c r="FLS48" s="952"/>
      <c r="FLT48" s="952"/>
      <c r="FLU48" s="952"/>
      <c r="FLV48" s="952"/>
      <c r="FLW48" s="952"/>
      <c r="FLX48" s="952"/>
      <c r="FLY48" s="952"/>
      <c r="FLZ48" s="952"/>
      <c r="FMA48" s="952"/>
      <c r="FMB48" s="952"/>
      <c r="FMC48" s="952"/>
      <c r="FMD48" s="952"/>
      <c r="FME48" s="952"/>
      <c r="FMF48" s="952"/>
      <c r="FMG48" s="952"/>
      <c r="FMH48" s="952"/>
      <c r="FMI48" s="952"/>
      <c r="FMJ48" s="952"/>
      <c r="FMK48" s="952"/>
      <c r="FML48" s="952"/>
      <c r="FMM48" s="952"/>
      <c r="FMN48" s="952"/>
      <c r="FMO48" s="952"/>
      <c r="FMP48" s="952"/>
      <c r="FMQ48" s="952"/>
      <c r="FMR48" s="952"/>
      <c r="FMS48" s="952"/>
      <c r="FMT48" s="952"/>
      <c r="FMU48" s="952"/>
      <c r="FMV48" s="952"/>
      <c r="FMW48" s="952"/>
      <c r="FMX48" s="952"/>
      <c r="FMY48" s="952"/>
      <c r="FMZ48" s="952"/>
      <c r="FNA48" s="952"/>
      <c r="FNB48" s="952"/>
      <c r="FNC48" s="952"/>
      <c r="FND48" s="952"/>
      <c r="FNE48" s="952"/>
      <c r="FNF48" s="952"/>
      <c r="FNG48" s="952"/>
      <c r="FNH48" s="952"/>
      <c r="FNI48" s="952"/>
      <c r="FNJ48" s="952"/>
      <c r="FNK48" s="952"/>
      <c r="FNL48" s="952"/>
      <c r="FNM48" s="952"/>
      <c r="FNN48" s="952"/>
      <c r="FNO48" s="952"/>
      <c r="FNP48" s="952"/>
      <c r="FNQ48" s="952"/>
      <c r="FNR48" s="952"/>
      <c r="FNS48" s="952"/>
      <c r="FNT48" s="952"/>
      <c r="FNU48" s="952"/>
      <c r="FNV48" s="952"/>
      <c r="FNW48" s="952"/>
      <c r="FNX48" s="952"/>
      <c r="FNY48" s="952"/>
      <c r="FNZ48" s="952"/>
      <c r="FOA48" s="952"/>
      <c r="FOB48" s="952"/>
      <c r="FOC48" s="952"/>
      <c r="FOD48" s="952"/>
      <c r="FOE48" s="952"/>
      <c r="FOF48" s="952"/>
      <c r="FOG48" s="952"/>
      <c r="FOH48" s="952"/>
      <c r="FOI48" s="952"/>
      <c r="FOJ48" s="952"/>
      <c r="FOK48" s="952"/>
      <c r="FOL48" s="952"/>
      <c r="FOM48" s="952"/>
      <c r="FON48" s="952"/>
      <c r="FOO48" s="952"/>
      <c r="FOP48" s="952"/>
      <c r="FOQ48" s="952"/>
      <c r="FOR48" s="952"/>
      <c r="FOS48" s="952"/>
      <c r="FOT48" s="952"/>
      <c r="FOU48" s="952"/>
      <c r="FOV48" s="952"/>
      <c r="FOW48" s="952"/>
      <c r="FOX48" s="952"/>
      <c r="FOY48" s="952"/>
      <c r="FOZ48" s="952"/>
      <c r="FPA48" s="952"/>
      <c r="FPB48" s="952"/>
      <c r="FPC48" s="952"/>
      <c r="FPD48" s="952"/>
      <c r="FPE48" s="952"/>
      <c r="FPF48" s="952"/>
      <c r="FPG48" s="952"/>
      <c r="FPH48" s="952"/>
      <c r="FPI48" s="952"/>
      <c r="FPJ48" s="952"/>
      <c r="FPK48" s="952"/>
      <c r="FPL48" s="952"/>
      <c r="FPM48" s="952"/>
      <c r="FPN48" s="952"/>
      <c r="FPO48" s="952"/>
      <c r="FPP48" s="952"/>
      <c r="FPQ48" s="952"/>
      <c r="FPR48" s="952"/>
      <c r="FPS48" s="952"/>
      <c r="FPT48" s="952"/>
      <c r="FPU48" s="952"/>
      <c r="FPV48" s="952"/>
      <c r="FPW48" s="952"/>
      <c r="FPX48" s="952"/>
      <c r="FPY48" s="952"/>
      <c r="FPZ48" s="952"/>
      <c r="FQA48" s="952"/>
      <c r="FQB48" s="952"/>
      <c r="FQC48" s="952"/>
      <c r="FQD48" s="952"/>
      <c r="FQE48" s="952"/>
      <c r="FQF48" s="952"/>
      <c r="FQG48" s="952"/>
      <c r="FQH48" s="952"/>
      <c r="FQI48" s="952"/>
      <c r="FQJ48" s="952"/>
      <c r="FQK48" s="952"/>
      <c r="FQL48" s="952"/>
      <c r="FQM48" s="952"/>
      <c r="FQN48" s="952"/>
      <c r="FQO48" s="952"/>
      <c r="FQP48" s="952"/>
      <c r="FQQ48" s="952"/>
      <c r="FQR48" s="952"/>
      <c r="FQS48" s="952"/>
      <c r="FQT48" s="952"/>
      <c r="FQU48" s="952"/>
      <c r="FQV48" s="952"/>
      <c r="FQW48" s="952"/>
      <c r="FQX48" s="952"/>
      <c r="FQY48" s="952"/>
      <c r="FQZ48" s="952"/>
      <c r="FRA48" s="952"/>
      <c r="FRB48" s="952"/>
      <c r="FRC48" s="952"/>
      <c r="FRD48" s="952"/>
      <c r="FRE48" s="952"/>
      <c r="FRF48" s="952"/>
      <c r="FRG48" s="952"/>
      <c r="FRH48" s="952"/>
      <c r="FRI48" s="952"/>
      <c r="FRJ48" s="952"/>
      <c r="FRK48" s="952"/>
      <c r="FRL48" s="952"/>
      <c r="FRM48" s="952"/>
      <c r="FRN48" s="952"/>
      <c r="FRO48" s="952"/>
      <c r="FRP48" s="952"/>
      <c r="FRQ48" s="952"/>
      <c r="FRR48" s="952"/>
      <c r="FRS48" s="952"/>
      <c r="FRT48" s="952"/>
      <c r="FRU48" s="952"/>
      <c r="FRV48" s="952"/>
      <c r="FRW48" s="952"/>
      <c r="FRX48" s="952"/>
      <c r="FRY48" s="952"/>
      <c r="FRZ48" s="952"/>
      <c r="FSA48" s="952"/>
      <c r="FSB48" s="952"/>
      <c r="FSC48" s="952"/>
      <c r="FSD48" s="952"/>
      <c r="FSE48" s="952"/>
      <c r="FSF48" s="952"/>
      <c r="FSG48" s="952"/>
      <c r="FSH48" s="952"/>
      <c r="FSI48" s="952"/>
      <c r="FSJ48" s="952"/>
      <c r="FSK48" s="952"/>
      <c r="FSL48" s="952"/>
      <c r="FSM48" s="952"/>
      <c r="FSN48" s="952"/>
      <c r="FSO48" s="952"/>
      <c r="FSP48" s="952"/>
      <c r="FSQ48" s="952"/>
      <c r="FSR48" s="952"/>
      <c r="FSS48" s="952"/>
      <c r="FST48" s="952"/>
      <c r="FSU48" s="952"/>
      <c r="FSV48" s="952"/>
      <c r="FSW48" s="952"/>
      <c r="FSX48" s="952"/>
      <c r="FSY48" s="952"/>
      <c r="FSZ48" s="952"/>
      <c r="FTA48" s="952"/>
      <c r="FTB48" s="952"/>
      <c r="FTC48" s="952"/>
      <c r="FTD48" s="952"/>
      <c r="FTE48" s="952"/>
      <c r="FTF48" s="952"/>
      <c r="FTG48" s="952"/>
      <c r="FTH48" s="952"/>
      <c r="FTI48" s="952"/>
      <c r="FTJ48" s="952"/>
      <c r="FTK48" s="952"/>
      <c r="FTL48" s="952"/>
      <c r="FTM48" s="952"/>
      <c r="FTN48" s="952"/>
      <c r="FTO48" s="952"/>
      <c r="FTP48" s="952"/>
      <c r="FTQ48" s="952"/>
      <c r="FTR48" s="952"/>
      <c r="FTS48" s="952"/>
      <c r="FTT48" s="952"/>
      <c r="FTU48" s="952"/>
      <c r="FTV48" s="952"/>
      <c r="FTW48" s="952"/>
      <c r="FTX48" s="952"/>
      <c r="FTY48" s="952"/>
      <c r="FTZ48" s="952"/>
      <c r="FUA48" s="952"/>
      <c r="FUB48" s="952"/>
      <c r="FUC48" s="952"/>
      <c r="FUD48" s="952"/>
      <c r="FUE48" s="952"/>
      <c r="FUF48" s="952"/>
      <c r="FUG48" s="952"/>
      <c r="FUH48" s="952"/>
      <c r="FUI48" s="952"/>
      <c r="FUJ48" s="952"/>
      <c r="FUK48" s="952"/>
      <c r="FUL48" s="952"/>
      <c r="FUM48" s="952"/>
      <c r="FUN48" s="952"/>
      <c r="FUO48" s="952"/>
      <c r="FUP48" s="952"/>
      <c r="FUQ48" s="952"/>
      <c r="FUR48" s="952"/>
      <c r="FUS48" s="952"/>
      <c r="FUT48" s="952"/>
      <c r="FUU48" s="952"/>
      <c r="FUV48" s="952"/>
      <c r="FUW48" s="952"/>
      <c r="FUX48" s="952"/>
      <c r="FUY48" s="952"/>
      <c r="FUZ48" s="952"/>
      <c r="FVA48" s="952"/>
      <c r="FVB48" s="952"/>
      <c r="FVC48" s="952"/>
      <c r="FVD48" s="952"/>
      <c r="FVE48" s="952"/>
      <c r="FVF48" s="952"/>
      <c r="FVG48" s="952"/>
      <c r="FVH48" s="952"/>
      <c r="FVI48" s="952"/>
      <c r="FVJ48" s="952"/>
      <c r="FVK48" s="952"/>
      <c r="FVL48" s="952"/>
      <c r="FVM48" s="952"/>
      <c r="FVN48" s="952"/>
      <c r="FVO48" s="952"/>
      <c r="FVP48" s="952"/>
      <c r="FVQ48" s="952"/>
      <c r="FVR48" s="952"/>
      <c r="FVS48" s="952"/>
      <c r="FVT48" s="952"/>
      <c r="FVU48" s="952"/>
      <c r="FVV48" s="952"/>
      <c r="FVW48" s="952"/>
      <c r="FVX48" s="952"/>
      <c r="FVY48" s="952"/>
      <c r="FVZ48" s="952"/>
      <c r="FWA48" s="952"/>
      <c r="FWB48" s="952"/>
      <c r="FWC48" s="952"/>
      <c r="FWD48" s="952"/>
      <c r="FWE48" s="952"/>
      <c r="FWF48" s="952"/>
      <c r="FWG48" s="952"/>
      <c r="FWH48" s="952"/>
      <c r="FWI48" s="952"/>
      <c r="FWJ48" s="952"/>
      <c r="FWK48" s="952"/>
      <c r="FWL48" s="952"/>
      <c r="FWM48" s="952"/>
      <c r="FWN48" s="952"/>
      <c r="FWO48" s="952"/>
      <c r="FWP48" s="952"/>
      <c r="FWQ48" s="952"/>
      <c r="FWR48" s="952"/>
      <c r="FWS48" s="952"/>
      <c r="FWT48" s="952"/>
      <c r="FWU48" s="952"/>
      <c r="FWV48" s="952"/>
      <c r="FWW48" s="952"/>
      <c r="FWX48" s="952"/>
      <c r="FWY48" s="952"/>
      <c r="FWZ48" s="952"/>
      <c r="FXA48" s="952"/>
      <c r="FXB48" s="952"/>
      <c r="FXC48" s="952"/>
      <c r="FXD48" s="952"/>
      <c r="FXE48" s="952"/>
      <c r="FXF48" s="952"/>
      <c r="FXG48" s="952"/>
      <c r="FXH48" s="952"/>
      <c r="FXI48" s="952"/>
      <c r="FXJ48" s="952"/>
      <c r="FXK48" s="952"/>
      <c r="FXL48" s="952"/>
      <c r="FXM48" s="952"/>
      <c r="FXN48" s="952"/>
      <c r="FXO48" s="952"/>
      <c r="FXP48" s="952"/>
      <c r="FXQ48" s="952"/>
      <c r="FXR48" s="952"/>
      <c r="FXS48" s="952"/>
      <c r="FXT48" s="952"/>
      <c r="FXU48" s="952"/>
      <c r="FXV48" s="952"/>
      <c r="FXW48" s="952"/>
      <c r="FXX48" s="952"/>
      <c r="FXY48" s="952"/>
      <c r="FXZ48" s="952"/>
      <c r="FYA48" s="952"/>
      <c r="FYB48" s="952"/>
      <c r="FYC48" s="952"/>
      <c r="FYD48" s="952"/>
      <c r="FYE48" s="952"/>
      <c r="FYF48" s="952"/>
      <c r="FYG48" s="952"/>
      <c r="FYH48" s="952"/>
      <c r="FYI48" s="952"/>
      <c r="FYJ48" s="952"/>
      <c r="FYK48" s="952"/>
      <c r="FYL48" s="952"/>
      <c r="FYM48" s="952"/>
      <c r="FYN48" s="952"/>
      <c r="FYO48" s="952"/>
      <c r="FYP48" s="952"/>
      <c r="FYQ48" s="952"/>
      <c r="FYR48" s="952"/>
      <c r="FYS48" s="952"/>
      <c r="FYT48" s="952"/>
      <c r="FYU48" s="952"/>
      <c r="FYV48" s="952"/>
      <c r="FYW48" s="952"/>
      <c r="FYX48" s="952"/>
      <c r="FYY48" s="952"/>
      <c r="FYZ48" s="952"/>
      <c r="FZA48" s="952"/>
      <c r="FZB48" s="952"/>
      <c r="FZC48" s="952"/>
      <c r="FZD48" s="952"/>
      <c r="FZE48" s="952"/>
      <c r="FZF48" s="952"/>
      <c r="FZG48" s="952"/>
      <c r="FZH48" s="952"/>
      <c r="FZI48" s="952"/>
      <c r="FZJ48" s="952"/>
      <c r="FZK48" s="952"/>
      <c r="FZL48" s="952"/>
      <c r="FZM48" s="952"/>
      <c r="FZN48" s="952"/>
      <c r="FZO48" s="952"/>
      <c r="FZP48" s="952"/>
      <c r="FZQ48" s="952"/>
      <c r="FZR48" s="952"/>
      <c r="FZS48" s="952"/>
      <c r="FZT48" s="952"/>
      <c r="FZU48" s="952"/>
      <c r="FZV48" s="952"/>
      <c r="FZW48" s="952"/>
      <c r="FZX48" s="952"/>
      <c r="FZY48" s="952"/>
      <c r="FZZ48" s="952"/>
      <c r="GAA48" s="952"/>
      <c r="GAB48" s="952"/>
      <c r="GAC48" s="952"/>
      <c r="GAD48" s="952"/>
      <c r="GAE48" s="952"/>
      <c r="GAF48" s="952"/>
      <c r="GAG48" s="952"/>
      <c r="GAH48" s="952"/>
      <c r="GAI48" s="952"/>
      <c r="GAJ48" s="952"/>
      <c r="GAK48" s="952"/>
      <c r="GAL48" s="952"/>
      <c r="GAM48" s="952"/>
      <c r="GAN48" s="952"/>
      <c r="GAO48" s="952"/>
      <c r="GAP48" s="952"/>
      <c r="GAQ48" s="952"/>
      <c r="GAR48" s="952"/>
      <c r="GAS48" s="952"/>
      <c r="GAT48" s="952"/>
      <c r="GAU48" s="952"/>
      <c r="GAV48" s="952"/>
      <c r="GAW48" s="952"/>
      <c r="GAX48" s="952"/>
      <c r="GAY48" s="952"/>
      <c r="GAZ48" s="952"/>
      <c r="GBA48" s="952"/>
      <c r="GBB48" s="952"/>
      <c r="GBC48" s="952"/>
      <c r="GBD48" s="952"/>
      <c r="GBE48" s="952"/>
      <c r="GBF48" s="952"/>
      <c r="GBG48" s="952"/>
      <c r="GBH48" s="952"/>
      <c r="GBI48" s="952"/>
      <c r="GBJ48" s="952"/>
      <c r="GBK48" s="952"/>
      <c r="GBL48" s="952"/>
      <c r="GBM48" s="952"/>
      <c r="GBN48" s="952"/>
      <c r="GBO48" s="952"/>
      <c r="GBP48" s="952"/>
      <c r="GBQ48" s="952"/>
      <c r="GBR48" s="952"/>
      <c r="GBS48" s="952"/>
      <c r="GBT48" s="952"/>
      <c r="GBU48" s="952"/>
      <c r="GBV48" s="952"/>
      <c r="GBW48" s="952"/>
      <c r="GBX48" s="952"/>
      <c r="GBY48" s="952"/>
      <c r="GBZ48" s="952"/>
      <c r="GCA48" s="952"/>
      <c r="GCB48" s="952"/>
      <c r="GCC48" s="952"/>
      <c r="GCD48" s="952"/>
      <c r="GCE48" s="952"/>
      <c r="GCF48" s="952"/>
      <c r="GCG48" s="952"/>
      <c r="GCH48" s="952"/>
      <c r="GCI48" s="952"/>
      <c r="GCJ48" s="952"/>
      <c r="GCK48" s="952"/>
      <c r="GCL48" s="952"/>
      <c r="GCM48" s="952"/>
      <c r="GCN48" s="952"/>
      <c r="GCO48" s="952"/>
      <c r="GCP48" s="952"/>
      <c r="GCQ48" s="952"/>
      <c r="GCR48" s="952"/>
      <c r="GCS48" s="952"/>
      <c r="GCT48" s="952"/>
      <c r="GCU48" s="952"/>
      <c r="GCV48" s="952"/>
      <c r="GCW48" s="952"/>
      <c r="GCX48" s="952"/>
      <c r="GCY48" s="952"/>
      <c r="GCZ48" s="952"/>
      <c r="GDA48" s="952"/>
      <c r="GDB48" s="952"/>
      <c r="GDC48" s="952"/>
      <c r="GDD48" s="952"/>
      <c r="GDE48" s="952"/>
      <c r="GDF48" s="952"/>
      <c r="GDG48" s="952"/>
      <c r="GDH48" s="952"/>
      <c r="GDI48" s="952"/>
      <c r="GDJ48" s="952"/>
      <c r="GDK48" s="952"/>
      <c r="GDL48" s="952"/>
      <c r="GDM48" s="952"/>
      <c r="GDN48" s="952"/>
      <c r="GDO48" s="952"/>
      <c r="GDP48" s="952"/>
      <c r="GDQ48" s="952"/>
      <c r="GDR48" s="952"/>
      <c r="GDS48" s="952"/>
      <c r="GDT48" s="952"/>
      <c r="GDU48" s="952"/>
      <c r="GDV48" s="952"/>
      <c r="GDW48" s="952"/>
      <c r="GDX48" s="952"/>
      <c r="GDY48" s="952"/>
      <c r="GDZ48" s="952"/>
      <c r="GEA48" s="952"/>
      <c r="GEB48" s="952"/>
      <c r="GEC48" s="952"/>
      <c r="GED48" s="952"/>
      <c r="GEE48" s="952"/>
      <c r="GEF48" s="952"/>
      <c r="GEG48" s="952"/>
      <c r="GEH48" s="952"/>
      <c r="GEI48" s="952"/>
      <c r="GEJ48" s="952"/>
      <c r="GEK48" s="952"/>
      <c r="GEL48" s="952"/>
      <c r="GEM48" s="952"/>
      <c r="GEN48" s="952"/>
      <c r="GEO48" s="952"/>
      <c r="GEP48" s="952"/>
      <c r="GEQ48" s="952"/>
      <c r="GER48" s="952"/>
      <c r="GES48" s="952"/>
      <c r="GET48" s="952"/>
      <c r="GEU48" s="952"/>
      <c r="GEV48" s="952"/>
      <c r="GEW48" s="952"/>
      <c r="GEX48" s="952"/>
      <c r="GEY48" s="952"/>
      <c r="GEZ48" s="952"/>
      <c r="GFA48" s="952"/>
      <c r="GFB48" s="952"/>
      <c r="GFC48" s="952"/>
      <c r="GFD48" s="952"/>
      <c r="GFE48" s="952"/>
      <c r="GFF48" s="952"/>
      <c r="GFG48" s="952"/>
      <c r="GFH48" s="952"/>
      <c r="GFI48" s="952"/>
      <c r="GFJ48" s="952"/>
      <c r="GFK48" s="952"/>
      <c r="GFL48" s="952"/>
      <c r="GFM48" s="952"/>
      <c r="GFN48" s="952"/>
      <c r="GFO48" s="952"/>
      <c r="GFP48" s="952"/>
      <c r="GFQ48" s="952"/>
      <c r="GFR48" s="952"/>
      <c r="GFS48" s="952"/>
      <c r="GFT48" s="952"/>
      <c r="GFU48" s="952"/>
      <c r="GFV48" s="952"/>
      <c r="GFW48" s="952"/>
      <c r="GFX48" s="952"/>
      <c r="GFY48" s="952"/>
      <c r="GFZ48" s="952"/>
      <c r="GGA48" s="952"/>
      <c r="GGB48" s="952"/>
      <c r="GGC48" s="952"/>
      <c r="GGD48" s="952"/>
      <c r="GGE48" s="952"/>
      <c r="GGF48" s="952"/>
      <c r="GGG48" s="952"/>
      <c r="GGH48" s="952"/>
      <c r="GGI48" s="952"/>
      <c r="GGJ48" s="952"/>
      <c r="GGK48" s="952"/>
      <c r="GGL48" s="952"/>
      <c r="GGM48" s="952"/>
      <c r="GGN48" s="952"/>
      <c r="GGO48" s="952"/>
      <c r="GGP48" s="952"/>
      <c r="GGQ48" s="952"/>
      <c r="GGR48" s="952"/>
      <c r="GGS48" s="952"/>
      <c r="GGT48" s="952"/>
      <c r="GGU48" s="952"/>
      <c r="GGV48" s="952"/>
      <c r="GGW48" s="952"/>
      <c r="GGX48" s="952"/>
      <c r="GGY48" s="952"/>
      <c r="GGZ48" s="952"/>
      <c r="GHA48" s="952"/>
      <c r="GHB48" s="952"/>
      <c r="GHC48" s="952"/>
      <c r="GHD48" s="952"/>
      <c r="GHE48" s="952"/>
      <c r="GHF48" s="952"/>
      <c r="GHG48" s="952"/>
      <c r="GHH48" s="952"/>
      <c r="GHI48" s="952"/>
      <c r="GHJ48" s="952"/>
      <c r="GHK48" s="952"/>
      <c r="GHL48" s="952"/>
      <c r="GHM48" s="952"/>
      <c r="GHN48" s="952"/>
      <c r="GHO48" s="952"/>
      <c r="GHP48" s="952"/>
      <c r="GHQ48" s="952"/>
      <c r="GHR48" s="952"/>
      <c r="GHS48" s="952"/>
      <c r="GHT48" s="952"/>
      <c r="GHU48" s="952"/>
      <c r="GHV48" s="952"/>
      <c r="GHW48" s="952"/>
      <c r="GHX48" s="952"/>
      <c r="GHY48" s="952"/>
      <c r="GHZ48" s="952"/>
      <c r="GIA48" s="952"/>
      <c r="GIB48" s="952"/>
      <c r="GIC48" s="952"/>
      <c r="GID48" s="952"/>
      <c r="GIE48" s="952"/>
      <c r="GIF48" s="952"/>
      <c r="GIG48" s="952"/>
      <c r="GIH48" s="952"/>
      <c r="GII48" s="952"/>
      <c r="GIJ48" s="952"/>
      <c r="GIK48" s="952"/>
      <c r="GIL48" s="952"/>
      <c r="GIM48" s="952"/>
      <c r="GIN48" s="952"/>
      <c r="GIO48" s="952"/>
      <c r="GIP48" s="952"/>
      <c r="GIQ48" s="952"/>
      <c r="GIR48" s="952"/>
      <c r="GIS48" s="952"/>
      <c r="GIT48" s="952"/>
      <c r="GIU48" s="952"/>
      <c r="GIV48" s="952"/>
      <c r="GIW48" s="952"/>
      <c r="GIX48" s="952"/>
      <c r="GIY48" s="952"/>
      <c r="GIZ48" s="952"/>
      <c r="GJA48" s="952"/>
      <c r="GJB48" s="952"/>
      <c r="GJC48" s="952"/>
      <c r="GJD48" s="952"/>
      <c r="GJE48" s="952"/>
      <c r="GJF48" s="952"/>
      <c r="GJG48" s="952"/>
      <c r="GJH48" s="952"/>
      <c r="GJI48" s="952"/>
      <c r="GJJ48" s="952"/>
      <c r="GJK48" s="952"/>
      <c r="GJL48" s="952"/>
      <c r="GJM48" s="952"/>
      <c r="GJN48" s="952"/>
      <c r="GJO48" s="952"/>
      <c r="GJP48" s="952"/>
      <c r="GJQ48" s="952"/>
      <c r="GJR48" s="952"/>
      <c r="GJS48" s="952"/>
      <c r="GJT48" s="952"/>
      <c r="GJU48" s="952"/>
      <c r="GJV48" s="952"/>
      <c r="GJW48" s="952"/>
      <c r="GJX48" s="952"/>
      <c r="GJY48" s="952"/>
      <c r="GJZ48" s="952"/>
      <c r="GKA48" s="952"/>
      <c r="GKB48" s="952"/>
      <c r="GKC48" s="952"/>
      <c r="GKD48" s="952"/>
      <c r="GKE48" s="952"/>
      <c r="GKF48" s="952"/>
      <c r="GKG48" s="952"/>
      <c r="GKH48" s="952"/>
      <c r="GKI48" s="952"/>
      <c r="GKJ48" s="952"/>
      <c r="GKK48" s="952"/>
      <c r="GKL48" s="952"/>
      <c r="GKM48" s="952"/>
      <c r="GKN48" s="952"/>
      <c r="GKO48" s="952"/>
      <c r="GKP48" s="952"/>
      <c r="GKQ48" s="952"/>
      <c r="GKR48" s="952"/>
      <c r="GKS48" s="952"/>
      <c r="GKT48" s="952"/>
      <c r="GKU48" s="952"/>
      <c r="GKV48" s="952"/>
      <c r="GKW48" s="952"/>
      <c r="GKX48" s="952"/>
      <c r="GKY48" s="952"/>
      <c r="GKZ48" s="952"/>
      <c r="GLA48" s="952"/>
      <c r="GLB48" s="952"/>
      <c r="GLC48" s="952"/>
      <c r="GLD48" s="952"/>
      <c r="GLE48" s="952"/>
      <c r="GLF48" s="952"/>
      <c r="GLG48" s="952"/>
      <c r="GLH48" s="952"/>
      <c r="GLI48" s="952"/>
      <c r="GLJ48" s="952"/>
      <c r="GLK48" s="952"/>
      <c r="GLL48" s="952"/>
      <c r="GLM48" s="952"/>
      <c r="GLN48" s="952"/>
      <c r="GLO48" s="952"/>
      <c r="GLP48" s="952"/>
      <c r="GLQ48" s="952"/>
      <c r="GLR48" s="952"/>
      <c r="GLS48" s="952"/>
      <c r="GLT48" s="952"/>
      <c r="GLU48" s="952"/>
      <c r="GLV48" s="952"/>
      <c r="GLW48" s="952"/>
      <c r="GLX48" s="952"/>
      <c r="GLY48" s="952"/>
      <c r="GLZ48" s="952"/>
      <c r="GMA48" s="952"/>
      <c r="GMB48" s="952"/>
      <c r="GMC48" s="952"/>
      <c r="GMD48" s="952"/>
      <c r="GME48" s="952"/>
      <c r="GMF48" s="952"/>
      <c r="GMG48" s="952"/>
      <c r="GMH48" s="952"/>
      <c r="GMI48" s="952"/>
      <c r="GMJ48" s="952"/>
      <c r="GMK48" s="952"/>
      <c r="GML48" s="952"/>
      <c r="GMM48" s="952"/>
      <c r="GMN48" s="952"/>
      <c r="GMO48" s="952"/>
      <c r="GMP48" s="952"/>
      <c r="GMQ48" s="952"/>
      <c r="GMR48" s="952"/>
      <c r="GMS48" s="952"/>
      <c r="GMT48" s="952"/>
      <c r="GMU48" s="952"/>
      <c r="GMV48" s="952"/>
      <c r="GMW48" s="952"/>
      <c r="GMX48" s="952"/>
      <c r="GMY48" s="952"/>
      <c r="GMZ48" s="952"/>
      <c r="GNA48" s="952"/>
      <c r="GNB48" s="952"/>
      <c r="GNC48" s="952"/>
      <c r="GND48" s="952"/>
      <c r="GNE48" s="952"/>
      <c r="GNF48" s="952"/>
      <c r="GNG48" s="952"/>
      <c r="GNH48" s="952"/>
      <c r="GNI48" s="952"/>
      <c r="GNJ48" s="952"/>
      <c r="GNK48" s="952"/>
      <c r="GNL48" s="952"/>
      <c r="GNM48" s="952"/>
      <c r="GNN48" s="952"/>
      <c r="GNO48" s="952"/>
      <c r="GNP48" s="952"/>
      <c r="GNQ48" s="952"/>
      <c r="GNR48" s="952"/>
      <c r="GNS48" s="952"/>
      <c r="GNT48" s="952"/>
      <c r="GNU48" s="952"/>
      <c r="GNV48" s="952"/>
      <c r="GNW48" s="952"/>
      <c r="GNX48" s="952"/>
      <c r="GNY48" s="952"/>
      <c r="GNZ48" s="952"/>
      <c r="GOA48" s="952"/>
      <c r="GOB48" s="952"/>
      <c r="GOC48" s="952"/>
      <c r="GOD48" s="952"/>
      <c r="GOE48" s="952"/>
      <c r="GOF48" s="952"/>
      <c r="GOG48" s="952"/>
      <c r="GOH48" s="952"/>
      <c r="GOI48" s="952"/>
      <c r="GOJ48" s="952"/>
      <c r="GOK48" s="952"/>
      <c r="GOL48" s="952"/>
      <c r="GOM48" s="952"/>
      <c r="GON48" s="952"/>
      <c r="GOO48" s="952"/>
      <c r="GOP48" s="952"/>
      <c r="GOQ48" s="952"/>
      <c r="GOR48" s="952"/>
      <c r="GOS48" s="952"/>
      <c r="GOT48" s="952"/>
      <c r="GOU48" s="952"/>
      <c r="GOV48" s="952"/>
      <c r="GOW48" s="952"/>
      <c r="GOX48" s="952"/>
      <c r="GOY48" s="952"/>
      <c r="GOZ48" s="952"/>
      <c r="GPA48" s="952"/>
      <c r="GPB48" s="952"/>
      <c r="GPC48" s="952"/>
      <c r="GPD48" s="952"/>
      <c r="GPE48" s="952"/>
      <c r="GPF48" s="952"/>
      <c r="GPG48" s="952"/>
      <c r="GPH48" s="952"/>
      <c r="GPI48" s="952"/>
      <c r="GPJ48" s="952"/>
      <c r="GPK48" s="952"/>
      <c r="GPL48" s="952"/>
      <c r="GPM48" s="952"/>
      <c r="GPN48" s="952"/>
      <c r="GPO48" s="952"/>
      <c r="GPP48" s="952"/>
      <c r="GPQ48" s="952"/>
      <c r="GPR48" s="952"/>
      <c r="GPS48" s="952"/>
      <c r="GPT48" s="952"/>
      <c r="GPU48" s="952"/>
      <c r="GPV48" s="952"/>
      <c r="GPW48" s="952"/>
      <c r="GPX48" s="952"/>
      <c r="GPY48" s="952"/>
      <c r="GPZ48" s="952"/>
      <c r="GQA48" s="952"/>
      <c r="GQB48" s="952"/>
      <c r="GQC48" s="952"/>
      <c r="GQD48" s="952"/>
      <c r="GQE48" s="952"/>
      <c r="GQF48" s="952"/>
      <c r="GQG48" s="952"/>
      <c r="GQH48" s="952"/>
      <c r="GQI48" s="952"/>
      <c r="GQJ48" s="952"/>
      <c r="GQK48" s="952"/>
      <c r="GQL48" s="952"/>
      <c r="GQM48" s="952"/>
      <c r="GQN48" s="952"/>
      <c r="GQO48" s="952"/>
      <c r="GQP48" s="952"/>
      <c r="GQQ48" s="952"/>
      <c r="GQR48" s="952"/>
      <c r="GQS48" s="952"/>
      <c r="GQT48" s="952"/>
      <c r="GQU48" s="952"/>
      <c r="GQV48" s="952"/>
      <c r="GQW48" s="952"/>
      <c r="GQX48" s="952"/>
      <c r="GQY48" s="952"/>
      <c r="GQZ48" s="952"/>
      <c r="GRA48" s="952"/>
      <c r="GRB48" s="952"/>
      <c r="GRC48" s="952"/>
      <c r="GRD48" s="952"/>
      <c r="GRE48" s="952"/>
      <c r="GRF48" s="952"/>
      <c r="GRG48" s="952"/>
      <c r="GRH48" s="952"/>
      <c r="GRI48" s="952"/>
      <c r="GRJ48" s="952"/>
      <c r="GRK48" s="952"/>
      <c r="GRL48" s="952"/>
      <c r="GRM48" s="952"/>
      <c r="GRN48" s="952"/>
      <c r="GRO48" s="952"/>
      <c r="GRP48" s="952"/>
      <c r="GRQ48" s="952"/>
      <c r="GRR48" s="952"/>
      <c r="GRS48" s="952"/>
      <c r="GRT48" s="952"/>
      <c r="GRU48" s="952"/>
      <c r="GRV48" s="952"/>
      <c r="GRW48" s="952"/>
      <c r="GRX48" s="952"/>
      <c r="GRY48" s="952"/>
      <c r="GRZ48" s="952"/>
      <c r="GSA48" s="952"/>
      <c r="GSB48" s="952"/>
      <c r="GSC48" s="952"/>
      <c r="GSD48" s="952"/>
      <c r="GSE48" s="952"/>
      <c r="GSF48" s="952"/>
      <c r="GSG48" s="952"/>
      <c r="GSH48" s="952"/>
      <c r="GSI48" s="952"/>
      <c r="GSJ48" s="952"/>
      <c r="GSK48" s="952"/>
      <c r="GSL48" s="952"/>
      <c r="GSM48" s="952"/>
      <c r="GSN48" s="952"/>
      <c r="GSO48" s="952"/>
      <c r="GSP48" s="952"/>
      <c r="GSQ48" s="952"/>
      <c r="GSR48" s="952"/>
      <c r="GSS48" s="952"/>
      <c r="GST48" s="952"/>
      <c r="GSU48" s="952"/>
      <c r="GSV48" s="952"/>
      <c r="GSW48" s="952"/>
      <c r="GSX48" s="952"/>
      <c r="GSY48" s="952"/>
      <c r="GSZ48" s="952"/>
      <c r="GTA48" s="952"/>
      <c r="GTB48" s="952"/>
      <c r="GTC48" s="952"/>
      <c r="GTD48" s="952"/>
      <c r="GTE48" s="952"/>
      <c r="GTF48" s="952"/>
      <c r="GTG48" s="952"/>
      <c r="GTH48" s="952"/>
      <c r="GTI48" s="952"/>
      <c r="GTJ48" s="952"/>
      <c r="GTK48" s="952"/>
      <c r="GTL48" s="952"/>
      <c r="GTM48" s="952"/>
      <c r="GTN48" s="952"/>
      <c r="GTO48" s="952"/>
      <c r="GTP48" s="952"/>
      <c r="GTQ48" s="952"/>
      <c r="GTR48" s="952"/>
      <c r="GTS48" s="952"/>
      <c r="GTT48" s="952"/>
      <c r="GTU48" s="952"/>
      <c r="GTV48" s="952"/>
      <c r="GTW48" s="952"/>
      <c r="GTX48" s="952"/>
      <c r="GTY48" s="952"/>
      <c r="GTZ48" s="952"/>
      <c r="GUA48" s="952"/>
      <c r="GUB48" s="952"/>
      <c r="GUC48" s="952"/>
      <c r="GUD48" s="952"/>
      <c r="GUE48" s="952"/>
      <c r="GUF48" s="952"/>
      <c r="GUG48" s="952"/>
      <c r="GUH48" s="952"/>
      <c r="GUI48" s="952"/>
      <c r="GUJ48" s="952"/>
      <c r="GUK48" s="952"/>
      <c r="GUL48" s="952"/>
      <c r="GUM48" s="952"/>
      <c r="GUN48" s="952"/>
      <c r="GUO48" s="952"/>
      <c r="GUP48" s="952"/>
      <c r="GUQ48" s="952"/>
      <c r="GUR48" s="952"/>
      <c r="GUS48" s="952"/>
      <c r="GUT48" s="952"/>
      <c r="GUU48" s="952"/>
      <c r="GUV48" s="952"/>
      <c r="GUW48" s="952"/>
      <c r="GUX48" s="952"/>
      <c r="GUY48" s="952"/>
      <c r="GUZ48" s="952"/>
      <c r="GVA48" s="952"/>
      <c r="GVB48" s="952"/>
      <c r="GVC48" s="952"/>
      <c r="GVD48" s="952"/>
      <c r="GVE48" s="952"/>
      <c r="GVF48" s="952"/>
      <c r="GVG48" s="952"/>
      <c r="GVH48" s="952"/>
      <c r="GVI48" s="952"/>
      <c r="GVJ48" s="952"/>
      <c r="GVK48" s="952"/>
      <c r="GVL48" s="952"/>
      <c r="GVM48" s="952"/>
      <c r="GVN48" s="952"/>
      <c r="GVO48" s="952"/>
      <c r="GVP48" s="952"/>
      <c r="GVQ48" s="952"/>
      <c r="GVR48" s="952"/>
      <c r="GVS48" s="952"/>
      <c r="GVT48" s="952"/>
      <c r="GVU48" s="952"/>
      <c r="GVV48" s="952"/>
      <c r="GVW48" s="952"/>
      <c r="GVX48" s="952"/>
      <c r="GVY48" s="952"/>
      <c r="GVZ48" s="952"/>
      <c r="GWA48" s="952"/>
      <c r="GWB48" s="952"/>
      <c r="GWC48" s="952"/>
      <c r="GWD48" s="952"/>
      <c r="GWE48" s="952"/>
      <c r="GWF48" s="952"/>
      <c r="GWG48" s="952"/>
      <c r="GWH48" s="952"/>
      <c r="GWI48" s="952"/>
      <c r="GWJ48" s="952"/>
      <c r="GWK48" s="952"/>
      <c r="GWL48" s="952"/>
      <c r="GWM48" s="952"/>
      <c r="GWN48" s="952"/>
      <c r="GWO48" s="952"/>
      <c r="GWP48" s="952"/>
      <c r="GWQ48" s="952"/>
      <c r="GWR48" s="952"/>
      <c r="GWS48" s="952"/>
      <c r="GWT48" s="952"/>
      <c r="GWU48" s="952"/>
      <c r="GWV48" s="952"/>
      <c r="GWW48" s="952"/>
      <c r="GWX48" s="952"/>
      <c r="GWY48" s="952"/>
      <c r="GWZ48" s="952"/>
      <c r="GXA48" s="952"/>
      <c r="GXB48" s="952"/>
      <c r="GXC48" s="952"/>
      <c r="GXD48" s="952"/>
      <c r="GXE48" s="952"/>
      <c r="GXF48" s="952"/>
      <c r="GXG48" s="952"/>
      <c r="GXH48" s="952"/>
      <c r="GXI48" s="952"/>
      <c r="GXJ48" s="952"/>
      <c r="GXK48" s="952"/>
      <c r="GXL48" s="952"/>
      <c r="GXM48" s="952"/>
      <c r="GXN48" s="952"/>
      <c r="GXO48" s="952"/>
      <c r="GXP48" s="952"/>
      <c r="GXQ48" s="952"/>
      <c r="GXR48" s="952"/>
      <c r="GXS48" s="952"/>
      <c r="GXT48" s="952"/>
      <c r="GXU48" s="952"/>
      <c r="GXV48" s="952"/>
      <c r="GXW48" s="952"/>
      <c r="GXX48" s="952"/>
      <c r="GXY48" s="952"/>
      <c r="GXZ48" s="952"/>
      <c r="GYA48" s="952"/>
      <c r="GYB48" s="952"/>
      <c r="GYC48" s="952"/>
      <c r="GYD48" s="952"/>
      <c r="GYE48" s="952"/>
      <c r="GYF48" s="952"/>
      <c r="GYG48" s="952"/>
      <c r="GYH48" s="952"/>
      <c r="GYI48" s="952"/>
      <c r="GYJ48" s="952"/>
      <c r="GYK48" s="952"/>
      <c r="GYL48" s="952"/>
      <c r="GYM48" s="952"/>
      <c r="GYN48" s="952"/>
      <c r="GYO48" s="952"/>
      <c r="GYP48" s="952"/>
      <c r="GYQ48" s="952"/>
      <c r="GYR48" s="952"/>
      <c r="GYS48" s="952"/>
      <c r="GYT48" s="952"/>
      <c r="GYU48" s="952"/>
      <c r="GYV48" s="952"/>
      <c r="GYW48" s="952"/>
      <c r="GYX48" s="952"/>
      <c r="GYY48" s="952"/>
      <c r="GYZ48" s="952"/>
      <c r="GZA48" s="952"/>
      <c r="GZB48" s="952"/>
      <c r="GZC48" s="952"/>
      <c r="GZD48" s="952"/>
      <c r="GZE48" s="952"/>
      <c r="GZF48" s="952"/>
      <c r="GZG48" s="952"/>
      <c r="GZH48" s="952"/>
      <c r="GZI48" s="952"/>
      <c r="GZJ48" s="952"/>
      <c r="GZK48" s="952"/>
      <c r="GZL48" s="952"/>
      <c r="GZM48" s="952"/>
      <c r="GZN48" s="952"/>
      <c r="GZO48" s="952"/>
      <c r="GZP48" s="952"/>
      <c r="GZQ48" s="952"/>
      <c r="GZR48" s="952"/>
      <c r="GZS48" s="952"/>
      <c r="GZT48" s="952"/>
      <c r="GZU48" s="952"/>
      <c r="GZV48" s="952"/>
      <c r="GZW48" s="952"/>
      <c r="GZX48" s="952"/>
      <c r="GZY48" s="952"/>
      <c r="GZZ48" s="952"/>
      <c r="HAA48" s="952"/>
      <c r="HAB48" s="952"/>
      <c r="HAC48" s="952"/>
      <c r="HAD48" s="952"/>
      <c r="HAE48" s="952"/>
      <c r="HAF48" s="952"/>
      <c r="HAG48" s="952"/>
      <c r="HAH48" s="952"/>
      <c r="HAI48" s="952"/>
      <c r="HAJ48" s="952"/>
      <c r="HAK48" s="952"/>
      <c r="HAL48" s="952"/>
      <c r="HAM48" s="952"/>
      <c r="HAN48" s="952"/>
      <c r="HAO48" s="952"/>
      <c r="HAP48" s="952"/>
      <c r="HAQ48" s="952"/>
      <c r="HAR48" s="952"/>
      <c r="HAS48" s="952"/>
      <c r="HAT48" s="952"/>
      <c r="HAU48" s="952"/>
      <c r="HAV48" s="952"/>
      <c r="HAW48" s="952"/>
      <c r="HAX48" s="952"/>
      <c r="HAY48" s="952"/>
      <c r="HAZ48" s="952"/>
      <c r="HBA48" s="952"/>
      <c r="HBB48" s="952"/>
      <c r="HBC48" s="952"/>
      <c r="HBD48" s="952"/>
      <c r="HBE48" s="952"/>
      <c r="HBF48" s="952"/>
      <c r="HBG48" s="952"/>
      <c r="HBH48" s="952"/>
      <c r="HBI48" s="952"/>
      <c r="HBJ48" s="952"/>
      <c r="HBK48" s="952"/>
      <c r="HBL48" s="952"/>
      <c r="HBM48" s="952"/>
      <c r="HBN48" s="952"/>
      <c r="HBO48" s="952"/>
      <c r="HBP48" s="952"/>
      <c r="HBQ48" s="952"/>
      <c r="HBR48" s="952"/>
      <c r="HBS48" s="952"/>
      <c r="HBT48" s="952"/>
      <c r="HBU48" s="952"/>
      <c r="HBV48" s="952"/>
      <c r="HBW48" s="952"/>
      <c r="HBX48" s="952"/>
      <c r="HBY48" s="952"/>
      <c r="HBZ48" s="952"/>
      <c r="HCA48" s="952"/>
      <c r="HCB48" s="952"/>
      <c r="HCC48" s="952"/>
      <c r="HCD48" s="952"/>
      <c r="HCE48" s="952"/>
      <c r="HCF48" s="952"/>
      <c r="HCG48" s="952"/>
      <c r="HCH48" s="952"/>
      <c r="HCI48" s="952"/>
      <c r="HCJ48" s="952"/>
      <c r="HCK48" s="952"/>
      <c r="HCL48" s="952"/>
      <c r="HCM48" s="952"/>
      <c r="HCN48" s="952"/>
      <c r="HCO48" s="952"/>
      <c r="HCP48" s="952"/>
      <c r="HCQ48" s="952"/>
      <c r="HCR48" s="952"/>
      <c r="HCS48" s="952"/>
      <c r="HCT48" s="952"/>
      <c r="HCU48" s="952"/>
      <c r="HCV48" s="952"/>
      <c r="HCW48" s="952"/>
      <c r="HCX48" s="952"/>
      <c r="HCY48" s="952"/>
      <c r="HCZ48" s="952"/>
      <c r="HDA48" s="952"/>
      <c r="HDB48" s="952"/>
      <c r="HDC48" s="952"/>
      <c r="HDD48" s="952"/>
      <c r="HDE48" s="952"/>
      <c r="HDF48" s="952"/>
      <c r="HDG48" s="952"/>
      <c r="HDH48" s="952"/>
      <c r="HDI48" s="952"/>
      <c r="HDJ48" s="952"/>
      <c r="HDK48" s="952"/>
      <c r="HDL48" s="952"/>
      <c r="HDM48" s="952"/>
      <c r="HDN48" s="952"/>
      <c r="HDO48" s="952"/>
      <c r="HDP48" s="952"/>
      <c r="HDQ48" s="952"/>
      <c r="HDR48" s="952"/>
      <c r="HDS48" s="952"/>
      <c r="HDT48" s="952"/>
      <c r="HDU48" s="952"/>
      <c r="HDV48" s="952"/>
      <c r="HDW48" s="952"/>
      <c r="HDX48" s="952"/>
      <c r="HDY48" s="952"/>
      <c r="HDZ48" s="952"/>
      <c r="HEA48" s="952"/>
      <c r="HEB48" s="952"/>
      <c r="HEC48" s="952"/>
      <c r="HED48" s="952"/>
      <c r="HEE48" s="952"/>
      <c r="HEF48" s="952"/>
      <c r="HEG48" s="952"/>
      <c r="HEH48" s="952"/>
      <c r="HEI48" s="952"/>
      <c r="HEJ48" s="952"/>
      <c r="HEK48" s="952"/>
      <c r="HEL48" s="952"/>
      <c r="HEM48" s="952"/>
      <c r="HEN48" s="952"/>
      <c r="HEO48" s="952"/>
      <c r="HEP48" s="952"/>
      <c r="HEQ48" s="952"/>
      <c r="HER48" s="952"/>
      <c r="HES48" s="952"/>
      <c r="HET48" s="952"/>
      <c r="HEU48" s="952"/>
      <c r="HEV48" s="952"/>
      <c r="HEW48" s="952"/>
      <c r="HEX48" s="952"/>
      <c r="HEY48" s="952"/>
      <c r="HEZ48" s="952"/>
      <c r="HFA48" s="952"/>
      <c r="HFB48" s="952"/>
      <c r="HFC48" s="952"/>
      <c r="HFD48" s="952"/>
      <c r="HFE48" s="952"/>
      <c r="HFF48" s="952"/>
      <c r="HFG48" s="952"/>
      <c r="HFH48" s="952"/>
      <c r="HFI48" s="952"/>
      <c r="HFJ48" s="952"/>
      <c r="HFK48" s="952"/>
      <c r="HFL48" s="952"/>
      <c r="HFM48" s="952"/>
      <c r="HFN48" s="952"/>
      <c r="HFO48" s="952"/>
      <c r="HFP48" s="952"/>
      <c r="HFQ48" s="952"/>
      <c r="HFR48" s="952"/>
      <c r="HFS48" s="952"/>
      <c r="HFT48" s="952"/>
      <c r="HFU48" s="952"/>
      <c r="HFV48" s="952"/>
      <c r="HFW48" s="952"/>
      <c r="HFX48" s="952"/>
      <c r="HFY48" s="952"/>
      <c r="HFZ48" s="952"/>
      <c r="HGA48" s="952"/>
      <c r="HGB48" s="952"/>
      <c r="HGC48" s="952"/>
      <c r="HGD48" s="952"/>
      <c r="HGE48" s="952"/>
      <c r="HGF48" s="952"/>
      <c r="HGG48" s="952"/>
      <c r="HGH48" s="952"/>
      <c r="HGI48" s="952"/>
      <c r="HGJ48" s="952"/>
      <c r="HGK48" s="952"/>
      <c r="HGL48" s="952"/>
      <c r="HGM48" s="952"/>
      <c r="HGN48" s="952"/>
      <c r="HGO48" s="952"/>
      <c r="HGP48" s="952"/>
      <c r="HGQ48" s="952"/>
      <c r="HGR48" s="952"/>
      <c r="HGS48" s="952"/>
      <c r="HGT48" s="952"/>
      <c r="HGU48" s="952"/>
      <c r="HGV48" s="952"/>
      <c r="HGW48" s="952"/>
      <c r="HGX48" s="952"/>
      <c r="HGY48" s="952"/>
      <c r="HGZ48" s="952"/>
      <c r="HHA48" s="952"/>
      <c r="HHB48" s="952"/>
      <c r="HHC48" s="952"/>
      <c r="HHD48" s="952"/>
      <c r="HHE48" s="952"/>
      <c r="HHF48" s="952"/>
      <c r="HHG48" s="952"/>
      <c r="HHH48" s="952"/>
      <c r="HHI48" s="952"/>
      <c r="HHJ48" s="952"/>
      <c r="HHK48" s="952"/>
      <c r="HHL48" s="952"/>
      <c r="HHM48" s="952"/>
      <c r="HHN48" s="952"/>
      <c r="HHO48" s="952"/>
      <c r="HHP48" s="952"/>
      <c r="HHQ48" s="952"/>
      <c r="HHR48" s="952"/>
      <c r="HHS48" s="952"/>
      <c r="HHT48" s="952"/>
      <c r="HHU48" s="952"/>
      <c r="HHV48" s="952"/>
      <c r="HHW48" s="952"/>
      <c r="HHX48" s="952"/>
      <c r="HHY48" s="952"/>
      <c r="HHZ48" s="952"/>
      <c r="HIA48" s="952"/>
      <c r="HIB48" s="952"/>
      <c r="HIC48" s="952"/>
      <c r="HID48" s="952"/>
      <c r="HIE48" s="952"/>
      <c r="HIF48" s="952"/>
      <c r="HIG48" s="952"/>
      <c r="HIH48" s="952"/>
      <c r="HII48" s="952"/>
      <c r="HIJ48" s="952"/>
      <c r="HIK48" s="952"/>
      <c r="HIL48" s="952"/>
      <c r="HIM48" s="952"/>
      <c r="HIN48" s="952"/>
      <c r="HIO48" s="952"/>
      <c r="HIP48" s="952"/>
      <c r="HIQ48" s="952"/>
      <c r="HIR48" s="952"/>
      <c r="HIS48" s="952"/>
      <c r="HIT48" s="952"/>
      <c r="HIU48" s="952"/>
      <c r="HIV48" s="952"/>
      <c r="HIW48" s="952"/>
      <c r="HIX48" s="952"/>
      <c r="HIY48" s="952"/>
      <c r="HIZ48" s="952"/>
      <c r="HJA48" s="952"/>
      <c r="HJB48" s="952"/>
      <c r="HJC48" s="952"/>
      <c r="HJD48" s="952"/>
      <c r="HJE48" s="952"/>
      <c r="HJF48" s="952"/>
      <c r="HJG48" s="952"/>
      <c r="HJH48" s="952"/>
      <c r="HJI48" s="952"/>
      <c r="HJJ48" s="952"/>
      <c r="HJK48" s="952"/>
      <c r="HJL48" s="952"/>
      <c r="HJM48" s="952"/>
      <c r="HJN48" s="952"/>
      <c r="HJO48" s="952"/>
      <c r="HJP48" s="952"/>
      <c r="HJQ48" s="952"/>
      <c r="HJR48" s="952"/>
      <c r="HJS48" s="952"/>
      <c r="HJT48" s="952"/>
      <c r="HJU48" s="952"/>
      <c r="HJV48" s="952"/>
      <c r="HJW48" s="952"/>
      <c r="HJX48" s="952"/>
      <c r="HJY48" s="952"/>
      <c r="HJZ48" s="952"/>
      <c r="HKA48" s="952"/>
      <c r="HKB48" s="952"/>
      <c r="HKC48" s="952"/>
      <c r="HKD48" s="952"/>
      <c r="HKE48" s="952"/>
      <c r="HKF48" s="952"/>
      <c r="HKG48" s="952"/>
      <c r="HKH48" s="952"/>
      <c r="HKI48" s="952"/>
      <c r="HKJ48" s="952"/>
      <c r="HKK48" s="952"/>
      <c r="HKL48" s="952"/>
      <c r="HKM48" s="952"/>
      <c r="HKN48" s="952"/>
      <c r="HKO48" s="952"/>
      <c r="HKP48" s="952"/>
      <c r="HKQ48" s="952"/>
      <c r="HKR48" s="952"/>
      <c r="HKS48" s="952"/>
      <c r="HKT48" s="952"/>
      <c r="HKU48" s="952"/>
      <c r="HKV48" s="952"/>
      <c r="HKW48" s="952"/>
      <c r="HKX48" s="952"/>
      <c r="HKY48" s="952"/>
      <c r="HKZ48" s="952"/>
      <c r="HLA48" s="952"/>
      <c r="HLB48" s="952"/>
      <c r="HLC48" s="952"/>
      <c r="HLD48" s="952"/>
      <c r="HLE48" s="952"/>
      <c r="HLF48" s="952"/>
      <c r="HLG48" s="952"/>
      <c r="HLH48" s="952"/>
      <c r="HLI48" s="952"/>
      <c r="HLJ48" s="952"/>
      <c r="HLK48" s="952"/>
      <c r="HLL48" s="952"/>
      <c r="HLM48" s="952"/>
      <c r="HLN48" s="952"/>
      <c r="HLO48" s="952"/>
      <c r="HLP48" s="952"/>
      <c r="HLQ48" s="952"/>
      <c r="HLR48" s="952"/>
      <c r="HLS48" s="952"/>
      <c r="HLT48" s="952"/>
      <c r="HLU48" s="952"/>
      <c r="HLV48" s="952"/>
      <c r="HLW48" s="952"/>
      <c r="HLX48" s="952"/>
      <c r="HLY48" s="952"/>
      <c r="HLZ48" s="952"/>
      <c r="HMA48" s="952"/>
      <c r="HMB48" s="952"/>
      <c r="HMC48" s="952"/>
      <c r="HMD48" s="952"/>
      <c r="HME48" s="952"/>
      <c r="HMF48" s="952"/>
      <c r="HMG48" s="952"/>
      <c r="HMH48" s="952"/>
      <c r="HMI48" s="952"/>
      <c r="HMJ48" s="952"/>
      <c r="HMK48" s="952"/>
      <c r="HML48" s="952"/>
      <c r="HMM48" s="952"/>
      <c r="HMN48" s="952"/>
      <c r="HMO48" s="952"/>
      <c r="HMP48" s="952"/>
      <c r="HMQ48" s="952"/>
      <c r="HMR48" s="952"/>
      <c r="HMS48" s="952"/>
      <c r="HMT48" s="952"/>
      <c r="HMU48" s="952"/>
      <c r="HMV48" s="952"/>
      <c r="HMW48" s="952"/>
      <c r="HMX48" s="952"/>
      <c r="HMY48" s="952"/>
      <c r="HMZ48" s="952"/>
      <c r="HNA48" s="952"/>
      <c r="HNB48" s="952"/>
      <c r="HNC48" s="952"/>
      <c r="HND48" s="952"/>
      <c r="HNE48" s="952"/>
      <c r="HNF48" s="952"/>
      <c r="HNG48" s="952"/>
      <c r="HNH48" s="952"/>
      <c r="HNI48" s="952"/>
      <c r="HNJ48" s="952"/>
      <c r="HNK48" s="952"/>
      <c r="HNL48" s="952"/>
      <c r="HNM48" s="952"/>
      <c r="HNN48" s="952"/>
      <c r="HNO48" s="952"/>
      <c r="HNP48" s="952"/>
      <c r="HNQ48" s="952"/>
      <c r="HNR48" s="952"/>
      <c r="HNS48" s="952"/>
      <c r="HNT48" s="952"/>
      <c r="HNU48" s="952"/>
      <c r="HNV48" s="952"/>
      <c r="HNW48" s="952"/>
      <c r="HNX48" s="952"/>
      <c r="HNY48" s="952"/>
      <c r="HNZ48" s="952"/>
      <c r="HOA48" s="952"/>
      <c r="HOB48" s="952"/>
      <c r="HOC48" s="952"/>
      <c r="HOD48" s="952"/>
      <c r="HOE48" s="952"/>
      <c r="HOF48" s="952"/>
      <c r="HOG48" s="952"/>
      <c r="HOH48" s="952"/>
      <c r="HOI48" s="952"/>
      <c r="HOJ48" s="952"/>
      <c r="HOK48" s="952"/>
      <c r="HOL48" s="952"/>
      <c r="HOM48" s="952"/>
      <c r="HON48" s="952"/>
      <c r="HOO48" s="952"/>
      <c r="HOP48" s="952"/>
      <c r="HOQ48" s="952"/>
      <c r="HOR48" s="952"/>
      <c r="HOS48" s="952"/>
      <c r="HOT48" s="952"/>
      <c r="HOU48" s="952"/>
      <c r="HOV48" s="952"/>
      <c r="HOW48" s="952"/>
      <c r="HOX48" s="952"/>
      <c r="HOY48" s="952"/>
      <c r="HOZ48" s="952"/>
      <c r="HPA48" s="952"/>
      <c r="HPB48" s="952"/>
      <c r="HPC48" s="952"/>
      <c r="HPD48" s="952"/>
      <c r="HPE48" s="952"/>
      <c r="HPF48" s="952"/>
      <c r="HPG48" s="952"/>
      <c r="HPH48" s="952"/>
      <c r="HPI48" s="952"/>
      <c r="HPJ48" s="952"/>
      <c r="HPK48" s="952"/>
      <c r="HPL48" s="952"/>
      <c r="HPM48" s="952"/>
      <c r="HPN48" s="952"/>
      <c r="HPO48" s="952"/>
      <c r="HPP48" s="952"/>
      <c r="HPQ48" s="952"/>
      <c r="HPR48" s="952"/>
      <c r="HPS48" s="952"/>
      <c r="HPT48" s="952"/>
      <c r="HPU48" s="952"/>
      <c r="HPV48" s="952"/>
      <c r="HPW48" s="952"/>
      <c r="HPX48" s="952"/>
      <c r="HPY48" s="952"/>
      <c r="HPZ48" s="952"/>
      <c r="HQA48" s="952"/>
      <c r="HQB48" s="952"/>
      <c r="HQC48" s="952"/>
      <c r="HQD48" s="952"/>
      <c r="HQE48" s="952"/>
      <c r="HQF48" s="952"/>
      <c r="HQG48" s="952"/>
      <c r="HQH48" s="952"/>
      <c r="HQI48" s="952"/>
      <c r="HQJ48" s="952"/>
      <c r="HQK48" s="952"/>
      <c r="HQL48" s="952"/>
      <c r="HQM48" s="952"/>
      <c r="HQN48" s="952"/>
      <c r="HQO48" s="952"/>
      <c r="HQP48" s="952"/>
      <c r="HQQ48" s="952"/>
      <c r="HQR48" s="952"/>
      <c r="HQS48" s="952"/>
      <c r="HQT48" s="952"/>
      <c r="HQU48" s="952"/>
      <c r="HQV48" s="952"/>
      <c r="HQW48" s="952"/>
      <c r="HQX48" s="952"/>
      <c r="HQY48" s="952"/>
      <c r="HQZ48" s="952"/>
      <c r="HRA48" s="952"/>
      <c r="HRB48" s="952"/>
      <c r="HRC48" s="952"/>
      <c r="HRD48" s="952"/>
      <c r="HRE48" s="952"/>
      <c r="HRF48" s="952"/>
      <c r="HRG48" s="952"/>
      <c r="HRH48" s="952"/>
      <c r="HRI48" s="952"/>
      <c r="HRJ48" s="952"/>
      <c r="HRK48" s="952"/>
      <c r="HRL48" s="952"/>
      <c r="HRM48" s="952"/>
      <c r="HRN48" s="952"/>
      <c r="HRO48" s="952"/>
      <c r="HRP48" s="952"/>
      <c r="HRQ48" s="952"/>
      <c r="HRR48" s="952"/>
      <c r="HRS48" s="952"/>
      <c r="HRT48" s="952"/>
      <c r="HRU48" s="952"/>
      <c r="HRV48" s="952"/>
      <c r="HRW48" s="952"/>
      <c r="HRX48" s="952"/>
      <c r="HRY48" s="952"/>
      <c r="HRZ48" s="952"/>
      <c r="HSA48" s="952"/>
      <c r="HSB48" s="952"/>
      <c r="HSC48" s="952"/>
      <c r="HSD48" s="952"/>
      <c r="HSE48" s="952"/>
      <c r="HSF48" s="952"/>
      <c r="HSG48" s="952"/>
      <c r="HSH48" s="952"/>
      <c r="HSI48" s="952"/>
      <c r="HSJ48" s="952"/>
      <c r="HSK48" s="952"/>
      <c r="HSL48" s="952"/>
      <c r="HSM48" s="952"/>
      <c r="HSN48" s="952"/>
      <c r="HSO48" s="952"/>
      <c r="HSP48" s="952"/>
      <c r="HSQ48" s="952"/>
      <c r="HSR48" s="952"/>
      <c r="HSS48" s="952"/>
      <c r="HST48" s="952"/>
      <c r="HSU48" s="952"/>
      <c r="HSV48" s="952"/>
      <c r="HSW48" s="952"/>
      <c r="HSX48" s="952"/>
      <c r="HSY48" s="952"/>
      <c r="HSZ48" s="952"/>
      <c r="HTA48" s="952"/>
      <c r="HTB48" s="952"/>
      <c r="HTC48" s="952"/>
      <c r="HTD48" s="952"/>
      <c r="HTE48" s="952"/>
      <c r="HTF48" s="952"/>
      <c r="HTG48" s="952"/>
      <c r="HTH48" s="952"/>
      <c r="HTI48" s="952"/>
      <c r="HTJ48" s="952"/>
      <c r="HTK48" s="952"/>
      <c r="HTL48" s="952"/>
      <c r="HTM48" s="952"/>
      <c r="HTN48" s="952"/>
      <c r="HTO48" s="952"/>
      <c r="HTP48" s="952"/>
      <c r="HTQ48" s="952"/>
      <c r="HTR48" s="952"/>
      <c r="HTS48" s="952"/>
      <c r="HTT48" s="952"/>
      <c r="HTU48" s="952"/>
      <c r="HTV48" s="952"/>
      <c r="HTW48" s="952"/>
      <c r="HTX48" s="952"/>
      <c r="HTY48" s="952"/>
      <c r="HTZ48" s="952"/>
      <c r="HUA48" s="952"/>
      <c r="HUB48" s="952"/>
      <c r="HUC48" s="952"/>
      <c r="HUD48" s="952"/>
      <c r="HUE48" s="952"/>
      <c r="HUF48" s="952"/>
      <c r="HUG48" s="952"/>
      <c r="HUH48" s="952"/>
      <c r="HUI48" s="952"/>
      <c r="HUJ48" s="952"/>
      <c r="HUK48" s="952"/>
      <c r="HUL48" s="952"/>
      <c r="HUM48" s="952"/>
      <c r="HUN48" s="952"/>
      <c r="HUO48" s="952"/>
      <c r="HUP48" s="952"/>
      <c r="HUQ48" s="952"/>
      <c r="HUR48" s="952"/>
      <c r="HUS48" s="952"/>
      <c r="HUT48" s="952"/>
      <c r="HUU48" s="952"/>
      <c r="HUV48" s="952"/>
      <c r="HUW48" s="952"/>
      <c r="HUX48" s="952"/>
      <c r="HUY48" s="952"/>
      <c r="HUZ48" s="952"/>
      <c r="HVA48" s="952"/>
      <c r="HVB48" s="952"/>
      <c r="HVC48" s="952"/>
      <c r="HVD48" s="952"/>
      <c r="HVE48" s="952"/>
      <c r="HVF48" s="952"/>
      <c r="HVG48" s="952"/>
      <c r="HVH48" s="952"/>
      <c r="HVI48" s="952"/>
      <c r="HVJ48" s="952"/>
      <c r="HVK48" s="952"/>
      <c r="HVL48" s="952"/>
      <c r="HVM48" s="952"/>
      <c r="HVN48" s="952"/>
      <c r="HVO48" s="952"/>
      <c r="HVP48" s="952"/>
      <c r="HVQ48" s="952"/>
      <c r="HVR48" s="952"/>
      <c r="HVS48" s="952"/>
      <c r="HVT48" s="952"/>
      <c r="HVU48" s="952"/>
      <c r="HVV48" s="952"/>
      <c r="HVW48" s="952"/>
      <c r="HVX48" s="952"/>
      <c r="HVY48" s="952"/>
      <c r="HVZ48" s="952"/>
      <c r="HWA48" s="952"/>
      <c r="HWB48" s="952"/>
      <c r="HWC48" s="952"/>
      <c r="HWD48" s="952"/>
      <c r="HWE48" s="952"/>
      <c r="HWF48" s="952"/>
      <c r="HWG48" s="952"/>
      <c r="HWH48" s="952"/>
      <c r="HWI48" s="952"/>
      <c r="HWJ48" s="952"/>
      <c r="HWK48" s="952"/>
      <c r="HWL48" s="952"/>
      <c r="HWM48" s="952"/>
      <c r="HWN48" s="952"/>
      <c r="HWO48" s="952"/>
      <c r="HWP48" s="952"/>
      <c r="HWQ48" s="952"/>
      <c r="HWR48" s="952"/>
      <c r="HWS48" s="952"/>
      <c r="HWT48" s="952"/>
      <c r="HWU48" s="952"/>
      <c r="HWV48" s="952"/>
      <c r="HWW48" s="952"/>
      <c r="HWX48" s="952"/>
      <c r="HWY48" s="952"/>
      <c r="HWZ48" s="952"/>
      <c r="HXA48" s="952"/>
      <c r="HXB48" s="952"/>
      <c r="HXC48" s="952"/>
      <c r="HXD48" s="952"/>
      <c r="HXE48" s="952"/>
      <c r="HXF48" s="952"/>
      <c r="HXG48" s="952"/>
      <c r="HXH48" s="952"/>
      <c r="HXI48" s="952"/>
      <c r="HXJ48" s="952"/>
      <c r="HXK48" s="952"/>
      <c r="HXL48" s="952"/>
      <c r="HXM48" s="952"/>
      <c r="HXN48" s="952"/>
      <c r="HXO48" s="952"/>
      <c r="HXP48" s="952"/>
      <c r="HXQ48" s="952"/>
      <c r="HXR48" s="952"/>
      <c r="HXS48" s="952"/>
      <c r="HXT48" s="952"/>
      <c r="HXU48" s="952"/>
      <c r="HXV48" s="952"/>
      <c r="HXW48" s="952"/>
      <c r="HXX48" s="952"/>
      <c r="HXY48" s="952"/>
      <c r="HXZ48" s="952"/>
      <c r="HYA48" s="952"/>
      <c r="HYB48" s="952"/>
      <c r="HYC48" s="952"/>
      <c r="HYD48" s="952"/>
      <c r="HYE48" s="952"/>
      <c r="HYF48" s="952"/>
      <c r="HYG48" s="952"/>
      <c r="HYH48" s="952"/>
      <c r="HYI48" s="952"/>
      <c r="HYJ48" s="952"/>
      <c r="HYK48" s="952"/>
      <c r="HYL48" s="952"/>
      <c r="HYM48" s="952"/>
      <c r="HYN48" s="952"/>
      <c r="HYO48" s="952"/>
      <c r="HYP48" s="952"/>
      <c r="HYQ48" s="952"/>
      <c r="HYR48" s="952"/>
      <c r="HYS48" s="952"/>
      <c r="HYT48" s="952"/>
      <c r="HYU48" s="952"/>
      <c r="HYV48" s="952"/>
      <c r="HYW48" s="952"/>
      <c r="HYX48" s="952"/>
      <c r="HYY48" s="952"/>
      <c r="HYZ48" s="952"/>
      <c r="HZA48" s="952"/>
      <c r="HZB48" s="952"/>
      <c r="HZC48" s="952"/>
      <c r="HZD48" s="952"/>
      <c r="HZE48" s="952"/>
      <c r="HZF48" s="952"/>
      <c r="HZG48" s="952"/>
      <c r="HZH48" s="952"/>
      <c r="HZI48" s="952"/>
      <c r="HZJ48" s="952"/>
      <c r="HZK48" s="952"/>
      <c r="HZL48" s="952"/>
      <c r="HZM48" s="952"/>
      <c r="HZN48" s="952"/>
      <c r="HZO48" s="952"/>
      <c r="HZP48" s="952"/>
      <c r="HZQ48" s="952"/>
      <c r="HZR48" s="952"/>
      <c r="HZS48" s="952"/>
      <c r="HZT48" s="952"/>
      <c r="HZU48" s="952"/>
      <c r="HZV48" s="952"/>
      <c r="HZW48" s="952"/>
      <c r="HZX48" s="952"/>
      <c r="HZY48" s="952"/>
      <c r="HZZ48" s="952"/>
      <c r="IAA48" s="952"/>
      <c r="IAB48" s="952"/>
      <c r="IAC48" s="952"/>
      <c r="IAD48" s="952"/>
      <c r="IAE48" s="952"/>
      <c r="IAF48" s="952"/>
      <c r="IAG48" s="952"/>
      <c r="IAH48" s="952"/>
      <c r="IAI48" s="952"/>
      <c r="IAJ48" s="952"/>
      <c r="IAK48" s="952"/>
      <c r="IAL48" s="952"/>
      <c r="IAM48" s="952"/>
      <c r="IAN48" s="952"/>
      <c r="IAO48" s="952"/>
      <c r="IAP48" s="952"/>
      <c r="IAQ48" s="952"/>
      <c r="IAR48" s="952"/>
      <c r="IAS48" s="952"/>
      <c r="IAT48" s="952"/>
      <c r="IAU48" s="952"/>
      <c r="IAV48" s="952"/>
      <c r="IAW48" s="952"/>
      <c r="IAX48" s="952"/>
      <c r="IAY48" s="952"/>
      <c r="IAZ48" s="952"/>
      <c r="IBA48" s="952"/>
      <c r="IBB48" s="952"/>
      <c r="IBC48" s="952"/>
      <c r="IBD48" s="952"/>
      <c r="IBE48" s="952"/>
      <c r="IBF48" s="952"/>
      <c r="IBG48" s="952"/>
      <c r="IBH48" s="952"/>
      <c r="IBI48" s="952"/>
      <c r="IBJ48" s="952"/>
      <c r="IBK48" s="952"/>
      <c r="IBL48" s="952"/>
      <c r="IBM48" s="952"/>
      <c r="IBN48" s="952"/>
      <c r="IBO48" s="952"/>
      <c r="IBP48" s="952"/>
      <c r="IBQ48" s="952"/>
      <c r="IBR48" s="952"/>
      <c r="IBS48" s="952"/>
      <c r="IBT48" s="952"/>
      <c r="IBU48" s="952"/>
      <c r="IBV48" s="952"/>
      <c r="IBW48" s="952"/>
      <c r="IBX48" s="952"/>
      <c r="IBY48" s="952"/>
      <c r="IBZ48" s="952"/>
      <c r="ICA48" s="952"/>
      <c r="ICB48" s="952"/>
      <c r="ICC48" s="952"/>
      <c r="ICD48" s="952"/>
      <c r="ICE48" s="952"/>
      <c r="ICF48" s="952"/>
      <c r="ICG48" s="952"/>
      <c r="ICH48" s="952"/>
      <c r="ICI48" s="952"/>
      <c r="ICJ48" s="952"/>
      <c r="ICK48" s="952"/>
      <c r="ICL48" s="952"/>
      <c r="ICM48" s="952"/>
      <c r="ICN48" s="952"/>
      <c r="ICO48" s="952"/>
      <c r="ICP48" s="952"/>
      <c r="ICQ48" s="952"/>
      <c r="ICR48" s="952"/>
      <c r="ICS48" s="952"/>
      <c r="ICT48" s="952"/>
      <c r="ICU48" s="952"/>
      <c r="ICV48" s="952"/>
      <c r="ICW48" s="952"/>
      <c r="ICX48" s="952"/>
      <c r="ICY48" s="952"/>
      <c r="ICZ48" s="952"/>
      <c r="IDA48" s="952"/>
      <c r="IDB48" s="952"/>
      <c r="IDC48" s="952"/>
      <c r="IDD48" s="952"/>
      <c r="IDE48" s="952"/>
      <c r="IDF48" s="952"/>
      <c r="IDG48" s="952"/>
      <c r="IDH48" s="952"/>
      <c r="IDI48" s="952"/>
      <c r="IDJ48" s="952"/>
      <c r="IDK48" s="952"/>
      <c r="IDL48" s="952"/>
      <c r="IDM48" s="952"/>
      <c r="IDN48" s="952"/>
      <c r="IDO48" s="952"/>
      <c r="IDP48" s="952"/>
      <c r="IDQ48" s="952"/>
      <c r="IDR48" s="952"/>
      <c r="IDS48" s="952"/>
      <c r="IDT48" s="952"/>
      <c r="IDU48" s="952"/>
      <c r="IDV48" s="952"/>
      <c r="IDW48" s="952"/>
      <c r="IDX48" s="952"/>
      <c r="IDY48" s="952"/>
      <c r="IDZ48" s="952"/>
      <c r="IEA48" s="952"/>
      <c r="IEB48" s="952"/>
      <c r="IEC48" s="952"/>
      <c r="IED48" s="952"/>
      <c r="IEE48" s="952"/>
      <c r="IEF48" s="952"/>
      <c r="IEG48" s="952"/>
      <c r="IEH48" s="952"/>
      <c r="IEI48" s="952"/>
      <c r="IEJ48" s="952"/>
      <c r="IEK48" s="952"/>
      <c r="IEL48" s="952"/>
      <c r="IEM48" s="952"/>
      <c r="IEN48" s="952"/>
      <c r="IEO48" s="952"/>
      <c r="IEP48" s="952"/>
      <c r="IEQ48" s="952"/>
      <c r="IER48" s="952"/>
      <c r="IES48" s="952"/>
      <c r="IET48" s="952"/>
      <c r="IEU48" s="952"/>
      <c r="IEV48" s="952"/>
      <c r="IEW48" s="952"/>
      <c r="IEX48" s="952"/>
      <c r="IEY48" s="952"/>
      <c r="IEZ48" s="952"/>
      <c r="IFA48" s="952"/>
      <c r="IFB48" s="952"/>
      <c r="IFC48" s="952"/>
      <c r="IFD48" s="952"/>
      <c r="IFE48" s="952"/>
      <c r="IFF48" s="952"/>
      <c r="IFG48" s="952"/>
      <c r="IFH48" s="952"/>
      <c r="IFI48" s="952"/>
      <c r="IFJ48" s="952"/>
      <c r="IFK48" s="952"/>
      <c r="IFL48" s="952"/>
      <c r="IFM48" s="952"/>
      <c r="IFN48" s="952"/>
      <c r="IFO48" s="952"/>
      <c r="IFP48" s="952"/>
      <c r="IFQ48" s="952"/>
      <c r="IFR48" s="952"/>
      <c r="IFS48" s="952"/>
      <c r="IFT48" s="952"/>
      <c r="IFU48" s="952"/>
      <c r="IFV48" s="952"/>
      <c r="IFW48" s="952"/>
      <c r="IFX48" s="952"/>
      <c r="IFY48" s="952"/>
      <c r="IFZ48" s="952"/>
      <c r="IGA48" s="952"/>
      <c r="IGB48" s="952"/>
      <c r="IGC48" s="952"/>
      <c r="IGD48" s="952"/>
      <c r="IGE48" s="952"/>
      <c r="IGF48" s="952"/>
      <c r="IGG48" s="952"/>
      <c r="IGH48" s="952"/>
      <c r="IGI48" s="952"/>
      <c r="IGJ48" s="952"/>
      <c r="IGK48" s="952"/>
      <c r="IGL48" s="952"/>
      <c r="IGM48" s="952"/>
      <c r="IGN48" s="952"/>
      <c r="IGO48" s="952"/>
      <c r="IGP48" s="952"/>
      <c r="IGQ48" s="952"/>
      <c r="IGR48" s="952"/>
      <c r="IGS48" s="952"/>
      <c r="IGT48" s="952"/>
      <c r="IGU48" s="952"/>
      <c r="IGV48" s="952"/>
      <c r="IGW48" s="952"/>
      <c r="IGX48" s="952"/>
      <c r="IGY48" s="952"/>
      <c r="IGZ48" s="952"/>
      <c r="IHA48" s="952"/>
      <c r="IHB48" s="952"/>
      <c r="IHC48" s="952"/>
      <c r="IHD48" s="952"/>
      <c r="IHE48" s="952"/>
      <c r="IHF48" s="952"/>
      <c r="IHG48" s="952"/>
      <c r="IHH48" s="952"/>
      <c r="IHI48" s="952"/>
      <c r="IHJ48" s="952"/>
      <c r="IHK48" s="952"/>
      <c r="IHL48" s="952"/>
      <c r="IHM48" s="952"/>
      <c r="IHN48" s="952"/>
      <c r="IHO48" s="952"/>
      <c r="IHP48" s="952"/>
      <c r="IHQ48" s="952"/>
      <c r="IHR48" s="952"/>
      <c r="IHS48" s="952"/>
      <c r="IHT48" s="952"/>
      <c r="IHU48" s="952"/>
      <c r="IHV48" s="952"/>
      <c r="IHW48" s="952"/>
      <c r="IHX48" s="952"/>
      <c r="IHY48" s="952"/>
      <c r="IHZ48" s="952"/>
      <c r="IIA48" s="952"/>
      <c r="IIB48" s="952"/>
      <c r="IIC48" s="952"/>
      <c r="IID48" s="952"/>
      <c r="IIE48" s="952"/>
      <c r="IIF48" s="952"/>
      <c r="IIG48" s="952"/>
      <c r="IIH48" s="952"/>
      <c r="III48" s="952"/>
      <c r="IIJ48" s="952"/>
      <c r="IIK48" s="952"/>
      <c r="IIL48" s="952"/>
      <c r="IIM48" s="952"/>
      <c r="IIN48" s="952"/>
      <c r="IIO48" s="952"/>
      <c r="IIP48" s="952"/>
      <c r="IIQ48" s="952"/>
      <c r="IIR48" s="952"/>
      <c r="IIS48" s="952"/>
      <c r="IIT48" s="952"/>
      <c r="IIU48" s="952"/>
      <c r="IIV48" s="952"/>
      <c r="IIW48" s="952"/>
      <c r="IIX48" s="952"/>
      <c r="IIY48" s="952"/>
      <c r="IIZ48" s="952"/>
      <c r="IJA48" s="952"/>
      <c r="IJB48" s="952"/>
      <c r="IJC48" s="952"/>
      <c r="IJD48" s="952"/>
      <c r="IJE48" s="952"/>
      <c r="IJF48" s="952"/>
      <c r="IJG48" s="952"/>
      <c r="IJH48" s="952"/>
      <c r="IJI48" s="952"/>
      <c r="IJJ48" s="952"/>
      <c r="IJK48" s="952"/>
      <c r="IJL48" s="952"/>
      <c r="IJM48" s="952"/>
      <c r="IJN48" s="952"/>
      <c r="IJO48" s="952"/>
      <c r="IJP48" s="952"/>
      <c r="IJQ48" s="952"/>
      <c r="IJR48" s="952"/>
      <c r="IJS48" s="952"/>
      <c r="IJT48" s="952"/>
      <c r="IJU48" s="952"/>
      <c r="IJV48" s="952"/>
      <c r="IJW48" s="952"/>
      <c r="IJX48" s="952"/>
      <c r="IJY48" s="952"/>
      <c r="IJZ48" s="952"/>
      <c r="IKA48" s="952"/>
      <c r="IKB48" s="952"/>
      <c r="IKC48" s="952"/>
      <c r="IKD48" s="952"/>
      <c r="IKE48" s="952"/>
      <c r="IKF48" s="952"/>
      <c r="IKG48" s="952"/>
      <c r="IKH48" s="952"/>
      <c r="IKI48" s="952"/>
      <c r="IKJ48" s="952"/>
      <c r="IKK48" s="952"/>
      <c r="IKL48" s="952"/>
      <c r="IKM48" s="952"/>
      <c r="IKN48" s="952"/>
      <c r="IKO48" s="952"/>
      <c r="IKP48" s="952"/>
      <c r="IKQ48" s="952"/>
      <c r="IKR48" s="952"/>
      <c r="IKS48" s="952"/>
      <c r="IKT48" s="952"/>
      <c r="IKU48" s="952"/>
      <c r="IKV48" s="952"/>
      <c r="IKW48" s="952"/>
      <c r="IKX48" s="952"/>
      <c r="IKY48" s="952"/>
      <c r="IKZ48" s="952"/>
      <c r="ILA48" s="952"/>
      <c r="ILB48" s="952"/>
      <c r="ILC48" s="952"/>
      <c r="ILD48" s="952"/>
      <c r="ILE48" s="952"/>
      <c r="ILF48" s="952"/>
      <c r="ILG48" s="952"/>
      <c r="ILH48" s="952"/>
      <c r="ILI48" s="952"/>
      <c r="ILJ48" s="952"/>
      <c r="ILK48" s="952"/>
      <c r="ILL48" s="952"/>
      <c r="ILM48" s="952"/>
      <c r="ILN48" s="952"/>
      <c r="ILO48" s="952"/>
      <c r="ILP48" s="952"/>
      <c r="ILQ48" s="952"/>
      <c r="ILR48" s="952"/>
      <c r="ILS48" s="952"/>
      <c r="ILT48" s="952"/>
      <c r="ILU48" s="952"/>
      <c r="ILV48" s="952"/>
      <c r="ILW48" s="952"/>
      <c r="ILX48" s="952"/>
      <c r="ILY48" s="952"/>
      <c r="ILZ48" s="952"/>
      <c r="IMA48" s="952"/>
      <c r="IMB48" s="952"/>
      <c r="IMC48" s="952"/>
      <c r="IMD48" s="952"/>
      <c r="IME48" s="952"/>
      <c r="IMF48" s="952"/>
      <c r="IMG48" s="952"/>
      <c r="IMH48" s="952"/>
      <c r="IMI48" s="952"/>
      <c r="IMJ48" s="952"/>
      <c r="IMK48" s="952"/>
      <c r="IML48" s="952"/>
      <c r="IMM48" s="952"/>
      <c r="IMN48" s="952"/>
      <c r="IMO48" s="952"/>
      <c r="IMP48" s="952"/>
      <c r="IMQ48" s="952"/>
      <c r="IMR48" s="952"/>
      <c r="IMS48" s="952"/>
      <c r="IMT48" s="952"/>
      <c r="IMU48" s="952"/>
      <c r="IMV48" s="952"/>
      <c r="IMW48" s="952"/>
      <c r="IMX48" s="952"/>
      <c r="IMY48" s="952"/>
      <c r="IMZ48" s="952"/>
      <c r="INA48" s="952"/>
      <c r="INB48" s="952"/>
      <c r="INC48" s="952"/>
      <c r="IND48" s="952"/>
      <c r="INE48" s="952"/>
      <c r="INF48" s="952"/>
      <c r="ING48" s="952"/>
      <c r="INH48" s="952"/>
      <c r="INI48" s="952"/>
      <c r="INJ48" s="952"/>
      <c r="INK48" s="952"/>
      <c r="INL48" s="952"/>
      <c r="INM48" s="952"/>
      <c r="INN48" s="952"/>
      <c r="INO48" s="952"/>
      <c r="INP48" s="952"/>
      <c r="INQ48" s="952"/>
      <c r="INR48" s="952"/>
      <c r="INS48" s="952"/>
      <c r="INT48" s="952"/>
      <c r="INU48" s="952"/>
      <c r="INV48" s="952"/>
      <c r="INW48" s="952"/>
      <c r="INX48" s="952"/>
      <c r="INY48" s="952"/>
      <c r="INZ48" s="952"/>
      <c r="IOA48" s="952"/>
      <c r="IOB48" s="952"/>
      <c r="IOC48" s="952"/>
      <c r="IOD48" s="952"/>
      <c r="IOE48" s="952"/>
      <c r="IOF48" s="952"/>
      <c r="IOG48" s="952"/>
      <c r="IOH48" s="952"/>
      <c r="IOI48" s="952"/>
      <c r="IOJ48" s="952"/>
      <c r="IOK48" s="952"/>
      <c r="IOL48" s="952"/>
      <c r="IOM48" s="952"/>
      <c r="ION48" s="952"/>
      <c r="IOO48" s="952"/>
      <c r="IOP48" s="952"/>
      <c r="IOQ48" s="952"/>
      <c r="IOR48" s="952"/>
      <c r="IOS48" s="952"/>
      <c r="IOT48" s="952"/>
      <c r="IOU48" s="952"/>
      <c r="IOV48" s="952"/>
      <c r="IOW48" s="952"/>
      <c r="IOX48" s="952"/>
      <c r="IOY48" s="952"/>
      <c r="IOZ48" s="952"/>
      <c r="IPA48" s="952"/>
      <c r="IPB48" s="952"/>
      <c r="IPC48" s="952"/>
      <c r="IPD48" s="952"/>
      <c r="IPE48" s="952"/>
      <c r="IPF48" s="952"/>
      <c r="IPG48" s="952"/>
      <c r="IPH48" s="952"/>
      <c r="IPI48" s="952"/>
      <c r="IPJ48" s="952"/>
      <c r="IPK48" s="952"/>
      <c r="IPL48" s="952"/>
      <c r="IPM48" s="952"/>
      <c r="IPN48" s="952"/>
      <c r="IPO48" s="952"/>
      <c r="IPP48" s="952"/>
      <c r="IPQ48" s="952"/>
      <c r="IPR48" s="952"/>
      <c r="IPS48" s="952"/>
      <c r="IPT48" s="952"/>
      <c r="IPU48" s="952"/>
      <c r="IPV48" s="952"/>
      <c r="IPW48" s="952"/>
      <c r="IPX48" s="952"/>
      <c r="IPY48" s="952"/>
      <c r="IPZ48" s="952"/>
      <c r="IQA48" s="952"/>
      <c r="IQB48" s="952"/>
      <c r="IQC48" s="952"/>
      <c r="IQD48" s="952"/>
      <c r="IQE48" s="952"/>
      <c r="IQF48" s="952"/>
      <c r="IQG48" s="952"/>
      <c r="IQH48" s="952"/>
      <c r="IQI48" s="952"/>
      <c r="IQJ48" s="952"/>
      <c r="IQK48" s="952"/>
      <c r="IQL48" s="952"/>
      <c r="IQM48" s="952"/>
      <c r="IQN48" s="952"/>
      <c r="IQO48" s="952"/>
      <c r="IQP48" s="952"/>
      <c r="IQQ48" s="952"/>
      <c r="IQR48" s="952"/>
      <c r="IQS48" s="952"/>
      <c r="IQT48" s="952"/>
      <c r="IQU48" s="952"/>
      <c r="IQV48" s="952"/>
      <c r="IQW48" s="952"/>
      <c r="IQX48" s="952"/>
      <c r="IQY48" s="952"/>
      <c r="IQZ48" s="952"/>
      <c r="IRA48" s="952"/>
      <c r="IRB48" s="952"/>
      <c r="IRC48" s="952"/>
      <c r="IRD48" s="952"/>
      <c r="IRE48" s="952"/>
      <c r="IRF48" s="952"/>
      <c r="IRG48" s="952"/>
      <c r="IRH48" s="952"/>
      <c r="IRI48" s="952"/>
      <c r="IRJ48" s="952"/>
      <c r="IRK48" s="952"/>
      <c r="IRL48" s="952"/>
      <c r="IRM48" s="952"/>
      <c r="IRN48" s="952"/>
      <c r="IRO48" s="952"/>
      <c r="IRP48" s="952"/>
      <c r="IRQ48" s="952"/>
      <c r="IRR48" s="952"/>
      <c r="IRS48" s="952"/>
      <c r="IRT48" s="952"/>
      <c r="IRU48" s="952"/>
      <c r="IRV48" s="952"/>
      <c r="IRW48" s="952"/>
      <c r="IRX48" s="952"/>
      <c r="IRY48" s="952"/>
      <c r="IRZ48" s="952"/>
      <c r="ISA48" s="952"/>
      <c r="ISB48" s="952"/>
      <c r="ISC48" s="952"/>
      <c r="ISD48" s="952"/>
      <c r="ISE48" s="952"/>
      <c r="ISF48" s="952"/>
      <c r="ISG48" s="952"/>
      <c r="ISH48" s="952"/>
      <c r="ISI48" s="952"/>
      <c r="ISJ48" s="952"/>
      <c r="ISK48" s="952"/>
      <c r="ISL48" s="952"/>
      <c r="ISM48" s="952"/>
      <c r="ISN48" s="952"/>
      <c r="ISO48" s="952"/>
      <c r="ISP48" s="952"/>
      <c r="ISQ48" s="952"/>
      <c r="ISR48" s="952"/>
      <c r="ISS48" s="952"/>
      <c r="IST48" s="952"/>
      <c r="ISU48" s="952"/>
      <c r="ISV48" s="952"/>
      <c r="ISW48" s="952"/>
      <c r="ISX48" s="952"/>
      <c r="ISY48" s="952"/>
      <c r="ISZ48" s="952"/>
      <c r="ITA48" s="952"/>
      <c r="ITB48" s="952"/>
      <c r="ITC48" s="952"/>
      <c r="ITD48" s="952"/>
      <c r="ITE48" s="952"/>
      <c r="ITF48" s="952"/>
      <c r="ITG48" s="952"/>
      <c r="ITH48" s="952"/>
      <c r="ITI48" s="952"/>
      <c r="ITJ48" s="952"/>
      <c r="ITK48" s="952"/>
      <c r="ITL48" s="952"/>
      <c r="ITM48" s="952"/>
      <c r="ITN48" s="952"/>
      <c r="ITO48" s="952"/>
      <c r="ITP48" s="952"/>
      <c r="ITQ48" s="952"/>
      <c r="ITR48" s="952"/>
      <c r="ITS48" s="952"/>
      <c r="ITT48" s="952"/>
      <c r="ITU48" s="952"/>
      <c r="ITV48" s="952"/>
      <c r="ITW48" s="952"/>
      <c r="ITX48" s="952"/>
      <c r="ITY48" s="952"/>
      <c r="ITZ48" s="952"/>
      <c r="IUA48" s="952"/>
      <c r="IUB48" s="952"/>
      <c r="IUC48" s="952"/>
      <c r="IUD48" s="952"/>
      <c r="IUE48" s="952"/>
      <c r="IUF48" s="952"/>
      <c r="IUG48" s="952"/>
      <c r="IUH48" s="952"/>
      <c r="IUI48" s="952"/>
      <c r="IUJ48" s="952"/>
      <c r="IUK48" s="952"/>
      <c r="IUL48" s="952"/>
      <c r="IUM48" s="952"/>
      <c r="IUN48" s="952"/>
      <c r="IUO48" s="952"/>
      <c r="IUP48" s="952"/>
      <c r="IUQ48" s="952"/>
      <c r="IUR48" s="952"/>
      <c r="IUS48" s="952"/>
      <c r="IUT48" s="952"/>
      <c r="IUU48" s="952"/>
      <c r="IUV48" s="952"/>
      <c r="IUW48" s="952"/>
      <c r="IUX48" s="952"/>
      <c r="IUY48" s="952"/>
      <c r="IUZ48" s="952"/>
      <c r="IVA48" s="952"/>
      <c r="IVB48" s="952"/>
      <c r="IVC48" s="952"/>
      <c r="IVD48" s="952"/>
      <c r="IVE48" s="952"/>
      <c r="IVF48" s="952"/>
      <c r="IVG48" s="952"/>
      <c r="IVH48" s="952"/>
      <c r="IVI48" s="952"/>
      <c r="IVJ48" s="952"/>
      <c r="IVK48" s="952"/>
      <c r="IVL48" s="952"/>
      <c r="IVM48" s="952"/>
      <c r="IVN48" s="952"/>
      <c r="IVO48" s="952"/>
      <c r="IVP48" s="952"/>
      <c r="IVQ48" s="952"/>
      <c r="IVR48" s="952"/>
      <c r="IVS48" s="952"/>
      <c r="IVT48" s="952"/>
      <c r="IVU48" s="952"/>
      <c r="IVV48" s="952"/>
      <c r="IVW48" s="952"/>
      <c r="IVX48" s="952"/>
      <c r="IVY48" s="952"/>
      <c r="IVZ48" s="952"/>
      <c r="IWA48" s="952"/>
      <c r="IWB48" s="952"/>
      <c r="IWC48" s="952"/>
      <c r="IWD48" s="952"/>
      <c r="IWE48" s="952"/>
      <c r="IWF48" s="952"/>
      <c r="IWG48" s="952"/>
      <c r="IWH48" s="952"/>
      <c r="IWI48" s="952"/>
      <c r="IWJ48" s="952"/>
      <c r="IWK48" s="952"/>
      <c r="IWL48" s="952"/>
      <c r="IWM48" s="952"/>
      <c r="IWN48" s="952"/>
      <c r="IWO48" s="952"/>
      <c r="IWP48" s="952"/>
      <c r="IWQ48" s="952"/>
      <c r="IWR48" s="952"/>
      <c r="IWS48" s="952"/>
      <c r="IWT48" s="952"/>
      <c r="IWU48" s="952"/>
      <c r="IWV48" s="952"/>
      <c r="IWW48" s="952"/>
      <c r="IWX48" s="952"/>
      <c r="IWY48" s="952"/>
      <c r="IWZ48" s="952"/>
      <c r="IXA48" s="952"/>
      <c r="IXB48" s="952"/>
      <c r="IXC48" s="952"/>
      <c r="IXD48" s="952"/>
      <c r="IXE48" s="952"/>
      <c r="IXF48" s="952"/>
      <c r="IXG48" s="952"/>
      <c r="IXH48" s="952"/>
      <c r="IXI48" s="952"/>
      <c r="IXJ48" s="952"/>
      <c r="IXK48" s="952"/>
      <c r="IXL48" s="952"/>
      <c r="IXM48" s="952"/>
      <c r="IXN48" s="952"/>
      <c r="IXO48" s="952"/>
      <c r="IXP48" s="952"/>
      <c r="IXQ48" s="952"/>
      <c r="IXR48" s="952"/>
      <c r="IXS48" s="952"/>
      <c r="IXT48" s="952"/>
      <c r="IXU48" s="952"/>
      <c r="IXV48" s="952"/>
      <c r="IXW48" s="952"/>
      <c r="IXX48" s="952"/>
      <c r="IXY48" s="952"/>
      <c r="IXZ48" s="952"/>
      <c r="IYA48" s="952"/>
      <c r="IYB48" s="952"/>
      <c r="IYC48" s="952"/>
      <c r="IYD48" s="952"/>
      <c r="IYE48" s="952"/>
      <c r="IYF48" s="952"/>
      <c r="IYG48" s="952"/>
      <c r="IYH48" s="952"/>
      <c r="IYI48" s="952"/>
      <c r="IYJ48" s="952"/>
      <c r="IYK48" s="952"/>
      <c r="IYL48" s="952"/>
      <c r="IYM48" s="952"/>
      <c r="IYN48" s="952"/>
      <c r="IYO48" s="952"/>
      <c r="IYP48" s="952"/>
      <c r="IYQ48" s="952"/>
      <c r="IYR48" s="952"/>
      <c r="IYS48" s="952"/>
      <c r="IYT48" s="952"/>
      <c r="IYU48" s="952"/>
      <c r="IYV48" s="952"/>
      <c r="IYW48" s="952"/>
      <c r="IYX48" s="952"/>
      <c r="IYY48" s="952"/>
      <c r="IYZ48" s="952"/>
      <c r="IZA48" s="952"/>
      <c r="IZB48" s="952"/>
      <c r="IZC48" s="952"/>
      <c r="IZD48" s="952"/>
      <c r="IZE48" s="952"/>
      <c r="IZF48" s="952"/>
      <c r="IZG48" s="952"/>
      <c r="IZH48" s="952"/>
      <c r="IZI48" s="952"/>
      <c r="IZJ48" s="952"/>
      <c r="IZK48" s="952"/>
      <c r="IZL48" s="952"/>
      <c r="IZM48" s="952"/>
      <c r="IZN48" s="952"/>
      <c r="IZO48" s="952"/>
      <c r="IZP48" s="952"/>
      <c r="IZQ48" s="952"/>
      <c r="IZR48" s="952"/>
      <c r="IZS48" s="952"/>
      <c r="IZT48" s="952"/>
      <c r="IZU48" s="952"/>
      <c r="IZV48" s="952"/>
      <c r="IZW48" s="952"/>
      <c r="IZX48" s="952"/>
      <c r="IZY48" s="952"/>
      <c r="IZZ48" s="952"/>
      <c r="JAA48" s="952"/>
      <c r="JAB48" s="952"/>
      <c r="JAC48" s="952"/>
      <c r="JAD48" s="952"/>
      <c r="JAE48" s="952"/>
      <c r="JAF48" s="952"/>
      <c r="JAG48" s="952"/>
      <c r="JAH48" s="952"/>
      <c r="JAI48" s="952"/>
      <c r="JAJ48" s="952"/>
      <c r="JAK48" s="952"/>
      <c r="JAL48" s="952"/>
      <c r="JAM48" s="952"/>
      <c r="JAN48" s="952"/>
      <c r="JAO48" s="952"/>
      <c r="JAP48" s="952"/>
      <c r="JAQ48" s="952"/>
      <c r="JAR48" s="952"/>
      <c r="JAS48" s="952"/>
      <c r="JAT48" s="952"/>
      <c r="JAU48" s="952"/>
      <c r="JAV48" s="952"/>
      <c r="JAW48" s="952"/>
      <c r="JAX48" s="952"/>
      <c r="JAY48" s="952"/>
      <c r="JAZ48" s="952"/>
      <c r="JBA48" s="952"/>
      <c r="JBB48" s="952"/>
      <c r="JBC48" s="952"/>
      <c r="JBD48" s="952"/>
      <c r="JBE48" s="952"/>
      <c r="JBF48" s="952"/>
      <c r="JBG48" s="952"/>
      <c r="JBH48" s="952"/>
      <c r="JBI48" s="952"/>
      <c r="JBJ48" s="952"/>
      <c r="JBK48" s="952"/>
      <c r="JBL48" s="952"/>
      <c r="JBM48" s="952"/>
      <c r="JBN48" s="952"/>
      <c r="JBO48" s="952"/>
      <c r="JBP48" s="952"/>
      <c r="JBQ48" s="952"/>
      <c r="JBR48" s="952"/>
      <c r="JBS48" s="952"/>
      <c r="JBT48" s="952"/>
      <c r="JBU48" s="952"/>
      <c r="JBV48" s="952"/>
      <c r="JBW48" s="952"/>
      <c r="JBX48" s="952"/>
      <c r="JBY48" s="952"/>
      <c r="JBZ48" s="952"/>
      <c r="JCA48" s="952"/>
      <c r="JCB48" s="952"/>
      <c r="JCC48" s="952"/>
      <c r="JCD48" s="952"/>
      <c r="JCE48" s="952"/>
      <c r="JCF48" s="952"/>
      <c r="JCG48" s="952"/>
      <c r="JCH48" s="952"/>
      <c r="JCI48" s="952"/>
      <c r="JCJ48" s="952"/>
      <c r="JCK48" s="952"/>
      <c r="JCL48" s="952"/>
      <c r="JCM48" s="952"/>
      <c r="JCN48" s="952"/>
      <c r="JCO48" s="952"/>
      <c r="JCP48" s="952"/>
      <c r="JCQ48" s="952"/>
      <c r="JCR48" s="952"/>
      <c r="JCS48" s="952"/>
      <c r="JCT48" s="952"/>
      <c r="JCU48" s="952"/>
      <c r="JCV48" s="952"/>
      <c r="JCW48" s="952"/>
      <c r="JCX48" s="952"/>
      <c r="JCY48" s="952"/>
      <c r="JCZ48" s="952"/>
      <c r="JDA48" s="952"/>
      <c r="JDB48" s="952"/>
      <c r="JDC48" s="952"/>
      <c r="JDD48" s="952"/>
      <c r="JDE48" s="952"/>
      <c r="JDF48" s="952"/>
      <c r="JDG48" s="952"/>
      <c r="JDH48" s="952"/>
      <c r="JDI48" s="952"/>
      <c r="JDJ48" s="952"/>
      <c r="JDK48" s="952"/>
      <c r="JDL48" s="952"/>
      <c r="JDM48" s="952"/>
      <c r="JDN48" s="952"/>
      <c r="JDO48" s="952"/>
      <c r="JDP48" s="952"/>
      <c r="JDQ48" s="952"/>
      <c r="JDR48" s="952"/>
      <c r="JDS48" s="952"/>
      <c r="JDT48" s="952"/>
      <c r="JDU48" s="952"/>
      <c r="JDV48" s="952"/>
      <c r="JDW48" s="952"/>
      <c r="JDX48" s="952"/>
      <c r="JDY48" s="952"/>
      <c r="JDZ48" s="952"/>
      <c r="JEA48" s="952"/>
      <c r="JEB48" s="952"/>
      <c r="JEC48" s="952"/>
      <c r="JED48" s="952"/>
      <c r="JEE48" s="952"/>
      <c r="JEF48" s="952"/>
      <c r="JEG48" s="952"/>
      <c r="JEH48" s="952"/>
      <c r="JEI48" s="952"/>
      <c r="JEJ48" s="952"/>
      <c r="JEK48" s="952"/>
      <c r="JEL48" s="952"/>
      <c r="JEM48" s="952"/>
      <c r="JEN48" s="952"/>
      <c r="JEO48" s="952"/>
      <c r="JEP48" s="952"/>
      <c r="JEQ48" s="952"/>
      <c r="JER48" s="952"/>
      <c r="JES48" s="952"/>
      <c r="JET48" s="952"/>
      <c r="JEU48" s="952"/>
      <c r="JEV48" s="952"/>
      <c r="JEW48" s="952"/>
      <c r="JEX48" s="952"/>
      <c r="JEY48" s="952"/>
      <c r="JEZ48" s="952"/>
      <c r="JFA48" s="952"/>
      <c r="JFB48" s="952"/>
      <c r="JFC48" s="952"/>
      <c r="JFD48" s="952"/>
      <c r="JFE48" s="952"/>
      <c r="JFF48" s="952"/>
      <c r="JFG48" s="952"/>
      <c r="JFH48" s="952"/>
      <c r="JFI48" s="952"/>
      <c r="JFJ48" s="952"/>
      <c r="JFK48" s="952"/>
      <c r="JFL48" s="952"/>
      <c r="JFM48" s="952"/>
      <c r="JFN48" s="952"/>
      <c r="JFO48" s="952"/>
      <c r="JFP48" s="952"/>
      <c r="JFQ48" s="952"/>
      <c r="JFR48" s="952"/>
      <c r="JFS48" s="952"/>
      <c r="JFT48" s="952"/>
      <c r="JFU48" s="952"/>
      <c r="JFV48" s="952"/>
      <c r="JFW48" s="952"/>
      <c r="JFX48" s="952"/>
      <c r="JFY48" s="952"/>
      <c r="JFZ48" s="952"/>
      <c r="JGA48" s="952"/>
      <c r="JGB48" s="952"/>
      <c r="JGC48" s="952"/>
      <c r="JGD48" s="952"/>
      <c r="JGE48" s="952"/>
      <c r="JGF48" s="952"/>
      <c r="JGG48" s="952"/>
      <c r="JGH48" s="952"/>
      <c r="JGI48" s="952"/>
      <c r="JGJ48" s="952"/>
      <c r="JGK48" s="952"/>
      <c r="JGL48" s="952"/>
      <c r="JGM48" s="952"/>
      <c r="JGN48" s="952"/>
      <c r="JGO48" s="952"/>
      <c r="JGP48" s="952"/>
      <c r="JGQ48" s="952"/>
      <c r="JGR48" s="952"/>
      <c r="JGS48" s="952"/>
      <c r="JGT48" s="952"/>
      <c r="JGU48" s="952"/>
      <c r="JGV48" s="952"/>
      <c r="JGW48" s="952"/>
      <c r="JGX48" s="952"/>
      <c r="JGY48" s="952"/>
      <c r="JGZ48" s="952"/>
      <c r="JHA48" s="952"/>
      <c r="JHB48" s="952"/>
      <c r="JHC48" s="952"/>
      <c r="JHD48" s="952"/>
      <c r="JHE48" s="952"/>
      <c r="JHF48" s="952"/>
      <c r="JHG48" s="952"/>
      <c r="JHH48" s="952"/>
      <c r="JHI48" s="952"/>
      <c r="JHJ48" s="952"/>
      <c r="JHK48" s="952"/>
      <c r="JHL48" s="952"/>
      <c r="JHM48" s="952"/>
      <c r="JHN48" s="952"/>
      <c r="JHO48" s="952"/>
      <c r="JHP48" s="952"/>
      <c r="JHQ48" s="952"/>
      <c r="JHR48" s="952"/>
      <c r="JHS48" s="952"/>
      <c r="JHT48" s="952"/>
      <c r="JHU48" s="952"/>
      <c r="JHV48" s="952"/>
      <c r="JHW48" s="952"/>
      <c r="JHX48" s="952"/>
      <c r="JHY48" s="952"/>
      <c r="JHZ48" s="952"/>
      <c r="JIA48" s="952"/>
      <c r="JIB48" s="952"/>
      <c r="JIC48" s="952"/>
      <c r="JID48" s="952"/>
      <c r="JIE48" s="952"/>
      <c r="JIF48" s="952"/>
      <c r="JIG48" s="952"/>
      <c r="JIH48" s="952"/>
      <c r="JII48" s="952"/>
      <c r="JIJ48" s="952"/>
      <c r="JIK48" s="952"/>
      <c r="JIL48" s="952"/>
      <c r="JIM48" s="952"/>
      <c r="JIN48" s="952"/>
      <c r="JIO48" s="952"/>
      <c r="JIP48" s="952"/>
      <c r="JIQ48" s="952"/>
      <c r="JIR48" s="952"/>
      <c r="JIS48" s="952"/>
      <c r="JIT48" s="952"/>
      <c r="JIU48" s="952"/>
      <c r="JIV48" s="952"/>
      <c r="JIW48" s="952"/>
      <c r="JIX48" s="952"/>
      <c r="JIY48" s="952"/>
      <c r="JIZ48" s="952"/>
      <c r="JJA48" s="952"/>
      <c r="JJB48" s="952"/>
      <c r="JJC48" s="952"/>
      <c r="JJD48" s="952"/>
      <c r="JJE48" s="952"/>
      <c r="JJF48" s="952"/>
      <c r="JJG48" s="952"/>
      <c r="JJH48" s="952"/>
      <c r="JJI48" s="952"/>
      <c r="JJJ48" s="952"/>
      <c r="JJK48" s="952"/>
      <c r="JJL48" s="952"/>
      <c r="JJM48" s="952"/>
      <c r="JJN48" s="952"/>
      <c r="JJO48" s="952"/>
      <c r="JJP48" s="952"/>
      <c r="JJQ48" s="952"/>
      <c r="JJR48" s="952"/>
      <c r="JJS48" s="952"/>
      <c r="JJT48" s="952"/>
      <c r="JJU48" s="952"/>
      <c r="JJV48" s="952"/>
      <c r="JJW48" s="952"/>
      <c r="JJX48" s="952"/>
      <c r="JJY48" s="952"/>
      <c r="JJZ48" s="952"/>
      <c r="JKA48" s="952"/>
      <c r="JKB48" s="952"/>
      <c r="JKC48" s="952"/>
      <c r="JKD48" s="952"/>
      <c r="JKE48" s="952"/>
      <c r="JKF48" s="952"/>
      <c r="JKG48" s="952"/>
      <c r="JKH48" s="952"/>
      <c r="JKI48" s="952"/>
      <c r="JKJ48" s="952"/>
      <c r="JKK48" s="952"/>
      <c r="JKL48" s="952"/>
      <c r="JKM48" s="952"/>
      <c r="JKN48" s="952"/>
      <c r="JKO48" s="952"/>
      <c r="JKP48" s="952"/>
      <c r="JKQ48" s="952"/>
      <c r="JKR48" s="952"/>
      <c r="JKS48" s="952"/>
      <c r="JKT48" s="952"/>
      <c r="JKU48" s="952"/>
      <c r="JKV48" s="952"/>
      <c r="JKW48" s="952"/>
      <c r="JKX48" s="952"/>
      <c r="JKY48" s="952"/>
      <c r="JKZ48" s="952"/>
      <c r="JLA48" s="952"/>
      <c r="JLB48" s="952"/>
      <c r="JLC48" s="952"/>
      <c r="JLD48" s="952"/>
      <c r="JLE48" s="952"/>
      <c r="JLF48" s="952"/>
      <c r="JLG48" s="952"/>
      <c r="JLH48" s="952"/>
      <c r="JLI48" s="952"/>
      <c r="JLJ48" s="952"/>
      <c r="JLK48" s="952"/>
      <c r="JLL48" s="952"/>
      <c r="JLM48" s="952"/>
      <c r="JLN48" s="952"/>
      <c r="JLO48" s="952"/>
      <c r="JLP48" s="952"/>
      <c r="JLQ48" s="952"/>
      <c r="JLR48" s="952"/>
      <c r="JLS48" s="952"/>
      <c r="JLT48" s="952"/>
      <c r="JLU48" s="952"/>
      <c r="JLV48" s="952"/>
      <c r="JLW48" s="952"/>
      <c r="JLX48" s="952"/>
      <c r="JLY48" s="952"/>
      <c r="JLZ48" s="952"/>
      <c r="JMA48" s="952"/>
      <c r="JMB48" s="952"/>
      <c r="JMC48" s="952"/>
      <c r="JMD48" s="952"/>
      <c r="JME48" s="952"/>
      <c r="JMF48" s="952"/>
      <c r="JMG48" s="952"/>
      <c r="JMH48" s="952"/>
      <c r="JMI48" s="952"/>
      <c r="JMJ48" s="952"/>
      <c r="JMK48" s="952"/>
      <c r="JML48" s="952"/>
      <c r="JMM48" s="952"/>
      <c r="JMN48" s="952"/>
      <c r="JMO48" s="952"/>
      <c r="JMP48" s="952"/>
      <c r="JMQ48" s="952"/>
      <c r="JMR48" s="952"/>
      <c r="JMS48" s="952"/>
      <c r="JMT48" s="952"/>
      <c r="JMU48" s="952"/>
      <c r="JMV48" s="952"/>
      <c r="JMW48" s="952"/>
      <c r="JMX48" s="952"/>
      <c r="JMY48" s="952"/>
      <c r="JMZ48" s="952"/>
      <c r="JNA48" s="952"/>
      <c r="JNB48" s="952"/>
      <c r="JNC48" s="952"/>
      <c r="JND48" s="952"/>
      <c r="JNE48" s="952"/>
      <c r="JNF48" s="952"/>
      <c r="JNG48" s="952"/>
      <c r="JNH48" s="952"/>
      <c r="JNI48" s="952"/>
      <c r="JNJ48" s="952"/>
      <c r="JNK48" s="952"/>
      <c r="JNL48" s="952"/>
      <c r="JNM48" s="952"/>
      <c r="JNN48" s="952"/>
      <c r="JNO48" s="952"/>
      <c r="JNP48" s="952"/>
      <c r="JNQ48" s="952"/>
      <c r="JNR48" s="952"/>
      <c r="JNS48" s="952"/>
      <c r="JNT48" s="952"/>
      <c r="JNU48" s="952"/>
      <c r="JNV48" s="952"/>
      <c r="JNW48" s="952"/>
      <c r="JNX48" s="952"/>
      <c r="JNY48" s="952"/>
      <c r="JNZ48" s="952"/>
      <c r="JOA48" s="952"/>
      <c r="JOB48" s="952"/>
      <c r="JOC48" s="952"/>
      <c r="JOD48" s="952"/>
      <c r="JOE48" s="952"/>
      <c r="JOF48" s="952"/>
      <c r="JOG48" s="952"/>
      <c r="JOH48" s="952"/>
      <c r="JOI48" s="952"/>
      <c r="JOJ48" s="952"/>
      <c r="JOK48" s="952"/>
      <c r="JOL48" s="952"/>
      <c r="JOM48" s="952"/>
      <c r="JON48" s="952"/>
      <c r="JOO48" s="952"/>
      <c r="JOP48" s="952"/>
      <c r="JOQ48" s="952"/>
      <c r="JOR48" s="952"/>
      <c r="JOS48" s="952"/>
      <c r="JOT48" s="952"/>
      <c r="JOU48" s="952"/>
      <c r="JOV48" s="952"/>
      <c r="JOW48" s="952"/>
      <c r="JOX48" s="952"/>
      <c r="JOY48" s="952"/>
      <c r="JOZ48" s="952"/>
      <c r="JPA48" s="952"/>
      <c r="JPB48" s="952"/>
      <c r="JPC48" s="952"/>
      <c r="JPD48" s="952"/>
      <c r="JPE48" s="952"/>
      <c r="JPF48" s="952"/>
      <c r="JPG48" s="952"/>
      <c r="JPH48" s="952"/>
      <c r="JPI48" s="952"/>
      <c r="JPJ48" s="952"/>
      <c r="JPK48" s="952"/>
      <c r="JPL48" s="952"/>
      <c r="JPM48" s="952"/>
      <c r="JPN48" s="952"/>
      <c r="JPO48" s="952"/>
      <c r="JPP48" s="952"/>
      <c r="JPQ48" s="952"/>
      <c r="JPR48" s="952"/>
      <c r="JPS48" s="952"/>
      <c r="JPT48" s="952"/>
      <c r="JPU48" s="952"/>
      <c r="JPV48" s="952"/>
      <c r="JPW48" s="952"/>
      <c r="JPX48" s="952"/>
      <c r="JPY48" s="952"/>
      <c r="JPZ48" s="952"/>
      <c r="JQA48" s="952"/>
      <c r="JQB48" s="952"/>
      <c r="JQC48" s="952"/>
      <c r="JQD48" s="952"/>
      <c r="JQE48" s="952"/>
      <c r="JQF48" s="952"/>
      <c r="JQG48" s="952"/>
      <c r="JQH48" s="952"/>
      <c r="JQI48" s="952"/>
      <c r="JQJ48" s="952"/>
      <c r="JQK48" s="952"/>
      <c r="JQL48" s="952"/>
      <c r="JQM48" s="952"/>
      <c r="JQN48" s="952"/>
      <c r="JQO48" s="952"/>
      <c r="JQP48" s="952"/>
      <c r="JQQ48" s="952"/>
      <c r="JQR48" s="952"/>
      <c r="JQS48" s="952"/>
      <c r="JQT48" s="952"/>
      <c r="JQU48" s="952"/>
      <c r="JQV48" s="952"/>
      <c r="JQW48" s="952"/>
      <c r="JQX48" s="952"/>
      <c r="JQY48" s="952"/>
      <c r="JQZ48" s="952"/>
      <c r="JRA48" s="952"/>
      <c r="JRB48" s="952"/>
      <c r="JRC48" s="952"/>
      <c r="JRD48" s="952"/>
      <c r="JRE48" s="952"/>
      <c r="JRF48" s="952"/>
      <c r="JRG48" s="952"/>
      <c r="JRH48" s="952"/>
      <c r="JRI48" s="952"/>
      <c r="JRJ48" s="952"/>
      <c r="JRK48" s="952"/>
      <c r="JRL48" s="952"/>
      <c r="JRM48" s="952"/>
      <c r="JRN48" s="952"/>
      <c r="JRO48" s="952"/>
      <c r="JRP48" s="952"/>
      <c r="JRQ48" s="952"/>
      <c r="JRR48" s="952"/>
      <c r="JRS48" s="952"/>
      <c r="JRT48" s="952"/>
      <c r="JRU48" s="952"/>
      <c r="JRV48" s="952"/>
      <c r="JRW48" s="952"/>
      <c r="JRX48" s="952"/>
      <c r="JRY48" s="952"/>
      <c r="JRZ48" s="952"/>
      <c r="JSA48" s="952"/>
      <c r="JSB48" s="952"/>
      <c r="JSC48" s="952"/>
      <c r="JSD48" s="952"/>
      <c r="JSE48" s="952"/>
      <c r="JSF48" s="952"/>
      <c r="JSG48" s="952"/>
      <c r="JSH48" s="952"/>
      <c r="JSI48" s="952"/>
      <c r="JSJ48" s="952"/>
      <c r="JSK48" s="952"/>
      <c r="JSL48" s="952"/>
      <c r="JSM48" s="952"/>
      <c r="JSN48" s="952"/>
      <c r="JSO48" s="952"/>
      <c r="JSP48" s="952"/>
      <c r="JSQ48" s="952"/>
      <c r="JSR48" s="952"/>
      <c r="JSS48" s="952"/>
      <c r="JST48" s="952"/>
      <c r="JSU48" s="952"/>
      <c r="JSV48" s="952"/>
      <c r="JSW48" s="952"/>
      <c r="JSX48" s="952"/>
      <c r="JSY48" s="952"/>
      <c r="JSZ48" s="952"/>
      <c r="JTA48" s="952"/>
      <c r="JTB48" s="952"/>
      <c r="JTC48" s="952"/>
      <c r="JTD48" s="952"/>
      <c r="JTE48" s="952"/>
      <c r="JTF48" s="952"/>
      <c r="JTG48" s="952"/>
      <c r="JTH48" s="952"/>
      <c r="JTI48" s="952"/>
      <c r="JTJ48" s="952"/>
      <c r="JTK48" s="952"/>
      <c r="JTL48" s="952"/>
      <c r="JTM48" s="952"/>
      <c r="JTN48" s="952"/>
      <c r="JTO48" s="952"/>
      <c r="JTP48" s="952"/>
      <c r="JTQ48" s="952"/>
      <c r="JTR48" s="952"/>
      <c r="JTS48" s="952"/>
      <c r="JTT48" s="952"/>
      <c r="JTU48" s="952"/>
      <c r="JTV48" s="952"/>
      <c r="JTW48" s="952"/>
      <c r="JTX48" s="952"/>
      <c r="JTY48" s="952"/>
      <c r="JTZ48" s="952"/>
      <c r="JUA48" s="952"/>
      <c r="JUB48" s="952"/>
      <c r="JUC48" s="952"/>
      <c r="JUD48" s="952"/>
      <c r="JUE48" s="952"/>
      <c r="JUF48" s="952"/>
      <c r="JUG48" s="952"/>
      <c r="JUH48" s="952"/>
      <c r="JUI48" s="952"/>
      <c r="JUJ48" s="952"/>
      <c r="JUK48" s="952"/>
      <c r="JUL48" s="952"/>
      <c r="JUM48" s="952"/>
      <c r="JUN48" s="952"/>
      <c r="JUO48" s="952"/>
      <c r="JUP48" s="952"/>
      <c r="JUQ48" s="952"/>
      <c r="JUR48" s="952"/>
      <c r="JUS48" s="952"/>
      <c r="JUT48" s="952"/>
      <c r="JUU48" s="952"/>
      <c r="JUV48" s="952"/>
      <c r="JUW48" s="952"/>
      <c r="JUX48" s="952"/>
      <c r="JUY48" s="952"/>
      <c r="JUZ48" s="952"/>
      <c r="JVA48" s="952"/>
      <c r="JVB48" s="952"/>
      <c r="JVC48" s="952"/>
      <c r="JVD48" s="952"/>
      <c r="JVE48" s="952"/>
      <c r="JVF48" s="952"/>
      <c r="JVG48" s="952"/>
      <c r="JVH48" s="952"/>
      <c r="JVI48" s="952"/>
      <c r="JVJ48" s="952"/>
      <c r="JVK48" s="952"/>
      <c r="JVL48" s="952"/>
      <c r="JVM48" s="952"/>
      <c r="JVN48" s="952"/>
      <c r="JVO48" s="952"/>
      <c r="JVP48" s="952"/>
      <c r="JVQ48" s="952"/>
      <c r="JVR48" s="952"/>
      <c r="JVS48" s="952"/>
      <c r="JVT48" s="952"/>
      <c r="JVU48" s="952"/>
      <c r="JVV48" s="952"/>
      <c r="JVW48" s="952"/>
      <c r="JVX48" s="952"/>
      <c r="JVY48" s="952"/>
      <c r="JVZ48" s="952"/>
      <c r="JWA48" s="952"/>
      <c r="JWB48" s="952"/>
      <c r="JWC48" s="952"/>
      <c r="JWD48" s="952"/>
      <c r="JWE48" s="952"/>
      <c r="JWF48" s="952"/>
      <c r="JWG48" s="952"/>
      <c r="JWH48" s="952"/>
      <c r="JWI48" s="952"/>
      <c r="JWJ48" s="952"/>
      <c r="JWK48" s="952"/>
      <c r="JWL48" s="952"/>
      <c r="JWM48" s="952"/>
      <c r="JWN48" s="952"/>
      <c r="JWO48" s="952"/>
      <c r="JWP48" s="952"/>
      <c r="JWQ48" s="952"/>
      <c r="JWR48" s="952"/>
      <c r="JWS48" s="952"/>
      <c r="JWT48" s="952"/>
      <c r="JWU48" s="952"/>
      <c r="JWV48" s="952"/>
      <c r="JWW48" s="952"/>
      <c r="JWX48" s="952"/>
      <c r="JWY48" s="952"/>
      <c r="JWZ48" s="952"/>
      <c r="JXA48" s="952"/>
      <c r="JXB48" s="952"/>
      <c r="JXC48" s="952"/>
      <c r="JXD48" s="952"/>
      <c r="JXE48" s="952"/>
      <c r="JXF48" s="952"/>
      <c r="JXG48" s="952"/>
      <c r="JXH48" s="952"/>
      <c r="JXI48" s="952"/>
      <c r="JXJ48" s="952"/>
      <c r="JXK48" s="952"/>
      <c r="JXL48" s="952"/>
      <c r="JXM48" s="952"/>
      <c r="JXN48" s="952"/>
      <c r="JXO48" s="952"/>
      <c r="JXP48" s="952"/>
      <c r="JXQ48" s="952"/>
      <c r="JXR48" s="952"/>
      <c r="JXS48" s="952"/>
      <c r="JXT48" s="952"/>
      <c r="JXU48" s="952"/>
      <c r="JXV48" s="952"/>
      <c r="JXW48" s="952"/>
      <c r="JXX48" s="952"/>
      <c r="JXY48" s="952"/>
      <c r="JXZ48" s="952"/>
      <c r="JYA48" s="952"/>
      <c r="JYB48" s="952"/>
      <c r="JYC48" s="952"/>
      <c r="JYD48" s="952"/>
      <c r="JYE48" s="952"/>
      <c r="JYF48" s="952"/>
      <c r="JYG48" s="952"/>
      <c r="JYH48" s="952"/>
      <c r="JYI48" s="952"/>
      <c r="JYJ48" s="952"/>
      <c r="JYK48" s="952"/>
      <c r="JYL48" s="952"/>
      <c r="JYM48" s="952"/>
      <c r="JYN48" s="952"/>
      <c r="JYO48" s="952"/>
      <c r="JYP48" s="952"/>
      <c r="JYQ48" s="952"/>
      <c r="JYR48" s="952"/>
      <c r="JYS48" s="952"/>
      <c r="JYT48" s="952"/>
      <c r="JYU48" s="952"/>
      <c r="JYV48" s="952"/>
      <c r="JYW48" s="952"/>
      <c r="JYX48" s="952"/>
      <c r="JYY48" s="952"/>
      <c r="JYZ48" s="952"/>
      <c r="JZA48" s="952"/>
      <c r="JZB48" s="952"/>
      <c r="JZC48" s="952"/>
      <c r="JZD48" s="952"/>
      <c r="JZE48" s="952"/>
      <c r="JZF48" s="952"/>
      <c r="JZG48" s="952"/>
      <c r="JZH48" s="952"/>
      <c r="JZI48" s="952"/>
      <c r="JZJ48" s="952"/>
      <c r="JZK48" s="952"/>
      <c r="JZL48" s="952"/>
      <c r="JZM48" s="952"/>
      <c r="JZN48" s="952"/>
      <c r="JZO48" s="952"/>
      <c r="JZP48" s="952"/>
      <c r="JZQ48" s="952"/>
      <c r="JZR48" s="952"/>
      <c r="JZS48" s="952"/>
      <c r="JZT48" s="952"/>
      <c r="JZU48" s="952"/>
      <c r="JZV48" s="952"/>
      <c r="JZW48" s="952"/>
      <c r="JZX48" s="952"/>
      <c r="JZY48" s="952"/>
      <c r="JZZ48" s="952"/>
      <c r="KAA48" s="952"/>
      <c r="KAB48" s="952"/>
      <c r="KAC48" s="952"/>
      <c r="KAD48" s="952"/>
      <c r="KAE48" s="952"/>
      <c r="KAF48" s="952"/>
      <c r="KAG48" s="952"/>
      <c r="KAH48" s="952"/>
      <c r="KAI48" s="952"/>
      <c r="KAJ48" s="952"/>
      <c r="KAK48" s="952"/>
      <c r="KAL48" s="952"/>
      <c r="KAM48" s="952"/>
      <c r="KAN48" s="952"/>
      <c r="KAO48" s="952"/>
      <c r="KAP48" s="952"/>
      <c r="KAQ48" s="952"/>
      <c r="KAR48" s="952"/>
      <c r="KAS48" s="952"/>
      <c r="KAT48" s="952"/>
      <c r="KAU48" s="952"/>
      <c r="KAV48" s="952"/>
      <c r="KAW48" s="952"/>
      <c r="KAX48" s="952"/>
      <c r="KAY48" s="952"/>
      <c r="KAZ48" s="952"/>
      <c r="KBA48" s="952"/>
      <c r="KBB48" s="952"/>
      <c r="KBC48" s="952"/>
      <c r="KBD48" s="952"/>
      <c r="KBE48" s="952"/>
      <c r="KBF48" s="952"/>
      <c r="KBG48" s="952"/>
      <c r="KBH48" s="952"/>
      <c r="KBI48" s="952"/>
      <c r="KBJ48" s="952"/>
      <c r="KBK48" s="952"/>
      <c r="KBL48" s="952"/>
      <c r="KBM48" s="952"/>
      <c r="KBN48" s="952"/>
      <c r="KBO48" s="952"/>
      <c r="KBP48" s="952"/>
      <c r="KBQ48" s="952"/>
      <c r="KBR48" s="952"/>
      <c r="KBS48" s="952"/>
      <c r="KBT48" s="952"/>
      <c r="KBU48" s="952"/>
      <c r="KBV48" s="952"/>
      <c r="KBW48" s="952"/>
      <c r="KBX48" s="952"/>
      <c r="KBY48" s="952"/>
      <c r="KBZ48" s="952"/>
      <c r="KCA48" s="952"/>
      <c r="KCB48" s="952"/>
      <c r="KCC48" s="952"/>
      <c r="KCD48" s="952"/>
      <c r="KCE48" s="952"/>
      <c r="KCF48" s="952"/>
      <c r="KCG48" s="952"/>
      <c r="KCH48" s="952"/>
      <c r="KCI48" s="952"/>
      <c r="KCJ48" s="952"/>
      <c r="KCK48" s="952"/>
      <c r="KCL48" s="952"/>
      <c r="KCM48" s="952"/>
      <c r="KCN48" s="952"/>
      <c r="KCO48" s="952"/>
      <c r="KCP48" s="952"/>
      <c r="KCQ48" s="952"/>
      <c r="KCR48" s="952"/>
      <c r="KCS48" s="952"/>
      <c r="KCT48" s="952"/>
      <c r="KCU48" s="952"/>
      <c r="KCV48" s="952"/>
      <c r="KCW48" s="952"/>
      <c r="KCX48" s="952"/>
      <c r="KCY48" s="952"/>
      <c r="KCZ48" s="952"/>
      <c r="KDA48" s="952"/>
      <c r="KDB48" s="952"/>
      <c r="KDC48" s="952"/>
      <c r="KDD48" s="952"/>
      <c r="KDE48" s="952"/>
      <c r="KDF48" s="952"/>
      <c r="KDG48" s="952"/>
      <c r="KDH48" s="952"/>
      <c r="KDI48" s="952"/>
      <c r="KDJ48" s="952"/>
      <c r="KDK48" s="952"/>
      <c r="KDL48" s="952"/>
      <c r="KDM48" s="952"/>
      <c r="KDN48" s="952"/>
      <c r="KDO48" s="952"/>
      <c r="KDP48" s="952"/>
      <c r="KDQ48" s="952"/>
      <c r="KDR48" s="952"/>
      <c r="KDS48" s="952"/>
      <c r="KDT48" s="952"/>
      <c r="KDU48" s="952"/>
      <c r="KDV48" s="952"/>
      <c r="KDW48" s="952"/>
      <c r="KDX48" s="952"/>
      <c r="KDY48" s="952"/>
      <c r="KDZ48" s="952"/>
      <c r="KEA48" s="952"/>
      <c r="KEB48" s="952"/>
      <c r="KEC48" s="952"/>
      <c r="KED48" s="952"/>
      <c r="KEE48" s="952"/>
      <c r="KEF48" s="952"/>
      <c r="KEG48" s="952"/>
      <c r="KEH48" s="952"/>
      <c r="KEI48" s="952"/>
      <c r="KEJ48" s="952"/>
      <c r="KEK48" s="952"/>
      <c r="KEL48" s="952"/>
      <c r="KEM48" s="952"/>
      <c r="KEN48" s="952"/>
      <c r="KEO48" s="952"/>
      <c r="KEP48" s="952"/>
      <c r="KEQ48" s="952"/>
      <c r="KER48" s="952"/>
      <c r="KES48" s="952"/>
      <c r="KET48" s="952"/>
      <c r="KEU48" s="952"/>
      <c r="KEV48" s="952"/>
      <c r="KEW48" s="952"/>
      <c r="KEX48" s="952"/>
      <c r="KEY48" s="952"/>
      <c r="KEZ48" s="952"/>
      <c r="KFA48" s="952"/>
      <c r="KFB48" s="952"/>
      <c r="KFC48" s="952"/>
      <c r="KFD48" s="952"/>
      <c r="KFE48" s="952"/>
      <c r="KFF48" s="952"/>
      <c r="KFG48" s="952"/>
      <c r="KFH48" s="952"/>
      <c r="KFI48" s="952"/>
      <c r="KFJ48" s="952"/>
      <c r="KFK48" s="952"/>
      <c r="KFL48" s="952"/>
      <c r="KFM48" s="952"/>
      <c r="KFN48" s="952"/>
      <c r="KFO48" s="952"/>
      <c r="KFP48" s="952"/>
      <c r="KFQ48" s="952"/>
      <c r="KFR48" s="952"/>
      <c r="KFS48" s="952"/>
      <c r="KFT48" s="952"/>
      <c r="KFU48" s="952"/>
      <c r="KFV48" s="952"/>
      <c r="KFW48" s="952"/>
      <c r="KFX48" s="952"/>
      <c r="KFY48" s="952"/>
      <c r="KFZ48" s="952"/>
      <c r="KGA48" s="952"/>
      <c r="KGB48" s="952"/>
      <c r="KGC48" s="952"/>
      <c r="KGD48" s="952"/>
      <c r="KGE48" s="952"/>
      <c r="KGF48" s="952"/>
      <c r="KGG48" s="952"/>
      <c r="KGH48" s="952"/>
      <c r="KGI48" s="952"/>
      <c r="KGJ48" s="952"/>
      <c r="KGK48" s="952"/>
      <c r="KGL48" s="952"/>
      <c r="KGM48" s="952"/>
      <c r="KGN48" s="952"/>
      <c r="KGO48" s="952"/>
      <c r="KGP48" s="952"/>
      <c r="KGQ48" s="952"/>
      <c r="KGR48" s="952"/>
      <c r="KGS48" s="952"/>
      <c r="KGT48" s="952"/>
      <c r="KGU48" s="952"/>
      <c r="KGV48" s="952"/>
      <c r="KGW48" s="952"/>
      <c r="KGX48" s="952"/>
      <c r="KGY48" s="952"/>
      <c r="KGZ48" s="952"/>
      <c r="KHA48" s="952"/>
      <c r="KHB48" s="952"/>
      <c r="KHC48" s="952"/>
      <c r="KHD48" s="952"/>
      <c r="KHE48" s="952"/>
      <c r="KHF48" s="952"/>
      <c r="KHG48" s="952"/>
      <c r="KHH48" s="952"/>
      <c r="KHI48" s="952"/>
      <c r="KHJ48" s="952"/>
      <c r="KHK48" s="952"/>
      <c r="KHL48" s="952"/>
      <c r="KHM48" s="952"/>
      <c r="KHN48" s="952"/>
      <c r="KHO48" s="952"/>
      <c r="KHP48" s="952"/>
      <c r="KHQ48" s="952"/>
      <c r="KHR48" s="952"/>
      <c r="KHS48" s="952"/>
      <c r="KHT48" s="952"/>
      <c r="KHU48" s="952"/>
      <c r="KHV48" s="952"/>
      <c r="KHW48" s="952"/>
      <c r="KHX48" s="952"/>
      <c r="KHY48" s="952"/>
      <c r="KHZ48" s="952"/>
      <c r="KIA48" s="952"/>
      <c r="KIB48" s="952"/>
      <c r="KIC48" s="952"/>
      <c r="KID48" s="952"/>
      <c r="KIE48" s="952"/>
      <c r="KIF48" s="952"/>
      <c r="KIG48" s="952"/>
      <c r="KIH48" s="952"/>
      <c r="KII48" s="952"/>
      <c r="KIJ48" s="952"/>
      <c r="KIK48" s="952"/>
      <c r="KIL48" s="952"/>
      <c r="KIM48" s="952"/>
      <c r="KIN48" s="952"/>
      <c r="KIO48" s="952"/>
      <c r="KIP48" s="952"/>
      <c r="KIQ48" s="952"/>
      <c r="KIR48" s="952"/>
      <c r="KIS48" s="952"/>
      <c r="KIT48" s="952"/>
      <c r="KIU48" s="952"/>
      <c r="KIV48" s="952"/>
      <c r="KIW48" s="952"/>
      <c r="KIX48" s="952"/>
      <c r="KIY48" s="952"/>
      <c r="KIZ48" s="952"/>
      <c r="KJA48" s="952"/>
      <c r="KJB48" s="952"/>
      <c r="KJC48" s="952"/>
      <c r="KJD48" s="952"/>
      <c r="KJE48" s="952"/>
      <c r="KJF48" s="952"/>
      <c r="KJG48" s="952"/>
      <c r="KJH48" s="952"/>
      <c r="KJI48" s="952"/>
      <c r="KJJ48" s="952"/>
      <c r="KJK48" s="952"/>
      <c r="KJL48" s="952"/>
      <c r="KJM48" s="952"/>
      <c r="KJN48" s="952"/>
      <c r="KJO48" s="952"/>
      <c r="KJP48" s="952"/>
      <c r="KJQ48" s="952"/>
      <c r="KJR48" s="952"/>
      <c r="KJS48" s="952"/>
      <c r="KJT48" s="952"/>
      <c r="KJU48" s="952"/>
      <c r="KJV48" s="952"/>
      <c r="KJW48" s="952"/>
      <c r="KJX48" s="952"/>
      <c r="KJY48" s="952"/>
      <c r="KJZ48" s="952"/>
      <c r="KKA48" s="952"/>
      <c r="KKB48" s="952"/>
      <c r="KKC48" s="952"/>
      <c r="KKD48" s="952"/>
      <c r="KKE48" s="952"/>
      <c r="KKF48" s="952"/>
      <c r="KKG48" s="952"/>
      <c r="KKH48" s="952"/>
      <c r="KKI48" s="952"/>
      <c r="KKJ48" s="952"/>
      <c r="KKK48" s="952"/>
      <c r="KKL48" s="952"/>
      <c r="KKM48" s="952"/>
      <c r="KKN48" s="952"/>
      <c r="KKO48" s="952"/>
      <c r="KKP48" s="952"/>
      <c r="KKQ48" s="952"/>
      <c r="KKR48" s="952"/>
      <c r="KKS48" s="952"/>
      <c r="KKT48" s="952"/>
      <c r="KKU48" s="952"/>
      <c r="KKV48" s="952"/>
      <c r="KKW48" s="952"/>
      <c r="KKX48" s="952"/>
      <c r="KKY48" s="952"/>
      <c r="KKZ48" s="952"/>
      <c r="KLA48" s="952"/>
      <c r="KLB48" s="952"/>
      <c r="KLC48" s="952"/>
      <c r="KLD48" s="952"/>
      <c r="KLE48" s="952"/>
      <c r="KLF48" s="952"/>
      <c r="KLG48" s="952"/>
      <c r="KLH48" s="952"/>
      <c r="KLI48" s="952"/>
      <c r="KLJ48" s="952"/>
      <c r="KLK48" s="952"/>
      <c r="KLL48" s="952"/>
      <c r="KLM48" s="952"/>
      <c r="KLN48" s="952"/>
      <c r="KLO48" s="952"/>
      <c r="KLP48" s="952"/>
      <c r="KLQ48" s="952"/>
      <c r="KLR48" s="952"/>
      <c r="KLS48" s="952"/>
      <c r="KLT48" s="952"/>
      <c r="KLU48" s="952"/>
      <c r="KLV48" s="952"/>
      <c r="KLW48" s="952"/>
      <c r="KLX48" s="952"/>
      <c r="KLY48" s="952"/>
      <c r="KLZ48" s="952"/>
      <c r="KMA48" s="952"/>
      <c r="KMB48" s="952"/>
      <c r="KMC48" s="952"/>
      <c r="KMD48" s="952"/>
      <c r="KME48" s="952"/>
      <c r="KMF48" s="952"/>
      <c r="KMG48" s="952"/>
      <c r="KMH48" s="952"/>
      <c r="KMI48" s="952"/>
      <c r="KMJ48" s="952"/>
      <c r="KMK48" s="952"/>
      <c r="KML48" s="952"/>
      <c r="KMM48" s="952"/>
      <c r="KMN48" s="952"/>
      <c r="KMO48" s="952"/>
      <c r="KMP48" s="952"/>
      <c r="KMQ48" s="952"/>
      <c r="KMR48" s="952"/>
      <c r="KMS48" s="952"/>
      <c r="KMT48" s="952"/>
      <c r="KMU48" s="952"/>
      <c r="KMV48" s="952"/>
      <c r="KMW48" s="952"/>
      <c r="KMX48" s="952"/>
      <c r="KMY48" s="952"/>
      <c r="KMZ48" s="952"/>
      <c r="KNA48" s="952"/>
      <c r="KNB48" s="952"/>
      <c r="KNC48" s="952"/>
      <c r="KND48" s="952"/>
      <c r="KNE48" s="952"/>
      <c r="KNF48" s="952"/>
      <c r="KNG48" s="952"/>
      <c r="KNH48" s="952"/>
      <c r="KNI48" s="952"/>
      <c r="KNJ48" s="952"/>
      <c r="KNK48" s="952"/>
      <c r="KNL48" s="952"/>
      <c r="KNM48" s="952"/>
      <c r="KNN48" s="952"/>
      <c r="KNO48" s="952"/>
      <c r="KNP48" s="952"/>
      <c r="KNQ48" s="952"/>
      <c r="KNR48" s="952"/>
      <c r="KNS48" s="952"/>
      <c r="KNT48" s="952"/>
      <c r="KNU48" s="952"/>
      <c r="KNV48" s="952"/>
      <c r="KNW48" s="952"/>
      <c r="KNX48" s="952"/>
      <c r="KNY48" s="952"/>
      <c r="KNZ48" s="952"/>
      <c r="KOA48" s="952"/>
      <c r="KOB48" s="952"/>
      <c r="KOC48" s="952"/>
      <c r="KOD48" s="952"/>
      <c r="KOE48" s="952"/>
      <c r="KOF48" s="952"/>
      <c r="KOG48" s="952"/>
      <c r="KOH48" s="952"/>
      <c r="KOI48" s="952"/>
      <c r="KOJ48" s="952"/>
      <c r="KOK48" s="952"/>
      <c r="KOL48" s="952"/>
      <c r="KOM48" s="952"/>
      <c r="KON48" s="952"/>
      <c r="KOO48" s="952"/>
      <c r="KOP48" s="952"/>
      <c r="KOQ48" s="952"/>
      <c r="KOR48" s="952"/>
      <c r="KOS48" s="952"/>
      <c r="KOT48" s="952"/>
      <c r="KOU48" s="952"/>
      <c r="KOV48" s="952"/>
      <c r="KOW48" s="952"/>
      <c r="KOX48" s="952"/>
      <c r="KOY48" s="952"/>
      <c r="KOZ48" s="952"/>
      <c r="KPA48" s="952"/>
      <c r="KPB48" s="952"/>
      <c r="KPC48" s="952"/>
      <c r="KPD48" s="952"/>
      <c r="KPE48" s="952"/>
      <c r="KPF48" s="952"/>
      <c r="KPG48" s="952"/>
      <c r="KPH48" s="952"/>
      <c r="KPI48" s="952"/>
      <c r="KPJ48" s="952"/>
      <c r="KPK48" s="952"/>
      <c r="KPL48" s="952"/>
      <c r="KPM48" s="952"/>
      <c r="KPN48" s="952"/>
      <c r="KPO48" s="952"/>
      <c r="KPP48" s="952"/>
      <c r="KPQ48" s="952"/>
      <c r="KPR48" s="952"/>
      <c r="KPS48" s="952"/>
      <c r="KPT48" s="952"/>
      <c r="KPU48" s="952"/>
      <c r="KPV48" s="952"/>
      <c r="KPW48" s="952"/>
      <c r="KPX48" s="952"/>
      <c r="KPY48" s="952"/>
      <c r="KPZ48" s="952"/>
      <c r="KQA48" s="952"/>
      <c r="KQB48" s="952"/>
      <c r="KQC48" s="952"/>
      <c r="KQD48" s="952"/>
      <c r="KQE48" s="952"/>
      <c r="KQF48" s="952"/>
      <c r="KQG48" s="952"/>
      <c r="KQH48" s="952"/>
      <c r="KQI48" s="952"/>
      <c r="KQJ48" s="952"/>
      <c r="KQK48" s="952"/>
      <c r="KQL48" s="952"/>
      <c r="KQM48" s="952"/>
      <c r="KQN48" s="952"/>
      <c r="KQO48" s="952"/>
      <c r="KQP48" s="952"/>
      <c r="KQQ48" s="952"/>
      <c r="KQR48" s="952"/>
      <c r="KQS48" s="952"/>
      <c r="KQT48" s="952"/>
      <c r="KQU48" s="952"/>
      <c r="KQV48" s="952"/>
      <c r="KQW48" s="952"/>
      <c r="KQX48" s="952"/>
      <c r="KQY48" s="952"/>
      <c r="KQZ48" s="952"/>
      <c r="KRA48" s="952"/>
      <c r="KRB48" s="952"/>
      <c r="KRC48" s="952"/>
      <c r="KRD48" s="952"/>
      <c r="KRE48" s="952"/>
      <c r="KRF48" s="952"/>
      <c r="KRG48" s="952"/>
      <c r="KRH48" s="952"/>
      <c r="KRI48" s="952"/>
      <c r="KRJ48" s="952"/>
      <c r="KRK48" s="952"/>
      <c r="KRL48" s="952"/>
      <c r="KRM48" s="952"/>
      <c r="KRN48" s="952"/>
      <c r="KRO48" s="952"/>
      <c r="KRP48" s="952"/>
      <c r="KRQ48" s="952"/>
      <c r="KRR48" s="952"/>
      <c r="KRS48" s="952"/>
      <c r="KRT48" s="952"/>
      <c r="KRU48" s="952"/>
      <c r="KRV48" s="952"/>
      <c r="KRW48" s="952"/>
      <c r="KRX48" s="952"/>
      <c r="KRY48" s="952"/>
      <c r="KRZ48" s="952"/>
      <c r="KSA48" s="952"/>
      <c r="KSB48" s="952"/>
      <c r="KSC48" s="952"/>
      <c r="KSD48" s="952"/>
      <c r="KSE48" s="952"/>
      <c r="KSF48" s="952"/>
      <c r="KSG48" s="952"/>
      <c r="KSH48" s="952"/>
      <c r="KSI48" s="952"/>
      <c r="KSJ48" s="952"/>
      <c r="KSK48" s="952"/>
      <c r="KSL48" s="952"/>
      <c r="KSM48" s="952"/>
      <c r="KSN48" s="952"/>
      <c r="KSO48" s="952"/>
      <c r="KSP48" s="952"/>
      <c r="KSQ48" s="952"/>
      <c r="KSR48" s="952"/>
      <c r="KSS48" s="952"/>
      <c r="KST48" s="952"/>
      <c r="KSU48" s="952"/>
      <c r="KSV48" s="952"/>
      <c r="KSW48" s="952"/>
      <c r="KSX48" s="952"/>
      <c r="KSY48" s="952"/>
      <c r="KSZ48" s="952"/>
      <c r="KTA48" s="952"/>
      <c r="KTB48" s="952"/>
      <c r="KTC48" s="952"/>
      <c r="KTD48" s="952"/>
      <c r="KTE48" s="952"/>
      <c r="KTF48" s="952"/>
      <c r="KTG48" s="952"/>
      <c r="KTH48" s="952"/>
      <c r="KTI48" s="952"/>
      <c r="KTJ48" s="952"/>
      <c r="KTK48" s="952"/>
      <c r="KTL48" s="952"/>
      <c r="KTM48" s="952"/>
      <c r="KTN48" s="952"/>
      <c r="KTO48" s="952"/>
      <c r="KTP48" s="952"/>
      <c r="KTQ48" s="952"/>
      <c r="KTR48" s="952"/>
      <c r="KTS48" s="952"/>
      <c r="KTT48" s="952"/>
      <c r="KTU48" s="952"/>
      <c r="KTV48" s="952"/>
      <c r="KTW48" s="952"/>
      <c r="KTX48" s="952"/>
      <c r="KTY48" s="952"/>
      <c r="KTZ48" s="952"/>
      <c r="KUA48" s="952"/>
      <c r="KUB48" s="952"/>
      <c r="KUC48" s="952"/>
      <c r="KUD48" s="952"/>
      <c r="KUE48" s="952"/>
      <c r="KUF48" s="952"/>
      <c r="KUG48" s="952"/>
      <c r="KUH48" s="952"/>
      <c r="KUI48" s="952"/>
      <c r="KUJ48" s="952"/>
      <c r="KUK48" s="952"/>
      <c r="KUL48" s="952"/>
      <c r="KUM48" s="952"/>
      <c r="KUN48" s="952"/>
      <c r="KUO48" s="952"/>
      <c r="KUP48" s="952"/>
      <c r="KUQ48" s="952"/>
      <c r="KUR48" s="952"/>
      <c r="KUS48" s="952"/>
      <c r="KUT48" s="952"/>
      <c r="KUU48" s="952"/>
      <c r="KUV48" s="952"/>
      <c r="KUW48" s="952"/>
      <c r="KUX48" s="952"/>
      <c r="KUY48" s="952"/>
      <c r="KUZ48" s="952"/>
      <c r="KVA48" s="952"/>
      <c r="KVB48" s="952"/>
      <c r="KVC48" s="952"/>
      <c r="KVD48" s="952"/>
      <c r="KVE48" s="952"/>
      <c r="KVF48" s="952"/>
      <c r="KVG48" s="952"/>
      <c r="KVH48" s="952"/>
      <c r="KVI48" s="952"/>
      <c r="KVJ48" s="952"/>
      <c r="KVK48" s="952"/>
      <c r="KVL48" s="952"/>
      <c r="KVM48" s="952"/>
      <c r="KVN48" s="952"/>
      <c r="KVO48" s="952"/>
      <c r="KVP48" s="952"/>
      <c r="KVQ48" s="952"/>
      <c r="KVR48" s="952"/>
      <c r="KVS48" s="952"/>
      <c r="KVT48" s="952"/>
      <c r="KVU48" s="952"/>
      <c r="KVV48" s="952"/>
      <c r="KVW48" s="952"/>
      <c r="KVX48" s="952"/>
      <c r="KVY48" s="952"/>
      <c r="KVZ48" s="952"/>
      <c r="KWA48" s="952"/>
      <c r="KWB48" s="952"/>
      <c r="KWC48" s="952"/>
      <c r="KWD48" s="952"/>
      <c r="KWE48" s="952"/>
      <c r="KWF48" s="952"/>
      <c r="KWG48" s="952"/>
      <c r="KWH48" s="952"/>
      <c r="KWI48" s="952"/>
      <c r="KWJ48" s="952"/>
      <c r="KWK48" s="952"/>
      <c r="KWL48" s="952"/>
      <c r="KWM48" s="952"/>
      <c r="KWN48" s="952"/>
      <c r="KWO48" s="952"/>
      <c r="KWP48" s="952"/>
      <c r="KWQ48" s="952"/>
      <c r="KWR48" s="952"/>
      <c r="KWS48" s="952"/>
      <c r="KWT48" s="952"/>
      <c r="KWU48" s="952"/>
      <c r="KWV48" s="952"/>
      <c r="KWW48" s="952"/>
      <c r="KWX48" s="952"/>
      <c r="KWY48" s="952"/>
      <c r="KWZ48" s="952"/>
      <c r="KXA48" s="952"/>
      <c r="KXB48" s="952"/>
      <c r="KXC48" s="952"/>
      <c r="KXD48" s="952"/>
      <c r="KXE48" s="952"/>
      <c r="KXF48" s="952"/>
      <c r="KXG48" s="952"/>
      <c r="KXH48" s="952"/>
      <c r="KXI48" s="952"/>
      <c r="KXJ48" s="952"/>
      <c r="KXK48" s="952"/>
      <c r="KXL48" s="952"/>
      <c r="KXM48" s="952"/>
      <c r="KXN48" s="952"/>
      <c r="KXO48" s="952"/>
      <c r="KXP48" s="952"/>
      <c r="KXQ48" s="952"/>
      <c r="KXR48" s="952"/>
      <c r="KXS48" s="952"/>
      <c r="KXT48" s="952"/>
      <c r="KXU48" s="952"/>
      <c r="KXV48" s="952"/>
      <c r="KXW48" s="952"/>
      <c r="KXX48" s="952"/>
      <c r="KXY48" s="952"/>
      <c r="KXZ48" s="952"/>
      <c r="KYA48" s="952"/>
      <c r="KYB48" s="952"/>
      <c r="KYC48" s="952"/>
      <c r="KYD48" s="952"/>
      <c r="KYE48" s="952"/>
      <c r="KYF48" s="952"/>
      <c r="KYG48" s="952"/>
      <c r="KYH48" s="952"/>
      <c r="KYI48" s="952"/>
      <c r="KYJ48" s="952"/>
      <c r="KYK48" s="952"/>
      <c r="KYL48" s="952"/>
      <c r="KYM48" s="952"/>
      <c r="KYN48" s="952"/>
      <c r="KYO48" s="952"/>
      <c r="KYP48" s="952"/>
      <c r="KYQ48" s="952"/>
      <c r="KYR48" s="952"/>
      <c r="KYS48" s="952"/>
      <c r="KYT48" s="952"/>
      <c r="KYU48" s="952"/>
      <c r="KYV48" s="952"/>
      <c r="KYW48" s="952"/>
      <c r="KYX48" s="952"/>
      <c r="KYY48" s="952"/>
      <c r="KYZ48" s="952"/>
      <c r="KZA48" s="952"/>
      <c r="KZB48" s="952"/>
      <c r="KZC48" s="952"/>
      <c r="KZD48" s="952"/>
      <c r="KZE48" s="952"/>
      <c r="KZF48" s="952"/>
      <c r="KZG48" s="952"/>
      <c r="KZH48" s="952"/>
      <c r="KZI48" s="952"/>
      <c r="KZJ48" s="952"/>
      <c r="KZK48" s="952"/>
      <c r="KZL48" s="952"/>
      <c r="KZM48" s="952"/>
      <c r="KZN48" s="952"/>
      <c r="KZO48" s="952"/>
      <c r="KZP48" s="952"/>
      <c r="KZQ48" s="952"/>
      <c r="KZR48" s="952"/>
      <c r="KZS48" s="952"/>
      <c r="KZT48" s="952"/>
      <c r="KZU48" s="952"/>
      <c r="KZV48" s="952"/>
      <c r="KZW48" s="952"/>
      <c r="KZX48" s="952"/>
      <c r="KZY48" s="952"/>
      <c r="KZZ48" s="952"/>
      <c r="LAA48" s="952"/>
      <c r="LAB48" s="952"/>
      <c r="LAC48" s="952"/>
      <c r="LAD48" s="952"/>
      <c r="LAE48" s="952"/>
      <c r="LAF48" s="952"/>
      <c r="LAG48" s="952"/>
      <c r="LAH48" s="952"/>
      <c r="LAI48" s="952"/>
      <c r="LAJ48" s="952"/>
      <c r="LAK48" s="952"/>
      <c r="LAL48" s="952"/>
      <c r="LAM48" s="952"/>
      <c r="LAN48" s="952"/>
      <c r="LAO48" s="952"/>
      <c r="LAP48" s="952"/>
      <c r="LAQ48" s="952"/>
      <c r="LAR48" s="952"/>
      <c r="LAS48" s="952"/>
      <c r="LAT48" s="952"/>
      <c r="LAU48" s="952"/>
      <c r="LAV48" s="952"/>
      <c r="LAW48" s="952"/>
      <c r="LAX48" s="952"/>
      <c r="LAY48" s="952"/>
      <c r="LAZ48" s="952"/>
      <c r="LBA48" s="952"/>
      <c r="LBB48" s="952"/>
      <c r="LBC48" s="952"/>
      <c r="LBD48" s="952"/>
      <c r="LBE48" s="952"/>
      <c r="LBF48" s="952"/>
      <c r="LBG48" s="952"/>
      <c r="LBH48" s="952"/>
      <c r="LBI48" s="952"/>
      <c r="LBJ48" s="952"/>
      <c r="LBK48" s="952"/>
      <c r="LBL48" s="952"/>
      <c r="LBM48" s="952"/>
      <c r="LBN48" s="952"/>
      <c r="LBO48" s="952"/>
      <c r="LBP48" s="952"/>
      <c r="LBQ48" s="952"/>
      <c r="LBR48" s="952"/>
      <c r="LBS48" s="952"/>
      <c r="LBT48" s="952"/>
      <c r="LBU48" s="952"/>
      <c r="LBV48" s="952"/>
      <c r="LBW48" s="952"/>
      <c r="LBX48" s="952"/>
      <c r="LBY48" s="952"/>
      <c r="LBZ48" s="952"/>
      <c r="LCA48" s="952"/>
      <c r="LCB48" s="952"/>
      <c r="LCC48" s="952"/>
      <c r="LCD48" s="952"/>
      <c r="LCE48" s="952"/>
      <c r="LCF48" s="952"/>
      <c r="LCG48" s="952"/>
      <c r="LCH48" s="952"/>
      <c r="LCI48" s="952"/>
      <c r="LCJ48" s="952"/>
      <c r="LCK48" s="952"/>
      <c r="LCL48" s="952"/>
      <c r="LCM48" s="952"/>
      <c r="LCN48" s="952"/>
      <c r="LCO48" s="952"/>
      <c r="LCP48" s="952"/>
      <c r="LCQ48" s="952"/>
      <c r="LCR48" s="952"/>
      <c r="LCS48" s="952"/>
      <c r="LCT48" s="952"/>
      <c r="LCU48" s="952"/>
      <c r="LCV48" s="952"/>
      <c r="LCW48" s="952"/>
      <c r="LCX48" s="952"/>
      <c r="LCY48" s="952"/>
      <c r="LCZ48" s="952"/>
      <c r="LDA48" s="952"/>
      <c r="LDB48" s="952"/>
      <c r="LDC48" s="952"/>
      <c r="LDD48" s="952"/>
      <c r="LDE48" s="952"/>
      <c r="LDF48" s="952"/>
      <c r="LDG48" s="952"/>
      <c r="LDH48" s="952"/>
      <c r="LDI48" s="952"/>
      <c r="LDJ48" s="952"/>
      <c r="LDK48" s="952"/>
      <c r="LDL48" s="952"/>
      <c r="LDM48" s="952"/>
      <c r="LDN48" s="952"/>
      <c r="LDO48" s="952"/>
      <c r="LDP48" s="952"/>
      <c r="LDQ48" s="952"/>
      <c r="LDR48" s="952"/>
      <c r="LDS48" s="952"/>
      <c r="LDT48" s="952"/>
      <c r="LDU48" s="952"/>
      <c r="LDV48" s="952"/>
      <c r="LDW48" s="952"/>
      <c r="LDX48" s="952"/>
      <c r="LDY48" s="952"/>
      <c r="LDZ48" s="952"/>
      <c r="LEA48" s="952"/>
      <c r="LEB48" s="952"/>
      <c r="LEC48" s="952"/>
      <c r="LED48" s="952"/>
      <c r="LEE48" s="952"/>
      <c r="LEF48" s="952"/>
      <c r="LEG48" s="952"/>
      <c r="LEH48" s="952"/>
      <c r="LEI48" s="952"/>
      <c r="LEJ48" s="952"/>
      <c r="LEK48" s="952"/>
      <c r="LEL48" s="952"/>
      <c r="LEM48" s="952"/>
      <c r="LEN48" s="952"/>
      <c r="LEO48" s="952"/>
      <c r="LEP48" s="952"/>
      <c r="LEQ48" s="952"/>
      <c r="LER48" s="952"/>
      <c r="LES48" s="952"/>
      <c r="LET48" s="952"/>
      <c r="LEU48" s="952"/>
      <c r="LEV48" s="952"/>
      <c r="LEW48" s="952"/>
      <c r="LEX48" s="952"/>
      <c r="LEY48" s="952"/>
      <c r="LEZ48" s="952"/>
      <c r="LFA48" s="952"/>
      <c r="LFB48" s="952"/>
      <c r="LFC48" s="952"/>
      <c r="LFD48" s="952"/>
      <c r="LFE48" s="952"/>
      <c r="LFF48" s="952"/>
      <c r="LFG48" s="952"/>
      <c r="LFH48" s="952"/>
      <c r="LFI48" s="952"/>
      <c r="LFJ48" s="952"/>
      <c r="LFK48" s="952"/>
      <c r="LFL48" s="952"/>
      <c r="LFM48" s="952"/>
      <c r="LFN48" s="952"/>
      <c r="LFO48" s="952"/>
      <c r="LFP48" s="952"/>
      <c r="LFQ48" s="952"/>
      <c r="LFR48" s="952"/>
      <c r="LFS48" s="952"/>
      <c r="LFT48" s="952"/>
      <c r="LFU48" s="952"/>
      <c r="LFV48" s="952"/>
      <c r="LFW48" s="952"/>
      <c r="LFX48" s="952"/>
      <c r="LFY48" s="952"/>
      <c r="LFZ48" s="952"/>
      <c r="LGA48" s="952"/>
      <c r="LGB48" s="952"/>
      <c r="LGC48" s="952"/>
      <c r="LGD48" s="952"/>
      <c r="LGE48" s="952"/>
      <c r="LGF48" s="952"/>
      <c r="LGG48" s="952"/>
      <c r="LGH48" s="952"/>
      <c r="LGI48" s="952"/>
      <c r="LGJ48" s="952"/>
      <c r="LGK48" s="952"/>
      <c r="LGL48" s="952"/>
      <c r="LGM48" s="952"/>
      <c r="LGN48" s="952"/>
      <c r="LGO48" s="952"/>
      <c r="LGP48" s="952"/>
      <c r="LGQ48" s="952"/>
      <c r="LGR48" s="952"/>
      <c r="LGS48" s="952"/>
      <c r="LGT48" s="952"/>
      <c r="LGU48" s="952"/>
      <c r="LGV48" s="952"/>
      <c r="LGW48" s="952"/>
      <c r="LGX48" s="952"/>
      <c r="LGY48" s="952"/>
      <c r="LGZ48" s="952"/>
      <c r="LHA48" s="952"/>
      <c r="LHB48" s="952"/>
      <c r="LHC48" s="952"/>
      <c r="LHD48" s="952"/>
      <c r="LHE48" s="952"/>
      <c r="LHF48" s="952"/>
      <c r="LHG48" s="952"/>
      <c r="LHH48" s="952"/>
      <c r="LHI48" s="952"/>
      <c r="LHJ48" s="952"/>
      <c r="LHK48" s="952"/>
      <c r="LHL48" s="952"/>
      <c r="LHM48" s="952"/>
      <c r="LHN48" s="952"/>
      <c r="LHO48" s="952"/>
      <c r="LHP48" s="952"/>
      <c r="LHQ48" s="952"/>
      <c r="LHR48" s="952"/>
      <c r="LHS48" s="952"/>
      <c r="LHT48" s="952"/>
      <c r="LHU48" s="952"/>
      <c r="LHV48" s="952"/>
      <c r="LHW48" s="952"/>
      <c r="LHX48" s="952"/>
      <c r="LHY48" s="952"/>
      <c r="LHZ48" s="952"/>
      <c r="LIA48" s="952"/>
      <c r="LIB48" s="952"/>
      <c r="LIC48" s="952"/>
      <c r="LID48" s="952"/>
      <c r="LIE48" s="952"/>
      <c r="LIF48" s="952"/>
      <c r="LIG48" s="952"/>
      <c r="LIH48" s="952"/>
      <c r="LII48" s="952"/>
      <c r="LIJ48" s="952"/>
      <c r="LIK48" s="952"/>
      <c r="LIL48" s="952"/>
      <c r="LIM48" s="952"/>
      <c r="LIN48" s="952"/>
      <c r="LIO48" s="952"/>
      <c r="LIP48" s="952"/>
      <c r="LIQ48" s="952"/>
      <c r="LIR48" s="952"/>
      <c r="LIS48" s="952"/>
      <c r="LIT48" s="952"/>
      <c r="LIU48" s="952"/>
      <c r="LIV48" s="952"/>
      <c r="LIW48" s="952"/>
      <c r="LIX48" s="952"/>
      <c r="LIY48" s="952"/>
      <c r="LIZ48" s="952"/>
      <c r="LJA48" s="952"/>
      <c r="LJB48" s="952"/>
      <c r="LJC48" s="952"/>
      <c r="LJD48" s="952"/>
      <c r="LJE48" s="952"/>
      <c r="LJF48" s="952"/>
      <c r="LJG48" s="952"/>
      <c r="LJH48" s="952"/>
      <c r="LJI48" s="952"/>
      <c r="LJJ48" s="952"/>
      <c r="LJK48" s="952"/>
      <c r="LJL48" s="952"/>
      <c r="LJM48" s="952"/>
      <c r="LJN48" s="952"/>
      <c r="LJO48" s="952"/>
      <c r="LJP48" s="952"/>
      <c r="LJQ48" s="952"/>
      <c r="LJR48" s="952"/>
      <c r="LJS48" s="952"/>
      <c r="LJT48" s="952"/>
      <c r="LJU48" s="952"/>
      <c r="LJV48" s="952"/>
      <c r="LJW48" s="952"/>
      <c r="LJX48" s="952"/>
      <c r="LJY48" s="952"/>
      <c r="LJZ48" s="952"/>
      <c r="LKA48" s="952"/>
      <c r="LKB48" s="952"/>
      <c r="LKC48" s="952"/>
      <c r="LKD48" s="952"/>
      <c r="LKE48" s="952"/>
      <c r="LKF48" s="952"/>
      <c r="LKG48" s="952"/>
      <c r="LKH48" s="952"/>
      <c r="LKI48" s="952"/>
      <c r="LKJ48" s="952"/>
      <c r="LKK48" s="952"/>
      <c r="LKL48" s="952"/>
      <c r="LKM48" s="952"/>
      <c r="LKN48" s="952"/>
      <c r="LKO48" s="952"/>
      <c r="LKP48" s="952"/>
      <c r="LKQ48" s="952"/>
      <c r="LKR48" s="952"/>
      <c r="LKS48" s="952"/>
      <c r="LKT48" s="952"/>
      <c r="LKU48" s="952"/>
      <c r="LKV48" s="952"/>
      <c r="LKW48" s="952"/>
      <c r="LKX48" s="952"/>
      <c r="LKY48" s="952"/>
      <c r="LKZ48" s="952"/>
      <c r="LLA48" s="952"/>
      <c r="LLB48" s="952"/>
      <c r="LLC48" s="952"/>
      <c r="LLD48" s="952"/>
      <c r="LLE48" s="952"/>
      <c r="LLF48" s="952"/>
      <c r="LLG48" s="952"/>
      <c r="LLH48" s="952"/>
      <c r="LLI48" s="952"/>
      <c r="LLJ48" s="952"/>
      <c r="LLK48" s="952"/>
      <c r="LLL48" s="952"/>
      <c r="LLM48" s="952"/>
      <c r="LLN48" s="952"/>
      <c r="LLO48" s="952"/>
      <c r="LLP48" s="952"/>
      <c r="LLQ48" s="952"/>
      <c r="LLR48" s="952"/>
      <c r="LLS48" s="952"/>
      <c r="LLT48" s="952"/>
      <c r="LLU48" s="952"/>
      <c r="LLV48" s="952"/>
      <c r="LLW48" s="952"/>
      <c r="LLX48" s="952"/>
      <c r="LLY48" s="952"/>
      <c r="LLZ48" s="952"/>
      <c r="LMA48" s="952"/>
      <c r="LMB48" s="952"/>
      <c r="LMC48" s="952"/>
      <c r="LMD48" s="952"/>
      <c r="LME48" s="952"/>
      <c r="LMF48" s="952"/>
      <c r="LMG48" s="952"/>
      <c r="LMH48" s="952"/>
      <c r="LMI48" s="952"/>
      <c r="LMJ48" s="952"/>
      <c r="LMK48" s="952"/>
      <c r="LML48" s="952"/>
      <c r="LMM48" s="952"/>
      <c r="LMN48" s="952"/>
      <c r="LMO48" s="952"/>
      <c r="LMP48" s="952"/>
      <c r="LMQ48" s="952"/>
      <c r="LMR48" s="952"/>
      <c r="LMS48" s="952"/>
      <c r="LMT48" s="952"/>
      <c r="LMU48" s="952"/>
      <c r="LMV48" s="952"/>
      <c r="LMW48" s="952"/>
      <c r="LMX48" s="952"/>
      <c r="LMY48" s="952"/>
      <c r="LMZ48" s="952"/>
      <c r="LNA48" s="952"/>
      <c r="LNB48" s="952"/>
      <c r="LNC48" s="952"/>
      <c r="LND48" s="952"/>
      <c r="LNE48" s="952"/>
      <c r="LNF48" s="952"/>
      <c r="LNG48" s="952"/>
      <c r="LNH48" s="952"/>
      <c r="LNI48" s="952"/>
      <c r="LNJ48" s="952"/>
      <c r="LNK48" s="952"/>
      <c r="LNL48" s="952"/>
      <c r="LNM48" s="952"/>
      <c r="LNN48" s="952"/>
      <c r="LNO48" s="952"/>
      <c r="LNP48" s="952"/>
      <c r="LNQ48" s="952"/>
      <c r="LNR48" s="952"/>
      <c r="LNS48" s="952"/>
      <c r="LNT48" s="952"/>
      <c r="LNU48" s="952"/>
      <c r="LNV48" s="952"/>
      <c r="LNW48" s="952"/>
      <c r="LNX48" s="952"/>
      <c r="LNY48" s="952"/>
      <c r="LNZ48" s="952"/>
      <c r="LOA48" s="952"/>
      <c r="LOB48" s="952"/>
      <c r="LOC48" s="952"/>
      <c r="LOD48" s="952"/>
      <c r="LOE48" s="952"/>
      <c r="LOF48" s="952"/>
      <c r="LOG48" s="952"/>
      <c r="LOH48" s="952"/>
      <c r="LOI48" s="952"/>
      <c r="LOJ48" s="952"/>
      <c r="LOK48" s="952"/>
      <c r="LOL48" s="952"/>
      <c r="LOM48" s="952"/>
      <c r="LON48" s="952"/>
      <c r="LOO48" s="952"/>
      <c r="LOP48" s="952"/>
      <c r="LOQ48" s="952"/>
      <c r="LOR48" s="952"/>
      <c r="LOS48" s="952"/>
      <c r="LOT48" s="952"/>
      <c r="LOU48" s="952"/>
      <c r="LOV48" s="952"/>
      <c r="LOW48" s="952"/>
      <c r="LOX48" s="952"/>
      <c r="LOY48" s="952"/>
      <c r="LOZ48" s="952"/>
      <c r="LPA48" s="952"/>
      <c r="LPB48" s="952"/>
      <c r="LPC48" s="952"/>
      <c r="LPD48" s="952"/>
      <c r="LPE48" s="952"/>
      <c r="LPF48" s="952"/>
      <c r="LPG48" s="952"/>
      <c r="LPH48" s="952"/>
      <c r="LPI48" s="952"/>
      <c r="LPJ48" s="952"/>
      <c r="LPK48" s="952"/>
      <c r="LPL48" s="952"/>
      <c r="LPM48" s="952"/>
      <c r="LPN48" s="952"/>
      <c r="LPO48" s="952"/>
      <c r="LPP48" s="952"/>
      <c r="LPQ48" s="952"/>
      <c r="LPR48" s="952"/>
      <c r="LPS48" s="952"/>
      <c r="LPT48" s="952"/>
      <c r="LPU48" s="952"/>
      <c r="LPV48" s="952"/>
      <c r="LPW48" s="952"/>
      <c r="LPX48" s="952"/>
      <c r="LPY48" s="952"/>
      <c r="LPZ48" s="952"/>
      <c r="LQA48" s="952"/>
      <c r="LQB48" s="952"/>
      <c r="LQC48" s="952"/>
      <c r="LQD48" s="952"/>
      <c r="LQE48" s="952"/>
      <c r="LQF48" s="952"/>
      <c r="LQG48" s="952"/>
      <c r="LQH48" s="952"/>
      <c r="LQI48" s="952"/>
      <c r="LQJ48" s="952"/>
      <c r="LQK48" s="952"/>
      <c r="LQL48" s="952"/>
      <c r="LQM48" s="952"/>
      <c r="LQN48" s="952"/>
      <c r="LQO48" s="952"/>
      <c r="LQP48" s="952"/>
      <c r="LQQ48" s="952"/>
      <c r="LQR48" s="952"/>
      <c r="LQS48" s="952"/>
      <c r="LQT48" s="952"/>
      <c r="LQU48" s="952"/>
      <c r="LQV48" s="952"/>
      <c r="LQW48" s="952"/>
      <c r="LQX48" s="952"/>
      <c r="LQY48" s="952"/>
      <c r="LQZ48" s="952"/>
      <c r="LRA48" s="952"/>
      <c r="LRB48" s="952"/>
      <c r="LRC48" s="952"/>
      <c r="LRD48" s="952"/>
      <c r="LRE48" s="952"/>
      <c r="LRF48" s="952"/>
      <c r="LRG48" s="952"/>
      <c r="LRH48" s="952"/>
      <c r="LRI48" s="952"/>
      <c r="LRJ48" s="952"/>
      <c r="LRK48" s="952"/>
      <c r="LRL48" s="952"/>
      <c r="LRM48" s="952"/>
      <c r="LRN48" s="952"/>
      <c r="LRO48" s="952"/>
      <c r="LRP48" s="952"/>
      <c r="LRQ48" s="952"/>
      <c r="LRR48" s="952"/>
      <c r="LRS48" s="952"/>
      <c r="LRT48" s="952"/>
      <c r="LRU48" s="952"/>
      <c r="LRV48" s="952"/>
      <c r="LRW48" s="952"/>
      <c r="LRX48" s="952"/>
      <c r="LRY48" s="952"/>
      <c r="LRZ48" s="952"/>
      <c r="LSA48" s="952"/>
      <c r="LSB48" s="952"/>
      <c r="LSC48" s="952"/>
      <c r="LSD48" s="952"/>
      <c r="LSE48" s="952"/>
      <c r="LSF48" s="952"/>
      <c r="LSG48" s="952"/>
      <c r="LSH48" s="952"/>
      <c r="LSI48" s="952"/>
      <c r="LSJ48" s="952"/>
      <c r="LSK48" s="952"/>
      <c r="LSL48" s="952"/>
      <c r="LSM48" s="952"/>
      <c r="LSN48" s="952"/>
      <c r="LSO48" s="952"/>
      <c r="LSP48" s="952"/>
      <c r="LSQ48" s="952"/>
      <c r="LSR48" s="952"/>
      <c r="LSS48" s="952"/>
      <c r="LST48" s="952"/>
      <c r="LSU48" s="952"/>
      <c r="LSV48" s="952"/>
      <c r="LSW48" s="952"/>
      <c r="LSX48" s="952"/>
      <c r="LSY48" s="952"/>
      <c r="LSZ48" s="952"/>
      <c r="LTA48" s="952"/>
      <c r="LTB48" s="952"/>
      <c r="LTC48" s="952"/>
      <c r="LTD48" s="952"/>
      <c r="LTE48" s="952"/>
      <c r="LTF48" s="952"/>
      <c r="LTG48" s="952"/>
      <c r="LTH48" s="952"/>
      <c r="LTI48" s="952"/>
      <c r="LTJ48" s="952"/>
      <c r="LTK48" s="952"/>
      <c r="LTL48" s="952"/>
      <c r="LTM48" s="952"/>
      <c r="LTN48" s="952"/>
      <c r="LTO48" s="952"/>
      <c r="LTP48" s="952"/>
      <c r="LTQ48" s="952"/>
      <c r="LTR48" s="952"/>
      <c r="LTS48" s="952"/>
      <c r="LTT48" s="952"/>
      <c r="LTU48" s="952"/>
      <c r="LTV48" s="952"/>
      <c r="LTW48" s="952"/>
      <c r="LTX48" s="952"/>
      <c r="LTY48" s="952"/>
      <c r="LTZ48" s="952"/>
      <c r="LUA48" s="952"/>
      <c r="LUB48" s="952"/>
      <c r="LUC48" s="952"/>
      <c r="LUD48" s="952"/>
      <c r="LUE48" s="952"/>
      <c r="LUF48" s="952"/>
      <c r="LUG48" s="952"/>
      <c r="LUH48" s="952"/>
      <c r="LUI48" s="952"/>
      <c r="LUJ48" s="952"/>
      <c r="LUK48" s="952"/>
      <c r="LUL48" s="952"/>
      <c r="LUM48" s="952"/>
      <c r="LUN48" s="952"/>
      <c r="LUO48" s="952"/>
      <c r="LUP48" s="952"/>
      <c r="LUQ48" s="952"/>
      <c r="LUR48" s="952"/>
      <c r="LUS48" s="952"/>
      <c r="LUT48" s="952"/>
      <c r="LUU48" s="952"/>
      <c r="LUV48" s="952"/>
      <c r="LUW48" s="952"/>
      <c r="LUX48" s="952"/>
      <c r="LUY48" s="952"/>
      <c r="LUZ48" s="952"/>
      <c r="LVA48" s="952"/>
      <c r="LVB48" s="952"/>
      <c r="LVC48" s="952"/>
      <c r="LVD48" s="952"/>
      <c r="LVE48" s="952"/>
      <c r="LVF48" s="952"/>
      <c r="LVG48" s="952"/>
      <c r="LVH48" s="952"/>
      <c r="LVI48" s="952"/>
      <c r="LVJ48" s="952"/>
      <c r="LVK48" s="952"/>
      <c r="LVL48" s="952"/>
      <c r="LVM48" s="952"/>
      <c r="LVN48" s="952"/>
      <c r="LVO48" s="952"/>
      <c r="LVP48" s="952"/>
      <c r="LVQ48" s="952"/>
      <c r="LVR48" s="952"/>
      <c r="LVS48" s="952"/>
      <c r="LVT48" s="952"/>
      <c r="LVU48" s="952"/>
      <c r="LVV48" s="952"/>
      <c r="LVW48" s="952"/>
      <c r="LVX48" s="952"/>
      <c r="LVY48" s="952"/>
      <c r="LVZ48" s="952"/>
      <c r="LWA48" s="952"/>
      <c r="LWB48" s="952"/>
      <c r="LWC48" s="952"/>
      <c r="LWD48" s="952"/>
      <c r="LWE48" s="952"/>
      <c r="LWF48" s="952"/>
      <c r="LWG48" s="952"/>
      <c r="LWH48" s="952"/>
      <c r="LWI48" s="952"/>
      <c r="LWJ48" s="952"/>
      <c r="LWK48" s="952"/>
      <c r="LWL48" s="952"/>
      <c r="LWM48" s="952"/>
      <c r="LWN48" s="952"/>
      <c r="LWO48" s="952"/>
      <c r="LWP48" s="952"/>
      <c r="LWQ48" s="952"/>
      <c r="LWR48" s="952"/>
      <c r="LWS48" s="952"/>
      <c r="LWT48" s="952"/>
      <c r="LWU48" s="952"/>
      <c r="LWV48" s="952"/>
      <c r="LWW48" s="952"/>
      <c r="LWX48" s="952"/>
      <c r="LWY48" s="952"/>
      <c r="LWZ48" s="952"/>
      <c r="LXA48" s="952"/>
      <c r="LXB48" s="952"/>
      <c r="LXC48" s="952"/>
      <c r="LXD48" s="952"/>
      <c r="LXE48" s="952"/>
      <c r="LXF48" s="952"/>
      <c r="LXG48" s="952"/>
      <c r="LXH48" s="952"/>
      <c r="LXI48" s="952"/>
      <c r="LXJ48" s="952"/>
      <c r="LXK48" s="952"/>
      <c r="LXL48" s="952"/>
      <c r="LXM48" s="952"/>
      <c r="LXN48" s="952"/>
      <c r="LXO48" s="952"/>
      <c r="LXP48" s="952"/>
      <c r="LXQ48" s="952"/>
      <c r="LXR48" s="952"/>
      <c r="LXS48" s="952"/>
      <c r="LXT48" s="952"/>
      <c r="LXU48" s="952"/>
      <c r="LXV48" s="952"/>
      <c r="LXW48" s="952"/>
      <c r="LXX48" s="952"/>
      <c r="LXY48" s="952"/>
      <c r="LXZ48" s="952"/>
      <c r="LYA48" s="952"/>
      <c r="LYB48" s="952"/>
      <c r="LYC48" s="952"/>
      <c r="LYD48" s="952"/>
      <c r="LYE48" s="952"/>
      <c r="LYF48" s="952"/>
      <c r="LYG48" s="952"/>
      <c r="LYH48" s="952"/>
      <c r="LYI48" s="952"/>
      <c r="LYJ48" s="952"/>
      <c r="LYK48" s="952"/>
      <c r="LYL48" s="952"/>
      <c r="LYM48" s="952"/>
      <c r="LYN48" s="952"/>
      <c r="LYO48" s="952"/>
      <c r="LYP48" s="952"/>
      <c r="LYQ48" s="952"/>
      <c r="LYR48" s="952"/>
      <c r="LYS48" s="952"/>
      <c r="LYT48" s="952"/>
      <c r="LYU48" s="952"/>
      <c r="LYV48" s="952"/>
      <c r="LYW48" s="952"/>
      <c r="LYX48" s="952"/>
      <c r="LYY48" s="952"/>
      <c r="LYZ48" s="952"/>
      <c r="LZA48" s="952"/>
      <c r="LZB48" s="952"/>
      <c r="LZC48" s="952"/>
      <c r="LZD48" s="952"/>
      <c r="LZE48" s="952"/>
      <c r="LZF48" s="952"/>
      <c r="LZG48" s="952"/>
      <c r="LZH48" s="952"/>
      <c r="LZI48" s="952"/>
      <c r="LZJ48" s="952"/>
      <c r="LZK48" s="952"/>
      <c r="LZL48" s="952"/>
      <c r="LZM48" s="952"/>
      <c r="LZN48" s="952"/>
      <c r="LZO48" s="952"/>
      <c r="LZP48" s="952"/>
      <c r="LZQ48" s="952"/>
      <c r="LZR48" s="952"/>
      <c r="LZS48" s="952"/>
      <c r="LZT48" s="952"/>
      <c r="LZU48" s="952"/>
      <c r="LZV48" s="952"/>
      <c r="LZW48" s="952"/>
      <c r="LZX48" s="952"/>
      <c r="LZY48" s="952"/>
      <c r="LZZ48" s="952"/>
      <c r="MAA48" s="952"/>
      <c r="MAB48" s="952"/>
      <c r="MAC48" s="952"/>
      <c r="MAD48" s="952"/>
      <c r="MAE48" s="952"/>
      <c r="MAF48" s="952"/>
      <c r="MAG48" s="952"/>
      <c r="MAH48" s="952"/>
      <c r="MAI48" s="952"/>
      <c r="MAJ48" s="952"/>
      <c r="MAK48" s="952"/>
      <c r="MAL48" s="952"/>
      <c r="MAM48" s="952"/>
      <c r="MAN48" s="952"/>
      <c r="MAO48" s="952"/>
      <c r="MAP48" s="952"/>
      <c r="MAQ48" s="952"/>
      <c r="MAR48" s="952"/>
      <c r="MAS48" s="952"/>
      <c r="MAT48" s="952"/>
      <c r="MAU48" s="952"/>
      <c r="MAV48" s="952"/>
      <c r="MAW48" s="952"/>
      <c r="MAX48" s="952"/>
      <c r="MAY48" s="952"/>
      <c r="MAZ48" s="952"/>
      <c r="MBA48" s="952"/>
      <c r="MBB48" s="952"/>
      <c r="MBC48" s="952"/>
      <c r="MBD48" s="952"/>
      <c r="MBE48" s="952"/>
      <c r="MBF48" s="952"/>
      <c r="MBG48" s="952"/>
      <c r="MBH48" s="952"/>
      <c r="MBI48" s="952"/>
      <c r="MBJ48" s="952"/>
      <c r="MBK48" s="952"/>
      <c r="MBL48" s="952"/>
      <c r="MBM48" s="952"/>
      <c r="MBN48" s="952"/>
      <c r="MBO48" s="952"/>
      <c r="MBP48" s="952"/>
      <c r="MBQ48" s="952"/>
      <c r="MBR48" s="952"/>
      <c r="MBS48" s="952"/>
      <c r="MBT48" s="952"/>
      <c r="MBU48" s="952"/>
      <c r="MBV48" s="952"/>
      <c r="MBW48" s="952"/>
      <c r="MBX48" s="952"/>
      <c r="MBY48" s="952"/>
      <c r="MBZ48" s="952"/>
      <c r="MCA48" s="952"/>
      <c r="MCB48" s="952"/>
      <c r="MCC48" s="952"/>
      <c r="MCD48" s="952"/>
      <c r="MCE48" s="952"/>
      <c r="MCF48" s="952"/>
      <c r="MCG48" s="952"/>
      <c r="MCH48" s="952"/>
      <c r="MCI48" s="952"/>
      <c r="MCJ48" s="952"/>
      <c r="MCK48" s="952"/>
      <c r="MCL48" s="952"/>
      <c r="MCM48" s="952"/>
      <c r="MCN48" s="952"/>
      <c r="MCO48" s="952"/>
      <c r="MCP48" s="952"/>
      <c r="MCQ48" s="952"/>
      <c r="MCR48" s="952"/>
      <c r="MCS48" s="952"/>
      <c r="MCT48" s="952"/>
      <c r="MCU48" s="952"/>
      <c r="MCV48" s="952"/>
      <c r="MCW48" s="952"/>
      <c r="MCX48" s="952"/>
      <c r="MCY48" s="952"/>
      <c r="MCZ48" s="952"/>
      <c r="MDA48" s="952"/>
      <c r="MDB48" s="952"/>
      <c r="MDC48" s="952"/>
      <c r="MDD48" s="952"/>
      <c r="MDE48" s="952"/>
      <c r="MDF48" s="952"/>
      <c r="MDG48" s="952"/>
      <c r="MDH48" s="952"/>
      <c r="MDI48" s="952"/>
      <c r="MDJ48" s="952"/>
      <c r="MDK48" s="952"/>
      <c r="MDL48" s="952"/>
      <c r="MDM48" s="952"/>
      <c r="MDN48" s="952"/>
      <c r="MDO48" s="952"/>
      <c r="MDP48" s="952"/>
      <c r="MDQ48" s="952"/>
      <c r="MDR48" s="952"/>
      <c r="MDS48" s="952"/>
      <c r="MDT48" s="952"/>
      <c r="MDU48" s="952"/>
      <c r="MDV48" s="952"/>
      <c r="MDW48" s="952"/>
      <c r="MDX48" s="952"/>
      <c r="MDY48" s="952"/>
      <c r="MDZ48" s="952"/>
      <c r="MEA48" s="952"/>
      <c r="MEB48" s="952"/>
      <c r="MEC48" s="952"/>
      <c r="MED48" s="952"/>
      <c r="MEE48" s="952"/>
      <c r="MEF48" s="952"/>
      <c r="MEG48" s="952"/>
      <c r="MEH48" s="952"/>
      <c r="MEI48" s="952"/>
      <c r="MEJ48" s="952"/>
      <c r="MEK48" s="952"/>
      <c r="MEL48" s="952"/>
      <c r="MEM48" s="952"/>
      <c r="MEN48" s="952"/>
      <c r="MEO48" s="952"/>
      <c r="MEP48" s="952"/>
      <c r="MEQ48" s="952"/>
      <c r="MER48" s="952"/>
      <c r="MES48" s="952"/>
      <c r="MET48" s="952"/>
      <c r="MEU48" s="952"/>
      <c r="MEV48" s="952"/>
      <c r="MEW48" s="952"/>
      <c r="MEX48" s="952"/>
      <c r="MEY48" s="952"/>
      <c r="MEZ48" s="952"/>
      <c r="MFA48" s="952"/>
      <c r="MFB48" s="952"/>
      <c r="MFC48" s="952"/>
      <c r="MFD48" s="952"/>
      <c r="MFE48" s="952"/>
      <c r="MFF48" s="952"/>
      <c r="MFG48" s="952"/>
      <c r="MFH48" s="952"/>
      <c r="MFI48" s="952"/>
      <c r="MFJ48" s="952"/>
      <c r="MFK48" s="952"/>
      <c r="MFL48" s="952"/>
      <c r="MFM48" s="952"/>
      <c r="MFN48" s="952"/>
      <c r="MFO48" s="952"/>
      <c r="MFP48" s="952"/>
      <c r="MFQ48" s="952"/>
      <c r="MFR48" s="952"/>
      <c r="MFS48" s="952"/>
      <c r="MFT48" s="952"/>
      <c r="MFU48" s="952"/>
      <c r="MFV48" s="952"/>
      <c r="MFW48" s="952"/>
      <c r="MFX48" s="952"/>
      <c r="MFY48" s="952"/>
      <c r="MFZ48" s="952"/>
      <c r="MGA48" s="952"/>
      <c r="MGB48" s="952"/>
      <c r="MGC48" s="952"/>
      <c r="MGD48" s="952"/>
      <c r="MGE48" s="952"/>
      <c r="MGF48" s="952"/>
      <c r="MGG48" s="952"/>
      <c r="MGH48" s="952"/>
      <c r="MGI48" s="952"/>
      <c r="MGJ48" s="952"/>
      <c r="MGK48" s="952"/>
      <c r="MGL48" s="952"/>
      <c r="MGM48" s="952"/>
      <c r="MGN48" s="952"/>
      <c r="MGO48" s="952"/>
      <c r="MGP48" s="952"/>
      <c r="MGQ48" s="952"/>
      <c r="MGR48" s="952"/>
      <c r="MGS48" s="952"/>
      <c r="MGT48" s="952"/>
      <c r="MGU48" s="952"/>
      <c r="MGV48" s="952"/>
      <c r="MGW48" s="952"/>
      <c r="MGX48" s="952"/>
      <c r="MGY48" s="952"/>
      <c r="MGZ48" s="952"/>
      <c r="MHA48" s="952"/>
      <c r="MHB48" s="952"/>
      <c r="MHC48" s="952"/>
      <c r="MHD48" s="952"/>
      <c r="MHE48" s="952"/>
      <c r="MHF48" s="952"/>
      <c r="MHG48" s="952"/>
      <c r="MHH48" s="952"/>
      <c r="MHI48" s="952"/>
      <c r="MHJ48" s="952"/>
      <c r="MHK48" s="952"/>
      <c r="MHL48" s="952"/>
      <c r="MHM48" s="952"/>
      <c r="MHN48" s="952"/>
      <c r="MHO48" s="952"/>
      <c r="MHP48" s="952"/>
      <c r="MHQ48" s="952"/>
      <c r="MHR48" s="952"/>
      <c r="MHS48" s="952"/>
      <c r="MHT48" s="952"/>
      <c r="MHU48" s="952"/>
      <c r="MHV48" s="952"/>
      <c r="MHW48" s="952"/>
      <c r="MHX48" s="952"/>
      <c r="MHY48" s="952"/>
      <c r="MHZ48" s="952"/>
      <c r="MIA48" s="952"/>
      <c r="MIB48" s="952"/>
      <c r="MIC48" s="952"/>
      <c r="MID48" s="952"/>
      <c r="MIE48" s="952"/>
      <c r="MIF48" s="952"/>
      <c r="MIG48" s="952"/>
      <c r="MIH48" s="952"/>
      <c r="MII48" s="952"/>
      <c r="MIJ48" s="952"/>
      <c r="MIK48" s="952"/>
      <c r="MIL48" s="952"/>
      <c r="MIM48" s="952"/>
      <c r="MIN48" s="952"/>
      <c r="MIO48" s="952"/>
      <c r="MIP48" s="952"/>
      <c r="MIQ48" s="952"/>
      <c r="MIR48" s="952"/>
      <c r="MIS48" s="952"/>
      <c r="MIT48" s="952"/>
      <c r="MIU48" s="952"/>
      <c r="MIV48" s="952"/>
      <c r="MIW48" s="952"/>
      <c r="MIX48" s="952"/>
      <c r="MIY48" s="952"/>
      <c r="MIZ48" s="952"/>
      <c r="MJA48" s="952"/>
      <c r="MJB48" s="952"/>
      <c r="MJC48" s="952"/>
      <c r="MJD48" s="952"/>
      <c r="MJE48" s="952"/>
      <c r="MJF48" s="952"/>
      <c r="MJG48" s="952"/>
      <c r="MJH48" s="952"/>
      <c r="MJI48" s="952"/>
      <c r="MJJ48" s="952"/>
      <c r="MJK48" s="952"/>
      <c r="MJL48" s="952"/>
      <c r="MJM48" s="952"/>
      <c r="MJN48" s="952"/>
      <c r="MJO48" s="952"/>
      <c r="MJP48" s="952"/>
      <c r="MJQ48" s="952"/>
      <c r="MJR48" s="952"/>
      <c r="MJS48" s="952"/>
      <c r="MJT48" s="952"/>
      <c r="MJU48" s="952"/>
      <c r="MJV48" s="952"/>
      <c r="MJW48" s="952"/>
      <c r="MJX48" s="952"/>
      <c r="MJY48" s="952"/>
      <c r="MJZ48" s="952"/>
      <c r="MKA48" s="952"/>
      <c r="MKB48" s="952"/>
      <c r="MKC48" s="952"/>
      <c r="MKD48" s="952"/>
      <c r="MKE48" s="952"/>
      <c r="MKF48" s="952"/>
      <c r="MKG48" s="952"/>
      <c r="MKH48" s="952"/>
      <c r="MKI48" s="952"/>
      <c r="MKJ48" s="952"/>
      <c r="MKK48" s="952"/>
      <c r="MKL48" s="952"/>
      <c r="MKM48" s="952"/>
      <c r="MKN48" s="952"/>
      <c r="MKO48" s="952"/>
      <c r="MKP48" s="952"/>
      <c r="MKQ48" s="952"/>
      <c r="MKR48" s="952"/>
      <c r="MKS48" s="952"/>
      <c r="MKT48" s="952"/>
      <c r="MKU48" s="952"/>
      <c r="MKV48" s="952"/>
      <c r="MKW48" s="952"/>
      <c r="MKX48" s="952"/>
      <c r="MKY48" s="952"/>
      <c r="MKZ48" s="952"/>
      <c r="MLA48" s="952"/>
      <c r="MLB48" s="952"/>
      <c r="MLC48" s="952"/>
      <c r="MLD48" s="952"/>
      <c r="MLE48" s="952"/>
      <c r="MLF48" s="952"/>
      <c r="MLG48" s="952"/>
      <c r="MLH48" s="952"/>
      <c r="MLI48" s="952"/>
      <c r="MLJ48" s="952"/>
      <c r="MLK48" s="952"/>
      <c r="MLL48" s="952"/>
      <c r="MLM48" s="952"/>
      <c r="MLN48" s="952"/>
      <c r="MLO48" s="952"/>
      <c r="MLP48" s="952"/>
      <c r="MLQ48" s="952"/>
      <c r="MLR48" s="952"/>
      <c r="MLS48" s="952"/>
      <c r="MLT48" s="952"/>
      <c r="MLU48" s="952"/>
      <c r="MLV48" s="952"/>
      <c r="MLW48" s="952"/>
      <c r="MLX48" s="952"/>
      <c r="MLY48" s="952"/>
      <c r="MLZ48" s="952"/>
      <c r="MMA48" s="952"/>
      <c r="MMB48" s="952"/>
      <c r="MMC48" s="952"/>
      <c r="MMD48" s="952"/>
      <c r="MME48" s="952"/>
      <c r="MMF48" s="952"/>
      <c r="MMG48" s="952"/>
      <c r="MMH48" s="952"/>
      <c r="MMI48" s="952"/>
      <c r="MMJ48" s="952"/>
      <c r="MMK48" s="952"/>
      <c r="MML48" s="952"/>
      <c r="MMM48" s="952"/>
      <c r="MMN48" s="952"/>
      <c r="MMO48" s="952"/>
      <c r="MMP48" s="952"/>
      <c r="MMQ48" s="952"/>
      <c r="MMR48" s="952"/>
      <c r="MMS48" s="952"/>
      <c r="MMT48" s="952"/>
      <c r="MMU48" s="952"/>
      <c r="MMV48" s="952"/>
      <c r="MMW48" s="952"/>
      <c r="MMX48" s="952"/>
      <c r="MMY48" s="952"/>
      <c r="MMZ48" s="952"/>
      <c r="MNA48" s="952"/>
      <c r="MNB48" s="952"/>
      <c r="MNC48" s="952"/>
      <c r="MND48" s="952"/>
      <c r="MNE48" s="952"/>
      <c r="MNF48" s="952"/>
      <c r="MNG48" s="952"/>
      <c r="MNH48" s="952"/>
      <c r="MNI48" s="952"/>
      <c r="MNJ48" s="952"/>
      <c r="MNK48" s="952"/>
      <c r="MNL48" s="952"/>
      <c r="MNM48" s="952"/>
      <c r="MNN48" s="952"/>
      <c r="MNO48" s="952"/>
      <c r="MNP48" s="952"/>
      <c r="MNQ48" s="952"/>
      <c r="MNR48" s="952"/>
      <c r="MNS48" s="952"/>
      <c r="MNT48" s="952"/>
      <c r="MNU48" s="952"/>
      <c r="MNV48" s="952"/>
      <c r="MNW48" s="952"/>
      <c r="MNX48" s="952"/>
      <c r="MNY48" s="952"/>
      <c r="MNZ48" s="952"/>
      <c r="MOA48" s="952"/>
      <c r="MOB48" s="952"/>
      <c r="MOC48" s="952"/>
      <c r="MOD48" s="952"/>
      <c r="MOE48" s="952"/>
      <c r="MOF48" s="952"/>
      <c r="MOG48" s="952"/>
      <c r="MOH48" s="952"/>
      <c r="MOI48" s="952"/>
      <c r="MOJ48" s="952"/>
      <c r="MOK48" s="952"/>
      <c r="MOL48" s="952"/>
      <c r="MOM48" s="952"/>
      <c r="MON48" s="952"/>
      <c r="MOO48" s="952"/>
      <c r="MOP48" s="952"/>
      <c r="MOQ48" s="952"/>
      <c r="MOR48" s="952"/>
      <c r="MOS48" s="952"/>
      <c r="MOT48" s="952"/>
      <c r="MOU48" s="952"/>
      <c r="MOV48" s="952"/>
      <c r="MOW48" s="952"/>
      <c r="MOX48" s="952"/>
      <c r="MOY48" s="952"/>
      <c r="MOZ48" s="952"/>
      <c r="MPA48" s="952"/>
      <c r="MPB48" s="952"/>
      <c r="MPC48" s="952"/>
      <c r="MPD48" s="952"/>
      <c r="MPE48" s="952"/>
      <c r="MPF48" s="952"/>
      <c r="MPG48" s="952"/>
      <c r="MPH48" s="952"/>
      <c r="MPI48" s="952"/>
      <c r="MPJ48" s="952"/>
      <c r="MPK48" s="952"/>
      <c r="MPL48" s="952"/>
      <c r="MPM48" s="952"/>
      <c r="MPN48" s="952"/>
      <c r="MPO48" s="952"/>
      <c r="MPP48" s="952"/>
      <c r="MPQ48" s="952"/>
      <c r="MPR48" s="952"/>
      <c r="MPS48" s="952"/>
      <c r="MPT48" s="952"/>
      <c r="MPU48" s="952"/>
      <c r="MPV48" s="952"/>
      <c r="MPW48" s="952"/>
      <c r="MPX48" s="952"/>
      <c r="MPY48" s="952"/>
      <c r="MPZ48" s="952"/>
      <c r="MQA48" s="952"/>
      <c r="MQB48" s="952"/>
      <c r="MQC48" s="952"/>
      <c r="MQD48" s="952"/>
      <c r="MQE48" s="952"/>
      <c r="MQF48" s="952"/>
      <c r="MQG48" s="952"/>
      <c r="MQH48" s="952"/>
      <c r="MQI48" s="952"/>
      <c r="MQJ48" s="952"/>
      <c r="MQK48" s="952"/>
      <c r="MQL48" s="952"/>
      <c r="MQM48" s="952"/>
      <c r="MQN48" s="952"/>
      <c r="MQO48" s="952"/>
      <c r="MQP48" s="952"/>
      <c r="MQQ48" s="952"/>
      <c r="MQR48" s="952"/>
      <c r="MQS48" s="952"/>
      <c r="MQT48" s="952"/>
      <c r="MQU48" s="952"/>
      <c r="MQV48" s="952"/>
      <c r="MQW48" s="952"/>
      <c r="MQX48" s="952"/>
      <c r="MQY48" s="952"/>
      <c r="MQZ48" s="952"/>
      <c r="MRA48" s="952"/>
      <c r="MRB48" s="952"/>
      <c r="MRC48" s="952"/>
      <c r="MRD48" s="952"/>
      <c r="MRE48" s="952"/>
      <c r="MRF48" s="952"/>
      <c r="MRG48" s="952"/>
      <c r="MRH48" s="952"/>
      <c r="MRI48" s="952"/>
      <c r="MRJ48" s="952"/>
      <c r="MRK48" s="952"/>
      <c r="MRL48" s="952"/>
      <c r="MRM48" s="952"/>
      <c r="MRN48" s="952"/>
      <c r="MRO48" s="952"/>
      <c r="MRP48" s="952"/>
      <c r="MRQ48" s="952"/>
      <c r="MRR48" s="952"/>
      <c r="MRS48" s="952"/>
      <c r="MRT48" s="952"/>
      <c r="MRU48" s="952"/>
      <c r="MRV48" s="952"/>
      <c r="MRW48" s="952"/>
      <c r="MRX48" s="952"/>
      <c r="MRY48" s="952"/>
      <c r="MRZ48" s="952"/>
      <c r="MSA48" s="952"/>
      <c r="MSB48" s="952"/>
      <c r="MSC48" s="952"/>
      <c r="MSD48" s="952"/>
      <c r="MSE48" s="952"/>
      <c r="MSF48" s="952"/>
      <c r="MSG48" s="952"/>
      <c r="MSH48" s="952"/>
      <c r="MSI48" s="952"/>
      <c r="MSJ48" s="952"/>
      <c r="MSK48" s="952"/>
      <c r="MSL48" s="952"/>
      <c r="MSM48" s="952"/>
      <c r="MSN48" s="952"/>
      <c r="MSO48" s="952"/>
      <c r="MSP48" s="952"/>
      <c r="MSQ48" s="952"/>
      <c r="MSR48" s="952"/>
      <c r="MSS48" s="952"/>
      <c r="MST48" s="952"/>
      <c r="MSU48" s="952"/>
      <c r="MSV48" s="952"/>
      <c r="MSW48" s="952"/>
      <c r="MSX48" s="952"/>
      <c r="MSY48" s="952"/>
      <c r="MSZ48" s="952"/>
      <c r="MTA48" s="952"/>
      <c r="MTB48" s="952"/>
      <c r="MTC48" s="952"/>
      <c r="MTD48" s="952"/>
      <c r="MTE48" s="952"/>
      <c r="MTF48" s="952"/>
      <c r="MTG48" s="952"/>
      <c r="MTH48" s="952"/>
      <c r="MTI48" s="952"/>
      <c r="MTJ48" s="952"/>
      <c r="MTK48" s="952"/>
      <c r="MTL48" s="952"/>
      <c r="MTM48" s="952"/>
      <c r="MTN48" s="952"/>
      <c r="MTO48" s="952"/>
      <c r="MTP48" s="952"/>
      <c r="MTQ48" s="952"/>
      <c r="MTR48" s="952"/>
      <c r="MTS48" s="952"/>
      <c r="MTT48" s="952"/>
      <c r="MTU48" s="952"/>
      <c r="MTV48" s="952"/>
      <c r="MTW48" s="952"/>
      <c r="MTX48" s="952"/>
      <c r="MTY48" s="952"/>
      <c r="MTZ48" s="952"/>
      <c r="MUA48" s="952"/>
      <c r="MUB48" s="952"/>
      <c r="MUC48" s="952"/>
      <c r="MUD48" s="952"/>
      <c r="MUE48" s="952"/>
      <c r="MUF48" s="952"/>
      <c r="MUG48" s="952"/>
      <c r="MUH48" s="952"/>
      <c r="MUI48" s="952"/>
      <c r="MUJ48" s="952"/>
      <c r="MUK48" s="952"/>
      <c r="MUL48" s="952"/>
      <c r="MUM48" s="952"/>
      <c r="MUN48" s="952"/>
      <c r="MUO48" s="952"/>
      <c r="MUP48" s="952"/>
      <c r="MUQ48" s="952"/>
      <c r="MUR48" s="952"/>
      <c r="MUS48" s="952"/>
      <c r="MUT48" s="952"/>
      <c r="MUU48" s="952"/>
      <c r="MUV48" s="952"/>
      <c r="MUW48" s="952"/>
      <c r="MUX48" s="952"/>
      <c r="MUY48" s="952"/>
      <c r="MUZ48" s="952"/>
      <c r="MVA48" s="952"/>
      <c r="MVB48" s="952"/>
      <c r="MVC48" s="952"/>
      <c r="MVD48" s="952"/>
      <c r="MVE48" s="952"/>
      <c r="MVF48" s="952"/>
      <c r="MVG48" s="952"/>
      <c r="MVH48" s="952"/>
      <c r="MVI48" s="952"/>
      <c r="MVJ48" s="952"/>
      <c r="MVK48" s="952"/>
      <c r="MVL48" s="952"/>
      <c r="MVM48" s="952"/>
      <c r="MVN48" s="952"/>
      <c r="MVO48" s="952"/>
      <c r="MVP48" s="952"/>
      <c r="MVQ48" s="952"/>
      <c r="MVR48" s="952"/>
      <c r="MVS48" s="952"/>
      <c r="MVT48" s="952"/>
      <c r="MVU48" s="952"/>
      <c r="MVV48" s="952"/>
      <c r="MVW48" s="952"/>
      <c r="MVX48" s="952"/>
      <c r="MVY48" s="952"/>
      <c r="MVZ48" s="952"/>
      <c r="MWA48" s="952"/>
      <c r="MWB48" s="952"/>
      <c r="MWC48" s="952"/>
      <c r="MWD48" s="952"/>
      <c r="MWE48" s="952"/>
      <c r="MWF48" s="952"/>
      <c r="MWG48" s="952"/>
      <c r="MWH48" s="952"/>
      <c r="MWI48" s="952"/>
      <c r="MWJ48" s="952"/>
      <c r="MWK48" s="952"/>
      <c r="MWL48" s="952"/>
      <c r="MWM48" s="952"/>
      <c r="MWN48" s="952"/>
      <c r="MWO48" s="952"/>
      <c r="MWP48" s="952"/>
      <c r="MWQ48" s="952"/>
      <c r="MWR48" s="952"/>
      <c r="MWS48" s="952"/>
      <c r="MWT48" s="952"/>
      <c r="MWU48" s="952"/>
      <c r="MWV48" s="952"/>
      <c r="MWW48" s="952"/>
      <c r="MWX48" s="952"/>
      <c r="MWY48" s="952"/>
      <c r="MWZ48" s="952"/>
      <c r="MXA48" s="952"/>
      <c r="MXB48" s="952"/>
      <c r="MXC48" s="952"/>
      <c r="MXD48" s="952"/>
      <c r="MXE48" s="952"/>
      <c r="MXF48" s="952"/>
      <c r="MXG48" s="952"/>
      <c r="MXH48" s="952"/>
      <c r="MXI48" s="952"/>
      <c r="MXJ48" s="952"/>
      <c r="MXK48" s="952"/>
      <c r="MXL48" s="952"/>
      <c r="MXM48" s="952"/>
      <c r="MXN48" s="952"/>
      <c r="MXO48" s="952"/>
      <c r="MXP48" s="952"/>
      <c r="MXQ48" s="952"/>
      <c r="MXR48" s="952"/>
      <c r="MXS48" s="952"/>
      <c r="MXT48" s="952"/>
      <c r="MXU48" s="952"/>
      <c r="MXV48" s="952"/>
      <c r="MXW48" s="952"/>
      <c r="MXX48" s="952"/>
      <c r="MXY48" s="952"/>
      <c r="MXZ48" s="952"/>
      <c r="MYA48" s="952"/>
      <c r="MYB48" s="952"/>
      <c r="MYC48" s="952"/>
      <c r="MYD48" s="952"/>
      <c r="MYE48" s="952"/>
      <c r="MYF48" s="952"/>
      <c r="MYG48" s="952"/>
      <c r="MYH48" s="952"/>
      <c r="MYI48" s="952"/>
      <c r="MYJ48" s="952"/>
      <c r="MYK48" s="952"/>
      <c r="MYL48" s="952"/>
      <c r="MYM48" s="952"/>
      <c r="MYN48" s="952"/>
      <c r="MYO48" s="952"/>
      <c r="MYP48" s="952"/>
      <c r="MYQ48" s="952"/>
      <c r="MYR48" s="952"/>
      <c r="MYS48" s="952"/>
      <c r="MYT48" s="952"/>
      <c r="MYU48" s="952"/>
      <c r="MYV48" s="952"/>
      <c r="MYW48" s="952"/>
      <c r="MYX48" s="952"/>
      <c r="MYY48" s="952"/>
      <c r="MYZ48" s="952"/>
      <c r="MZA48" s="952"/>
      <c r="MZB48" s="952"/>
      <c r="MZC48" s="952"/>
      <c r="MZD48" s="952"/>
      <c r="MZE48" s="952"/>
      <c r="MZF48" s="952"/>
      <c r="MZG48" s="952"/>
      <c r="MZH48" s="952"/>
      <c r="MZI48" s="952"/>
      <c r="MZJ48" s="952"/>
      <c r="MZK48" s="952"/>
      <c r="MZL48" s="952"/>
      <c r="MZM48" s="952"/>
      <c r="MZN48" s="952"/>
      <c r="MZO48" s="952"/>
      <c r="MZP48" s="952"/>
      <c r="MZQ48" s="952"/>
      <c r="MZR48" s="952"/>
      <c r="MZS48" s="952"/>
      <c r="MZT48" s="952"/>
      <c r="MZU48" s="952"/>
      <c r="MZV48" s="952"/>
      <c r="MZW48" s="952"/>
      <c r="MZX48" s="952"/>
      <c r="MZY48" s="952"/>
      <c r="MZZ48" s="952"/>
      <c r="NAA48" s="952"/>
      <c r="NAB48" s="952"/>
      <c r="NAC48" s="952"/>
      <c r="NAD48" s="952"/>
      <c r="NAE48" s="952"/>
      <c r="NAF48" s="952"/>
      <c r="NAG48" s="952"/>
      <c r="NAH48" s="952"/>
      <c r="NAI48" s="952"/>
      <c r="NAJ48" s="952"/>
      <c r="NAK48" s="952"/>
      <c r="NAL48" s="952"/>
      <c r="NAM48" s="952"/>
      <c r="NAN48" s="952"/>
      <c r="NAO48" s="952"/>
      <c r="NAP48" s="952"/>
      <c r="NAQ48" s="952"/>
      <c r="NAR48" s="952"/>
      <c r="NAS48" s="952"/>
      <c r="NAT48" s="952"/>
      <c r="NAU48" s="952"/>
      <c r="NAV48" s="952"/>
      <c r="NAW48" s="952"/>
      <c r="NAX48" s="952"/>
      <c r="NAY48" s="952"/>
      <c r="NAZ48" s="952"/>
      <c r="NBA48" s="952"/>
      <c r="NBB48" s="952"/>
      <c r="NBC48" s="952"/>
      <c r="NBD48" s="952"/>
      <c r="NBE48" s="952"/>
      <c r="NBF48" s="952"/>
      <c r="NBG48" s="952"/>
      <c r="NBH48" s="952"/>
      <c r="NBI48" s="952"/>
      <c r="NBJ48" s="952"/>
      <c r="NBK48" s="952"/>
      <c r="NBL48" s="952"/>
      <c r="NBM48" s="952"/>
      <c r="NBN48" s="952"/>
      <c r="NBO48" s="952"/>
      <c r="NBP48" s="952"/>
      <c r="NBQ48" s="952"/>
      <c r="NBR48" s="952"/>
      <c r="NBS48" s="952"/>
      <c r="NBT48" s="952"/>
      <c r="NBU48" s="952"/>
      <c r="NBV48" s="952"/>
      <c r="NBW48" s="952"/>
      <c r="NBX48" s="952"/>
      <c r="NBY48" s="952"/>
      <c r="NBZ48" s="952"/>
      <c r="NCA48" s="952"/>
      <c r="NCB48" s="952"/>
      <c r="NCC48" s="952"/>
      <c r="NCD48" s="952"/>
      <c r="NCE48" s="952"/>
      <c r="NCF48" s="952"/>
      <c r="NCG48" s="952"/>
      <c r="NCH48" s="952"/>
      <c r="NCI48" s="952"/>
      <c r="NCJ48" s="952"/>
      <c r="NCK48" s="952"/>
      <c r="NCL48" s="952"/>
      <c r="NCM48" s="952"/>
      <c r="NCN48" s="952"/>
      <c r="NCO48" s="952"/>
      <c r="NCP48" s="952"/>
      <c r="NCQ48" s="952"/>
      <c r="NCR48" s="952"/>
      <c r="NCS48" s="952"/>
      <c r="NCT48" s="952"/>
      <c r="NCU48" s="952"/>
      <c r="NCV48" s="952"/>
      <c r="NCW48" s="952"/>
      <c r="NCX48" s="952"/>
      <c r="NCY48" s="952"/>
      <c r="NCZ48" s="952"/>
      <c r="NDA48" s="952"/>
      <c r="NDB48" s="952"/>
      <c r="NDC48" s="952"/>
      <c r="NDD48" s="952"/>
      <c r="NDE48" s="952"/>
      <c r="NDF48" s="952"/>
      <c r="NDG48" s="952"/>
      <c r="NDH48" s="952"/>
      <c r="NDI48" s="952"/>
      <c r="NDJ48" s="952"/>
      <c r="NDK48" s="952"/>
      <c r="NDL48" s="952"/>
      <c r="NDM48" s="952"/>
      <c r="NDN48" s="952"/>
      <c r="NDO48" s="952"/>
      <c r="NDP48" s="952"/>
      <c r="NDQ48" s="952"/>
      <c r="NDR48" s="952"/>
      <c r="NDS48" s="952"/>
      <c r="NDT48" s="952"/>
      <c r="NDU48" s="952"/>
      <c r="NDV48" s="952"/>
      <c r="NDW48" s="952"/>
      <c r="NDX48" s="952"/>
      <c r="NDY48" s="952"/>
      <c r="NDZ48" s="952"/>
      <c r="NEA48" s="952"/>
      <c r="NEB48" s="952"/>
      <c r="NEC48" s="952"/>
      <c r="NED48" s="952"/>
      <c r="NEE48" s="952"/>
      <c r="NEF48" s="952"/>
      <c r="NEG48" s="952"/>
      <c r="NEH48" s="952"/>
      <c r="NEI48" s="952"/>
      <c r="NEJ48" s="952"/>
      <c r="NEK48" s="952"/>
      <c r="NEL48" s="952"/>
      <c r="NEM48" s="952"/>
      <c r="NEN48" s="952"/>
      <c r="NEO48" s="952"/>
      <c r="NEP48" s="952"/>
      <c r="NEQ48" s="952"/>
      <c r="NER48" s="952"/>
      <c r="NES48" s="952"/>
      <c r="NET48" s="952"/>
      <c r="NEU48" s="952"/>
      <c r="NEV48" s="952"/>
      <c r="NEW48" s="952"/>
      <c r="NEX48" s="952"/>
      <c r="NEY48" s="952"/>
      <c r="NEZ48" s="952"/>
      <c r="NFA48" s="952"/>
      <c r="NFB48" s="952"/>
      <c r="NFC48" s="952"/>
      <c r="NFD48" s="952"/>
      <c r="NFE48" s="952"/>
      <c r="NFF48" s="952"/>
      <c r="NFG48" s="952"/>
      <c r="NFH48" s="952"/>
      <c r="NFI48" s="952"/>
      <c r="NFJ48" s="952"/>
      <c r="NFK48" s="952"/>
      <c r="NFL48" s="952"/>
      <c r="NFM48" s="952"/>
      <c r="NFN48" s="952"/>
      <c r="NFO48" s="952"/>
      <c r="NFP48" s="952"/>
      <c r="NFQ48" s="952"/>
      <c r="NFR48" s="952"/>
      <c r="NFS48" s="952"/>
      <c r="NFT48" s="952"/>
      <c r="NFU48" s="952"/>
      <c r="NFV48" s="952"/>
      <c r="NFW48" s="952"/>
      <c r="NFX48" s="952"/>
      <c r="NFY48" s="952"/>
      <c r="NFZ48" s="952"/>
      <c r="NGA48" s="952"/>
      <c r="NGB48" s="952"/>
      <c r="NGC48" s="952"/>
      <c r="NGD48" s="952"/>
      <c r="NGE48" s="952"/>
      <c r="NGF48" s="952"/>
      <c r="NGG48" s="952"/>
      <c r="NGH48" s="952"/>
      <c r="NGI48" s="952"/>
      <c r="NGJ48" s="952"/>
      <c r="NGK48" s="952"/>
      <c r="NGL48" s="952"/>
      <c r="NGM48" s="952"/>
      <c r="NGN48" s="952"/>
      <c r="NGO48" s="952"/>
      <c r="NGP48" s="952"/>
      <c r="NGQ48" s="952"/>
      <c r="NGR48" s="952"/>
      <c r="NGS48" s="952"/>
      <c r="NGT48" s="952"/>
      <c r="NGU48" s="952"/>
      <c r="NGV48" s="952"/>
      <c r="NGW48" s="952"/>
      <c r="NGX48" s="952"/>
      <c r="NGY48" s="952"/>
      <c r="NGZ48" s="952"/>
      <c r="NHA48" s="952"/>
      <c r="NHB48" s="952"/>
      <c r="NHC48" s="952"/>
      <c r="NHD48" s="952"/>
      <c r="NHE48" s="952"/>
      <c r="NHF48" s="952"/>
      <c r="NHG48" s="952"/>
      <c r="NHH48" s="952"/>
      <c r="NHI48" s="952"/>
      <c r="NHJ48" s="952"/>
      <c r="NHK48" s="952"/>
      <c r="NHL48" s="952"/>
      <c r="NHM48" s="952"/>
      <c r="NHN48" s="952"/>
      <c r="NHO48" s="952"/>
      <c r="NHP48" s="952"/>
      <c r="NHQ48" s="952"/>
      <c r="NHR48" s="952"/>
      <c r="NHS48" s="952"/>
      <c r="NHT48" s="952"/>
      <c r="NHU48" s="952"/>
      <c r="NHV48" s="952"/>
      <c r="NHW48" s="952"/>
      <c r="NHX48" s="952"/>
      <c r="NHY48" s="952"/>
      <c r="NHZ48" s="952"/>
      <c r="NIA48" s="952"/>
      <c r="NIB48" s="952"/>
      <c r="NIC48" s="952"/>
      <c r="NID48" s="952"/>
      <c r="NIE48" s="952"/>
      <c r="NIF48" s="952"/>
      <c r="NIG48" s="952"/>
      <c r="NIH48" s="952"/>
      <c r="NII48" s="952"/>
      <c r="NIJ48" s="952"/>
      <c r="NIK48" s="952"/>
      <c r="NIL48" s="952"/>
      <c r="NIM48" s="952"/>
      <c r="NIN48" s="952"/>
      <c r="NIO48" s="952"/>
      <c r="NIP48" s="952"/>
      <c r="NIQ48" s="952"/>
      <c r="NIR48" s="952"/>
      <c r="NIS48" s="952"/>
      <c r="NIT48" s="952"/>
      <c r="NIU48" s="952"/>
      <c r="NIV48" s="952"/>
      <c r="NIW48" s="952"/>
      <c r="NIX48" s="952"/>
      <c r="NIY48" s="952"/>
      <c r="NIZ48" s="952"/>
      <c r="NJA48" s="952"/>
      <c r="NJB48" s="952"/>
      <c r="NJC48" s="952"/>
      <c r="NJD48" s="952"/>
      <c r="NJE48" s="952"/>
      <c r="NJF48" s="952"/>
      <c r="NJG48" s="952"/>
      <c r="NJH48" s="952"/>
      <c r="NJI48" s="952"/>
      <c r="NJJ48" s="952"/>
      <c r="NJK48" s="952"/>
      <c r="NJL48" s="952"/>
      <c r="NJM48" s="952"/>
      <c r="NJN48" s="952"/>
      <c r="NJO48" s="952"/>
      <c r="NJP48" s="952"/>
      <c r="NJQ48" s="952"/>
      <c r="NJR48" s="952"/>
      <c r="NJS48" s="952"/>
      <c r="NJT48" s="952"/>
      <c r="NJU48" s="952"/>
      <c r="NJV48" s="952"/>
      <c r="NJW48" s="952"/>
      <c r="NJX48" s="952"/>
      <c r="NJY48" s="952"/>
      <c r="NJZ48" s="952"/>
      <c r="NKA48" s="952"/>
      <c r="NKB48" s="952"/>
      <c r="NKC48" s="952"/>
      <c r="NKD48" s="952"/>
      <c r="NKE48" s="952"/>
      <c r="NKF48" s="952"/>
      <c r="NKG48" s="952"/>
      <c r="NKH48" s="952"/>
      <c r="NKI48" s="952"/>
      <c r="NKJ48" s="952"/>
      <c r="NKK48" s="952"/>
      <c r="NKL48" s="952"/>
      <c r="NKM48" s="952"/>
      <c r="NKN48" s="952"/>
      <c r="NKO48" s="952"/>
      <c r="NKP48" s="952"/>
      <c r="NKQ48" s="952"/>
      <c r="NKR48" s="952"/>
      <c r="NKS48" s="952"/>
      <c r="NKT48" s="952"/>
      <c r="NKU48" s="952"/>
      <c r="NKV48" s="952"/>
      <c r="NKW48" s="952"/>
      <c r="NKX48" s="952"/>
      <c r="NKY48" s="952"/>
      <c r="NKZ48" s="952"/>
      <c r="NLA48" s="952"/>
      <c r="NLB48" s="952"/>
      <c r="NLC48" s="952"/>
      <c r="NLD48" s="952"/>
      <c r="NLE48" s="952"/>
      <c r="NLF48" s="952"/>
      <c r="NLG48" s="952"/>
      <c r="NLH48" s="952"/>
      <c r="NLI48" s="952"/>
      <c r="NLJ48" s="952"/>
      <c r="NLK48" s="952"/>
      <c r="NLL48" s="952"/>
      <c r="NLM48" s="952"/>
      <c r="NLN48" s="952"/>
      <c r="NLO48" s="952"/>
      <c r="NLP48" s="952"/>
      <c r="NLQ48" s="952"/>
      <c r="NLR48" s="952"/>
      <c r="NLS48" s="952"/>
      <c r="NLT48" s="952"/>
      <c r="NLU48" s="952"/>
      <c r="NLV48" s="952"/>
      <c r="NLW48" s="952"/>
      <c r="NLX48" s="952"/>
      <c r="NLY48" s="952"/>
      <c r="NLZ48" s="952"/>
      <c r="NMA48" s="952"/>
      <c r="NMB48" s="952"/>
      <c r="NMC48" s="952"/>
      <c r="NMD48" s="952"/>
      <c r="NME48" s="952"/>
      <c r="NMF48" s="952"/>
      <c r="NMG48" s="952"/>
      <c r="NMH48" s="952"/>
      <c r="NMI48" s="952"/>
      <c r="NMJ48" s="952"/>
      <c r="NMK48" s="952"/>
      <c r="NML48" s="952"/>
      <c r="NMM48" s="952"/>
      <c r="NMN48" s="952"/>
      <c r="NMO48" s="952"/>
      <c r="NMP48" s="952"/>
      <c r="NMQ48" s="952"/>
      <c r="NMR48" s="952"/>
      <c r="NMS48" s="952"/>
      <c r="NMT48" s="952"/>
      <c r="NMU48" s="952"/>
      <c r="NMV48" s="952"/>
      <c r="NMW48" s="952"/>
      <c r="NMX48" s="952"/>
      <c r="NMY48" s="952"/>
      <c r="NMZ48" s="952"/>
      <c r="NNA48" s="952"/>
      <c r="NNB48" s="952"/>
      <c r="NNC48" s="952"/>
      <c r="NND48" s="952"/>
      <c r="NNE48" s="952"/>
      <c r="NNF48" s="952"/>
      <c r="NNG48" s="952"/>
      <c r="NNH48" s="952"/>
      <c r="NNI48" s="952"/>
      <c r="NNJ48" s="952"/>
      <c r="NNK48" s="952"/>
      <c r="NNL48" s="952"/>
      <c r="NNM48" s="952"/>
      <c r="NNN48" s="952"/>
      <c r="NNO48" s="952"/>
      <c r="NNP48" s="952"/>
      <c r="NNQ48" s="952"/>
      <c r="NNR48" s="952"/>
      <c r="NNS48" s="952"/>
      <c r="NNT48" s="952"/>
      <c r="NNU48" s="952"/>
      <c r="NNV48" s="952"/>
      <c r="NNW48" s="952"/>
      <c r="NNX48" s="952"/>
      <c r="NNY48" s="952"/>
      <c r="NNZ48" s="952"/>
      <c r="NOA48" s="952"/>
      <c r="NOB48" s="952"/>
      <c r="NOC48" s="952"/>
      <c r="NOD48" s="952"/>
      <c r="NOE48" s="952"/>
      <c r="NOF48" s="952"/>
      <c r="NOG48" s="952"/>
      <c r="NOH48" s="952"/>
      <c r="NOI48" s="952"/>
      <c r="NOJ48" s="952"/>
      <c r="NOK48" s="952"/>
      <c r="NOL48" s="952"/>
      <c r="NOM48" s="952"/>
      <c r="NON48" s="952"/>
      <c r="NOO48" s="952"/>
      <c r="NOP48" s="952"/>
      <c r="NOQ48" s="952"/>
      <c r="NOR48" s="952"/>
      <c r="NOS48" s="952"/>
      <c r="NOT48" s="952"/>
      <c r="NOU48" s="952"/>
      <c r="NOV48" s="952"/>
      <c r="NOW48" s="952"/>
      <c r="NOX48" s="952"/>
      <c r="NOY48" s="952"/>
      <c r="NOZ48" s="952"/>
      <c r="NPA48" s="952"/>
      <c r="NPB48" s="952"/>
      <c r="NPC48" s="952"/>
      <c r="NPD48" s="952"/>
      <c r="NPE48" s="952"/>
      <c r="NPF48" s="952"/>
      <c r="NPG48" s="952"/>
      <c r="NPH48" s="952"/>
      <c r="NPI48" s="952"/>
      <c r="NPJ48" s="952"/>
      <c r="NPK48" s="952"/>
      <c r="NPL48" s="952"/>
      <c r="NPM48" s="952"/>
      <c r="NPN48" s="952"/>
      <c r="NPO48" s="952"/>
      <c r="NPP48" s="952"/>
      <c r="NPQ48" s="952"/>
      <c r="NPR48" s="952"/>
      <c r="NPS48" s="952"/>
      <c r="NPT48" s="952"/>
      <c r="NPU48" s="952"/>
      <c r="NPV48" s="952"/>
      <c r="NPW48" s="952"/>
      <c r="NPX48" s="952"/>
      <c r="NPY48" s="952"/>
      <c r="NPZ48" s="952"/>
      <c r="NQA48" s="952"/>
      <c r="NQB48" s="952"/>
      <c r="NQC48" s="952"/>
      <c r="NQD48" s="952"/>
      <c r="NQE48" s="952"/>
      <c r="NQF48" s="952"/>
      <c r="NQG48" s="952"/>
      <c r="NQH48" s="952"/>
      <c r="NQI48" s="952"/>
      <c r="NQJ48" s="952"/>
      <c r="NQK48" s="952"/>
      <c r="NQL48" s="952"/>
      <c r="NQM48" s="952"/>
      <c r="NQN48" s="952"/>
      <c r="NQO48" s="952"/>
      <c r="NQP48" s="952"/>
      <c r="NQQ48" s="952"/>
      <c r="NQR48" s="952"/>
      <c r="NQS48" s="952"/>
      <c r="NQT48" s="952"/>
      <c r="NQU48" s="952"/>
      <c r="NQV48" s="952"/>
      <c r="NQW48" s="952"/>
      <c r="NQX48" s="952"/>
      <c r="NQY48" s="952"/>
      <c r="NQZ48" s="952"/>
      <c r="NRA48" s="952"/>
      <c r="NRB48" s="952"/>
      <c r="NRC48" s="952"/>
      <c r="NRD48" s="952"/>
      <c r="NRE48" s="952"/>
      <c r="NRF48" s="952"/>
      <c r="NRG48" s="952"/>
      <c r="NRH48" s="952"/>
      <c r="NRI48" s="952"/>
      <c r="NRJ48" s="952"/>
      <c r="NRK48" s="952"/>
      <c r="NRL48" s="952"/>
      <c r="NRM48" s="952"/>
      <c r="NRN48" s="952"/>
      <c r="NRO48" s="952"/>
      <c r="NRP48" s="952"/>
      <c r="NRQ48" s="952"/>
      <c r="NRR48" s="952"/>
      <c r="NRS48" s="952"/>
      <c r="NRT48" s="952"/>
      <c r="NRU48" s="952"/>
      <c r="NRV48" s="952"/>
      <c r="NRW48" s="952"/>
      <c r="NRX48" s="952"/>
      <c r="NRY48" s="952"/>
      <c r="NRZ48" s="952"/>
      <c r="NSA48" s="952"/>
      <c r="NSB48" s="952"/>
      <c r="NSC48" s="952"/>
      <c r="NSD48" s="952"/>
      <c r="NSE48" s="952"/>
      <c r="NSF48" s="952"/>
      <c r="NSG48" s="952"/>
      <c r="NSH48" s="952"/>
      <c r="NSI48" s="952"/>
      <c r="NSJ48" s="952"/>
      <c r="NSK48" s="952"/>
      <c r="NSL48" s="952"/>
      <c r="NSM48" s="952"/>
      <c r="NSN48" s="952"/>
      <c r="NSO48" s="952"/>
      <c r="NSP48" s="952"/>
      <c r="NSQ48" s="952"/>
      <c r="NSR48" s="952"/>
      <c r="NSS48" s="952"/>
      <c r="NST48" s="952"/>
      <c r="NSU48" s="952"/>
      <c r="NSV48" s="952"/>
      <c r="NSW48" s="952"/>
      <c r="NSX48" s="952"/>
      <c r="NSY48" s="952"/>
      <c r="NSZ48" s="952"/>
      <c r="NTA48" s="952"/>
      <c r="NTB48" s="952"/>
      <c r="NTC48" s="952"/>
      <c r="NTD48" s="952"/>
      <c r="NTE48" s="952"/>
      <c r="NTF48" s="952"/>
      <c r="NTG48" s="952"/>
      <c r="NTH48" s="952"/>
      <c r="NTI48" s="952"/>
      <c r="NTJ48" s="952"/>
      <c r="NTK48" s="952"/>
      <c r="NTL48" s="952"/>
      <c r="NTM48" s="952"/>
      <c r="NTN48" s="952"/>
      <c r="NTO48" s="952"/>
      <c r="NTP48" s="952"/>
      <c r="NTQ48" s="952"/>
      <c r="NTR48" s="952"/>
      <c r="NTS48" s="952"/>
      <c r="NTT48" s="952"/>
      <c r="NTU48" s="952"/>
      <c r="NTV48" s="952"/>
      <c r="NTW48" s="952"/>
      <c r="NTX48" s="952"/>
      <c r="NTY48" s="952"/>
      <c r="NTZ48" s="952"/>
      <c r="NUA48" s="952"/>
      <c r="NUB48" s="952"/>
      <c r="NUC48" s="952"/>
      <c r="NUD48" s="952"/>
      <c r="NUE48" s="952"/>
      <c r="NUF48" s="952"/>
      <c r="NUG48" s="952"/>
      <c r="NUH48" s="952"/>
      <c r="NUI48" s="952"/>
      <c r="NUJ48" s="952"/>
      <c r="NUK48" s="952"/>
      <c r="NUL48" s="952"/>
      <c r="NUM48" s="952"/>
      <c r="NUN48" s="952"/>
      <c r="NUO48" s="952"/>
      <c r="NUP48" s="952"/>
      <c r="NUQ48" s="952"/>
      <c r="NUR48" s="952"/>
      <c r="NUS48" s="952"/>
      <c r="NUT48" s="952"/>
      <c r="NUU48" s="952"/>
      <c r="NUV48" s="952"/>
      <c r="NUW48" s="952"/>
      <c r="NUX48" s="952"/>
      <c r="NUY48" s="952"/>
      <c r="NUZ48" s="952"/>
      <c r="NVA48" s="952"/>
      <c r="NVB48" s="952"/>
      <c r="NVC48" s="952"/>
      <c r="NVD48" s="952"/>
      <c r="NVE48" s="952"/>
      <c r="NVF48" s="952"/>
      <c r="NVG48" s="952"/>
      <c r="NVH48" s="952"/>
      <c r="NVI48" s="952"/>
      <c r="NVJ48" s="952"/>
      <c r="NVK48" s="952"/>
      <c r="NVL48" s="952"/>
      <c r="NVM48" s="952"/>
      <c r="NVN48" s="952"/>
      <c r="NVO48" s="952"/>
      <c r="NVP48" s="952"/>
      <c r="NVQ48" s="952"/>
      <c r="NVR48" s="952"/>
      <c r="NVS48" s="952"/>
      <c r="NVT48" s="952"/>
      <c r="NVU48" s="952"/>
      <c r="NVV48" s="952"/>
      <c r="NVW48" s="952"/>
      <c r="NVX48" s="952"/>
      <c r="NVY48" s="952"/>
      <c r="NVZ48" s="952"/>
      <c r="NWA48" s="952"/>
      <c r="NWB48" s="952"/>
      <c r="NWC48" s="952"/>
      <c r="NWD48" s="952"/>
      <c r="NWE48" s="952"/>
      <c r="NWF48" s="952"/>
      <c r="NWG48" s="952"/>
      <c r="NWH48" s="952"/>
      <c r="NWI48" s="952"/>
      <c r="NWJ48" s="952"/>
      <c r="NWK48" s="952"/>
      <c r="NWL48" s="952"/>
      <c r="NWM48" s="952"/>
      <c r="NWN48" s="952"/>
      <c r="NWO48" s="952"/>
      <c r="NWP48" s="952"/>
      <c r="NWQ48" s="952"/>
      <c r="NWR48" s="952"/>
      <c r="NWS48" s="952"/>
      <c r="NWT48" s="952"/>
      <c r="NWU48" s="952"/>
      <c r="NWV48" s="952"/>
      <c r="NWW48" s="952"/>
      <c r="NWX48" s="952"/>
      <c r="NWY48" s="952"/>
      <c r="NWZ48" s="952"/>
      <c r="NXA48" s="952"/>
      <c r="NXB48" s="952"/>
      <c r="NXC48" s="952"/>
      <c r="NXD48" s="952"/>
      <c r="NXE48" s="952"/>
      <c r="NXF48" s="952"/>
      <c r="NXG48" s="952"/>
      <c r="NXH48" s="952"/>
      <c r="NXI48" s="952"/>
      <c r="NXJ48" s="952"/>
      <c r="NXK48" s="952"/>
      <c r="NXL48" s="952"/>
      <c r="NXM48" s="952"/>
      <c r="NXN48" s="952"/>
      <c r="NXO48" s="952"/>
      <c r="NXP48" s="952"/>
      <c r="NXQ48" s="952"/>
      <c r="NXR48" s="952"/>
      <c r="NXS48" s="952"/>
      <c r="NXT48" s="952"/>
      <c r="NXU48" s="952"/>
      <c r="NXV48" s="952"/>
      <c r="NXW48" s="952"/>
      <c r="NXX48" s="952"/>
      <c r="NXY48" s="952"/>
      <c r="NXZ48" s="952"/>
      <c r="NYA48" s="952"/>
      <c r="NYB48" s="952"/>
      <c r="NYC48" s="952"/>
      <c r="NYD48" s="952"/>
      <c r="NYE48" s="952"/>
      <c r="NYF48" s="952"/>
      <c r="NYG48" s="952"/>
      <c r="NYH48" s="952"/>
      <c r="NYI48" s="952"/>
      <c r="NYJ48" s="952"/>
      <c r="NYK48" s="952"/>
      <c r="NYL48" s="952"/>
      <c r="NYM48" s="952"/>
      <c r="NYN48" s="952"/>
      <c r="NYO48" s="952"/>
      <c r="NYP48" s="952"/>
      <c r="NYQ48" s="952"/>
      <c r="NYR48" s="952"/>
      <c r="NYS48" s="952"/>
      <c r="NYT48" s="952"/>
      <c r="NYU48" s="952"/>
      <c r="NYV48" s="952"/>
      <c r="NYW48" s="952"/>
      <c r="NYX48" s="952"/>
      <c r="NYY48" s="952"/>
      <c r="NYZ48" s="952"/>
      <c r="NZA48" s="952"/>
      <c r="NZB48" s="952"/>
      <c r="NZC48" s="952"/>
      <c r="NZD48" s="952"/>
      <c r="NZE48" s="952"/>
      <c r="NZF48" s="952"/>
      <c r="NZG48" s="952"/>
      <c r="NZH48" s="952"/>
      <c r="NZI48" s="952"/>
      <c r="NZJ48" s="952"/>
      <c r="NZK48" s="952"/>
      <c r="NZL48" s="952"/>
      <c r="NZM48" s="952"/>
      <c r="NZN48" s="952"/>
      <c r="NZO48" s="952"/>
      <c r="NZP48" s="952"/>
      <c r="NZQ48" s="952"/>
      <c r="NZR48" s="952"/>
      <c r="NZS48" s="952"/>
      <c r="NZT48" s="952"/>
      <c r="NZU48" s="952"/>
      <c r="NZV48" s="952"/>
      <c r="NZW48" s="952"/>
      <c r="NZX48" s="952"/>
      <c r="NZY48" s="952"/>
      <c r="NZZ48" s="952"/>
      <c r="OAA48" s="952"/>
      <c r="OAB48" s="952"/>
      <c r="OAC48" s="952"/>
      <c r="OAD48" s="952"/>
      <c r="OAE48" s="952"/>
      <c r="OAF48" s="952"/>
      <c r="OAG48" s="952"/>
      <c r="OAH48" s="952"/>
      <c r="OAI48" s="952"/>
      <c r="OAJ48" s="952"/>
      <c r="OAK48" s="952"/>
      <c r="OAL48" s="952"/>
      <c r="OAM48" s="952"/>
      <c r="OAN48" s="952"/>
      <c r="OAO48" s="952"/>
      <c r="OAP48" s="952"/>
      <c r="OAQ48" s="952"/>
      <c r="OAR48" s="952"/>
      <c r="OAS48" s="952"/>
      <c r="OAT48" s="952"/>
      <c r="OAU48" s="952"/>
      <c r="OAV48" s="952"/>
      <c r="OAW48" s="952"/>
      <c r="OAX48" s="952"/>
      <c r="OAY48" s="952"/>
      <c r="OAZ48" s="952"/>
      <c r="OBA48" s="952"/>
      <c r="OBB48" s="952"/>
      <c r="OBC48" s="952"/>
      <c r="OBD48" s="952"/>
      <c r="OBE48" s="952"/>
      <c r="OBF48" s="952"/>
      <c r="OBG48" s="952"/>
      <c r="OBH48" s="952"/>
      <c r="OBI48" s="952"/>
      <c r="OBJ48" s="952"/>
      <c r="OBK48" s="952"/>
      <c r="OBL48" s="952"/>
      <c r="OBM48" s="952"/>
      <c r="OBN48" s="952"/>
      <c r="OBO48" s="952"/>
      <c r="OBP48" s="952"/>
      <c r="OBQ48" s="952"/>
      <c r="OBR48" s="952"/>
      <c r="OBS48" s="952"/>
      <c r="OBT48" s="952"/>
      <c r="OBU48" s="952"/>
      <c r="OBV48" s="952"/>
      <c r="OBW48" s="952"/>
      <c r="OBX48" s="952"/>
      <c r="OBY48" s="952"/>
      <c r="OBZ48" s="952"/>
      <c r="OCA48" s="952"/>
      <c r="OCB48" s="952"/>
      <c r="OCC48" s="952"/>
      <c r="OCD48" s="952"/>
      <c r="OCE48" s="952"/>
      <c r="OCF48" s="952"/>
      <c r="OCG48" s="952"/>
      <c r="OCH48" s="952"/>
      <c r="OCI48" s="952"/>
      <c r="OCJ48" s="952"/>
      <c r="OCK48" s="952"/>
      <c r="OCL48" s="952"/>
      <c r="OCM48" s="952"/>
      <c r="OCN48" s="952"/>
      <c r="OCO48" s="952"/>
      <c r="OCP48" s="952"/>
      <c r="OCQ48" s="952"/>
      <c r="OCR48" s="952"/>
      <c r="OCS48" s="952"/>
      <c r="OCT48" s="952"/>
      <c r="OCU48" s="952"/>
      <c r="OCV48" s="952"/>
      <c r="OCW48" s="952"/>
      <c r="OCX48" s="952"/>
      <c r="OCY48" s="952"/>
      <c r="OCZ48" s="952"/>
      <c r="ODA48" s="952"/>
      <c r="ODB48" s="952"/>
      <c r="ODC48" s="952"/>
      <c r="ODD48" s="952"/>
      <c r="ODE48" s="952"/>
      <c r="ODF48" s="952"/>
      <c r="ODG48" s="952"/>
      <c r="ODH48" s="952"/>
      <c r="ODI48" s="952"/>
      <c r="ODJ48" s="952"/>
      <c r="ODK48" s="952"/>
      <c r="ODL48" s="952"/>
      <c r="ODM48" s="952"/>
      <c r="ODN48" s="952"/>
      <c r="ODO48" s="952"/>
      <c r="ODP48" s="952"/>
      <c r="ODQ48" s="952"/>
      <c r="ODR48" s="952"/>
      <c r="ODS48" s="952"/>
      <c r="ODT48" s="952"/>
      <c r="ODU48" s="952"/>
      <c r="ODV48" s="952"/>
      <c r="ODW48" s="952"/>
      <c r="ODX48" s="952"/>
      <c r="ODY48" s="952"/>
      <c r="ODZ48" s="952"/>
      <c r="OEA48" s="952"/>
      <c r="OEB48" s="952"/>
      <c r="OEC48" s="952"/>
      <c r="OED48" s="952"/>
      <c r="OEE48" s="952"/>
      <c r="OEF48" s="952"/>
      <c r="OEG48" s="952"/>
      <c r="OEH48" s="952"/>
      <c r="OEI48" s="952"/>
      <c r="OEJ48" s="952"/>
      <c r="OEK48" s="952"/>
      <c r="OEL48" s="952"/>
      <c r="OEM48" s="952"/>
      <c r="OEN48" s="952"/>
      <c r="OEO48" s="952"/>
      <c r="OEP48" s="952"/>
      <c r="OEQ48" s="952"/>
      <c r="OER48" s="952"/>
      <c r="OES48" s="952"/>
      <c r="OET48" s="952"/>
      <c r="OEU48" s="952"/>
      <c r="OEV48" s="952"/>
      <c r="OEW48" s="952"/>
      <c r="OEX48" s="952"/>
      <c r="OEY48" s="952"/>
      <c r="OEZ48" s="952"/>
      <c r="OFA48" s="952"/>
      <c r="OFB48" s="952"/>
      <c r="OFC48" s="952"/>
      <c r="OFD48" s="952"/>
      <c r="OFE48" s="952"/>
      <c r="OFF48" s="952"/>
      <c r="OFG48" s="952"/>
      <c r="OFH48" s="952"/>
      <c r="OFI48" s="952"/>
      <c r="OFJ48" s="952"/>
      <c r="OFK48" s="952"/>
      <c r="OFL48" s="952"/>
      <c r="OFM48" s="952"/>
      <c r="OFN48" s="952"/>
      <c r="OFO48" s="952"/>
      <c r="OFP48" s="952"/>
      <c r="OFQ48" s="952"/>
      <c r="OFR48" s="952"/>
      <c r="OFS48" s="952"/>
      <c r="OFT48" s="952"/>
      <c r="OFU48" s="952"/>
      <c r="OFV48" s="952"/>
      <c r="OFW48" s="952"/>
      <c r="OFX48" s="952"/>
      <c r="OFY48" s="952"/>
      <c r="OFZ48" s="952"/>
      <c r="OGA48" s="952"/>
      <c r="OGB48" s="952"/>
      <c r="OGC48" s="952"/>
      <c r="OGD48" s="952"/>
      <c r="OGE48" s="952"/>
      <c r="OGF48" s="952"/>
      <c r="OGG48" s="952"/>
      <c r="OGH48" s="952"/>
      <c r="OGI48" s="952"/>
      <c r="OGJ48" s="952"/>
      <c r="OGK48" s="952"/>
      <c r="OGL48" s="952"/>
      <c r="OGM48" s="952"/>
      <c r="OGN48" s="952"/>
      <c r="OGO48" s="952"/>
      <c r="OGP48" s="952"/>
      <c r="OGQ48" s="952"/>
      <c r="OGR48" s="952"/>
      <c r="OGS48" s="952"/>
      <c r="OGT48" s="952"/>
      <c r="OGU48" s="952"/>
      <c r="OGV48" s="952"/>
      <c r="OGW48" s="952"/>
      <c r="OGX48" s="952"/>
      <c r="OGY48" s="952"/>
      <c r="OGZ48" s="952"/>
      <c r="OHA48" s="952"/>
      <c r="OHB48" s="952"/>
      <c r="OHC48" s="952"/>
      <c r="OHD48" s="952"/>
      <c r="OHE48" s="952"/>
      <c r="OHF48" s="952"/>
      <c r="OHG48" s="952"/>
      <c r="OHH48" s="952"/>
      <c r="OHI48" s="952"/>
      <c r="OHJ48" s="952"/>
      <c r="OHK48" s="952"/>
      <c r="OHL48" s="952"/>
      <c r="OHM48" s="952"/>
      <c r="OHN48" s="952"/>
      <c r="OHO48" s="952"/>
      <c r="OHP48" s="952"/>
      <c r="OHQ48" s="952"/>
      <c r="OHR48" s="952"/>
      <c r="OHS48" s="952"/>
      <c r="OHT48" s="952"/>
      <c r="OHU48" s="952"/>
      <c r="OHV48" s="952"/>
      <c r="OHW48" s="952"/>
      <c r="OHX48" s="952"/>
      <c r="OHY48" s="952"/>
      <c r="OHZ48" s="952"/>
      <c r="OIA48" s="952"/>
      <c r="OIB48" s="952"/>
      <c r="OIC48" s="952"/>
      <c r="OID48" s="952"/>
      <c r="OIE48" s="952"/>
      <c r="OIF48" s="952"/>
      <c r="OIG48" s="952"/>
      <c r="OIH48" s="952"/>
      <c r="OII48" s="952"/>
      <c r="OIJ48" s="952"/>
      <c r="OIK48" s="952"/>
      <c r="OIL48" s="952"/>
      <c r="OIM48" s="952"/>
      <c r="OIN48" s="952"/>
      <c r="OIO48" s="952"/>
      <c r="OIP48" s="952"/>
      <c r="OIQ48" s="952"/>
      <c r="OIR48" s="952"/>
      <c r="OIS48" s="952"/>
      <c r="OIT48" s="952"/>
      <c r="OIU48" s="952"/>
      <c r="OIV48" s="952"/>
      <c r="OIW48" s="952"/>
      <c r="OIX48" s="952"/>
      <c r="OIY48" s="952"/>
      <c r="OIZ48" s="952"/>
      <c r="OJA48" s="952"/>
      <c r="OJB48" s="952"/>
      <c r="OJC48" s="952"/>
      <c r="OJD48" s="952"/>
      <c r="OJE48" s="952"/>
      <c r="OJF48" s="952"/>
      <c r="OJG48" s="952"/>
      <c r="OJH48" s="952"/>
      <c r="OJI48" s="952"/>
      <c r="OJJ48" s="952"/>
      <c r="OJK48" s="952"/>
      <c r="OJL48" s="952"/>
      <c r="OJM48" s="952"/>
      <c r="OJN48" s="952"/>
      <c r="OJO48" s="952"/>
      <c r="OJP48" s="952"/>
      <c r="OJQ48" s="952"/>
      <c r="OJR48" s="952"/>
      <c r="OJS48" s="952"/>
      <c r="OJT48" s="952"/>
      <c r="OJU48" s="952"/>
      <c r="OJV48" s="952"/>
      <c r="OJW48" s="952"/>
      <c r="OJX48" s="952"/>
      <c r="OJY48" s="952"/>
      <c r="OJZ48" s="952"/>
      <c r="OKA48" s="952"/>
      <c r="OKB48" s="952"/>
      <c r="OKC48" s="952"/>
      <c r="OKD48" s="952"/>
      <c r="OKE48" s="952"/>
      <c r="OKF48" s="952"/>
      <c r="OKG48" s="952"/>
      <c r="OKH48" s="952"/>
      <c r="OKI48" s="952"/>
      <c r="OKJ48" s="952"/>
      <c r="OKK48" s="952"/>
      <c r="OKL48" s="952"/>
      <c r="OKM48" s="952"/>
      <c r="OKN48" s="952"/>
      <c r="OKO48" s="952"/>
      <c r="OKP48" s="952"/>
      <c r="OKQ48" s="952"/>
      <c r="OKR48" s="952"/>
      <c r="OKS48" s="952"/>
      <c r="OKT48" s="952"/>
      <c r="OKU48" s="952"/>
      <c r="OKV48" s="952"/>
      <c r="OKW48" s="952"/>
      <c r="OKX48" s="952"/>
      <c r="OKY48" s="952"/>
      <c r="OKZ48" s="952"/>
      <c r="OLA48" s="952"/>
      <c r="OLB48" s="952"/>
      <c r="OLC48" s="952"/>
      <c r="OLD48" s="952"/>
      <c r="OLE48" s="952"/>
      <c r="OLF48" s="952"/>
      <c r="OLG48" s="952"/>
      <c r="OLH48" s="952"/>
      <c r="OLI48" s="952"/>
      <c r="OLJ48" s="952"/>
      <c r="OLK48" s="952"/>
      <c r="OLL48" s="952"/>
      <c r="OLM48" s="952"/>
      <c r="OLN48" s="952"/>
      <c r="OLO48" s="952"/>
      <c r="OLP48" s="952"/>
      <c r="OLQ48" s="952"/>
      <c r="OLR48" s="952"/>
      <c r="OLS48" s="952"/>
      <c r="OLT48" s="952"/>
      <c r="OLU48" s="952"/>
      <c r="OLV48" s="952"/>
      <c r="OLW48" s="952"/>
      <c r="OLX48" s="952"/>
      <c r="OLY48" s="952"/>
      <c r="OLZ48" s="952"/>
      <c r="OMA48" s="952"/>
      <c r="OMB48" s="952"/>
      <c r="OMC48" s="952"/>
      <c r="OMD48" s="952"/>
      <c r="OME48" s="952"/>
      <c r="OMF48" s="952"/>
      <c r="OMG48" s="952"/>
      <c r="OMH48" s="952"/>
      <c r="OMI48" s="952"/>
      <c r="OMJ48" s="952"/>
      <c r="OMK48" s="952"/>
      <c r="OML48" s="952"/>
      <c r="OMM48" s="952"/>
      <c r="OMN48" s="952"/>
      <c r="OMO48" s="952"/>
      <c r="OMP48" s="952"/>
      <c r="OMQ48" s="952"/>
      <c r="OMR48" s="952"/>
      <c r="OMS48" s="952"/>
      <c r="OMT48" s="952"/>
      <c r="OMU48" s="952"/>
      <c r="OMV48" s="952"/>
      <c r="OMW48" s="952"/>
      <c r="OMX48" s="952"/>
      <c r="OMY48" s="952"/>
      <c r="OMZ48" s="952"/>
      <c r="ONA48" s="952"/>
      <c r="ONB48" s="952"/>
      <c r="ONC48" s="952"/>
      <c r="OND48" s="952"/>
      <c r="ONE48" s="952"/>
      <c r="ONF48" s="952"/>
      <c r="ONG48" s="952"/>
      <c r="ONH48" s="952"/>
      <c r="ONI48" s="952"/>
      <c r="ONJ48" s="952"/>
      <c r="ONK48" s="952"/>
      <c r="ONL48" s="952"/>
      <c r="ONM48" s="952"/>
      <c r="ONN48" s="952"/>
      <c r="ONO48" s="952"/>
      <c r="ONP48" s="952"/>
      <c r="ONQ48" s="952"/>
      <c r="ONR48" s="952"/>
      <c r="ONS48" s="952"/>
      <c r="ONT48" s="952"/>
      <c r="ONU48" s="952"/>
      <c r="ONV48" s="952"/>
      <c r="ONW48" s="952"/>
      <c r="ONX48" s="952"/>
      <c r="ONY48" s="952"/>
      <c r="ONZ48" s="952"/>
      <c r="OOA48" s="952"/>
      <c r="OOB48" s="952"/>
      <c r="OOC48" s="952"/>
      <c r="OOD48" s="952"/>
      <c r="OOE48" s="952"/>
      <c r="OOF48" s="952"/>
      <c r="OOG48" s="952"/>
      <c r="OOH48" s="952"/>
      <c r="OOI48" s="952"/>
      <c r="OOJ48" s="952"/>
      <c r="OOK48" s="952"/>
      <c r="OOL48" s="952"/>
      <c r="OOM48" s="952"/>
      <c r="OON48" s="952"/>
      <c r="OOO48" s="952"/>
      <c r="OOP48" s="952"/>
      <c r="OOQ48" s="952"/>
      <c r="OOR48" s="952"/>
      <c r="OOS48" s="952"/>
      <c r="OOT48" s="952"/>
      <c r="OOU48" s="952"/>
      <c r="OOV48" s="952"/>
      <c r="OOW48" s="952"/>
      <c r="OOX48" s="952"/>
      <c r="OOY48" s="952"/>
      <c r="OOZ48" s="952"/>
      <c r="OPA48" s="952"/>
      <c r="OPB48" s="952"/>
      <c r="OPC48" s="952"/>
      <c r="OPD48" s="952"/>
      <c r="OPE48" s="952"/>
      <c r="OPF48" s="952"/>
      <c r="OPG48" s="952"/>
      <c r="OPH48" s="952"/>
      <c r="OPI48" s="952"/>
      <c r="OPJ48" s="952"/>
      <c r="OPK48" s="952"/>
      <c r="OPL48" s="952"/>
      <c r="OPM48" s="952"/>
      <c r="OPN48" s="952"/>
      <c r="OPO48" s="952"/>
      <c r="OPP48" s="952"/>
      <c r="OPQ48" s="952"/>
      <c r="OPR48" s="952"/>
      <c r="OPS48" s="952"/>
      <c r="OPT48" s="952"/>
      <c r="OPU48" s="952"/>
      <c r="OPV48" s="952"/>
      <c r="OPW48" s="952"/>
      <c r="OPX48" s="952"/>
      <c r="OPY48" s="952"/>
      <c r="OPZ48" s="952"/>
      <c r="OQA48" s="952"/>
      <c r="OQB48" s="952"/>
      <c r="OQC48" s="952"/>
      <c r="OQD48" s="952"/>
      <c r="OQE48" s="952"/>
      <c r="OQF48" s="952"/>
      <c r="OQG48" s="952"/>
      <c r="OQH48" s="952"/>
      <c r="OQI48" s="952"/>
      <c r="OQJ48" s="952"/>
      <c r="OQK48" s="952"/>
      <c r="OQL48" s="952"/>
      <c r="OQM48" s="952"/>
      <c r="OQN48" s="952"/>
      <c r="OQO48" s="952"/>
      <c r="OQP48" s="952"/>
      <c r="OQQ48" s="952"/>
      <c r="OQR48" s="952"/>
      <c r="OQS48" s="952"/>
      <c r="OQT48" s="952"/>
      <c r="OQU48" s="952"/>
      <c r="OQV48" s="952"/>
      <c r="OQW48" s="952"/>
      <c r="OQX48" s="952"/>
      <c r="OQY48" s="952"/>
      <c r="OQZ48" s="952"/>
      <c r="ORA48" s="952"/>
      <c r="ORB48" s="952"/>
      <c r="ORC48" s="952"/>
      <c r="ORD48" s="952"/>
      <c r="ORE48" s="952"/>
      <c r="ORF48" s="952"/>
      <c r="ORG48" s="952"/>
      <c r="ORH48" s="952"/>
      <c r="ORI48" s="952"/>
      <c r="ORJ48" s="952"/>
      <c r="ORK48" s="952"/>
      <c r="ORL48" s="952"/>
      <c r="ORM48" s="952"/>
      <c r="ORN48" s="952"/>
      <c r="ORO48" s="952"/>
      <c r="ORP48" s="952"/>
      <c r="ORQ48" s="952"/>
      <c r="ORR48" s="952"/>
      <c r="ORS48" s="952"/>
      <c r="ORT48" s="952"/>
      <c r="ORU48" s="952"/>
      <c r="ORV48" s="952"/>
      <c r="ORW48" s="952"/>
      <c r="ORX48" s="952"/>
      <c r="ORY48" s="952"/>
      <c r="ORZ48" s="952"/>
      <c r="OSA48" s="952"/>
      <c r="OSB48" s="952"/>
      <c r="OSC48" s="952"/>
      <c r="OSD48" s="952"/>
      <c r="OSE48" s="952"/>
      <c r="OSF48" s="952"/>
      <c r="OSG48" s="952"/>
      <c r="OSH48" s="952"/>
      <c r="OSI48" s="952"/>
      <c r="OSJ48" s="952"/>
      <c r="OSK48" s="952"/>
      <c r="OSL48" s="952"/>
      <c r="OSM48" s="952"/>
      <c r="OSN48" s="952"/>
      <c r="OSO48" s="952"/>
      <c r="OSP48" s="952"/>
      <c r="OSQ48" s="952"/>
      <c r="OSR48" s="952"/>
      <c r="OSS48" s="952"/>
      <c r="OST48" s="952"/>
      <c r="OSU48" s="952"/>
      <c r="OSV48" s="952"/>
      <c r="OSW48" s="952"/>
      <c r="OSX48" s="952"/>
      <c r="OSY48" s="952"/>
      <c r="OSZ48" s="952"/>
      <c r="OTA48" s="952"/>
      <c r="OTB48" s="952"/>
      <c r="OTC48" s="952"/>
      <c r="OTD48" s="952"/>
      <c r="OTE48" s="952"/>
      <c r="OTF48" s="952"/>
      <c r="OTG48" s="952"/>
      <c r="OTH48" s="952"/>
      <c r="OTI48" s="952"/>
      <c r="OTJ48" s="952"/>
      <c r="OTK48" s="952"/>
      <c r="OTL48" s="952"/>
      <c r="OTM48" s="952"/>
      <c r="OTN48" s="952"/>
      <c r="OTO48" s="952"/>
      <c r="OTP48" s="952"/>
      <c r="OTQ48" s="952"/>
      <c r="OTR48" s="952"/>
      <c r="OTS48" s="952"/>
      <c r="OTT48" s="952"/>
      <c r="OTU48" s="952"/>
      <c r="OTV48" s="952"/>
      <c r="OTW48" s="952"/>
      <c r="OTX48" s="952"/>
      <c r="OTY48" s="952"/>
      <c r="OTZ48" s="952"/>
      <c r="OUA48" s="952"/>
      <c r="OUB48" s="952"/>
      <c r="OUC48" s="952"/>
      <c r="OUD48" s="952"/>
      <c r="OUE48" s="952"/>
      <c r="OUF48" s="952"/>
      <c r="OUG48" s="952"/>
      <c r="OUH48" s="952"/>
      <c r="OUI48" s="952"/>
      <c r="OUJ48" s="952"/>
      <c r="OUK48" s="952"/>
      <c r="OUL48" s="952"/>
      <c r="OUM48" s="952"/>
      <c r="OUN48" s="952"/>
      <c r="OUO48" s="952"/>
      <c r="OUP48" s="952"/>
      <c r="OUQ48" s="952"/>
      <c r="OUR48" s="952"/>
      <c r="OUS48" s="952"/>
      <c r="OUT48" s="952"/>
      <c r="OUU48" s="952"/>
      <c r="OUV48" s="952"/>
      <c r="OUW48" s="952"/>
      <c r="OUX48" s="952"/>
      <c r="OUY48" s="952"/>
      <c r="OUZ48" s="952"/>
      <c r="OVA48" s="952"/>
      <c r="OVB48" s="952"/>
      <c r="OVC48" s="952"/>
      <c r="OVD48" s="952"/>
      <c r="OVE48" s="952"/>
      <c r="OVF48" s="952"/>
      <c r="OVG48" s="952"/>
      <c r="OVH48" s="952"/>
      <c r="OVI48" s="952"/>
      <c r="OVJ48" s="952"/>
      <c r="OVK48" s="952"/>
      <c r="OVL48" s="952"/>
      <c r="OVM48" s="952"/>
      <c r="OVN48" s="952"/>
      <c r="OVO48" s="952"/>
      <c r="OVP48" s="952"/>
      <c r="OVQ48" s="952"/>
      <c r="OVR48" s="952"/>
      <c r="OVS48" s="952"/>
      <c r="OVT48" s="952"/>
      <c r="OVU48" s="952"/>
      <c r="OVV48" s="952"/>
      <c r="OVW48" s="952"/>
      <c r="OVX48" s="952"/>
      <c r="OVY48" s="952"/>
      <c r="OVZ48" s="952"/>
      <c r="OWA48" s="952"/>
      <c r="OWB48" s="952"/>
      <c r="OWC48" s="952"/>
      <c r="OWD48" s="952"/>
      <c r="OWE48" s="952"/>
      <c r="OWF48" s="952"/>
      <c r="OWG48" s="952"/>
      <c r="OWH48" s="952"/>
      <c r="OWI48" s="952"/>
      <c r="OWJ48" s="952"/>
      <c r="OWK48" s="952"/>
      <c r="OWL48" s="952"/>
      <c r="OWM48" s="952"/>
      <c r="OWN48" s="952"/>
      <c r="OWO48" s="952"/>
      <c r="OWP48" s="952"/>
      <c r="OWQ48" s="952"/>
      <c r="OWR48" s="952"/>
      <c r="OWS48" s="952"/>
      <c r="OWT48" s="952"/>
      <c r="OWU48" s="952"/>
      <c r="OWV48" s="952"/>
      <c r="OWW48" s="952"/>
      <c r="OWX48" s="952"/>
      <c r="OWY48" s="952"/>
      <c r="OWZ48" s="952"/>
      <c r="OXA48" s="952"/>
      <c r="OXB48" s="952"/>
      <c r="OXC48" s="952"/>
      <c r="OXD48" s="952"/>
      <c r="OXE48" s="952"/>
      <c r="OXF48" s="952"/>
      <c r="OXG48" s="952"/>
      <c r="OXH48" s="952"/>
      <c r="OXI48" s="952"/>
      <c r="OXJ48" s="952"/>
      <c r="OXK48" s="952"/>
      <c r="OXL48" s="952"/>
      <c r="OXM48" s="952"/>
      <c r="OXN48" s="952"/>
      <c r="OXO48" s="952"/>
      <c r="OXP48" s="952"/>
      <c r="OXQ48" s="952"/>
      <c r="OXR48" s="952"/>
      <c r="OXS48" s="952"/>
      <c r="OXT48" s="952"/>
      <c r="OXU48" s="952"/>
      <c r="OXV48" s="952"/>
      <c r="OXW48" s="952"/>
      <c r="OXX48" s="952"/>
      <c r="OXY48" s="952"/>
      <c r="OXZ48" s="952"/>
      <c r="OYA48" s="952"/>
      <c r="OYB48" s="952"/>
      <c r="OYC48" s="952"/>
      <c r="OYD48" s="952"/>
      <c r="OYE48" s="952"/>
      <c r="OYF48" s="952"/>
      <c r="OYG48" s="952"/>
      <c r="OYH48" s="952"/>
      <c r="OYI48" s="952"/>
      <c r="OYJ48" s="952"/>
      <c r="OYK48" s="952"/>
      <c r="OYL48" s="952"/>
      <c r="OYM48" s="952"/>
      <c r="OYN48" s="952"/>
      <c r="OYO48" s="952"/>
      <c r="OYP48" s="952"/>
      <c r="OYQ48" s="952"/>
      <c r="OYR48" s="952"/>
      <c r="OYS48" s="952"/>
      <c r="OYT48" s="952"/>
      <c r="OYU48" s="952"/>
      <c r="OYV48" s="952"/>
      <c r="OYW48" s="952"/>
      <c r="OYX48" s="952"/>
      <c r="OYY48" s="952"/>
      <c r="OYZ48" s="952"/>
      <c r="OZA48" s="952"/>
      <c r="OZB48" s="952"/>
      <c r="OZC48" s="952"/>
      <c r="OZD48" s="952"/>
      <c r="OZE48" s="952"/>
      <c r="OZF48" s="952"/>
      <c r="OZG48" s="952"/>
      <c r="OZH48" s="952"/>
      <c r="OZI48" s="952"/>
      <c r="OZJ48" s="952"/>
      <c r="OZK48" s="952"/>
      <c r="OZL48" s="952"/>
      <c r="OZM48" s="952"/>
      <c r="OZN48" s="952"/>
      <c r="OZO48" s="952"/>
      <c r="OZP48" s="952"/>
      <c r="OZQ48" s="952"/>
      <c r="OZR48" s="952"/>
      <c r="OZS48" s="952"/>
      <c r="OZT48" s="952"/>
      <c r="OZU48" s="952"/>
      <c r="OZV48" s="952"/>
      <c r="OZW48" s="952"/>
      <c r="OZX48" s="952"/>
      <c r="OZY48" s="952"/>
      <c r="OZZ48" s="952"/>
      <c r="PAA48" s="952"/>
      <c r="PAB48" s="952"/>
      <c r="PAC48" s="952"/>
      <c r="PAD48" s="952"/>
      <c r="PAE48" s="952"/>
      <c r="PAF48" s="952"/>
      <c r="PAG48" s="952"/>
      <c r="PAH48" s="952"/>
      <c r="PAI48" s="952"/>
      <c r="PAJ48" s="952"/>
      <c r="PAK48" s="952"/>
      <c r="PAL48" s="952"/>
      <c r="PAM48" s="952"/>
      <c r="PAN48" s="952"/>
      <c r="PAO48" s="952"/>
      <c r="PAP48" s="952"/>
      <c r="PAQ48" s="952"/>
      <c r="PAR48" s="952"/>
      <c r="PAS48" s="952"/>
      <c r="PAT48" s="952"/>
      <c r="PAU48" s="952"/>
      <c r="PAV48" s="952"/>
      <c r="PAW48" s="952"/>
      <c r="PAX48" s="952"/>
      <c r="PAY48" s="952"/>
      <c r="PAZ48" s="952"/>
      <c r="PBA48" s="952"/>
      <c r="PBB48" s="952"/>
      <c r="PBC48" s="952"/>
      <c r="PBD48" s="952"/>
      <c r="PBE48" s="952"/>
      <c r="PBF48" s="952"/>
      <c r="PBG48" s="952"/>
      <c r="PBH48" s="952"/>
      <c r="PBI48" s="952"/>
      <c r="PBJ48" s="952"/>
      <c r="PBK48" s="952"/>
      <c r="PBL48" s="952"/>
      <c r="PBM48" s="952"/>
      <c r="PBN48" s="952"/>
      <c r="PBO48" s="952"/>
      <c r="PBP48" s="952"/>
      <c r="PBQ48" s="952"/>
      <c r="PBR48" s="952"/>
      <c r="PBS48" s="952"/>
      <c r="PBT48" s="952"/>
      <c r="PBU48" s="952"/>
      <c r="PBV48" s="952"/>
      <c r="PBW48" s="952"/>
      <c r="PBX48" s="952"/>
      <c r="PBY48" s="952"/>
      <c r="PBZ48" s="952"/>
      <c r="PCA48" s="952"/>
      <c r="PCB48" s="952"/>
      <c r="PCC48" s="952"/>
      <c r="PCD48" s="952"/>
      <c r="PCE48" s="952"/>
      <c r="PCF48" s="952"/>
      <c r="PCG48" s="952"/>
      <c r="PCH48" s="952"/>
      <c r="PCI48" s="952"/>
      <c r="PCJ48" s="952"/>
      <c r="PCK48" s="952"/>
      <c r="PCL48" s="952"/>
      <c r="PCM48" s="952"/>
      <c r="PCN48" s="952"/>
      <c r="PCO48" s="952"/>
      <c r="PCP48" s="952"/>
      <c r="PCQ48" s="952"/>
      <c r="PCR48" s="952"/>
      <c r="PCS48" s="952"/>
      <c r="PCT48" s="952"/>
      <c r="PCU48" s="952"/>
      <c r="PCV48" s="952"/>
      <c r="PCW48" s="952"/>
      <c r="PCX48" s="952"/>
      <c r="PCY48" s="952"/>
      <c r="PCZ48" s="952"/>
      <c r="PDA48" s="952"/>
      <c r="PDB48" s="952"/>
      <c r="PDC48" s="952"/>
      <c r="PDD48" s="952"/>
      <c r="PDE48" s="952"/>
      <c r="PDF48" s="952"/>
      <c r="PDG48" s="952"/>
      <c r="PDH48" s="952"/>
      <c r="PDI48" s="952"/>
      <c r="PDJ48" s="952"/>
      <c r="PDK48" s="952"/>
      <c r="PDL48" s="952"/>
      <c r="PDM48" s="952"/>
      <c r="PDN48" s="952"/>
      <c r="PDO48" s="952"/>
      <c r="PDP48" s="952"/>
      <c r="PDQ48" s="952"/>
      <c r="PDR48" s="952"/>
      <c r="PDS48" s="952"/>
      <c r="PDT48" s="952"/>
      <c r="PDU48" s="952"/>
      <c r="PDV48" s="952"/>
      <c r="PDW48" s="952"/>
      <c r="PDX48" s="952"/>
      <c r="PDY48" s="952"/>
      <c r="PDZ48" s="952"/>
      <c r="PEA48" s="952"/>
      <c r="PEB48" s="952"/>
      <c r="PEC48" s="952"/>
      <c r="PED48" s="952"/>
      <c r="PEE48" s="952"/>
      <c r="PEF48" s="952"/>
      <c r="PEG48" s="952"/>
      <c r="PEH48" s="952"/>
      <c r="PEI48" s="952"/>
      <c r="PEJ48" s="952"/>
      <c r="PEK48" s="952"/>
      <c r="PEL48" s="952"/>
      <c r="PEM48" s="952"/>
      <c r="PEN48" s="952"/>
      <c r="PEO48" s="952"/>
      <c r="PEP48" s="952"/>
      <c r="PEQ48" s="952"/>
      <c r="PER48" s="952"/>
      <c r="PES48" s="952"/>
      <c r="PET48" s="952"/>
      <c r="PEU48" s="952"/>
      <c r="PEV48" s="952"/>
      <c r="PEW48" s="952"/>
      <c r="PEX48" s="952"/>
      <c r="PEY48" s="952"/>
      <c r="PEZ48" s="952"/>
      <c r="PFA48" s="952"/>
      <c r="PFB48" s="952"/>
      <c r="PFC48" s="952"/>
      <c r="PFD48" s="952"/>
      <c r="PFE48" s="952"/>
      <c r="PFF48" s="952"/>
      <c r="PFG48" s="952"/>
      <c r="PFH48" s="952"/>
      <c r="PFI48" s="952"/>
      <c r="PFJ48" s="952"/>
      <c r="PFK48" s="952"/>
      <c r="PFL48" s="952"/>
      <c r="PFM48" s="952"/>
      <c r="PFN48" s="952"/>
      <c r="PFO48" s="952"/>
      <c r="PFP48" s="952"/>
      <c r="PFQ48" s="952"/>
      <c r="PFR48" s="952"/>
      <c r="PFS48" s="952"/>
      <c r="PFT48" s="952"/>
      <c r="PFU48" s="952"/>
      <c r="PFV48" s="952"/>
      <c r="PFW48" s="952"/>
      <c r="PFX48" s="952"/>
      <c r="PFY48" s="952"/>
      <c r="PFZ48" s="952"/>
      <c r="PGA48" s="952"/>
      <c r="PGB48" s="952"/>
      <c r="PGC48" s="952"/>
      <c r="PGD48" s="952"/>
      <c r="PGE48" s="952"/>
      <c r="PGF48" s="952"/>
      <c r="PGG48" s="952"/>
      <c r="PGH48" s="952"/>
      <c r="PGI48" s="952"/>
      <c r="PGJ48" s="952"/>
      <c r="PGK48" s="952"/>
      <c r="PGL48" s="952"/>
      <c r="PGM48" s="952"/>
      <c r="PGN48" s="952"/>
      <c r="PGO48" s="952"/>
      <c r="PGP48" s="952"/>
      <c r="PGQ48" s="952"/>
      <c r="PGR48" s="952"/>
      <c r="PGS48" s="952"/>
      <c r="PGT48" s="952"/>
      <c r="PGU48" s="952"/>
      <c r="PGV48" s="952"/>
      <c r="PGW48" s="952"/>
      <c r="PGX48" s="952"/>
      <c r="PGY48" s="952"/>
      <c r="PGZ48" s="952"/>
      <c r="PHA48" s="952"/>
      <c r="PHB48" s="952"/>
      <c r="PHC48" s="952"/>
      <c r="PHD48" s="952"/>
      <c r="PHE48" s="952"/>
      <c r="PHF48" s="952"/>
      <c r="PHG48" s="952"/>
      <c r="PHH48" s="952"/>
      <c r="PHI48" s="952"/>
      <c r="PHJ48" s="952"/>
      <c r="PHK48" s="952"/>
      <c r="PHL48" s="952"/>
      <c r="PHM48" s="952"/>
      <c r="PHN48" s="952"/>
      <c r="PHO48" s="952"/>
      <c r="PHP48" s="952"/>
      <c r="PHQ48" s="952"/>
      <c r="PHR48" s="952"/>
      <c r="PHS48" s="952"/>
      <c r="PHT48" s="952"/>
      <c r="PHU48" s="952"/>
      <c r="PHV48" s="952"/>
      <c r="PHW48" s="952"/>
      <c r="PHX48" s="952"/>
      <c r="PHY48" s="952"/>
      <c r="PHZ48" s="952"/>
      <c r="PIA48" s="952"/>
      <c r="PIB48" s="952"/>
      <c r="PIC48" s="952"/>
      <c r="PID48" s="952"/>
      <c r="PIE48" s="952"/>
      <c r="PIF48" s="952"/>
      <c r="PIG48" s="952"/>
      <c r="PIH48" s="952"/>
      <c r="PII48" s="952"/>
      <c r="PIJ48" s="952"/>
      <c r="PIK48" s="952"/>
      <c r="PIL48" s="952"/>
      <c r="PIM48" s="952"/>
      <c r="PIN48" s="952"/>
      <c r="PIO48" s="952"/>
      <c r="PIP48" s="952"/>
      <c r="PIQ48" s="952"/>
      <c r="PIR48" s="952"/>
      <c r="PIS48" s="952"/>
      <c r="PIT48" s="952"/>
      <c r="PIU48" s="952"/>
      <c r="PIV48" s="952"/>
      <c r="PIW48" s="952"/>
      <c r="PIX48" s="952"/>
      <c r="PIY48" s="952"/>
      <c r="PIZ48" s="952"/>
      <c r="PJA48" s="952"/>
      <c r="PJB48" s="952"/>
      <c r="PJC48" s="952"/>
      <c r="PJD48" s="952"/>
      <c r="PJE48" s="952"/>
      <c r="PJF48" s="952"/>
      <c r="PJG48" s="952"/>
      <c r="PJH48" s="952"/>
      <c r="PJI48" s="952"/>
      <c r="PJJ48" s="952"/>
      <c r="PJK48" s="952"/>
      <c r="PJL48" s="952"/>
      <c r="PJM48" s="952"/>
      <c r="PJN48" s="952"/>
      <c r="PJO48" s="952"/>
      <c r="PJP48" s="952"/>
      <c r="PJQ48" s="952"/>
      <c r="PJR48" s="952"/>
      <c r="PJS48" s="952"/>
      <c r="PJT48" s="952"/>
      <c r="PJU48" s="952"/>
      <c r="PJV48" s="952"/>
      <c r="PJW48" s="952"/>
      <c r="PJX48" s="952"/>
      <c r="PJY48" s="952"/>
      <c r="PJZ48" s="952"/>
      <c r="PKA48" s="952"/>
      <c r="PKB48" s="952"/>
      <c r="PKC48" s="952"/>
      <c r="PKD48" s="952"/>
      <c r="PKE48" s="952"/>
      <c r="PKF48" s="952"/>
      <c r="PKG48" s="952"/>
      <c r="PKH48" s="952"/>
      <c r="PKI48" s="952"/>
      <c r="PKJ48" s="952"/>
      <c r="PKK48" s="952"/>
      <c r="PKL48" s="952"/>
      <c r="PKM48" s="952"/>
      <c r="PKN48" s="952"/>
      <c r="PKO48" s="952"/>
      <c r="PKP48" s="952"/>
      <c r="PKQ48" s="952"/>
      <c r="PKR48" s="952"/>
      <c r="PKS48" s="952"/>
      <c r="PKT48" s="952"/>
      <c r="PKU48" s="952"/>
      <c r="PKV48" s="952"/>
      <c r="PKW48" s="952"/>
      <c r="PKX48" s="952"/>
      <c r="PKY48" s="952"/>
      <c r="PKZ48" s="952"/>
      <c r="PLA48" s="952"/>
      <c r="PLB48" s="952"/>
      <c r="PLC48" s="952"/>
      <c r="PLD48" s="952"/>
      <c r="PLE48" s="952"/>
      <c r="PLF48" s="952"/>
      <c r="PLG48" s="952"/>
      <c r="PLH48" s="952"/>
      <c r="PLI48" s="952"/>
      <c r="PLJ48" s="952"/>
      <c r="PLK48" s="952"/>
      <c r="PLL48" s="952"/>
      <c r="PLM48" s="952"/>
      <c r="PLN48" s="952"/>
      <c r="PLO48" s="952"/>
      <c r="PLP48" s="952"/>
      <c r="PLQ48" s="952"/>
      <c r="PLR48" s="952"/>
      <c r="PLS48" s="952"/>
      <c r="PLT48" s="952"/>
      <c r="PLU48" s="952"/>
      <c r="PLV48" s="952"/>
      <c r="PLW48" s="952"/>
      <c r="PLX48" s="952"/>
      <c r="PLY48" s="952"/>
      <c r="PLZ48" s="952"/>
      <c r="PMA48" s="952"/>
      <c r="PMB48" s="952"/>
      <c r="PMC48" s="952"/>
      <c r="PMD48" s="952"/>
      <c r="PME48" s="952"/>
      <c r="PMF48" s="952"/>
      <c r="PMG48" s="952"/>
      <c r="PMH48" s="952"/>
      <c r="PMI48" s="952"/>
      <c r="PMJ48" s="952"/>
      <c r="PMK48" s="952"/>
      <c r="PML48" s="952"/>
      <c r="PMM48" s="952"/>
      <c r="PMN48" s="952"/>
      <c r="PMO48" s="952"/>
      <c r="PMP48" s="952"/>
      <c r="PMQ48" s="952"/>
      <c r="PMR48" s="952"/>
      <c r="PMS48" s="952"/>
      <c r="PMT48" s="952"/>
      <c r="PMU48" s="952"/>
      <c r="PMV48" s="952"/>
      <c r="PMW48" s="952"/>
      <c r="PMX48" s="952"/>
      <c r="PMY48" s="952"/>
      <c r="PMZ48" s="952"/>
      <c r="PNA48" s="952"/>
      <c r="PNB48" s="952"/>
      <c r="PNC48" s="952"/>
      <c r="PND48" s="952"/>
      <c r="PNE48" s="952"/>
      <c r="PNF48" s="952"/>
      <c r="PNG48" s="952"/>
      <c r="PNH48" s="952"/>
      <c r="PNI48" s="952"/>
      <c r="PNJ48" s="952"/>
      <c r="PNK48" s="952"/>
      <c r="PNL48" s="952"/>
      <c r="PNM48" s="952"/>
      <c r="PNN48" s="952"/>
      <c r="PNO48" s="952"/>
      <c r="PNP48" s="952"/>
      <c r="PNQ48" s="952"/>
      <c r="PNR48" s="952"/>
      <c r="PNS48" s="952"/>
      <c r="PNT48" s="952"/>
      <c r="PNU48" s="952"/>
      <c r="PNV48" s="952"/>
      <c r="PNW48" s="952"/>
      <c r="PNX48" s="952"/>
      <c r="PNY48" s="952"/>
      <c r="PNZ48" s="952"/>
      <c r="POA48" s="952"/>
      <c r="POB48" s="952"/>
      <c r="POC48" s="952"/>
      <c r="POD48" s="952"/>
      <c r="POE48" s="952"/>
      <c r="POF48" s="952"/>
      <c r="POG48" s="952"/>
      <c r="POH48" s="952"/>
      <c r="POI48" s="952"/>
      <c r="POJ48" s="952"/>
      <c r="POK48" s="952"/>
      <c r="POL48" s="952"/>
      <c r="POM48" s="952"/>
      <c r="PON48" s="952"/>
      <c r="POO48" s="952"/>
      <c r="POP48" s="952"/>
      <c r="POQ48" s="952"/>
      <c r="POR48" s="952"/>
      <c r="POS48" s="952"/>
      <c r="POT48" s="952"/>
      <c r="POU48" s="952"/>
      <c r="POV48" s="952"/>
      <c r="POW48" s="952"/>
      <c r="POX48" s="952"/>
      <c r="POY48" s="952"/>
      <c r="POZ48" s="952"/>
      <c r="PPA48" s="952"/>
      <c r="PPB48" s="952"/>
      <c r="PPC48" s="952"/>
      <c r="PPD48" s="952"/>
      <c r="PPE48" s="952"/>
      <c r="PPF48" s="952"/>
      <c r="PPG48" s="952"/>
      <c r="PPH48" s="952"/>
      <c r="PPI48" s="952"/>
      <c r="PPJ48" s="952"/>
      <c r="PPK48" s="952"/>
      <c r="PPL48" s="952"/>
      <c r="PPM48" s="952"/>
      <c r="PPN48" s="952"/>
      <c r="PPO48" s="952"/>
      <c r="PPP48" s="952"/>
      <c r="PPQ48" s="952"/>
      <c r="PPR48" s="952"/>
      <c r="PPS48" s="952"/>
      <c r="PPT48" s="952"/>
      <c r="PPU48" s="952"/>
      <c r="PPV48" s="952"/>
      <c r="PPW48" s="952"/>
      <c r="PPX48" s="952"/>
      <c r="PPY48" s="952"/>
      <c r="PPZ48" s="952"/>
      <c r="PQA48" s="952"/>
      <c r="PQB48" s="952"/>
      <c r="PQC48" s="952"/>
      <c r="PQD48" s="952"/>
      <c r="PQE48" s="952"/>
      <c r="PQF48" s="952"/>
      <c r="PQG48" s="952"/>
      <c r="PQH48" s="952"/>
      <c r="PQI48" s="952"/>
      <c r="PQJ48" s="952"/>
      <c r="PQK48" s="952"/>
      <c r="PQL48" s="952"/>
      <c r="PQM48" s="952"/>
      <c r="PQN48" s="952"/>
      <c r="PQO48" s="952"/>
      <c r="PQP48" s="952"/>
      <c r="PQQ48" s="952"/>
      <c r="PQR48" s="952"/>
      <c r="PQS48" s="952"/>
      <c r="PQT48" s="952"/>
      <c r="PQU48" s="952"/>
      <c r="PQV48" s="952"/>
      <c r="PQW48" s="952"/>
      <c r="PQX48" s="952"/>
      <c r="PQY48" s="952"/>
      <c r="PQZ48" s="952"/>
      <c r="PRA48" s="952"/>
      <c r="PRB48" s="952"/>
      <c r="PRC48" s="952"/>
      <c r="PRD48" s="952"/>
      <c r="PRE48" s="952"/>
      <c r="PRF48" s="952"/>
      <c r="PRG48" s="952"/>
      <c r="PRH48" s="952"/>
      <c r="PRI48" s="952"/>
      <c r="PRJ48" s="952"/>
      <c r="PRK48" s="952"/>
      <c r="PRL48" s="952"/>
      <c r="PRM48" s="952"/>
      <c r="PRN48" s="952"/>
      <c r="PRO48" s="952"/>
      <c r="PRP48" s="952"/>
      <c r="PRQ48" s="952"/>
      <c r="PRR48" s="952"/>
      <c r="PRS48" s="952"/>
      <c r="PRT48" s="952"/>
      <c r="PRU48" s="952"/>
      <c r="PRV48" s="952"/>
      <c r="PRW48" s="952"/>
      <c r="PRX48" s="952"/>
      <c r="PRY48" s="952"/>
      <c r="PRZ48" s="952"/>
      <c r="PSA48" s="952"/>
      <c r="PSB48" s="952"/>
      <c r="PSC48" s="952"/>
      <c r="PSD48" s="952"/>
      <c r="PSE48" s="952"/>
      <c r="PSF48" s="952"/>
      <c r="PSG48" s="952"/>
      <c r="PSH48" s="952"/>
      <c r="PSI48" s="952"/>
      <c r="PSJ48" s="952"/>
      <c r="PSK48" s="952"/>
      <c r="PSL48" s="952"/>
      <c r="PSM48" s="952"/>
      <c r="PSN48" s="952"/>
      <c r="PSO48" s="952"/>
      <c r="PSP48" s="952"/>
      <c r="PSQ48" s="952"/>
      <c r="PSR48" s="952"/>
      <c r="PSS48" s="952"/>
      <c r="PST48" s="952"/>
      <c r="PSU48" s="952"/>
      <c r="PSV48" s="952"/>
      <c r="PSW48" s="952"/>
      <c r="PSX48" s="952"/>
      <c r="PSY48" s="952"/>
      <c r="PSZ48" s="952"/>
      <c r="PTA48" s="952"/>
      <c r="PTB48" s="952"/>
      <c r="PTC48" s="952"/>
      <c r="PTD48" s="952"/>
      <c r="PTE48" s="952"/>
      <c r="PTF48" s="952"/>
      <c r="PTG48" s="952"/>
      <c r="PTH48" s="952"/>
      <c r="PTI48" s="952"/>
      <c r="PTJ48" s="952"/>
      <c r="PTK48" s="952"/>
      <c r="PTL48" s="952"/>
      <c r="PTM48" s="952"/>
      <c r="PTN48" s="952"/>
      <c r="PTO48" s="952"/>
      <c r="PTP48" s="952"/>
      <c r="PTQ48" s="952"/>
      <c r="PTR48" s="952"/>
      <c r="PTS48" s="952"/>
      <c r="PTT48" s="952"/>
      <c r="PTU48" s="952"/>
      <c r="PTV48" s="952"/>
      <c r="PTW48" s="952"/>
      <c r="PTX48" s="952"/>
      <c r="PTY48" s="952"/>
      <c r="PTZ48" s="952"/>
      <c r="PUA48" s="952"/>
      <c r="PUB48" s="952"/>
      <c r="PUC48" s="952"/>
      <c r="PUD48" s="952"/>
      <c r="PUE48" s="952"/>
      <c r="PUF48" s="952"/>
      <c r="PUG48" s="952"/>
      <c r="PUH48" s="952"/>
      <c r="PUI48" s="952"/>
      <c r="PUJ48" s="952"/>
      <c r="PUK48" s="952"/>
      <c r="PUL48" s="952"/>
      <c r="PUM48" s="952"/>
      <c r="PUN48" s="952"/>
      <c r="PUO48" s="952"/>
      <c r="PUP48" s="952"/>
      <c r="PUQ48" s="952"/>
      <c r="PUR48" s="952"/>
      <c r="PUS48" s="952"/>
      <c r="PUT48" s="952"/>
      <c r="PUU48" s="952"/>
      <c r="PUV48" s="952"/>
      <c r="PUW48" s="952"/>
      <c r="PUX48" s="952"/>
      <c r="PUY48" s="952"/>
      <c r="PUZ48" s="952"/>
      <c r="PVA48" s="952"/>
      <c r="PVB48" s="952"/>
      <c r="PVC48" s="952"/>
      <c r="PVD48" s="952"/>
      <c r="PVE48" s="952"/>
      <c r="PVF48" s="952"/>
      <c r="PVG48" s="952"/>
      <c r="PVH48" s="952"/>
      <c r="PVI48" s="952"/>
      <c r="PVJ48" s="952"/>
      <c r="PVK48" s="952"/>
      <c r="PVL48" s="952"/>
      <c r="PVM48" s="952"/>
      <c r="PVN48" s="952"/>
      <c r="PVO48" s="952"/>
      <c r="PVP48" s="952"/>
      <c r="PVQ48" s="952"/>
      <c r="PVR48" s="952"/>
      <c r="PVS48" s="952"/>
      <c r="PVT48" s="952"/>
      <c r="PVU48" s="952"/>
      <c r="PVV48" s="952"/>
      <c r="PVW48" s="952"/>
      <c r="PVX48" s="952"/>
      <c r="PVY48" s="952"/>
      <c r="PVZ48" s="952"/>
      <c r="PWA48" s="952"/>
      <c r="PWB48" s="952"/>
      <c r="PWC48" s="952"/>
      <c r="PWD48" s="952"/>
      <c r="PWE48" s="952"/>
      <c r="PWF48" s="952"/>
      <c r="PWG48" s="952"/>
      <c r="PWH48" s="952"/>
      <c r="PWI48" s="952"/>
      <c r="PWJ48" s="952"/>
      <c r="PWK48" s="952"/>
      <c r="PWL48" s="952"/>
      <c r="PWM48" s="952"/>
      <c r="PWN48" s="952"/>
      <c r="PWO48" s="952"/>
      <c r="PWP48" s="952"/>
      <c r="PWQ48" s="952"/>
      <c r="PWR48" s="952"/>
      <c r="PWS48" s="952"/>
      <c r="PWT48" s="952"/>
      <c r="PWU48" s="952"/>
      <c r="PWV48" s="952"/>
      <c r="PWW48" s="952"/>
      <c r="PWX48" s="952"/>
      <c r="PWY48" s="952"/>
      <c r="PWZ48" s="952"/>
      <c r="PXA48" s="952"/>
      <c r="PXB48" s="952"/>
      <c r="PXC48" s="952"/>
      <c r="PXD48" s="952"/>
      <c r="PXE48" s="952"/>
      <c r="PXF48" s="952"/>
      <c r="PXG48" s="952"/>
      <c r="PXH48" s="952"/>
      <c r="PXI48" s="952"/>
      <c r="PXJ48" s="952"/>
      <c r="PXK48" s="952"/>
      <c r="PXL48" s="952"/>
      <c r="PXM48" s="952"/>
      <c r="PXN48" s="952"/>
      <c r="PXO48" s="952"/>
      <c r="PXP48" s="952"/>
      <c r="PXQ48" s="952"/>
      <c r="PXR48" s="952"/>
      <c r="PXS48" s="952"/>
      <c r="PXT48" s="952"/>
      <c r="PXU48" s="952"/>
      <c r="PXV48" s="952"/>
      <c r="PXW48" s="952"/>
      <c r="PXX48" s="952"/>
      <c r="PXY48" s="952"/>
      <c r="PXZ48" s="952"/>
      <c r="PYA48" s="952"/>
      <c r="PYB48" s="952"/>
      <c r="PYC48" s="952"/>
      <c r="PYD48" s="952"/>
      <c r="PYE48" s="952"/>
      <c r="PYF48" s="952"/>
      <c r="PYG48" s="952"/>
      <c r="PYH48" s="952"/>
      <c r="PYI48" s="952"/>
      <c r="PYJ48" s="952"/>
      <c r="PYK48" s="952"/>
      <c r="PYL48" s="952"/>
      <c r="PYM48" s="952"/>
      <c r="PYN48" s="952"/>
      <c r="PYO48" s="952"/>
      <c r="PYP48" s="952"/>
      <c r="PYQ48" s="952"/>
      <c r="PYR48" s="952"/>
      <c r="PYS48" s="952"/>
      <c r="PYT48" s="952"/>
      <c r="PYU48" s="952"/>
      <c r="PYV48" s="952"/>
      <c r="PYW48" s="952"/>
      <c r="PYX48" s="952"/>
      <c r="PYY48" s="952"/>
      <c r="PYZ48" s="952"/>
      <c r="PZA48" s="952"/>
      <c r="PZB48" s="952"/>
      <c r="PZC48" s="952"/>
      <c r="PZD48" s="952"/>
      <c r="PZE48" s="952"/>
      <c r="PZF48" s="952"/>
      <c r="PZG48" s="952"/>
      <c r="PZH48" s="952"/>
      <c r="PZI48" s="952"/>
      <c r="PZJ48" s="952"/>
      <c r="PZK48" s="952"/>
      <c r="PZL48" s="952"/>
      <c r="PZM48" s="952"/>
      <c r="PZN48" s="952"/>
      <c r="PZO48" s="952"/>
      <c r="PZP48" s="952"/>
      <c r="PZQ48" s="952"/>
      <c r="PZR48" s="952"/>
      <c r="PZS48" s="952"/>
      <c r="PZT48" s="952"/>
      <c r="PZU48" s="952"/>
      <c r="PZV48" s="952"/>
      <c r="PZW48" s="952"/>
      <c r="PZX48" s="952"/>
      <c r="PZY48" s="952"/>
      <c r="PZZ48" s="952"/>
      <c r="QAA48" s="952"/>
      <c r="QAB48" s="952"/>
      <c r="QAC48" s="952"/>
      <c r="QAD48" s="952"/>
      <c r="QAE48" s="952"/>
      <c r="QAF48" s="952"/>
      <c r="QAG48" s="952"/>
      <c r="QAH48" s="952"/>
      <c r="QAI48" s="952"/>
      <c r="QAJ48" s="952"/>
      <c r="QAK48" s="952"/>
      <c r="QAL48" s="952"/>
      <c r="QAM48" s="952"/>
      <c r="QAN48" s="952"/>
      <c r="QAO48" s="952"/>
      <c r="QAP48" s="952"/>
      <c r="QAQ48" s="952"/>
      <c r="QAR48" s="952"/>
      <c r="QAS48" s="952"/>
      <c r="QAT48" s="952"/>
      <c r="QAU48" s="952"/>
      <c r="QAV48" s="952"/>
      <c r="QAW48" s="952"/>
      <c r="QAX48" s="952"/>
      <c r="QAY48" s="952"/>
      <c r="QAZ48" s="952"/>
      <c r="QBA48" s="952"/>
      <c r="QBB48" s="952"/>
      <c r="QBC48" s="952"/>
      <c r="QBD48" s="952"/>
      <c r="QBE48" s="952"/>
      <c r="QBF48" s="952"/>
      <c r="QBG48" s="952"/>
      <c r="QBH48" s="952"/>
      <c r="QBI48" s="952"/>
      <c r="QBJ48" s="952"/>
      <c r="QBK48" s="952"/>
      <c r="QBL48" s="952"/>
      <c r="QBM48" s="952"/>
      <c r="QBN48" s="952"/>
      <c r="QBO48" s="952"/>
      <c r="QBP48" s="952"/>
      <c r="QBQ48" s="952"/>
      <c r="QBR48" s="952"/>
      <c r="QBS48" s="952"/>
      <c r="QBT48" s="952"/>
      <c r="QBU48" s="952"/>
      <c r="QBV48" s="952"/>
      <c r="QBW48" s="952"/>
      <c r="QBX48" s="952"/>
      <c r="QBY48" s="952"/>
      <c r="QBZ48" s="952"/>
      <c r="QCA48" s="952"/>
      <c r="QCB48" s="952"/>
      <c r="QCC48" s="952"/>
      <c r="QCD48" s="952"/>
      <c r="QCE48" s="952"/>
      <c r="QCF48" s="952"/>
      <c r="QCG48" s="952"/>
      <c r="QCH48" s="952"/>
      <c r="QCI48" s="952"/>
      <c r="QCJ48" s="952"/>
      <c r="QCK48" s="952"/>
      <c r="QCL48" s="952"/>
      <c r="QCM48" s="952"/>
      <c r="QCN48" s="952"/>
      <c r="QCO48" s="952"/>
      <c r="QCP48" s="952"/>
      <c r="QCQ48" s="952"/>
      <c r="QCR48" s="952"/>
      <c r="QCS48" s="952"/>
      <c r="QCT48" s="952"/>
      <c r="QCU48" s="952"/>
      <c r="QCV48" s="952"/>
      <c r="QCW48" s="952"/>
      <c r="QCX48" s="952"/>
      <c r="QCY48" s="952"/>
      <c r="QCZ48" s="952"/>
      <c r="QDA48" s="952"/>
      <c r="QDB48" s="952"/>
      <c r="QDC48" s="952"/>
      <c r="QDD48" s="952"/>
      <c r="QDE48" s="952"/>
      <c r="QDF48" s="952"/>
      <c r="QDG48" s="952"/>
      <c r="QDH48" s="952"/>
      <c r="QDI48" s="952"/>
      <c r="QDJ48" s="952"/>
      <c r="QDK48" s="952"/>
      <c r="QDL48" s="952"/>
      <c r="QDM48" s="952"/>
      <c r="QDN48" s="952"/>
      <c r="QDO48" s="952"/>
      <c r="QDP48" s="952"/>
      <c r="QDQ48" s="952"/>
      <c r="QDR48" s="952"/>
      <c r="QDS48" s="952"/>
      <c r="QDT48" s="952"/>
      <c r="QDU48" s="952"/>
      <c r="QDV48" s="952"/>
      <c r="QDW48" s="952"/>
      <c r="QDX48" s="952"/>
      <c r="QDY48" s="952"/>
      <c r="QDZ48" s="952"/>
      <c r="QEA48" s="952"/>
      <c r="QEB48" s="952"/>
      <c r="QEC48" s="952"/>
      <c r="QED48" s="952"/>
      <c r="QEE48" s="952"/>
      <c r="QEF48" s="952"/>
      <c r="QEG48" s="952"/>
      <c r="QEH48" s="952"/>
      <c r="QEI48" s="952"/>
      <c r="QEJ48" s="952"/>
      <c r="QEK48" s="952"/>
      <c r="QEL48" s="952"/>
      <c r="QEM48" s="952"/>
      <c r="QEN48" s="952"/>
      <c r="QEO48" s="952"/>
      <c r="QEP48" s="952"/>
      <c r="QEQ48" s="952"/>
      <c r="QER48" s="952"/>
      <c r="QES48" s="952"/>
      <c r="QET48" s="952"/>
      <c r="QEU48" s="952"/>
      <c r="QEV48" s="952"/>
      <c r="QEW48" s="952"/>
      <c r="QEX48" s="952"/>
      <c r="QEY48" s="952"/>
      <c r="QEZ48" s="952"/>
      <c r="QFA48" s="952"/>
      <c r="QFB48" s="952"/>
      <c r="QFC48" s="952"/>
      <c r="QFD48" s="952"/>
      <c r="QFE48" s="952"/>
      <c r="QFF48" s="952"/>
      <c r="QFG48" s="952"/>
      <c r="QFH48" s="952"/>
      <c r="QFI48" s="952"/>
      <c r="QFJ48" s="952"/>
      <c r="QFK48" s="952"/>
      <c r="QFL48" s="952"/>
      <c r="QFM48" s="952"/>
      <c r="QFN48" s="952"/>
      <c r="QFO48" s="952"/>
      <c r="QFP48" s="952"/>
      <c r="QFQ48" s="952"/>
      <c r="QFR48" s="952"/>
      <c r="QFS48" s="952"/>
      <c r="QFT48" s="952"/>
      <c r="QFU48" s="952"/>
      <c r="QFV48" s="952"/>
      <c r="QFW48" s="952"/>
      <c r="QFX48" s="952"/>
      <c r="QFY48" s="952"/>
      <c r="QFZ48" s="952"/>
      <c r="QGA48" s="952"/>
      <c r="QGB48" s="952"/>
      <c r="QGC48" s="952"/>
      <c r="QGD48" s="952"/>
      <c r="QGE48" s="952"/>
      <c r="QGF48" s="952"/>
      <c r="QGG48" s="952"/>
      <c r="QGH48" s="952"/>
      <c r="QGI48" s="952"/>
      <c r="QGJ48" s="952"/>
      <c r="QGK48" s="952"/>
      <c r="QGL48" s="952"/>
      <c r="QGM48" s="952"/>
      <c r="QGN48" s="952"/>
      <c r="QGO48" s="952"/>
      <c r="QGP48" s="952"/>
      <c r="QGQ48" s="952"/>
      <c r="QGR48" s="952"/>
      <c r="QGS48" s="952"/>
      <c r="QGT48" s="952"/>
      <c r="QGU48" s="952"/>
      <c r="QGV48" s="952"/>
      <c r="QGW48" s="952"/>
      <c r="QGX48" s="952"/>
      <c r="QGY48" s="952"/>
      <c r="QGZ48" s="952"/>
      <c r="QHA48" s="952"/>
      <c r="QHB48" s="952"/>
      <c r="QHC48" s="952"/>
      <c r="QHD48" s="952"/>
      <c r="QHE48" s="952"/>
      <c r="QHF48" s="952"/>
      <c r="QHG48" s="952"/>
      <c r="QHH48" s="952"/>
      <c r="QHI48" s="952"/>
      <c r="QHJ48" s="952"/>
      <c r="QHK48" s="952"/>
      <c r="QHL48" s="952"/>
      <c r="QHM48" s="952"/>
      <c r="QHN48" s="952"/>
      <c r="QHO48" s="952"/>
      <c r="QHP48" s="952"/>
      <c r="QHQ48" s="952"/>
      <c r="QHR48" s="952"/>
      <c r="QHS48" s="952"/>
      <c r="QHT48" s="952"/>
      <c r="QHU48" s="952"/>
      <c r="QHV48" s="952"/>
      <c r="QHW48" s="952"/>
      <c r="QHX48" s="952"/>
      <c r="QHY48" s="952"/>
      <c r="QHZ48" s="952"/>
      <c r="QIA48" s="952"/>
      <c r="QIB48" s="952"/>
      <c r="QIC48" s="952"/>
      <c r="QID48" s="952"/>
      <c r="QIE48" s="952"/>
      <c r="QIF48" s="952"/>
      <c r="QIG48" s="952"/>
      <c r="QIH48" s="952"/>
      <c r="QII48" s="952"/>
      <c r="QIJ48" s="952"/>
      <c r="QIK48" s="952"/>
      <c r="QIL48" s="952"/>
      <c r="QIM48" s="952"/>
      <c r="QIN48" s="952"/>
      <c r="QIO48" s="952"/>
      <c r="QIP48" s="952"/>
      <c r="QIQ48" s="952"/>
      <c r="QIR48" s="952"/>
      <c r="QIS48" s="952"/>
      <c r="QIT48" s="952"/>
      <c r="QIU48" s="952"/>
      <c r="QIV48" s="952"/>
      <c r="QIW48" s="952"/>
      <c r="QIX48" s="952"/>
      <c r="QIY48" s="952"/>
      <c r="QIZ48" s="952"/>
      <c r="QJA48" s="952"/>
      <c r="QJB48" s="952"/>
      <c r="QJC48" s="952"/>
      <c r="QJD48" s="952"/>
      <c r="QJE48" s="952"/>
      <c r="QJF48" s="952"/>
      <c r="QJG48" s="952"/>
      <c r="QJH48" s="952"/>
      <c r="QJI48" s="952"/>
      <c r="QJJ48" s="952"/>
      <c r="QJK48" s="952"/>
      <c r="QJL48" s="952"/>
      <c r="QJM48" s="952"/>
      <c r="QJN48" s="952"/>
      <c r="QJO48" s="952"/>
      <c r="QJP48" s="952"/>
      <c r="QJQ48" s="952"/>
      <c r="QJR48" s="952"/>
      <c r="QJS48" s="952"/>
      <c r="QJT48" s="952"/>
      <c r="QJU48" s="952"/>
      <c r="QJV48" s="952"/>
      <c r="QJW48" s="952"/>
      <c r="QJX48" s="952"/>
      <c r="QJY48" s="952"/>
      <c r="QJZ48" s="952"/>
      <c r="QKA48" s="952"/>
      <c r="QKB48" s="952"/>
      <c r="QKC48" s="952"/>
      <c r="QKD48" s="952"/>
      <c r="QKE48" s="952"/>
      <c r="QKF48" s="952"/>
      <c r="QKG48" s="952"/>
      <c r="QKH48" s="952"/>
      <c r="QKI48" s="952"/>
      <c r="QKJ48" s="952"/>
      <c r="QKK48" s="952"/>
      <c r="QKL48" s="952"/>
      <c r="QKM48" s="952"/>
      <c r="QKN48" s="952"/>
      <c r="QKO48" s="952"/>
      <c r="QKP48" s="952"/>
      <c r="QKQ48" s="952"/>
      <c r="QKR48" s="952"/>
      <c r="QKS48" s="952"/>
      <c r="QKT48" s="952"/>
      <c r="QKU48" s="952"/>
      <c r="QKV48" s="952"/>
      <c r="QKW48" s="952"/>
      <c r="QKX48" s="952"/>
      <c r="QKY48" s="952"/>
      <c r="QKZ48" s="952"/>
      <c r="QLA48" s="952"/>
      <c r="QLB48" s="952"/>
      <c r="QLC48" s="952"/>
      <c r="QLD48" s="952"/>
      <c r="QLE48" s="952"/>
      <c r="QLF48" s="952"/>
      <c r="QLG48" s="952"/>
      <c r="QLH48" s="952"/>
      <c r="QLI48" s="952"/>
      <c r="QLJ48" s="952"/>
      <c r="QLK48" s="952"/>
      <c r="QLL48" s="952"/>
      <c r="QLM48" s="952"/>
      <c r="QLN48" s="952"/>
      <c r="QLO48" s="952"/>
      <c r="QLP48" s="952"/>
      <c r="QLQ48" s="952"/>
      <c r="QLR48" s="952"/>
      <c r="QLS48" s="952"/>
      <c r="QLT48" s="952"/>
      <c r="QLU48" s="952"/>
      <c r="QLV48" s="952"/>
      <c r="QLW48" s="952"/>
      <c r="QLX48" s="952"/>
      <c r="QLY48" s="952"/>
      <c r="QLZ48" s="952"/>
      <c r="QMA48" s="952"/>
      <c r="QMB48" s="952"/>
      <c r="QMC48" s="952"/>
      <c r="QMD48" s="952"/>
      <c r="QME48" s="952"/>
      <c r="QMF48" s="952"/>
      <c r="QMG48" s="952"/>
      <c r="QMH48" s="952"/>
      <c r="QMI48" s="952"/>
      <c r="QMJ48" s="952"/>
      <c r="QMK48" s="952"/>
      <c r="QML48" s="952"/>
      <c r="QMM48" s="952"/>
      <c r="QMN48" s="952"/>
      <c r="QMO48" s="952"/>
      <c r="QMP48" s="952"/>
      <c r="QMQ48" s="952"/>
      <c r="QMR48" s="952"/>
      <c r="QMS48" s="952"/>
      <c r="QMT48" s="952"/>
      <c r="QMU48" s="952"/>
      <c r="QMV48" s="952"/>
      <c r="QMW48" s="952"/>
      <c r="QMX48" s="952"/>
      <c r="QMY48" s="952"/>
      <c r="QMZ48" s="952"/>
      <c r="QNA48" s="952"/>
      <c r="QNB48" s="952"/>
      <c r="QNC48" s="952"/>
      <c r="QND48" s="952"/>
      <c r="QNE48" s="952"/>
      <c r="QNF48" s="952"/>
      <c r="QNG48" s="952"/>
      <c r="QNH48" s="952"/>
      <c r="QNI48" s="952"/>
      <c r="QNJ48" s="952"/>
      <c r="QNK48" s="952"/>
      <c r="QNL48" s="952"/>
      <c r="QNM48" s="952"/>
      <c r="QNN48" s="952"/>
      <c r="QNO48" s="952"/>
      <c r="QNP48" s="952"/>
      <c r="QNQ48" s="952"/>
      <c r="QNR48" s="952"/>
      <c r="QNS48" s="952"/>
      <c r="QNT48" s="952"/>
      <c r="QNU48" s="952"/>
      <c r="QNV48" s="952"/>
      <c r="QNW48" s="952"/>
      <c r="QNX48" s="952"/>
      <c r="QNY48" s="952"/>
      <c r="QNZ48" s="952"/>
      <c r="QOA48" s="952"/>
      <c r="QOB48" s="952"/>
      <c r="QOC48" s="952"/>
      <c r="QOD48" s="952"/>
      <c r="QOE48" s="952"/>
      <c r="QOF48" s="952"/>
      <c r="QOG48" s="952"/>
      <c r="QOH48" s="952"/>
      <c r="QOI48" s="952"/>
      <c r="QOJ48" s="952"/>
      <c r="QOK48" s="952"/>
      <c r="QOL48" s="952"/>
      <c r="QOM48" s="952"/>
      <c r="QON48" s="952"/>
      <c r="QOO48" s="952"/>
      <c r="QOP48" s="952"/>
      <c r="QOQ48" s="952"/>
      <c r="QOR48" s="952"/>
      <c r="QOS48" s="952"/>
      <c r="QOT48" s="952"/>
      <c r="QOU48" s="952"/>
      <c r="QOV48" s="952"/>
      <c r="QOW48" s="952"/>
      <c r="QOX48" s="952"/>
      <c r="QOY48" s="952"/>
      <c r="QOZ48" s="952"/>
      <c r="QPA48" s="952"/>
      <c r="QPB48" s="952"/>
      <c r="QPC48" s="952"/>
      <c r="QPD48" s="952"/>
      <c r="QPE48" s="952"/>
      <c r="QPF48" s="952"/>
      <c r="QPG48" s="952"/>
      <c r="QPH48" s="952"/>
      <c r="QPI48" s="952"/>
      <c r="QPJ48" s="952"/>
      <c r="QPK48" s="952"/>
      <c r="QPL48" s="952"/>
      <c r="QPM48" s="952"/>
      <c r="QPN48" s="952"/>
      <c r="QPO48" s="952"/>
      <c r="QPP48" s="952"/>
      <c r="QPQ48" s="952"/>
      <c r="QPR48" s="952"/>
      <c r="QPS48" s="952"/>
      <c r="QPT48" s="952"/>
      <c r="QPU48" s="952"/>
      <c r="QPV48" s="952"/>
      <c r="QPW48" s="952"/>
      <c r="QPX48" s="952"/>
      <c r="QPY48" s="952"/>
      <c r="QPZ48" s="952"/>
      <c r="QQA48" s="952"/>
      <c r="QQB48" s="952"/>
      <c r="QQC48" s="952"/>
      <c r="QQD48" s="952"/>
      <c r="QQE48" s="952"/>
      <c r="QQF48" s="952"/>
      <c r="QQG48" s="952"/>
      <c r="QQH48" s="952"/>
      <c r="QQI48" s="952"/>
      <c r="QQJ48" s="952"/>
      <c r="QQK48" s="952"/>
      <c r="QQL48" s="952"/>
      <c r="QQM48" s="952"/>
      <c r="QQN48" s="952"/>
      <c r="QQO48" s="952"/>
      <c r="QQP48" s="952"/>
      <c r="QQQ48" s="952"/>
      <c r="QQR48" s="952"/>
      <c r="QQS48" s="952"/>
      <c r="QQT48" s="952"/>
      <c r="QQU48" s="952"/>
      <c r="QQV48" s="952"/>
      <c r="QQW48" s="952"/>
      <c r="QQX48" s="952"/>
      <c r="QQY48" s="952"/>
      <c r="QQZ48" s="952"/>
      <c r="QRA48" s="952"/>
      <c r="QRB48" s="952"/>
      <c r="QRC48" s="952"/>
      <c r="QRD48" s="952"/>
      <c r="QRE48" s="952"/>
      <c r="QRF48" s="952"/>
      <c r="QRG48" s="952"/>
      <c r="QRH48" s="952"/>
      <c r="QRI48" s="952"/>
      <c r="QRJ48" s="952"/>
      <c r="QRK48" s="952"/>
      <c r="QRL48" s="952"/>
      <c r="QRM48" s="952"/>
      <c r="QRN48" s="952"/>
      <c r="QRO48" s="952"/>
      <c r="QRP48" s="952"/>
      <c r="QRQ48" s="952"/>
      <c r="QRR48" s="952"/>
      <c r="QRS48" s="952"/>
      <c r="QRT48" s="952"/>
      <c r="QRU48" s="952"/>
      <c r="QRV48" s="952"/>
      <c r="QRW48" s="952"/>
      <c r="QRX48" s="952"/>
      <c r="QRY48" s="952"/>
      <c r="QRZ48" s="952"/>
      <c r="QSA48" s="952"/>
      <c r="QSB48" s="952"/>
      <c r="QSC48" s="952"/>
      <c r="QSD48" s="952"/>
      <c r="QSE48" s="952"/>
      <c r="QSF48" s="952"/>
      <c r="QSG48" s="952"/>
      <c r="QSH48" s="952"/>
      <c r="QSI48" s="952"/>
      <c r="QSJ48" s="952"/>
      <c r="QSK48" s="952"/>
      <c r="QSL48" s="952"/>
      <c r="QSM48" s="952"/>
      <c r="QSN48" s="952"/>
      <c r="QSO48" s="952"/>
      <c r="QSP48" s="952"/>
      <c r="QSQ48" s="952"/>
      <c r="QSR48" s="952"/>
      <c r="QSS48" s="952"/>
      <c r="QST48" s="952"/>
      <c r="QSU48" s="952"/>
      <c r="QSV48" s="952"/>
      <c r="QSW48" s="952"/>
      <c r="QSX48" s="952"/>
      <c r="QSY48" s="952"/>
      <c r="QSZ48" s="952"/>
      <c r="QTA48" s="952"/>
      <c r="QTB48" s="952"/>
      <c r="QTC48" s="952"/>
      <c r="QTD48" s="952"/>
      <c r="QTE48" s="952"/>
      <c r="QTF48" s="952"/>
      <c r="QTG48" s="952"/>
      <c r="QTH48" s="952"/>
      <c r="QTI48" s="952"/>
      <c r="QTJ48" s="952"/>
      <c r="QTK48" s="952"/>
      <c r="QTL48" s="952"/>
      <c r="QTM48" s="952"/>
      <c r="QTN48" s="952"/>
      <c r="QTO48" s="952"/>
      <c r="QTP48" s="952"/>
      <c r="QTQ48" s="952"/>
      <c r="QTR48" s="952"/>
      <c r="QTS48" s="952"/>
      <c r="QTT48" s="952"/>
      <c r="QTU48" s="952"/>
      <c r="QTV48" s="952"/>
      <c r="QTW48" s="952"/>
      <c r="QTX48" s="952"/>
      <c r="QTY48" s="952"/>
      <c r="QTZ48" s="952"/>
      <c r="QUA48" s="952"/>
      <c r="QUB48" s="952"/>
      <c r="QUC48" s="952"/>
      <c r="QUD48" s="952"/>
      <c r="QUE48" s="952"/>
      <c r="QUF48" s="952"/>
      <c r="QUG48" s="952"/>
      <c r="QUH48" s="952"/>
      <c r="QUI48" s="952"/>
      <c r="QUJ48" s="952"/>
      <c r="QUK48" s="952"/>
      <c r="QUL48" s="952"/>
      <c r="QUM48" s="952"/>
      <c r="QUN48" s="952"/>
      <c r="QUO48" s="952"/>
      <c r="QUP48" s="952"/>
      <c r="QUQ48" s="952"/>
      <c r="QUR48" s="952"/>
      <c r="QUS48" s="952"/>
      <c r="QUT48" s="952"/>
      <c r="QUU48" s="952"/>
      <c r="QUV48" s="952"/>
      <c r="QUW48" s="952"/>
      <c r="QUX48" s="952"/>
      <c r="QUY48" s="952"/>
      <c r="QUZ48" s="952"/>
      <c r="QVA48" s="952"/>
      <c r="QVB48" s="952"/>
      <c r="QVC48" s="952"/>
      <c r="QVD48" s="952"/>
      <c r="QVE48" s="952"/>
      <c r="QVF48" s="952"/>
      <c r="QVG48" s="952"/>
      <c r="QVH48" s="952"/>
      <c r="QVI48" s="952"/>
      <c r="QVJ48" s="952"/>
      <c r="QVK48" s="952"/>
      <c r="QVL48" s="952"/>
      <c r="QVM48" s="952"/>
      <c r="QVN48" s="952"/>
      <c r="QVO48" s="952"/>
      <c r="QVP48" s="952"/>
      <c r="QVQ48" s="952"/>
      <c r="QVR48" s="952"/>
      <c r="QVS48" s="952"/>
      <c r="QVT48" s="952"/>
      <c r="QVU48" s="952"/>
      <c r="QVV48" s="952"/>
      <c r="QVW48" s="952"/>
      <c r="QVX48" s="952"/>
      <c r="QVY48" s="952"/>
      <c r="QVZ48" s="952"/>
      <c r="QWA48" s="952"/>
      <c r="QWB48" s="952"/>
      <c r="QWC48" s="952"/>
      <c r="QWD48" s="952"/>
      <c r="QWE48" s="952"/>
      <c r="QWF48" s="952"/>
      <c r="QWG48" s="952"/>
      <c r="QWH48" s="952"/>
      <c r="QWI48" s="952"/>
      <c r="QWJ48" s="952"/>
      <c r="QWK48" s="952"/>
      <c r="QWL48" s="952"/>
      <c r="QWM48" s="952"/>
      <c r="QWN48" s="952"/>
      <c r="QWO48" s="952"/>
      <c r="QWP48" s="952"/>
      <c r="QWQ48" s="952"/>
      <c r="QWR48" s="952"/>
      <c r="QWS48" s="952"/>
      <c r="QWT48" s="952"/>
      <c r="QWU48" s="952"/>
      <c r="QWV48" s="952"/>
      <c r="QWW48" s="952"/>
      <c r="QWX48" s="952"/>
      <c r="QWY48" s="952"/>
      <c r="QWZ48" s="952"/>
      <c r="QXA48" s="952"/>
      <c r="QXB48" s="952"/>
      <c r="QXC48" s="952"/>
      <c r="QXD48" s="952"/>
      <c r="QXE48" s="952"/>
      <c r="QXF48" s="952"/>
      <c r="QXG48" s="952"/>
      <c r="QXH48" s="952"/>
      <c r="QXI48" s="952"/>
      <c r="QXJ48" s="952"/>
      <c r="QXK48" s="952"/>
      <c r="QXL48" s="952"/>
      <c r="QXM48" s="952"/>
      <c r="QXN48" s="952"/>
      <c r="QXO48" s="952"/>
      <c r="QXP48" s="952"/>
      <c r="QXQ48" s="952"/>
      <c r="QXR48" s="952"/>
      <c r="QXS48" s="952"/>
      <c r="QXT48" s="952"/>
      <c r="QXU48" s="952"/>
      <c r="QXV48" s="952"/>
      <c r="QXW48" s="952"/>
      <c r="QXX48" s="952"/>
      <c r="QXY48" s="952"/>
      <c r="QXZ48" s="952"/>
      <c r="QYA48" s="952"/>
      <c r="QYB48" s="952"/>
      <c r="QYC48" s="952"/>
      <c r="QYD48" s="952"/>
      <c r="QYE48" s="952"/>
      <c r="QYF48" s="952"/>
      <c r="QYG48" s="952"/>
      <c r="QYH48" s="952"/>
      <c r="QYI48" s="952"/>
      <c r="QYJ48" s="952"/>
      <c r="QYK48" s="952"/>
      <c r="QYL48" s="952"/>
      <c r="QYM48" s="952"/>
      <c r="QYN48" s="952"/>
      <c r="QYO48" s="952"/>
      <c r="QYP48" s="952"/>
      <c r="QYQ48" s="952"/>
      <c r="QYR48" s="952"/>
      <c r="QYS48" s="952"/>
      <c r="QYT48" s="952"/>
      <c r="QYU48" s="952"/>
      <c r="QYV48" s="952"/>
      <c r="QYW48" s="952"/>
      <c r="QYX48" s="952"/>
      <c r="QYY48" s="952"/>
      <c r="QYZ48" s="952"/>
      <c r="QZA48" s="952"/>
      <c r="QZB48" s="952"/>
      <c r="QZC48" s="952"/>
      <c r="QZD48" s="952"/>
      <c r="QZE48" s="952"/>
      <c r="QZF48" s="952"/>
      <c r="QZG48" s="952"/>
      <c r="QZH48" s="952"/>
      <c r="QZI48" s="952"/>
      <c r="QZJ48" s="952"/>
      <c r="QZK48" s="952"/>
      <c r="QZL48" s="952"/>
      <c r="QZM48" s="952"/>
      <c r="QZN48" s="952"/>
      <c r="QZO48" s="952"/>
      <c r="QZP48" s="952"/>
      <c r="QZQ48" s="952"/>
      <c r="QZR48" s="952"/>
      <c r="QZS48" s="952"/>
      <c r="QZT48" s="952"/>
      <c r="QZU48" s="952"/>
      <c r="QZV48" s="952"/>
      <c r="QZW48" s="952"/>
      <c r="QZX48" s="952"/>
      <c r="QZY48" s="952"/>
      <c r="QZZ48" s="952"/>
      <c r="RAA48" s="952"/>
      <c r="RAB48" s="952"/>
      <c r="RAC48" s="952"/>
      <c r="RAD48" s="952"/>
      <c r="RAE48" s="952"/>
      <c r="RAF48" s="952"/>
      <c r="RAG48" s="952"/>
      <c r="RAH48" s="952"/>
      <c r="RAI48" s="952"/>
      <c r="RAJ48" s="952"/>
      <c r="RAK48" s="952"/>
      <c r="RAL48" s="952"/>
      <c r="RAM48" s="952"/>
      <c r="RAN48" s="952"/>
      <c r="RAO48" s="952"/>
      <c r="RAP48" s="952"/>
      <c r="RAQ48" s="952"/>
      <c r="RAR48" s="952"/>
      <c r="RAS48" s="952"/>
      <c r="RAT48" s="952"/>
      <c r="RAU48" s="952"/>
      <c r="RAV48" s="952"/>
      <c r="RAW48" s="952"/>
      <c r="RAX48" s="952"/>
      <c r="RAY48" s="952"/>
      <c r="RAZ48" s="952"/>
      <c r="RBA48" s="952"/>
      <c r="RBB48" s="952"/>
      <c r="RBC48" s="952"/>
      <c r="RBD48" s="952"/>
      <c r="RBE48" s="952"/>
      <c r="RBF48" s="952"/>
      <c r="RBG48" s="952"/>
      <c r="RBH48" s="952"/>
      <c r="RBI48" s="952"/>
      <c r="RBJ48" s="952"/>
      <c r="RBK48" s="952"/>
      <c r="RBL48" s="952"/>
      <c r="RBM48" s="952"/>
      <c r="RBN48" s="952"/>
      <c r="RBO48" s="952"/>
      <c r="RBP48" s="952"/>
      <c r="RBQ48" s="952"/>
      <c r="RBR48" s="952"/>
      <c r="RBS48" s="952"/>
      <c r="RBT48" s="952"/>
      <c r="RBU48" s="952"/>
      <c r="RBV48" s="952"/>
      <c r="RBW48" s="952"/>
      <c r="RBX48" s="952"/>
      <c r="RBY48" s="952"/>
      <c r="RBZ48" s="952"/>
      <c r="RCA48" s="952"/>
      <c r="RCB48" s="952"/>
      <c r="RCC48" s="952"/>
      <c r="RCD48" s="952"/>
      <c r="RCE48" s="952"/>
      <c r="RCF48" s="952"/>
      <c r="RCG48" s="952"/>
      <c r="RCH48" s="952"/>
      <c r="RCI48" s="952"/>
      <c r="RCJ48" s="952"/>
      <c r="RCK48" s="952"/>
      <c r="RCL48" s="952"/>
      <c r="RCM48" s="952"/>
      <c r="RCN48" s="952"/>
      <c r="RCO48" s="952"/>
      <c r="RCP48" s="952"/>
      <c r="RCQ48" s="952"/>
      <c r="RCR48" s="952"/>
      <c r="RCS48" s="952"/>
      <c r="RCT48" s="952"/>
      <c r="RCU48" s="952"/>
      <c r="RCV48" s="952"/>
      <c r="RCW48" s="952"/>
      <c r="RCX48" s="952"/>
      <c r="RCY48" s="952"/>
      <c r="RCZ48" s="952"/>
      <c r="RDA48" s="952"/>
      <c r="RDB48" s="952"/>
      <c r="RDC48" s="952"/>
      <c r="RDD48" s="952"/>
      <c r="RDE48" s="952"/>
      <c r="RDF48" s="952"/>
      <c r="RDG48" s="952"/>
      <c r="RDH48" s="952"/>
      <c r="RDI48" s="952"/>
      <c r="RDJ48" s="952"/>
      <c r="RDK48" s="952"/>
      <c r="RDL48" s="952"/>
      <c r="RDM48" s="952"/>
      <c r="RDN48" s="952"/>
      <c r="RDO48" s="952"/>
      <c r="RDP48" s="952"/>
      <c r="RDQ48" s="952"/>
      <c r="RDR48" s="952"/>
      <c r="RDS48" s="952"/>
      <c r="RDT48" s="952"/>
      <c r="RDU48" s="952"/>
      <c r="RDV48" s="952"/>
      <c r="RDW48" s="952"/>
      <c r="RDX48" s="952"/>
      <c r="RDY48" s="952"/>
      <c r="RDZ48" s="952"/>
      <c r="REA48" s="952"/>
      <c r="REB48" s="952"/>
      <c r="REC48" s="952"/>
      <c r="RED48" s="952"/>
      <c r="REE48" s="952"/>
      <c r="REF48" s="952"/>
      <c r="REG48" s="952"/>
      <c r="REH48" s="952"/>
      <c r="REI48" s="952"/>
      <c r="REJ48" s="952"/>
      <c r="REK48" s="952"/>
      <c r="REL48" s="952"/>
      <c r="REM48" s="952"/>
      <c r="REN48" s="952"/>
      <c r="REO48" s="952"/>
      <c r="REP48" s="952"/>
      <c r="REQ48" s="952"/>
      <c r="RER48" s="952"/>
      <c r="RES48" s="952"/>
      <c r="RET48" s="952"/>
      <c r="REU48" s="952"/>
      <c r="REV48" s="952"/>
      <c r="REW48" s="952"/>
      <c r="REX48" s="952"/>
      <c r="REY48" s="952"/>
      <c r="REZ48" s="952"/>
      <c r="RFA48" s="952"/>
      <c r="RFB48" s="952"/>
      <c r="RFC48" s="952"/>
      <c r="RFD48" s="952"/>
      <c r="RFE48" s="952"/>
      <c r="RFF48" s="952"/>
      <c r="RFG48" s="952"/>
      <c r="RFH48" s="952"/>
      <c r="RFI48" s="952"/>
      <c r="RFJ48" s="952"/>
      <c r="RFK48" s="952"/>
      <c r="RFL48" s="952"/>
      <c r="RFM48" s="952"/>
      <c r="RFN48" s="952"/>
      <c r="RFO48" s="952"/>
      <c r="RFP48" s="952"/>
      <c r="RFQ48" s="952"/>
      <c r="RFR48" s="952"/>
      <c r="RFS48" s="952"/>
      <c r="RFT48" s="952"/>
      <c r="RFU48" s="952"/>
      <c r="RFV48" s="952"/>
      <c r="RFW48" s="952"/>
      <c r="RFX48" s="952"/>
      <c r="RFY48" s="952"/>
      <c r="RFZ48" s="952"/>
      <c r="RGA48" s="952"/>
      <c r="RGB48" s="952"/>
      <c r="RGC48" s="952"/>
      <c r="RGD48" s="952"/>
      <c r="RGE48" s="952"/>
      <c r="RGF48" s="952"/>
      <c r="RGG48" s="952"/>
      <c r="RGH48" s="952"/>
      <c r="RGI48" s="952"/>
      <c r="RGJ48" s="952"/>
      <c r="RGK48" s="952"/>
      <c r="RGL48" s="952"/>
      <c r="RGM48" s="952"/>
      <c r="RGN48" s="952"/>
      <c r="RGO48" s="952"/>
      <c r="RGP48" s="952"/>
      <c r="RGQ48" s="952"/>
      <c r="RGR48" s="952"/>
      <c r="RGS48" s="952"/>
      <c r="RGT48" s="952"/>
      <c r="RGU48" s="952"/>
      <c r="RGV48" s="952"/>
      <c r="RGW48" s="952"/>
      <c r="RGX48" s="952"/>
      <c r="RGY48" s="952"/>
      <c r="RGZ48" s="952"/>
      <c r="RHA48" s="952"/>
      <c r="RHB48" s="952"/>
      <c r="RHC48" s="952"/>
      <c r="RHD48" s="952"/>
      <c r="RHE48" s="952"/>
      <c r="RHF48" s="952"/>
      <c r="RHG48" s="952"/>
      <c r="RHH48" s="952"/>
      <c r="RHI48" s="952"/>
      <c r="RHJ48" s="952"/>
      <c r="RHK48" s="952"/>
      <c r="RHL48" s="952"/>
      <c r="RHM48" s="952"/>
      <c r="RHN48" s="952"/>
      <c r="RHO48" s="952"/>
      <c r="RHP48" s="952"/>
      <c r="RHQ48" s="952"/>
      <c r="RHR48" s="952"/>
      <c r="RHS48" s="952"/>
      <c r="RHT48" s="952"/>
      <c r="RHU48" s="952"/>
      <c r="RHV48" s="952"/>
      <c r="RHW48" s="952"/>
      <c r="RHX48" s="952"/>
      <c r="RHY48" s="952"/>
      <c r="RHZ48" s="952"/>
      <c r="RIA48" s="952"/>
      <c r="RIB48" s="952"/>
      <c r="RIC48" s="952"/>
      <c r="RID48" s="952"/>
      <c r="RIE48" s="952"/>
      <c r="RIF48" s="952"/>
      <c r="RIG48" s="952"/>
      <c r="RIH48" s="952"/>
      <c r="RII48" s="952"/>
      <c r="RIJ48" s="952"/>
      <c r="RIK48" s="952"/>
      <c r="RIL48" s="952"/>
      <c r="RIM48" s="952"/>
      <c r="RIN48" s="952"/>
      <c r="RIO48" s="952"/>
      <c r="RIP48" s="952"/>
      <c r="RIQ48" s="952"/>
      <c r="RIR48" s="952"/>
      <c r="RIS48" s="952"/>
      <c r="RIT48" s="952"/>
      <c r="RIU48" s="952"/>
      <c r="RIV48" s="952"/>
      <c r="RIW48" s="952"/>
      <c r="RIX48" s="952"/>
      <c r="RIY48" s="952"/>
      <c r="RIZ48" s="952"/>
      <c r="RJA48" s="952"/>
      <c r="RJB48" s="952"/>
      <c r="RJC48" s="952"/>
      <c r="RJD48" s="952"/>
      <c r="RJE48" s="952"/>
      <c r="RJF48" s="952"/>
      <c r="RJG48" s="952"/>
      <c r="RJH48" s="952"/>
      <c r="RJI48" s="952"/>
      <c r="RJJ48" s="952"/>
      <c r="RJK48" s="952"/>
      <c r="RJL48" s="952"/>
      <c r="RJM48" s="952"/>
      <c r="RJN48" s="952"/>
      <c r="RJO48" s="952"/>
      <c r="RJP48" s="952"/>
      <c r="RJQ48" s="952"/>
      <c r="RJR48" s="952"/>
      <c r="RJS48" s="952"/>
      <c r="RJT48" s="952"/>
      <c r="RJU48" s="952"/>
      <c r="RJV48" s="952"/>
      <c r="RJW48" s="952"/>
      <c r="RJX48" s="952"/>
      <c r="RJY48" s="952"/>
      <c r="RJZ48" s="952"/>
      <c r="RKA48" s="952"/>
      <c r="RKB48" s="952"/>
      <c r="RKC48" s="952"/>
      <c r="RKD48" s="952"/>
      <c r="RKE48" s="952"/>
      <c r="RKF48" s="952"/>
      <c r="RKG48" s="952"/>
      <c r="RKH48" s="952"/>
      <c r="RKI48" s="952"/>
      <c r="RKJ48" s="952"/>
      <c r="RKK48" s="952"/>
      <c r="RKL48" s="952"/>
      <c r="RKM48" s="952"/>
      <c r="RKN48" s="952"/>
      <c r="RKO48" s="952"/>
      <c r="RKP48" s="952"/>
      <c r="RKQ48" s="952"/>
      <c r="RKR48" s="952"/>
      <c r="RKS48" s="952"/>
      <c r="RKT48" s="952"/>
      <c r="RKU48" s="952"/>
      <c r="RKV48" s="952"/>
      <c r="RKW48" s="952"/>
      <c r="RKX48" s="952"/>
      <c r="RKY48" s="952"/>
      <c r="RKZ48" s="952"/>
      <c r="RLA48" s="952"/>
      <c r="RLB48" s="952"/>
      <c r="RLC48" s="952"/>
      <c r="RLD48" s="952"/>
      <c r="RLE48" s="952"/>
      <c r="RLF48" s="952"/>
      <c r="RLG48" s="952"/>
      <c r="RLH48" s="952"/>
      <c r="RLI48" s="952"/>
      <c r="RLJ48" s="952"/>
      <c r="RLK48" s="952"/>
      <c r="RLL48" s="952"/>
      <c r="RLM48" s="952"/>
      <c r="RLN48" s="952"/>
      <c r="RLO48" s="952"/>
      <c r="RLP48" s="952"/>
      <c r="RLQ48" s="952"/>
      <c r="RLR48" s="952"/>
      <c r="RLS48" s="952"/>
      <c r="RLT48" s="952"/>
      <c r="RLU48" s="952"/>
      <c r="RLV48" s="952"/>
      <c r="RLW48" s="952"/>
      <c r="RLX48" s="952"/>
      <c r="RLY48" s="952"/>
      <c r="RLZ48" s="952"/>
      <c r="RMA48" s="952"/>
      <c r="RMB48" s="952"/>
      <c r="RMC48" s="952"/>
      <c r="RMD48" s="952"/>
      <c r="RME48" s="952"/>
      <c r="RMF48" s="952"/>
      <c r="RMG48" s="952"/>
      <c r="RMH48" s="952"/>
      <c r="RMI48" s="952"/>
      <c r="RMJ48" s="952"/>
      <c r="RMK48" s="952"/>
      <c r="RML48" s="952"/>
      <c r="RMM48" s="952"/>
      <c r="RMN48" s="952"/>
      <c r="RMO48" s="952"/>
      <c r="RMP48" s="952"/>
      <c r="RMQ48" s="952"/>
      <c r="RMR48" s="952"/>
      <c r="RMS48" s="952"/>
      <c r="RMT48" s="952"/>
      <c r="RMU48" s="952"/>
      <c r="RMV48" s="952"/>
      <c r="RMW48" s="952"/>
      <c r="RMX48" s="952"/>
      <c r="RMY48" s="952"/>
      <c r="RMZ48" s="952"/>
      <c r="RNA48" s="952"/>
      <c r="RNB48" s="952"/>
      <c r="RNC48" s="952"/>
      <c r="RND48" s="952"/>
      <c r="RNE48" s="952"/>
      <c r="RNF48" s="952"/>
      <c r="RNG48" s="952"/>
      <c r="RNH48" s="952"/>
      <c r="RNI48" s="952"/>
      <c r="RNJ48" s="952"/>
      <c r="RNK48" s="952"/>
      <c r="RNL48" s="952"/>
      <c r="RNM48" s="952"/>
      <c r="RNN48" s="952"/>
      <c r="RNO48" s="952"/>
      <c r="RNP48" s="952"/>
      <c r="RNQ48" s="952"/>
      <c r="RNR48" s="952"/>
      <c r="RNS48" s="952"/>
      <c r="RNT48" s="952"/>
      <c r="RNU48" s="952"/>
      <c r="RNV48" s="952"/>
      <c r="RNW48" s="952"/>
      <c r="RNX48" s="952"/>
      <c r="RNY48" s="952"/>
      <c r="RNZ48" s="952"/>
      <c r="ROA48" s="952"/>
      <c r="ROB48" s="952"/>
      <c r="ROC48" s="952"/>
      <c r="ROD48" s="952"/>
      <c r="ROE48" s="952"/>
      <c r="ROF48" s="952"/>
      <c r="ROG48" s="952"/>
      <c r="ROH48" s="952"/>
      <c r="ROI48" s="952"/>
      <c r="ROJ48" s="952"/>
      <c r="ROK48" s="952"/>
      <c r="ROL48" s="952"/>
      <c r="ROM48" s="952"/>
      <c r="RON48" s="952"/>
      <c r="ROO48" s="952"/>
      <c r="ROP48" s="952"/>
      <c r="ROQ48" s="952"/>
      <c r="ROR48" s="952"/>
      <c r="ROS48" s="952"/>
      <c r="ROT48" s="952"/>
      <c r="ROU48" s="952"/>
      <c r="ROV48" s="952"/>
      <c r="ROW48" s="952"/>
      <c r="ROX48" s="952"/>
      <c r="ROY48" s="952"/>
      <c r="ROZ48" s="952"/>
      <c r="RPA48" s="952"/>
      <c r="RPB48" s="952"/>
      <c r="RPC48" s="952"/>
      <c r="RPD48" s="952"/>
      <c r="RPE48" s="952"/>
      <c r="RPF48" s="952"/>
      <c r="RPG48" s="952"/>
      <c r="RPH48" s="952"/>
      <c r="RPI48" s="952"/>
      <c r="RPJ48" s="952"/>
      <c r="RPK48" s="952"/>
      <c r="RPL48" s="952"/>
      <c r="RPM48" s="952"/>
      <c r="RPN48" s="952"/>
      <c r="RPO48" s="952"/>
      <c r="RPP48" s="952"/>
      <c r="RPQ48" s="952"/>
      <c r="RPR48" s="952"/>
      <c r="RPS48" s="952"/>
      <c r="RPT48" s="952"/>
      <c r="RPU48" s="952"/>
      <c r="RPV48" s="952"/>
      <c r="RPW48" s="952"/>
      <c r="RPX48" s="952"/>
      <c r="RPY48" s="952"/>
      <c r="RPZ48" s="952"/>
      <c r="RQA48" s="952"/>
      <c r="RQB48" s="952"/>
      <c r="RQC48" s="952"/>
      <c r="RQD48" s="952"/>
      <c r="RQE48" s="952"/>
      <c r="RQF48" s="952"/>
      <c r="RQG48" s="952"/>
      <c r="RQH48" s="952"/>
      <c r="RQI48" s="952"/>
      <c r="RQJ48" s="952"/>
      <c r="RQK48" s="952"/>
      <c r="RQL48" s="952"/>
      <c r="RQM48" s="952"/>
      <c r="RQN48" s="952"/>
      <c r="RQO48" s="952"/>
      <c r="RQP48" s="952"/>
      <c r="RQQ48" s="952"/>
      <c r="RQR48" s="952"/>
      <c r="RQS48" s="952"/>
      <c r="RQT48" s="952"/>
      <c r="RQU48" s="952"/>
      <c r="RQV48" s="952"/>
      <c r="RQW48" s="952"/>
      <c r="RQX48" s="952"/>
      <c r="RQY48" s="952"/>
      <c r="RQZ48" s="952"/>
      <c r="RRA48" s="952"/>
      <c r="RRB48" s="952"/>
      <c r="RRC48" s="952"/>
      <c r="RRD48" s="952"/>
      <c r="RRE48" s="952"/>
      <c r="RRF48" s="952"/>
      <c r="RRG48" s="952"/>
      <c r="RRH48" s="952"/>
      <c r="RRI48" s="952"/>
      <c r="RRJ48" s="952"/>
      <c r="RRK48" s="952"/>
      <c r="RRL48" s="952"/>
      <c r="RRM48" s="952"/>
      <c r="RRN48" s="952"/>
      <c r="RRO48" s="952"/>
      <c r="RRP48" s="952"/>
      <c r="RRQ48" s="952"/>
      <c r="RRR48" s="952"/>
      <c r="RRS48" s="952"/>
      <c r="RRT48" s="952"/>
      <c r="RRU48" s="952"/>
      <c r="RRV48" s="952"/>
      <c r="RRW48" s="952"/>
      <c r="RRX48" s="952"/>
      <c r="RRY48" s="952"/>
      <c r="RRZ48" s="952"/>
      <c r="RSA48" s="952"/>
      <c r="RSB48" s="952"/>
      <c r="RSC48" s="952"/>
      <c r="RSD48" s="952"/>
      <c r="RSE48" s="952"/>
      <c r="RSF48" s="952"/>
      <c r="RSG48" s="952"/>
      <c r="RSH48" s="952"/>
      <c r="RSI48" s="952"/>
      <c r="RSJ48" s="952"/>
      <c r="RSK48" s="952"/>
      <c r="RSL48" s="952"/>
      <c r="RSM48" s="952"/>
      <c r="RSN48" s="952"/>
      <c r="RSO48" s="952"/>
      <c r="RSP48" s="952"/>
      <c r="RSQ48" s="952"/>
      <c r="RSR48" s="952"/>
      <c r="RSS48" s="952"/>
      <c r="RST48" s="952"/>
      <c r="RSU48" s="952"/>
      <c r="RSV48" s="952"/>
      <c r="RSW48" s="952"/>
      <c r="RSX48" s="952"/>
      <c r="RSY48" s="952"/>
      <c r="RSZ48" s="952"/>
      <c r="RTA48" s="952"/>
      <c r="RTB48" s="952"/>
      <c r="RTC48" s="952"/>
      <c r="RTD48" s="952"/>
      <c r="RTE48" s="952"/>
      <c r="RTF48" s="952"/>
      <c r="RTG48" s="952"/>
      <c r="RTH48" s="952"/>
      <c r="RTI48" s="952"/>
      <c r="RTJ48" s="952"/>
      <c r="RTK48" s="952"/>
      <c r="RTL48" s="952"/>
      <c r="RTM48" s="952"/>
      <c r="RTN48" s="952"/>
      <c r="RTO48" s="952"/>
      <c r="RTP48" s="952"/>
      <c r="RTQ48" s="952"/>
      <c r="RTR48" s="952"/>
      <c r="RTS48" s="952"/>
      <c r="RTT48" s="952"/>
      <c r="RTU48" s="952"/>
      <c r="RTV48" s="952"/>
      <c r="RTW48" s="952"/>
      <c r="RTX48" s="952"/>
      <c r="RTY48" s="952"/>
      <c r="RTZ48" s="952"/>
      <c r="RUA48" s="952"/>
      <c r="RUB48" s="952"/>
      <c r="RUC48" s="952"/>
      <c r="RUD48" s="952"/>
      <c r="RUE48" s="952"/>
      <c r="RUF48" s="952"/>
      <c r="RUG48" s="952"/>
      <c r="RUH48" s="952"/>
      <c r="RUI48" s="952"/>
      <c r="RUJ48" s="952"/>
      <c r="RUK48" s="952"/>
      <c r="RUL48" s="952"/>
      <c r="RUM48" s="952"/>
      <c r="RUN48" s="952"/>
      <c r="RUO48" s="952"/>
      <c r="RUP48" s="952"/>
      <c r="RUQ48" s="952"/>
      <c r="RUR48" s="952"/>
      <c r="RUS48" s="952"/>
      <c r="RUT48" s="952"/>
      <c r="RUU48" s="952"/>
      <c r="RUV48" s="952"/>
      <c r="RUW48" s="952"/>
      <c r="RUX48" s="952"/>
      <c r="RUY48" s="952"/>
      <c r="RUZ48" s="952"/>
      <c r="RVA48" s="952"/>
      <c r="RVB48" s="952"/>
      <c r="RVC48" s="952"/>
      <c r="RVD48" s="952"/>
      <c r="RVE48" s="952"/>
      <c r="RVF48" s="952"/>
      <c r="RVG48" s="952"/>
      <c r="RVH48" s="952"/>
      <c r="RVI48" s="952"/>
      <c r="RVJ48" s="952"/>
      <c r="RVK48" s="952"/>
      <c r="RVL48" s="952"/>
      <c r="RVM48" s="952"/>
      <c r="RVN48" s="952"/>
      <c r="RVO48" s="952"/>
      <c r="RVP48" s="952"/>
      <c r="RVQ48" s="952"/>
      <c r="RVR48" s="952"/>
      <c r="RVS48" s="952"/>
      <c r="RVT48" s="952"/>
      <c r="RVU48" s="952"/>
      <c r="RVV48" s="952"/>
      <c r="RVW48" s="952"/>
      <c r="RVX48" s="952"/>
      <c r="RVY48" s="952"/>
      <c r="RVZ48" s="952"/>
      <c r="RWA48" s="952"/>
      <c r="RWB48" s="952"/>
      <c r="RWC48" s="952"/>
      <c r="RWD48" s="952"/>
      <c r="RWE48" s="952"/>
      <c r="RWF48" s="952"/>
      <c r="RWG48" s="952"/>
      <c r="RWH48" s="952"/>
      <c r="RWI48" s="952"/>
      <c r="RWJ48" s="952"/>
      <c r="RWK48" s="952"/>
      <c r="RWL48" s="952"/>
      <c r="RWM48" s="952"/>
      <c r="RWN48" s="952"/>
      <c r="RWO48" s="952"/>
      <c r="RWP48" s="952"/>
      <c r="RWQ48" s="952"/>
      <c r="RWR48" s="952"/>
      <c r="RWS48" s="952"/>
      <c r="RWT48" s="952"/>
      <c r="RWU48" s="952"/>
      <c r="RWV48" s="952"/>
      <c r="RWW48" s="952"/>
      <c r="RWX48" s="952"/>
      <c r="RWY48" s="952"/>
      <c r="RWZ48" s="952"/>
      <c r="RXA48" s="952"/>
      <c r="RXB48" s="952"/>
      <c r="RXC48" s="952"/>
      <c r="RXD48" s="952"/>
      <c r="RXE48" s="952"/>
      <c r="RXF48" s="952"/>
      <c r="RXG48" s="952"/>
      <c r="RXH48" s="952"/>
      <c r="RXI48" s="952"/>
      <c r="RXJ48" s="952"/>
      <c r="RXK48" s="952"/>
      <c r="RXL48" s="952"/>
      <c r="RXM48" s="952"/>
      <c r="RXN48" s="952"/>
      <c r="RXO48" s="952"/>
      <c r="RXP48" s="952"/>
      <c r="RXQ48" s="952"/>
      <c r="RXR48" s="952"/>
      <c r="RXS48" s="952"/>
      <c r="RXT48" s="952"/>
      <c r="RXU48" s="952"/>
      <c r="RXV48" s="952"/>
      <c r="RXW48" s="952"/>
      <c r="RXX48" s="952"/>
      <c r="RXY48" s="952"/>
      <c r="RXZ48" s="952"/>
      <c r="RYA48" s="952"/>
      <c r="RYB48" s="952"/>
      <c r="RYC48" s="952"/>
      <c r="RYD48" s="952"/>
      <c r="RYE48" s="952"/>
      <c r="RYF48" s="952"/>
      <c r="RYG48" s="952"/>
      <c r="RYH48" s="952"/>
      <c r="RYI48" s="952"/>
      <c r="RYJ48" s="952"/>
      <c r="RYK48" s="952"/>
      <c r="RYL48" s="952"/>
      <c r="RYM48" s="952"/>
      <c r="RYN48" s="952"/>
      <c r="RYO48" s="952"/>
      <c r="RYP48" s="952"/>
      <c r="RYQ48" s="952"/>
      <c r="RYR48" s="952"/>
      <c r="RYS48" s="952"/>
      <c r="RYT48" s="952"/>
      <c r="RYU48" s="952"/>
      <c r="RYV48" s="952"/>
      <c r="RYW48" s="952"/>
      <c r="RYX48" s="952"/>
      <c r="RYY48" s="952"/>
      <c r="RYZ48" s="952"/>
      <c r="RZA48" s="952"/>
      <c r="RZB48" s="952"/>
      <c r="RZC48" s="952"/>
      <c r="RZD48" s="952"/>
      <c r="RZE48" s="952"/>
      <c r="RZF48" s="952"/>
      <c r="RZG48" s="952"/>
      <c r="RZH48" s="952"/>
      <c r="RZI48" s="952"/>
      <c r="RZJ48" s="952"/>
      <c r="RZK48" s="952"/>
      <c r="RZL48" s="952"/>
      <c r="RZM48" s="952"/>
      <c r="RZN48" s="952"/>
      <c r="RZO48" s="952"/>
      <c r="RZP48" s="952"/>
      <c r="RZQ48" s="952"/>
      <c r="RZR48" s="952"/>
      <c r="RZS48" s="952"/>
      <c r="RZT48" s="952"/>
      <c r="RZU48" s="952"/>
      <c r="RZV48" s="952"/>
      <c r="RZW48" s="952"/>
      <c r="RZX48" s="952"/>
      <c r="RZY48" s="952"/>
      <c r="RZZ48" s="952"/>
      <c r="SAA48" s="952"/>
      <c r="SAB48" s="952"/>
      <c r="SAC48" s="952"/>
      <c r="SAD48" s="952"/>
      <c r="SAE48" s="952"/>
      <c r="SAF48" s="952"/>
      <c r="SAG48" s="952"/>
      <c r="SAH48" s="952"/>
      <c r="SAI48" s="952"/>
      <c r="SAJ48" s="952"/>
      <c r="SAK48" s="952"/>
      <c r="SAL48" s="952"/>
      <c r="SAM48" s="952"/>
      <c r="SAN48" s="952"/>
      <c r="SAO48" s="952"/>
      <c r="SAP48" s="952"/>
      <c r="SAQ48" s="952"/>
      <c r="SAR48" s="952"/>
      <c r="SAS48" s="952"/>
      <c r="SAT48" s="952"/>
      <c r="SAU48" s="952"/>
      <c r="SAV48" s="952"/>
      <c r="SAW48" s="952"/>
      <c r="SAX48" s="952"/>
      <c r="SAY48" s="952"/>
      <c r="SAZ48" s="952"/>
      <c r="SBA48" s="952"/>
      <c r="SBB48" s="952"/>
      <c r="SBC48" s="952"/>
      <c r="SBD48" s="952"/>
      <c r="SBE48" s="952"/>
      <c r="SBF48" s="952"/>
      <c r="SBG48" s="952"/>
      <c r="SBH48" s="952"/>
      <c r="SBI48" s="952"/>
      <c r="SBJ48" s="952"/>
      <c r="SBK48" s="952"/>
      <c r="SBL48" s="952"/>
      <c r="SBM48" s="952"/>
      <c r="SBN48" s="952"/>
      <c r="SBO48" s="952"/>
      <c r="SBP48" s="952"/>
      <c r="SBQ48" s="952"/>
      <c r="SBR48" s="952"/>
      <c r="SBS48" s="952"/>
      <c r="SBT48" s="952"/>
      <c r="SBU48" s="952"/>
      <c r="SBV48" s="952"/>
      <c r="SBW48" s="952"/>
      <c r="SBX48" s="952"/>
      <c r="SBY48" s="952"/>
      <c r="SBZ48" s="952"/>
      <c r="SCA48" s="952"/>
      <c r="SCB48" s="952"/>
      <c r="SCC48" s="952"/>
      <c r="SCD48" s="952"/>
      <c r="SCE48" s="952"/>
      <c r="SCF48" s="952"/>
      <c r="SCG48" s="952"/>
      <c r="SCH48" s="952"/>
      <c r="SCI48" s="952"/>
      <c r="SCJ48" s="952"/>
      <c r="SCK48" s="952"/>
      <c r="SCL48" s="952"/>
      <c r="SCM48" s="952"/>
      <c r="SCN48" s="952"/>
      <c r="SCO48" s="952"/>
      <c r="SCP48" s="952"/>
      <c r="SCQ48" s="952"/>
      <c r="SCR48" s="952"/>
      <c r="SCS48" s="952"/>
      <c r="SCT48" s="952"/>
      <c r="SCU48" s="952"/>
      <c r="SCV48" s="952"/>
      <c r="SCW48" s="952"/>
      <c r="SCX48" s="952"/>
      <c r="SCY48" s="952"/>
      <c r="SCZ48" s="952"/>
      <c r="SDA48" s="952"/>
      <c r="SDB48" s="952"/>
      <c r="SDC48" s="952"/>
      <c r="SDD48" s="952"/>
      <c r="SDE48" s="952"/>
      <c r="SDF48" s="952"/>
      <c r="SDG48" s="952"/>
      <c r="SDH48" s="952"/>
      <c r="SDI48" s="952"/>
      <c r="SDJ48" s="952"/>
      <c r="SDK48" s="952"/>
      <c r="SDL48" s="952"/>
      <c r="SDM48" s="952"/>
      <c r="SDN48" s="952"/>
      <c r="SDO48" s="952"/>
      <c r="SDP48" s="952"/>
      <c r="SDQ48" s="952"/>
      <c r="SDR48" s="952"/>
      <c r="SDS48" s="952"/>
      <c r="SDT48" s="952"/>
      <c r="SDU48" s="952"/>
      <c r="SDV48" s="952"/>
      <c r="SDW48" s="952"/>
      <c r="SDX48" s="952"/>
      <c r="SDY48" s="952"/>
      <c r="SDZ48" s="952"/>
      <c r="SEA48" s="952"/>
      <c r="SEB48" s="952"/>
      <c r="SEC48" s="952"/>
      <c r="SED48" s="952"/>
      <c r="SEE48" s="952"/>
      <c r="SEF48" s="952"/>
      <c r="SEG48" s="952"/>
      <c r="SEH48" s="952"/>
      <c r="SEI48" s="952"/>
      <c r="SEJ48" s="952"/>
      <c r="SEK48" s="952"/>
      <c r="SEL48" s="952"/>
      <c r="SEM48" s="952"/>
      <c r="SEN48" s="952"/>
      <c r="SEO48" s="952"/>
      <c r="SEP48" s="952"/>
      <c r="SEQ48" s="952"/>
      <c r="SER48" s="952"/>
      <c r="SES48" s="952"/>
      <c r="SET48" s="952"/>
      <c r="SEU48" s="952"/>
      <c r="SEV48" s="952"/>
      <c r="SEW48" s="952"/>
      <c r="SEX48" s="952"/>
      <c r="SEY48" s="952"/>
      <c r="SEZ48" s="952"/>
      <c r="SFA48" s="952"/>
      <c r="SFB48" s="952"/>
      <c r="SFC48" s="952"/>
      <c r="SFD48" s="952"/>
      <c r="SFE48" s="952"/>
      <c r="SFF48" s="952"/>
      <c r="SFG48" s="952"/>
      <c r="SFH48" s="952"/>
      <c r="SFI48" s="952"/>
      <c r="SFJ48" s="952"/>
      <c r="SFK48" s="952"/>
      <c r="SFL48" s="952"/>
      <c r="SFM48" s="952"/>
      <c r="SFN48" s="952"/>
      <c r="SFO48" s="952"/>
      <c r="SFP48" s="952"/>
      <c r="SFQ48" s="952"/>
      <c r="SFR48" s="952"/>
      <c r="SFS48" s="952"/>
      <c r="SFT48" s="952"/>
      <c r="SFU48" s="952"/>
      <c r="SFV48" s="952"/>
      <c r="SFW48" s="952"/>
      <c r="SFX48" s="952"/>
      <c r="SFY48" s="952"/>
      <c r="SFZ48" s="952"/>
      <c r="SGA48" s="952"/>
      <c r="SGB48" s="952"/>
      <c r="SGC48" s="952"/>
      <c r="SGD48" s="952"/>
      <c r="SGE48" s="952"/>
      <c r="SGF48" s="952"/>
      <c r="SGG48" s="952"/>
      <c r="SGH48" s="952"/>
      <c r="SGI48" s="952"/>
      <c r="SGJ48" s="952"/>
      <c r="SGK48" s="952"/>
      <c r="SGL48" s="952"/>
      <c r="SGM48" s="952"/>
      <c r="SGN48" s="952"/>
      <c r="SGO48" s="952"/>
      <c r="SGP48" s="952"/>
      <c r="SGQ48" s="952"/>
      <c r="SGR48" s="952"/>
      <c r="SGS48" s="952"/>
      <c r="SGT48" s="952"/>
      <c r="SGU48" s="952"/>
      <c r="SGV48" s="952"/>
      <c r="SGW48" s="952"/>
      <c r="SGX48" s="952"/>
      <c r="SGY48" s="952"/>
      <c r="SGZ48" s="952"/>
      <c r="SHA48" s="952"/>
      <c r="SHB48" s="952"/>
      <c r="SHC48" s="952"/>
      <c r="SHD48" s="952"/>
      <c r="SHE48" s="952"/>
      <c r="SHF48" s="952"/>
      <c r="SHG48" s="952"/>
      <c r="SHH48" s="952"/>
      <c r="SHI48" s="952"/>
      <c r="SHJ48" s="952"/>
      <c r="SHK48" s="952"/>
      <c r="SHL48" s="952"/>
      <c r="SHM48" s="952"/>
      <c r="SHN48" s="952"/>
      <c r="SHO48" s="952"/>
      <c r="SHP48" s="952"/>
      <c r="SHQ48" s="952"/>
      <c r="SHR48" s="952"/>
      <c r="SHS48" s="952"/>
      <c r="SHT48" s="952"/>
      <c r="SHU48" s="952"/>
      <c r="SHV48" s="952"/>
      <c r="SHW48" s="952"/>
      <c r="SHX48" s="952"/>
      <c r="SHY48" s="952"/>
      <c r="SHZ48" s="952"/>
      <c r="SIA48" s="952"/>
      <c r="SIB48" s="952"/>
      <c r="SIC48" s="952"/>
      <c r="SID48" s="952"/>
      <c r="SIE48" s="952"/>
      <c r="SIF48" s="952"/>
      <c r="SIG48" s="952"/>
      <c r="SIH48" s="952"/>
      <c r="SII48" s="952"/>
      <c r="SIJ48" s="952"/>
      <c r="SIK48" s="952"/>
      <c r="SIL48" s="952"/>
      <c r="SIM48" s="952"/>
      <c r="SIN48" s="952"/>
      <c r="SIO48" s="952"/>
      <c r="SIP48" s="952"/>
      <c r="SIQ48" s="952"/>
      <c r="SIR48" s="952"/>
      <c r="SIS48" s="952"/>
      <c r="SIT48" s="952"/>
      <c r="SIU48" s="952"/>
      <c r="SIV48" s="952"/>
      <c r="SIW48" s="952"/>
      <c r="SIX48" s="952"/>
      <c r="SIY48" s="952"/>
      <c r="SIZ48" s="952"/>
      <c r="SJA48" s="952"/>
      <c r="SJB48" s="952"/>
      <c r="SJC48" s="952"/>
      <c r="SJD48" s="952"/>
      <c r="SJE48" s="952"/>
      <c r="SJF48" s="952"/>
      <c r="SJG48" s="952"/>
      <c r="SJH48" s="952"/>
      <c r="SJI48" s="952"/>
      <c r="SJJ48" s="952"/>
      <c r="SJK48" s="952"/>
      <c r="SJL48" s="952"/>
      <c r="SJM48" s="952"/>
      <c r="SJN48" s="952"/>
      <c r="SJO48" s="952"/>
      <c r="SJP48" s="952"/>
      <c r="SJQ48" s="952"/>
      <c r="SJR48" s="952"/>
      <c r="SJS48" s="952"/>
      <c r="SJT48" s="952"/>
      <c r="SJU48" s="952"/>
      <c r="SJV48" s="952"/>
      <c r="SJW48" s="952"/>
      <c r="SJX48" s="952"/>
      <c r="SJY48" s="952"/>
      <c r="SJZ48" s="952"/>
      <c r="SKA48" s="952"/>
      <c r="SKB48" s="952"/>
      <c r="SKC48" s="952"/>
      <c r="SKD48" s="952"/>
      <c r="SKE48" s="952"/>
      <c r="SKF48" s="952"/>
      <c r="SKG48" s="952"/>
      <c r="SKH48" s="952"/>
      <c r="SKI48" s="952"/>
      <c r="SKJ48" s="952"/>
      <c r="SKK48" s="952"/>
      <c r="SKL48" s="952"/>
      <c r="SKM48" s="952"/>
      <c r="SKN48" s="952"/>
      <c r="SKO48" s="952"/>
      <c r="SKP48" s="952"/>
      <c r="SKQ48" s="952"/>
      <c r="SKR48" s="952"/>
      <c r="SKS48" s="952"/>
      <c r="SKT48" s="952"/>
      <c r="SKU48" s="952"/>
      <c r="SKV48" s="952"/>
      <c r="SKW48" s="952"/>
      <c r="SKX48" s="952"/>
      <c r="SKY48" s="952"/>
      <c r="SKZ48" s="952"/>
      <c r="SLA48" s="952"/>
      <c r="SLB48" s="952"/>
      <c r="SLC48" s="952"/>
      <c r="SLD48" s="952"/>
      <c r="SLE48" s="952"/>
      <c r="SLF48" s="952"/>
      <c r="SLG48" s="952"/>
      <c r="SLH48" s="952"/>
      <c r="SLI48" s="952"/>
      <c r="SLJ48" s="952"/>
      <c r="SLK48" s="952"/>
      <c r="SLL48" s="952"/>
      <c r="SLM48" s="952"/>
      <c r="SLN48" s="952"/>
      <c r="SLO48" s="952"/>
      <c r="SLP48" s="952"/>
      <c r="SLQ48" s="952"/>
      <c r="SLR48" s="952"/>
      <c r="SLS48" s="952"/>
      <c r="SLT48" s="952"/>
      <c r="SLU48" s="952"/>
      <c r="SLV48" s="952"/>
      <c r="SLW48" s="952"/>
      <c r="SLX48" s="952"/>
      <c r="SLY48" s="952"/>
      <c r="SLZ48" s="952"/>
      <c r="SMA48" s="952"/>
      <c r="SMB48" s="952"/>
      <c r="SMC48" s="952"/>
      <c r="SMD48" s="952"/>
      <c r="SME48" s="952"/>
      <c r="SMF48" s="952"/>
      <c r="SMG48" s="952"/>
      <c r="SMH48" s="952"/>
      <c r="SMI48" s="952"/>
      <c r="SMJ48" s="952"/>
      <c r="SMK48" s="952"/>
      <c r="SML48" s="952"/>
      <c r="SMM48" s="952"/>
      <c r="SMN48" s="952"/>
      <c r="SMO48" s="952"/>
      <c r="SMP48" s="952"/>
      <c r="SMQ48" s="952"/>
      <c r="SMR48" s="952"/>
      <c r="SMS48" s="952"/>
      <c r="SMT48" s="952"/>
      <c r="SMU48" s="952"/>
      <c r="SMV48" s="952"/>
      <c r="SMW48" s="952"/>
      <c r="SMX48" s="952"/>
      <c r="SMY48" s="952"/>
      <c r="SMZ48" s="952"/>
      <c r="SNA48" s="952"/>
      <c r="SNB48" s="952"/>
      <c r="SNC48" s="952"/>
      <c r="SND48" s="952"/>
      <c r="SNE48" s="952"/>
      <c r="SNF48" s="952"/>
      <c r="SNG48" s="952"/>
      <c r="SNH48" s="952"/>
      <c r="SNI48" s="952"/>
      <c r="SNJ48" s="952"/>
      <c r="SNK48" s="952"/>
      <c r="SNL48" s="952"/>
      <c r="SNM48" s="952"/>
      <c r="SNN48" s="952"/>
      <c r="SNO48" s="952"/>
      <c r="SNP48" s="952"/>
      <c r="SNQ48" s="952"/>
      <c r="SNR48" s="952"/>
      <c r="SNS48" s="952"/>
      <c r="SNT48" s="952"/>
      <c r="SNU48" s="952"/>
      <c r="SNV48" s="952"/>
      <c r="SNW48" s="952"/>
      <c r="SNX48" s="952"/>
      <c r="SNY48" s="952"/>
      <c r="SNZ48" s="952"/>
      <c r="SOA48" s="952"/>
      <c r="SOB48" s="952"/>
      <c r="SOC48" s="952"/>
      <c r="SOD48" s="952"/>
      <c r="SOE48" s="952"/>
      <c r="SOF48" s="952"/>
      <c r="SOG48" s="952"/>
      <c r="SOH48" s="952"/>
      <c r="SOI48" s="952"/>
      <c r="SOJ48" s="952"/>
      <c r="SOK48" s="952"/>
      <c r="SOL48" s="952"/>
      <c r="SOM48" s="952"/>
      <c r="SON48" s="952"/>
      <c r="SOO48" s="952"/>
      <c r="SOP48" s="952"/>
      <c r="SOQ48" s="952"/>
      <c r="SOR48" s="952"/>
      <c r="SOS48" s="952"/>
      <c r="SOT48" s="952"/>
      <c r="SOU48" s="952"/>
      <c r="SOV48" s="952"/>
      <c r="SOW48" s="952"/>
      <c r="SOX48" s="952"/>
      <c r="SOY48" s="952"/>
      <c r="SOZ48" s="952"/>
      <c r="SPA48" s="952"/>
      <c r="SPB48" s="952"/>
      <c r="SPC48" s="952"/>
      <c r="SPD48" s="952"/>
      <c r="SPE48" s="952"/>
      <c r="SPF48" s="952"/>
      <c r="SPG48" s="952"/>
      <c r="SPH48" s="952"/>
      <c r="SPI48" s="952"/>
      <c r="SPJ48" s="952"/>
      <c r="SPK48" s="952"/>
      <c r="SPL48" s="952"/>
      <c r="SPM48" s="952"/>
      <c r="SPN48" s="952"/>
      <c r="SPO48" s="952"/>
      <c r="SPP48" s="952"/>
      <c r="SPQ48" s="952"/>
      <c r="SPR48" s="952"/>
      <c r="SPS48" s="952"/>
      <c r="SPT48" s="952"/>
      <c r="SPU48" s="952"/>
      <c r="SPV48" s="952"/>
      <c r="SPW48" s="952"/>
      <c r="SPX48" s="952"/>
      <c r="SPY48" s="952"/>
      <c r="SPZ48" s="952"/>
      <c r="SQA48" s="952"/>
      <c r="SQB48" s="952"/>
      <c r="SQC48" s="952"/>
      <c r="SQD48" s="952"/>
      <c r="SQE48" s="952"/>
      <c r="SQF48" s="952"/>
      <c r="SQG48" s="952"/>
      <c r="SQH48" s="952"/>
      <c r="SQI48" s="952"/>
      <c r="SQJ48" s="952"/>
      <c r="SQK48" s="952"/>
      <c r="SQL48" s="952"/>
      <c r="SQM48" s="952"/>
      <c r="SQN48" s="952"/>
      <c r="SQO48" s="952"/>
      <c r="SQP48" s="952"/>
      <c r="SQQ48" s="952"/>
      <c r="SQR48" s="952"/>
      <c r="SQS48" s="952"/>
      <c r="SQT48" s="952"/>
      <c r="SQU48" s="952"/>
      <c r="SQV48" s="952"/>
      <c r="SQW48" s="952"/>
      <c r="SQX48" s="952"/>
      <c r="SQY48" s="952"/>
      <c r="SQZ48" s="952"/>
      <c r="SRA48" s="952"/>
      <c r="SRB48" s="952"/>
      <c r="SRC48" s="952"/>
      <c r="SRD48" s="952"/>
      <c r="SRE48" s="952"/>
      <c r="SRF48" s="952"/>
      <c r="SRG48" s="952"/>
      <c r="SRH48" s="952"/>
      <c r="SRI48" s="952"/>
      <c r="SRJ48" s="952"/>
      <c r="SRK48" s="952"/>
      <c r="SRL48" s="952"/>
      <c r="SRM48" s="952"/>
      <c r="SRN48" s="952"/>
      <c r="SRO48" s="952"/>
      <c r="SRP48" s="952"/>
      <c r="SRQ48" s="952"/>
      <c r="SRR48" s="952"/>
      <c r="SRS48" s="952"/>
      <c r="SRT48" s="952"/>
      <c r="SRU48" s="952"/>
      <c r="SRV48" s="952"/>
      <c r="SRW48" s="952"/>
      <c r="SRX48" s="952"/>
      <c r="SRY48" s="952"/>
      <c r="SRZ48" s="952"/>
      <c r="SSA48" s="952"/>
      <c r="SSB48" s="952"/>
      <c r="SSC48" s="952"/>
      <c r="SSD48" s="952"/>
      <c r="SSE48" s="952"/>
      <c r="SSF48" s="952"/>
      <c r="SSG48" s="952"/>
      <c r="SSH48" s="952"/>
      <c r="SSI48" s="952"/>
      <c r="SSJ48" s="952"/>
      <c r="SSK48" s="952"/>
      <c r="SSL48" s="952"/>
      <c r="SSM48" s="952"/>
      <c r="SSN48" s="952"/>
      <c r="SSO48" s="952"/>
      <c r="SSP48" s="952"/>
      <c r="SSQ48" s="952"/>
      <c r="SSR48" s="952"/>
      <c r="SSS48" s="952"/>
      <c r="SST48" s="952"/>
      <c r="SSU48" s="952"/>
      <c r="SSV48" s="952"/>
      <c r="SSW48" s="952"/>
      <c r="SSX48" s="952"/>
      <c r="SSY48" s="952"/>
      <c r="SSZ48" s="952"/>
      <c r="STA48" s="952"/>
      <c r="STB48" s="952"/>
      <c r="STC48" s="952"/>
      <c r="STD48" s="952"/>
      <c r="STE48" s="952"/>
      <c r="STF48" s="952"/>
      <c r="STG48" s="952"/>
      <c r="STH48" s="952"/>
      <c r="STI48" s="952"/>
      <c r="STJ48" s="952"/>
      <c r="STK48" s="952"/>
      <c r="STL48" s="952"/>
      <c r="STM48" s="952"/>
      <c r="STN48" s="952"/>
      <c r="STO48" s="952"/>
      <c r="STP48" s="952"/>
      <c r="STQ48" s="952"/>
      <c r="STR48" s="952"/>
      <c r="STS48" s="952"/>
      <c r="STT48" s="952"/>
      <c r="STU48" s="952"/>
      <c r="STV48" s="952"/>
      <c r="STW48" s="952"/>
      <c r="STX48" s="952"/>
      <c r="STY48" s="952"/>
      <c r="STZ48" s="952"/>
      <c r="SUA48" s="952"/>
      <c r="SUB48" s="952"/>
      <c r="SUC48" s="952"/>
      <c r="SUD48" s="952"/>
      <c r="SUE48" s="952"/>
      <c r="SUF48" s="952"/>
      <c r="SUG48" s="952"/>
      <c r="SUH48" s="952"/>
      <c r="SUI48" s="952"/>
      <c r="SUJ48" s="952"/>
      <c r="SUK48" s="952"/>
      <c r="SUL48" s="952"/>
      <c r="SUM48" s="952"/>
      <c r="SUN48" s="952"/>
      <c r="SUO48" s="952"/>
      <c r="SUP48" s="952"/>
      <c r="SUQ48" s="952"/>
      <c r="SUR48" s="952"/>
      <c r="SUS48" s="952"/>
      <c r="SUT48" s="952"/>
      <c r="SUU48" s="952"/>
      <c r="SUV48" s="952"/>
      <c r="SUW48" s="952"/>
      <c r="SUX48" s="952"/>
      <c r="SUY48" s="952"/>
      <c r="SUZ48" s="952"/>
      <c r="SVA48" s="952"/>
      <c r="SVB48" s="952"/>
      <c r="SVC48" s="952"/>
      <c r="SVD48" s="952"/>
      <c r="SVE48" s="952"/>
      <c r="SVF48" s="952"/>
      <c r="SVG48" s="952"/>
      <c r="SVH48" s="952"/>
      <c r="SVI48" s="952"/>
      <c r="SVJ48" s="952"/>
      <c r="SVK48" s="952"/>
      <c r="SVL48" s="952"/>
      <c r="SVM48" s="952"/>
      <c r="SVN48" s="952"/>
      <c r="SVO48" s="952"/>
      <c r="SVP48" s="952"/>
      <c r="SVQ48" s="952"/>
      <c r="SVR48" s="952"/>
      <c r="SVS48" s="952"/>
      <c r="SVT48" s="952"/>
      <c r="SVU48" s="952"/>
      <c r="SVV48" s="952"/>
      <c r="SVW48" s="952"/>
      <c r="SVX48" s="952"/>
      <c r="SVY48" s="952"/>
      <c r="SVZ48" s="952"/>
      <c r="SWA48" s="952"/>
      <c r="SWB48" s="952"/>
      <c r="SWC48" s="952"/>
      <c r="SWD48" s="952"/>
      <c r="SWE48" s="952"/>
      <c r="SWF48" s="952"/>
      <c r="SWG48" s="952"/>
      <c r="SWH48" s="952"/>
      <c r="SWI48" s="952"/>
      <c r="SWJ48" s="952"/>
      <c r="SWK48" s="952"/>
      <c r="SWL48" s="952"/>
      <c r="SWM48" s="952"/>
      <c r="SWN48" s="952"/>
      <c r="SWO48" s="952"/>
      <c r="SWP48" s="952"/>
      <c r="SWQ48" s="952"/>
      <c r="SWR48" s="952"/>
      <c r="SWS48" s="952"/>
      <c r="SWT48" s="952"/>
      <c r="SWU48" s="952"/>
      <c r="SWV48" s="952"/>
      <c r="SWW48" s="952"/>
      <c r="SWX48" s="952"/>
      <c r="SWY48" s="952"/>
      <c r="SWZ48" s="952"/>
      <c r="SXA48" s="952"/>
      <c r="SXB48" s="952"/>
      <c r="SXC48" s="952"/>
      <c r="SXD48" s="952"/>
      <c r="SXE48" s="952"/>
      <c r="SXF48" s="952"/>
      <c r="SXG48" s="952"/>
      <c r="SXH48" s="952"/>
      <c r="SXI48" s="952"/>
      <c r="SXJ48" s="952"/>
      <c r="SXK48" s="952"/>
      <c r="SXL48" s="952"/>
      <c r="SXM48" s="952"/>
      <c r="SXN48" s="952"/>
      <c r="SXO48" s="952"/>
      <c r="SXP48" s="952"/>
      <c r="SXQ48" s="952"/>
      <c r="SXR48" s="952"/>
      <c r="SXS48" s="952"/>
      <c r="SXT48" s="952"/>
      <c r="SXU48" s="952"/>
      <c r="SXV48" s="952"/>
      <c r="SXW48" s="952"/>
      <c r="SXX48" s="952"/>
      <c r="SXY48" s="952"/>
      <c r="SXZ48" s="952"/>
      <c r="SYA48" s="952"/>
      <c r="SYB48" s="952"/>
      <c r="SYC48" s="952"/>
      <c r="SYD48" s="952"/>
      <c r="SYE48" s="952"/>
      <c r="SYF48" s="952"/>
      <c r="SYG48" s="952"/>
      <c r="SYH48" s="952"/>
      <c r="SYI48" s="952"/>
      <c r="SYJ48" s="952"/>
      <c r="SYK48" s="952"/>
      <c r="SYL48" s="952"/>
      <c r="SYM48" s="952"/>
      <c r="SYN48" s="952"/>
      <c r="SYO48" s="952"/>
      <c r="SYP48" s="952"/>
      <c r="SYQ48" s="952"/>
      <c r="SYR48" s="952"/>
      <c r="SYS48" s="952"/>
      <c r="SYT48" s="952"/>
      <c r="SYU48" s="952"/>
      <c r="SYV48" s="952"/>
      <c r="SYW48" s="952"/>
      <c r="SYX48" s="952"/>
      <c r="SYY48" s="952"/>
      <c r="SYZ48" s="952"/>
      <c r="SZA48" s="952"/>
      <c r="SZB48" s="952"/>
      <c r="SZC48" s="952"/>
      <c r="SZD48" s="952"/>
      <c r="SZE48" s="952"/>
      <c r="SZF48" s="952"/>
      <c r="SZG48" s="952"/>
      <c r="SZH48" s="952"/>
      <c r="SZI48" s="952"/>
      <c r="SZJ48" s="952"/>
      <c r="SZK48" s="952"/>
      <c r="SZL48" s="952"/>
      <c r="SZM48" s="952"/>
      <c r="SZN48" s="952"/>
      <c r="SZO48" s="952"/>
      <c r="SZP48" s="952"/>
      <c r="SZQ48" s="952"/>
      <c r="SZR48" s="952"/>
      <c r="SZS48" s="952"/>
      <c r="SZT48" s="952"/>
      <c r="SZU48" s="952"/>
      <c r="SZV48" s="952"/>
      <c r="SZW48" s="952"/>
      <c r="SZX48" s="952"/>
      <c r="SZY48" s="952"/>
      <c r="SZZ48" s="952"/>
      <c r="TAA48" s="952"/>
      <c r="TAB48" s="952"/>
      <c r="TAC48" s="952"/>
      <c r="TAD48" s="952"/>
      <c r="TAE48" s="952"/>
      <c r="TAF48" s="952"/>
      <c r="TAG48" s="952"/>
      <c r="TAH48" s="952"/>
      <c r="TAI48" s="952"/>
      <c r="TAJ48" s="952"/>
      <c r="TAK48" s="952"/>
      <c r="TAL48" s="952"/>
      <c r="TAM48" s="952"/>
      <c r="TAN48" s="952"/>
      <c r="TAO48" s="952"/>
      <c r="TAP48" s="952"/>
      <c r="TAQ48" s="952"/>
      <c r="TAR48" s="952"/>
      <c r="TAS48" s="952"/>
      <c r="TAT48" s="952"/>
      <c r="TAU48" s="952"/>
      <c r="TAV48" s="952"/>
      <c r="TAW48" s="952"/>
      <c r="TAX48" s="952"/>
      <c r="TAY48" s="952"/>
      <c r="TAZ48" s="952"/>
      <c r="TBA48" s="952"/>
      <c r="TBB48" s="952"/>
      <c r="TBC48" s="952"/>
      <c r="TBD48" s="952"/>
      <c r="TBE48" s="952"/>
      <c r="TBF48" s="952"/>
      <c r="TBG48" s="952"/>
      <c r="TBH48" s="952"/>
      <c r="TBI48" s="952"/>
      <c r="TBJ48" s="952"/>
      <c r="TBK48" s="952"/>
      <c r="TBL48" s="952"/>
      <c r="TBM48" s="952"/>
      <c r="TBN48" s="952"/>
      <c r="TBO48" s="952"/>
      <c r="TBP48" s="952"/>
      <c r="TBQ48" s="952"/>
      <c r="TBR48" s="952"/>
      <c r="TBS48" s="952"/>
      <c r="TBT48" s="952"/>
      <c r="TBU48" s="952"/>
      <c r="TBV48" s="952"/>
      <c r="TBW48" s="952"/>
      <c r="TBX48" s="952"/>
      <c r="TBY48" s="952"/>
      <c r="TBZ48" s="952"/>
      <c r="TCA48" s="952"/>
      <c r="TCB48" s="952"/>
      <c r="TCC48" s="952"/>
      <c r="TCD48" s="952"/>
      <c r="TCE48" s="952"/>
      <c r="TCF48" s="952"/>
      <c r="TCG48" s="952"/>
      <c r="TCH48" s="952"/>
      <c r="TCI48" s="952"/>
      <c r="TCJ48" s="952"/>
      <c r="TCK48" s="952"/>
      <c r="TCL48" s="952"/>
      <c r="TCM48" s="952"/>
      <c r="TCN48" s="952"/>
      <c r="TCO48" s="952"/>
      <c r="TCP48" s="952"/>
      <c r="TCQ48" s="952"/>
      <c r="TCR48" s="952"/>
      <c r="TCS48" s="952"/>
      <c r="TCT48" s="952"/>
      <c r="TCU48" s="952"/>
      <c r="TCV48" s="952"/>
      <c r="TCW48" s="952"/>
      <c r="TCX48" s="952"/>
      <c r="TCY48" s="952"/>
      <c r="TCZ48" s="952"/>
      <c r="TDA48" s="952"/>
      <c r="TDB48" s="952"/>
      <c r="TDC48" s="952"/>
      <c r="TDD48" s="952"/>
      <c r="TDE48" s="952"/>
      <c r="TDF48" s="952"/>
      <c r="TDG48" s="952"/>
      <c r="TDH48" s="952"/>
      <c r="TDI48" s="952"/>
      <c r="TDJ48" s="952"/>
      <c r="TDK48" s="952"/>
      <c r="TDL48" s="952"/>
      <c r="TDM48" s="952"/>
      <c r="TDN48" s="952"/>
      <c r="TDO48" s="952"/>
      <c r="TDP48" s="952"/>
      <c r="TDQ48" s="952"/>
      <c r="TDR48" s="952"/>
      <c r="TDS48" s="952"/>
      <c r="TDT48" s="952"/>
      <c r="TDU48" s="952"/>
      <c r="TDV48" s="952"/>
      <c r="TDW48" s="952"/>
      <c r="TDX48" s="952"/>
      <c r="TDY48" s="952"/>
      <c r="TDZ48" s="952"/>
      <c r="TEA48" s="952"/>
      <c r="TEB48" s="952"/>
      <c r="TEC48" s="952"/>
      <c r="TED48" s="952"/>
      <c r="TEE48" s="952"/>
      <c r="TEF48" s="952"/>
      <c r="TEG48" s="952"/>
      <c r="TEH48" s="952"/>
      <c r="TEI48" s="952"/>
      <c r="TEJ48" s="952"/>
      <c r="TEK48" s="952"/>
      <c r="TEL48" s="952"/>
      <c r="TEM48" s="952"/>
      <c r="TEN48" s="952"/>
      <c r="TEO48" s="952"/>
      <c r="TEP48" s="952"/>
      <c r="TEQ48" s="952"/>
      <c r="TER48" s="952"/>
      <c r="TES48" s="952"/>
      <c r="TET48" s="952"/>
      <c r="TEU48" s="952"/>
      <c r="TEV48" s="952"/>
      <c r="TEW48" s="952"/>
      <c r="TEX48" s="952"/>
      <c r="TEY48" s="952"/>
      <c r="TEZ48" s="952"/>
      <c r="TFA48" s="952"/>
      <c r="TFB48" s="952"/>
      <c r="TFC48" s="952"/>
      <c r="TFD48" s="952"/>
      <c r="TFE48" s="952"/>
      <c r="TFF48" s="952"/>
      <c r="TFG48" s="952"/>
      <c r="TFH48" s="952"/>
      <c r="TFI48" s="952"/>
      <c r="TFJ48" s="952"/>
      <c r="TFK48" s="952"/>
      <c r="TFL48" s="952"/>
      <c r="TFM48" s="952"/>
      <c r="TFN48" s="952"/>
      <c r="TFO48" s="952"/>
      <c r="TFP48" s="952"/>
      <c r="TFQ48" s="952"/>
      <c r="TFR48" s="952"/>
      <c r="TFS48" s="952"/>
      <c r="TFT48" s="952"/>
      <c r="TFU48" s="952"/>
      <c r="TFV48" s="952"/>
      <c r="TFW48" s="952"/>
      <c r="TFX48" s="952"/>
      <c r="TFY48" s="952"/>
      <c r="TFZ48" s="952"/>
      <c r="TGA48" s="952"/>
      <c r="TGB48" s="952"/>
      <c r="TGC48" s="952"/>
      <c r="TGD48" s="952"/>
      <c r="TGE48" s="952"/>
      <c r="TGF48" s="952"/>
      <c r="TGG48" s="952"/>
      <c r="TGH48" s="952"/>
      <c r="TGI48" s="952"/>
      <c r="TGJ48" s="952"/>
      <c r="TGK48" s="952"/>
      <c r="TGL48" s="952"/>
      <c r="TGM48" s="952"/>
      <c r="TGN48" s="952"/>
      <c r="TGO48" s="952"/>
      <c r="TGP48" s="952"/>
      <c r="TGQ48" s="952"/>
      <c r="TGR48" s="952"/>
      <c r="TGS48" s="952"/>
      <c r="TGT48" s="952"/>
      <c r="TGU48" s="952"/>
      <c r="TGV48" s="952"/>
      <c r="TGW48" s="952"/>
      <c r="TGX48" s="952"/>
      <c r="TGY48" s="952"/>
      <c r="TGZ48" s="952"/>
      <c r="THA48" s="952"/>
      <c r="THB48" s="952"/>
      <c r="THC48" s="952"/>
      <c r="THD48" s="952"/>
      <c r="THE48" s="952"/>
      <c r="THF48" s="952"/>
      <c r="THG48" s="952"/>
      <c r="THH48" s="952"/>
      <c r="THI48" s="952"/>
      <c r="THJ48" s="952"/>
      <c r="THK48" s="952"/>
      <c r="THL48" s="952"/>
      <c r="THM48" s="952"/>
      <c r="THN48" s="952"/>
      <c r="THO48" s="952"/>
      <c r="THP48" s="952"/>
      <c r="THQ48" s="952"/>
      <c r="THR48" s="952"/>
      <c r="THS48" s="952"/>
      <c r="THT48" s="952"/>
      <c r="THU48" s="952"/>
      <c r="THV48" s="952"/>
      <c r="THW48" s="952"/>
      <c r="THX48" s="952"/>
      <c r="THY48" s="952"/>
      <c r="THZ48" s="952"/>
      <c r="TIA48" s="952"/>
      <c r="TIB48" s="952"/>
      <c r="TIC48" s="952"/>
      <c r="TID48" s="952"/>
      <c r="TIE48" s="952"/>
      <c r="TIF48" s="952"/>
      <c r="TIG48" s="952"/>
      <c r="TIH48" s="952"/>
      <c r="TII48" s="952"/>
      <c r="TIJ48" s="952"/>
      <c r="TIK48" s="952"/>
      <c r="TIL48" s="952"/>
      <c r="TIM48" s="952"/>
      <c r="TIN48" s="952"/>
      <c r="TIO48" s="952"/>
      <c r="TIP48" s="952"/>
      <c r="TIQ48" s="952"/>
      <c r="TIR48" s="952"/>
      <c r="TIS48" s="952"/>
      <c r="TIT48" s="952"/>
      <c r="TIU48" s="952"/>
      <c r="TIV48" s="952"/>
      <c r="TIW48" s="952"/>
      <c r="TIX48" s="952"/>
      <c r="TIY48" s="952"/>
      <c r="TIZ48" s="952"/>
      <c r="TJA48" s="952"/>
      <c r="TJB48" s="952"/>
      <c r="TJC48" s="952"/>
      <c r="TJD48" s="952"/>
      <c r="TJE48" s="952"/>
      <c r="TJF48" s="952"/>
      <c r="TJG48" s="952"/>
      <c r="TJH48" s="952"/>
      <c r="TJI48" s="952"/>
      <c r="TJJ48" s="952"/>
      <c r="TJK48" s="952"/>
      <c r="TJL48" s="952"/>
      <c r="TJM48" s="952"/>
      <c r="TJN48" s="952"/>
      <c r="TJO48" s="952"/>
      <c r="TJP48" s="952"/>
      <c r="TJQ48" s="952"/>
      <c r="TJR48" s="952"/>
      <c r="TJS48" s="952"/>
      <c r="TJT48" s="952"/>
      <c r="TJU48" s="952"/>
      <c r="TJV48" s="952"/>
      <c r="TJW48" s="952"/>
      <c r="TJX48" s="952"/>
      <c r="TJY48" s="952"/>
      <c r="TJZ48" s="952"/>
      <c r="TKA48" s="952"/>
      <c r="TKB48" s="952"/>
      <c r="TKC48" s="952"/>
      <c r="TKD48" s="952"/>
      <c r="TKE48" s="952"/>
      <c r="TKF48" s="952"/>
      <c r="TKG48" s="952"/>
      <c r="TKH48" s="952"/>
      <c r="TKI48" s="952"/>
      <c r="TKJ48" s="952"/>
      <c r="TKK48" s="952"/>
      <c r="TKL48" s="952"/>
      <c r="TKM48" s="952"/>
      <c r="TKN48" s="952"/>
      <c r="TKO48" s="952"/>
      <c r="TKP48" s="952"/>
      <c r="TKQ48" s="952"/>
      <c r="TKR48" s="952"/>
      <c r="TKS48" s="952"/>
      <c r="TKT48" s="952"/>
      <c r="TKU48" s="952"/>
      <c r="TKV48" s="952"/>
      <c r="TKW48" s="952"/>
      <c r="TKX48" s="952"/>
      <c r="TKY48" s="952"/>
      <c r="TKZ48" s="952"/>
      <c r="TLA48" s="952"/>
      <c r="TLB48" s="952"/>
      <c r="TLC48" s="952"/>
      <c r="TLD48" s="952"/>
      <c r="TLE48" s="952"/>
      <c r="TLF48" s="952"/>
      <c r="TLG48" s="952"/>
      <c r="TLH48" s="952"/>
      <c r="TLI48" s="952"/>
      <c r="TLJ48" s="952"/>
      <c r="TLK48" s="952"/>
      <c r="TLL48" s="952"/>
      <c r="TLM48" s="952"/>
      <c r="TLN48" s="952"/>
      <c r="TLO48" s="952"/>
      <c r="TLP48" s="952"/>
      <c r="TLQ48" s="952"/>
      <c r="TLR48" s="952"/>
      <c r="TLS48" s="952"/>
      <c r="TLT48" s="952"/>
      <c r="TLU48" s="952"/>
      <c r="TLV48" s="952"/>
      <c r="TLW48" s="952"/>
      <c r="TLX48" s="952"/>
      <c r="TLY48" s="952"/>
      <c r="TLZ48" s="952"/>
      <c r="TMA48" s="952"/>
      <c r="TMB48" s="952"/>
      <c r="TMC48" s="952"/>
      <c r="TMD48" s="952"/>
      <c r="TME48" s="952"/>
      <c r="TMF48" s="952"/>
      <c r="TMG48" s="952"/>
      <c r="TMH48" s="952"/>
      <c r="TMI48" s="952"/>
      <c r="TMJ48" s="952"/>
      <c r="TMK48" s="952"/>
      <c r="TML48" s="952"/>
      <c r="TMM48" s="952"/>
      <c r="TMN48" s="952"/>
      <c r="TMO48" s="952"/>
      <c r="TMP48" s="952"/>
      <c r="TMQ48" s="952"/>
      <c r="TMR48" s="952"/>
      <c r="TMS48" s="952"/>
      <c r="TMT48" s="952"/>
      <c r="TMU48" s="952"/>
      <c r="TMV48" s="952"/>
      <c r="TMW48" s="952"/>
      <c r="TMX48" s="952"/>
      <c r="TMY48" s="952"/>
      <c r="TMZ48" s="952"/>
      <c r="TNA48" s="952"/>
      <c r="TNB48" s="952"/>
      <c r="TNC48" s="952"/>
      <c r="TND48" s="952"/>
      <c r="TNE48" s="952"/>
      <c r="TNF48" s="952"/>
      <c r="TNG48" s="952"/>
      <c r="TNH48" s="952"/>
      <c r="TNI48" s="952"/>
      <c r="TNJ48" s="952"/>
      <c r="TNK48" s="952"/>
      <c r="TNL48" s="952"/>
      <c r="TNM48" s="952"/>
      <c r="TNN48" s="952"/>
      <c r="TNO48" s="952"/>
      <c r="TNP48" s="952"/>
      <c r="TNQ48" s="952"/>
      <c r="TNR48" s="952"/>
      <c r="TNS48" s="952"/>
      <c r="TNT48" s="952"/>
      <c r="TNU48" s="952"/>
      <c r="TNV48" s="952"/>
      <c r="TNW48" s="952"/>
      <c r="TNX48" s="952"/>
      <c r="TNY48" s="952"/>
      <c r="TNZ48" s="952"/>
      <c r="TOA48" s="952"/>
      <c r="TOB48" s="952"/>
      <c r="TOC48" s="952"/>
      <c r="TOD48" s="952"/>
      <c r="TOE48" s="952"/>
      <c r="TOF48" s="952"/>
      <c r="TOG48" s="952"/>
      <c r="TOH48" s="952"/>
      <c r="TOI48" s="952"/>
      <c r="TOJ48" s="952"/>
      <c r="TOK48" s="952"/>
      <c r="TOL48" s="952"/>
      <c r="TOM48" s="952"/>
      <c r="TON48" s="952"/>
      <c r="TOO48" s="952"/>
      <c r="TOP48" s="952"/>
      <c r="TOQ48" s="952"/>
      <c r="TOR48" s="952"/>
      <c r="TOS48" s="952"/>
      <c r="TOT48" s="952"/>
      <c r="TOU48" s="952"/>
      <c r="TOV48" s="952"/>
      <c r="TOW48" s="952"/>
      <c r="TOX48" s="952"/>
      <c r="TOY48" s="952"/>
      <c r="TOZ48" s="952"/>
      <c r="TPA48" s="952"/>
      <c r="TPB48" s="952"/>
      <c r="TPC48" s="952"/>
      <c r="TPD48" s="952"/>
      <c r="TPE48" s="952"/>
      <c r="TPF48" s="952"/>
      <c r="TPG48" s="952"/>
      <c r="TPH48" s="952"/>
      <c r="TPI48" s="952"/>
      <c r="TPJ48" s="952"/>
      <c r="TPK48" s="952"/>
      <c r="TPL48" s="952"/>
      <c r="TPM48" s="952"/>
      <c r="TPN48" s="952"/>
      <c r="TPO48" s="952"/>
      <c r="TPP48" s="952"/>
      <c r="TPQ48" s="952"/>
      <c r="TPR48" s="952"/>
      <c r="TPS48" s="952"/>
      <c r="TPT48" s="952"/>
      <c r="TPU48" s="952"/>
      <c r="TPV48" s="952"/>
      <c r="TPW48" s="952"/>
      <c r="TPX48" s="952"/>
      <c r="TPY48" s="952"/>
      <c r="TPZ48" s="952"/>
      <c r="TQA48" s="952"/>
      <c r="TQB48" s="952"/>
      <c r="TQC48" s="952"/>
      <c r="TQD48" s="952"/>
      <c r="TQE48" s="952"/>
      <c r="TQF48" s="952"/>
      <c r="TQG48" s="952"/>
      <c r="TQH48" s="952"/>
      <c r="TQI48" s="952"/>
      <c r="TQJ48" s="952"/>
      <c r="TQK48" s="952"/>
      <c r="TQL48" s="952"/>
      <c r="TQM48" s="952"/>
      <c r="TQN48" s="952"/>
      <c r="TQO48" s="952"/>
      <c r="TQP48" s="952"/>
      <c r="TQQ48" s="952"/>
      <c r="TQR48" s="952"/>
      <c r="TQS48" s="952"/>
      <c r="TQT48" s="952"/>
      <c r="TQU48" s="952"/>
      <c r="TQV48" s="952"/>
      <c r="TQW48" s="952"/>
      <c r="TQX48" s="952"/>
      <c r="TQY48" s="952"/>
      <c r="TQZ48" s="952"/>
      <c r="TRA48" s="952"/>
      <c r="TRB48" s="952"/>
      <c r="TRC48" s="952"/>
      <c r="TRD48" s="952"/>
      <c r="TRE48" s="952"/>
      <c r="TRF48" s="952"/>
      <c r="TRG48" s="952"/>
      <c r="TRH48" s="952"/>
      <c r="TRI48" s="952"/>
      <c r="TRJ48" s="952"/>
      <c r="TRK48" s="952"/>
      <c r="TRL48" s="952"/>
      <c r="TRM48" s="952"/>
      <c r="TRN48" s="952"/>
      <c r="TRO48" s="952"/>
      <c r="TRP48" s="952"/>
      <c r="TRQ48" s="952"/>
      <c r="TRR48" s="952"/>
      <c r="TRS48" s="952"/>
      <c r="TRT48" s="952"/>
      <c r="TRU48" s="952"/>
      <c r="TRV48" s="952"/>
      <c r="TRW48" s="952"/>
      <c r="TRX48" s="952"/>
      <c r="TRY48" s="952"/>
      <c r="TRZ48" s="952"/>
      <c r="TSA48" s="952"/>
      <c r="TSB48" s="952"/>
      <c r="TSC48" s="952"/>
      <c r="TSD48" s="952"/>
      <c r="TSE48" s="952"/>
      <c r="TSF48" s="952"/>
      <c r="TSG48" s="952"/>
      <c r="TSH48" s="952"/>
      <c r="TSI48" s="952"/>
      <c r="TSJ48" s="952"/>
      <c r="TSK48" s="952"/>
      <c r="TSL48" s="952"/>
      <c r="TSM48" s="952"/>
      <c r="TSN48" s="952"/>
      <c r="TSO48" s="952"/>
      <c r="TSP48" s="952"/>
      <c r="TSQ48" s="952"/>
      <c r="TSR48" s="952"/>
      <c r="TSS48" s="952"/>
      <c r="TST48" s="952"/>
      <c r="TSU48" s="952"/>
      <c r="TSV48" s="952"/>
      <c r="TSW48" s="952"/>
      <c r="TSX48" s="952"/>
      <c r="TSY48" s="952"/>
      <c r="TSZ48" s="952"/>
      <c r="TTA48" s="952"/>
      <c r="TTB48" s="952"/>
      <c r="TTC48" s="952"/>
      <c r="TTD48" s="952"/>
      <c r="TTE48" s="952"/>
      <c r="TTF48" s="952"/>
      <c r="TTG48" s="952"/>
      <c r="TTH48" s="952"/>
      <c r="TTI48" s="952"/>
      <c r="TTJ48" s="952"/>
      <c r="TTK48" s="952"/>
      <c r="TTL48" s="952"/>
      <c r="TTM48" s="952"/>
      <c r="TTN48" s="952"/>
      <c r="TTO48" s="952"/>
      <c r="TTP48" s="952"/>
      <c r="TTQ48" s="952"/>
      <c r="TTR48" s="952"/>
      <c r="TTS48" s="952"/>
      <c r="TTT48" s="952"/>
      <c r="TTU48" s="952"/>
      <c r="TTV48" s="952"/>
      <c r="TTW48" s="952"/>
      <c r="TTX48" s="952"/>
      <c r="TTY48" s="952"/>
      <c r="TTZ48" s="952"/>
      <c r="TUA48" s="952"/>
      <c r="TUB48" s="952"/>
      <c r="TUC48" s="952"/>
      <c r="TUD48" s="952"/>
      <c r="TUE48" s="952"/>
      <c r="TUF48" s="952"/>
      <c r="TUG48" s="952"/>
      <c r="TUH48" s="952"/>
      <c r="TUI48" s="952"/>
      <c r="TUJ48" s="952"/>
      <c r="TUK48" s="952"/>
      <c r="TUL48" s="952"/>
      <c r="TUM48" s="952"/>
      <c r="TUN48" s="952"/>
      <c r="TUO48" s="952"/>
      <c r="TUP48" s="952"/>
      <c r="TUQ48" s="952"/>
      <c r="TUR48" s="952"/>
      <c r="TUS48" s="952"/>
      <c r="TUT48" s="952"/>
      <c r="TUU48" s="952"/>
      <c r="TUV48" s="952"/>
      <c r="TUW48" s="952"/>
      <c r="TUX48" s="952"/>
      <c r="TUY48" s="952"/>
      <c r="TUZ48" s="952"/>
      <c r="TVA48" s="952"/>
      <c r="TVB48" s="952"/>
      <c r="TVC48" s="952"/>
      <c r="TVD48" s="952"/>
      <c r="TVE48" s="952"/>
      <c r="TVF48" s="952"/>
      <c r="TVG48" s="952"/>
      <c r="TVH48" s="952"/>
      <c r="TVI48" s="952"/>
      <c r="TVJ48" s="952"/>
      <c r="TVK48" s="952"/>
      <c r="TVL48" s="952"/>
      <c r="TVM48" s="952"/>
      <c r="TVN48" s="952"/>
      <c r="TVO48" s="952"/>
      <c r="TVP48" s="952"/>
      <c r="TVQ48" s="952"/>
      <c r="TVR48" s="952"/>
      <c r="TVS48" s="952"/>
      <c r="TVT48" s="952"/>
      <c r="TVU48" s="952"/>
      <c r="TVV48" s="952"/>
      <c r="TVW48" s="952"/>
      <c r="TVX48" s="952"/>
      <c r="TVY48" s="952"/>
      <c r="TVZ48" s="952"/>
      <c r="TWA48" s="952"/>
      <c r="TWB48" s="952"/>
      <c r="TWC48" s="952"/>
      <c r="TWD48" s="952"/>
      <c r="TWE48" s="952"/>
      <c r="TWF48" s="952"/>
      <c r="TWG48" s="952"/>
      <c r="TWH48" s="952"/>
      <c r="TWI48" s="952"/>
      <c r="TWJ48" s="952"/>
      <c r="TWK48" s="952"/>
      <c r="TWL48" s="952"/>
      <c r="TWM48" s="952"/>
      <c r="TWN48" s="952"/>
      <c r="TWO48" s="952"/>
      <c r="TWP48" s="952"/>
      <c r="TWQ48" s="952"/>
      <c r="TWR48" s="952"/>
      <c r="TWS48" s="952"/>
      <c r="TWT48" s="952"/>
      <c r="TWU48" s="952"/>
      <c r="TWV48" s="952"/>
      <c r="TWW48" s="952"/>
      <c r="TWX48" s="952"/>
      <c r="TWY48" s="952"/>
      <c r="TWZ48" s="952"/>
      <c r="TXA48" s="952"/>
      <c r="TXB48" s="952"/>
      <c r="TXC48" s="952"/>
      <c r="TXD48" s="952"/>
      <c r="TXE48" s="952"/>
      <c r="TXF48" s="952"/>
      <c r="TXG48" s="952"/>
      <c r="TXH48" s="952"/>
      <c r="TXI48" s="952"/>
      <c r="TXJ48" s="952"/>
      <c r="TXK48" s="952"/>
      <c r="TXL48" s="952"/>
      <c r="TXM48" s="952"/>
      <c r="TXN48" s="952"/>
      <c r="TXO48" s="952"/>
      <c r="TXP48" s="952"/>
      <c r="TXQ48" s="952"/>
      <c r="TXR48" s="952"/>
      <c r="TXS48" s="952"/>
      <c r="TXT48" s="952"/>
      <c r="TXU48" s="952"/>
      <c r="TXV48" s="952"/>
      <c r="TXW48" s="952"/>
      <c r="TXX48" s="952"/>
      <c r="TXY48" s="952"/>
      <c r="TXZ48" s="952"/>
      <c r="TYA48" s="952"/>
      <c r="TYB48" s="952"/>
      <c r="TYC48" s="952"/>
      <c r="TYD48" s="952"/>
      <c r="TYE48" s="952"/>
      <c r="TYF48" s="952"/>
      <c r="TYG48" s="952"/>
      <c r="TYH48" s="952"/>
      <c r="TYI48" s="952"/>
      <c r="TYJ48" s="952"/>
      <c r="TYK48" s="952"/>
      <c r="TYL48" s="952"/>
      <c r="TYM48" s="952"/>
      <c r="TYN48" s="952"/>
      <c r="TYO48" s="952"/>
      <c r="TYP48" s="952"/>
      <c r="TYQ48" s="952"/>
      <c r="TYR48" s="952"/>
      <c r="TYS48" s="952"/>
      <c r="TYT48" s="952"/>
      <c r="TYU48" s="952"/>
      <c r="TYV48" s="952"/>
      <c r="TYW48" s="952"/>
      <c r="TYX48" s="952"/>
      <c r="TYY48" s="952"/>
      <c r="TYZ48" s="952"/>
      <c r="TZA48" s="952"/>
      <c r="TZB48" s="952"/>
      <c r="TZC48" s="952"/>
      <c r="TZD48" s="952"/>
      <c r="TZE48" s="952"/>
      <c r="TZF48" s="952"/>
      <c r="TZG48" s="952"/>
      <c r="TZH48" s="952"/>
      <c r="TZI48" s="952"/>
      <c r="TZJ48" s="952"/>
      <c r="TZK48" s="952"/>
      <c r="TZL48" s="952"/>
      <c r="TZM48" s="952"/>
      <c r="TZN48" s="952"/>
      <c r="TZO48" s="952"/>
      <c r="TZP48" s="952"/>
      <c r="TZQ48" s="952"/>
      <c r="TZR48" s="952"/>
      <c r="TZS48" s="952"/>
      <c r="TZT48" s="952"/>
      <c r="TZU48" s="952"/>
      <c r="TZV48" s="952"/>
      <c r="TZW48" s="952"/>
      <c r="TZX48" s="952"/>
      <c r="TZY48" s="952"/>
      <c r="TZZ48" s="952"/>
      <c r="UAA48" s="952"/>
      <c r="UAB48" s="952"/>
      <c r="UAC48" s="952"/>
      <c r="UAD48" s="952"/>
      <c r="UAE48" s="952"/>
      <c r="UAF48" s="952"/>
      <c r="UAG48" s="952"/>
      <c r="UAH48" s="952"/>
      <c r="UAI48" s="952"/>
      <c r="UAJ48" s="952"/>
      <c r="UAK48" s="952"/>
      <c r="UAL48" s="952"/>
      <c r="UAM48" s="952"/>
      <c r="UAN48" s="952"/>
      <c r="UAO48" s="952"/>
      <c r="UAP48" s="952"/>
      <c r="UAQ48" s="952"/>
      <c r="UAR48" s="952"/>
      <c r="UAS48" s="952"/>
      <c r="UAT48" s="952"/>
      <c r="UAU48" s="952"/>
      <c r="UAV48" s="952"/>
      <c r="UAW48" s="952"/>
      <c r="UAX48" s="952"/>
      <c r="UAY48" s="952"/>
      <c r="UAZ48" s="952"/>
      <c r="UBA48" s="952"/>
      <c r="UBB48" s="952"/>
      <c r="UBC48" s="952"/>
      <c r="UBD48" s="952"/>
      <c r="UBE48" s="952"/>
      <c r="UBF48" s="952"/>
      <c r="UBG48" s="952"/>
      <c r="UBH48" s="952"/>
      <c r="UBI48" s="952"/>
      <c r="UBJ48" s="952"/>
      <c r="UBK48" s="952"/>
      <c r="UBL48" s="952"/>
      <c r="UBM48" s="952"/>
      <c r="UBN48" s="952"/>
      <c r="UBO48" s="952"/>
      <c r="UBP48" s="952"/>
      <c r="UBQ48" s="952"/>
      <c r="UBR48" s="952"/>
      <c r="UBS48" s="952"/>
      <c r="UBT48" s="952"/>
      <c r="UBU48" s="952"/>
      <c r="UBV48" s="952"/>
      <c r="UBW48" s="952"/>
      <c r="UBX48" s="952"/>
      <c r="UBY48" s="952"/>
      <c r="UBZ48" s="952"/>
      <c r="UCA48" s="952"/>
      <c r="UCB48" s="952"/>
      <c r="UCC48" s="952"/>
      <c r="UCD48" s="952"/>
      <c r="UCE48" s="952"/>
      <c r="UCF48" s="952"/>
      <c r="UCG48" s="952"/>
      <c r="UCH48" s="952"/>
      <c r="UCI48" s="952"/>
      <c r="UCJ48" s="952"/>
      <c r="UCK48" s="952"/>
      <c r="UCL48" s="952"/>
      <c r="UCM48" s="952"/>
      <c r="UCN48" s="952"/>
      <c r="UCO48" s="952"/>
      <c r="UCP48" s="952"/>
      <c r="UCQ48" s="952"/>
      <c r="UCR48" s="952"/>
      <c r="UCS48" s="952"/>
      <c r="UCT48" s="952"/>
      <c r="UCU48" s="952"/>
      <c r="UCV48" s="952"/>
      <c r="UCW48" s="952"/>
      <c r="UCX48" s="952"/>
      <c r="UCY48" s="952"/>
      <c r="UCZ48" s="952"/>
      <c r="UDA48" s="952"/>
      <c r="UDB48" s="952"/>
      <c r="UDC48" s="952"/>
      <c r="UDD48" s="952"/>
      <c r="UDE48" s="952"/>
      <c r="UDF48" s="952"/>
      <c r="UDG48" s="952"/>
      <c r="UDH48" s="952"/>
      <c r="UDI48" s="952"/>
      <c r="UDJ48" s="952"/>
      <c r="UDK48" s="952"/>
      <c r="UDL48" s="952"/>
      <c r="UDM48" s="952"/>
      <c r="UDN48" s="952"/>
      <c r="UDO48" s="952"/>
      <c r="UDP48" s="952"/>
      <c r="UDQ48" s="952"/>
      <c r="UDR48" s="952"/>
      <c r="UDS48" s="952"/>
      <c r="UDT48" s="952"/>
      <c r="UDU48" s="952"/>
      <c r="UDV48" s="952"/>
      <c r="UDW48" s="952"/>
      <c r="UDX48" s="952"/>
      <c r="UDY48" s="952"/>
      <c r="UDZ48" s="952"/>
      <c r="UEA48" s="952"/>
      <c r="UEB48" s="952"/>
      <c r="UEC48" s="952"/>
      <c r="UED48" s="952"/>
      <c r="UEE48" s="952"/>
      <c r="UEF48" s="952"/>
      <c r="UEG48" s="952"/>
      <c r="UEH48" s="952"/>
      <c r="UEI48" s="952"/>
      <c r="UEJ48" s="952"/>
      <c r="UEK48" s="952"/>
      <c r="UEL48" s="952"/>
      <c r="UEM48" s="952"/>
      <c r="UEN48" s="952"/>
      <c r="UEO48" s="952"/>
      <c r="UEP48" s="952"/>
      <c r="UEQ48" s="952"/>
      <c r="UER48" s="952"/>
      <c r="UES48" s="952"/>
      <c r="UET48" s="952"/>
      <c r="UEU48" s="952"/>
      <c r="UEV48" s="952"/>
      <c r="UEW48" s="952"/>
      <c r="UEX48" s="952"/>
      <c r="UEY48" s="952"/>
      <c r="UEZ48" s="952"/>
      <c r="UFA48" s="952"/>
      <c r="UFB48" s="952"/>
      <c r="UFC48" s="952"/>
      <c r="UFD48" s="952"/>
      <c r="UFE48" s="952"/>
      <c r="UFF48" s="952"/>
      <c r="UFG48" s="952"/>
      <c r="UFH48" s="952"/>
      <c r="UFI48" s="952"/>
      <c r="UFJ48" s="952"/>
      <c r="UFK48" s="952"/>
      <c r="UFL48" s="952"/>
      <c r="UFM48" s="952"/>
      <c r="UFN48" s="952"/>
      <c r="UFO48" s="952"/>
      <c r="UFP48" s="952"/>
      <c r="UFQ48" s="952"/>
      <c r="UFR48" s="952"/>
      <c r="UFS48" s="952"/>
      <c r="UFT48" s="952"/>
      <c r="UFU48" s="952"/>
      <c r="UFV48" s="952"/>
      <c r="UFW48" s="952"/>
      <c r="UFX48" s="952"/>
      <c r="UFY48" s="952"/>
      <c r="UFZ48" s="952"/>
      <c r="UGA48" s="952"/>
      <c r="UGB48" s="952"/>
      <c r="UGC48" s="952"/>
      <c r="UGD48" s="952"/>
      <c r="UGE48" s="952"/>
      <c r="UGF48" s="952"/>
      <c r="UGG48" s="952"/>
      <c r="UGH48" s="952"/>
      <c r="UGI48" s="952"/>
      <c r="UGJ48" s="952"/>
      <c r="UGK48" s="952"/>
      <c r="UGL48" s="952"/>
      <c r="UGM48" s="952"/>
      <c r="UGN48" s="952"/>
      <c r="UGO48" s="952"/>
      <c r="UGP48" s="952"/>
      <c r="UGQ48" s="952"/>
      <c r="UGR48" s="952"/>
      <c r="UGS48" s="952"/>
      <c r="UGT48" s="952"/>
      <c r="UGU48" s="952"/>
      <c r="UGV48" s="952"/>
      <c r="UGW48" s="952"/>
      <c r="UGX48" s="952"/>
      <c r="UGY48" s="952"/>
      <c r="UGZ48" s="952"/>
      <c r="UHA48" s="952"/>
      <c r="UHB48" s="952"/>
      <c r="UHC48" s="952"/>
      <c r="UHD48" s="952"/>
      <c r="UHE48" s="952"/>
      <c r="UHF48" s="952"/>
      <c r="UHG48" s="952"/>
      <c r="UHH48" s="952"/>
      <c r="UHI48" s="952"/>
      <c r="UHJ48" s="952"/>
      <c r="UHK48" s="952"/>
      <c r="UHL48" s="952"/>
      <c r="UHM48" s="952"/>
      <c r="UHN48" s="952"/>
      <c r="UHO48" s="952"/>
      <c r="UHP48" s="952"/>
      <c r="UHQ48" s="952"/>
      <c r="UHR48" s="952"/>
      <c r="UHS48" s="952"/>
      <c r="UHT48" s="952"/>
      <c r="UHU48" s="952"/>
      <c r="UHV48" s="952"/>
      <c r="UHW48" s="952"/>
      <c r="UHX48" s="952"/>
      <c r="UHY48" s="952"/>
      <c r="UHZ48" s="952"/>
      <c r="UIA48" s="952"/>
      <c r="UIB48" s="952"/>
      <c r="UIC48" s="952"/>
      <c r="UID48" s="952"/>
      <c r="UIE48" s="952"/>
      <c r="UIF48" s="952"/>
      <c r="UIG48" s="952"/>
      <c r="UIH48" s="952"/>
      <c r="UII48" s="952"/>
      <c r="UIJ48" s="952"/>
      <c r="UIK48" s="952"/>
      <c r="UIL48" s="952"/>
      <c r="UIM48" s="952"/>
      <c r="UIN48" s="952"/>
      <c r="UIO48" s="952"/>
      <c r="UIP48" s="952"/>
      <c r="UIQ48" s="952"/>
      <c r="UIR48" s="952"/>
      <c r="UIS48" s="952"/>
      <c r="UIT48" s="952"/>
      <c r="UIU48" s="952"/>
      <c r="UIV48" s="952"/>
      <c r="UIW48" s="952"/>
      <c r="UIX48" s="952"/>
      <c r="UIY48" s="952"/>
      <c r="UIZ48" s="952"/>
      <c r="UJA48" s="952"/>
      <c r="UJB48" s="952"/>
      <c r="UJC48" s="952"/>
      <c r="UJD48" s="952"/>
      <c r="UJE48" s="952"/>
      <c r="UJF48" s="952"/>
      <c r="UJG48" s="952"/>
      <c r="UJH48" s="952"/>
      <c r="UJI48" s="952"/>
      <c r="UJJ48" s="952"/>
      <c r="UJK48" s="952"/>
      <c r="UJL48" s="952"/>
      <c r="UJM48" s="952"/>
      <c r="UJN48" s="952"/>
      <c r="UJO48" s="952"/>
      <c r="UJP48" s="952"/>
      <c r="UJQ48" s="952"/>
      <c r="UJR48" s="952"/>
      <c r="UJS48" s="952"/>
      <c r="UJT48" s="952"/>
      <c r="UJU48" s="952"/>
      <c r="UJV48" s="952"/>
      <c r="UJW48" s="952"/>
      <c r="UJX48" s="952"/>
      <c r="UJY48" s="952"/>
      <c r="UJZ48" s="952"/>
      <c r="UKA48" s="952"/>
      <c r="UKB48" s="952"/>
      <c r="UKC48" s="952"/>
      <c r="UKD48" s="952"/>
      <c r="UKE48" s="952"/>
      <c r="UKF48" s="952"/>
      <c r="UKG48" s="952"/>
      <c r="UKH48" s="952"/>
      <c r="UKI48" s="952"/>
      <c r="UKJ48" s="952"/>
      <c r="UKK48" s="952"/>
      <c r="UKL48" s="952"/>
      <c r="UKM48" s="952"/>
      <c r="UKN48" s="952"/>
      <c r="UKO48" s="952"/>
      <c r="UKP48" s="952"/>
      <c r="UKQ48" s="952"/>
      <c r="UKR48" s="952"/>
      <c r="UKS48" s="952"/>
      <c r="UKT48" s="952"/>
      <c r="UKU48" s="952"/>
      <c r="UKV48" s="952"/>
      <c r="UKW48" s="952"/>
      <c r="UKX48" s="952"/>
      <c r="UKY48" s="952"/>
      <c r="UKZ48" s="952"/>
      <c r="ULA48" s="952"/>
      <c r="ULB48" s="952"/>
      <c r="ULC48" s="952"/>
      <c r="ULD48" s="952"/>
      <c r="ULE48" s="952"/>
      <c r="ULF48" s="952"/>
      <c r="ULG48" s="952"/>
      <c r="ULH48" s="952"/>
      <c r="ULI48" s="952"/>
      <c r="ULJ48" s="952"/>
      <c r="ULK48" s="952"/>
      <c r="ULL48" s="952"/>
      <c r="ULM48" s="952"/>
      <c r="ULN48" s="952"/>
      <c r="ULO48" s="952"/>
      <c r="ULP48" s="952"/>
      <c r="ULQ48" s="952"/>
      <c r="ULR48" s="952"/>
      <c r="ULS48" s="952"/>
      <c r="ULT48" s="952"/>
      <c r="ULU48" s="952"/>
      <c r="ULV48" s="952"/>
      <c r="ULW48" s="952"/>
      <c r="ULX48" s="952"/>
      <c r="ULY48" s="952"/>
      <c r="ULZ48" s="952"/>
      <c r="UMA48" s="952"/>
      <c r="UMB48" s="952"/>
      <c r="UMC48" s="952"/>
      <c r="UMD48" s="952"/>
      <c r="UME48" s="952"/>
      <c r="UMF48" s="952"/>
      <c r="UMG48" s="952"/>
      <c r="UMH48" s="952"/>
      <c r="UMI48" s="952"/>
      <c r="UMJ48" s="952"/>
      <c r="UMK48" s="952"/>
      <c r="UML48" s="952"/>
      <c r="UMM48" s="952"/>
      <c r="UMN48" s="952"/>
      <c r="UMO48" s="952"/>
      <c r="UMP48" s="952"/>
      <c r="UMQ48" s="952"/>
      <c r="UMR48" s="952"/>
      <c r="UMS48" s="952"/>
      <c r="UMT48" s="952"/>
      <c r="UMU48" s="952"/>
      <c r="UMV48" s="952"/>
      <c r="UMW48" s="952"/>
      <c r="UMX48" s="952"/>
      <c r="UMY48" s="952"/>
      <c r="UMZ48" s="952"/>
      <c r="UNA48" s="952"/>
      <c r="UNB48" s="952"/>
      <c r="UNC48" s="952"/>
      <c r="UND48" s="952"/>
      <c r="UNE48" s="952"/>
      <c r="UNF48" s="952"/>
      <c r="UNG48" s="952"/>
      <c r="UNH48" s="952"/>
      <c r="UNI48" s="952"/>
      <c r="UNJ48" s="952"/>
      <c r="UNK48" s="952"/>
      <c r="UNL48" s="952"/>
      <c r="UNM48" s="952"/>
      <c r="UNN48" s="952"/>
      <c r="UNO48" s="952"/>
      <c r="UNP48" s="952"/>
      <c r="UNQ48" s="952"/>
      <c r="UNR48" s="952"/>
      <c r="UNS48" s="952"/>
      <c r="UNT48" s="952"/>
      <c r="UNU48" s="952"/>
      <c r="UNV48" s="952"/>
      <c r="UNW48" s="952"/>
      <c r="UNX48" s="952"/>
      <c r="UNY48" s="952"/>
      <c r="UNZ48" s="952"/>
      <c r="UOA48" s="952"/>
      <c r="UOB48" s="952"/>
      <c r="UOC48" s="952"/>
      <c r="UOD48" s="952"/>
      <c r="UOE48" s="952"/>
      <c r="UOF48" s="952"/>
      <c r="UOG48" s="952"/>
      <c r="UOH48" s="952"/>
      <c r="UOI48" s="952"/>
      <c r="UOJ48" s="952"/>
      <c r="UOK48" s="952"/>
      <c r="UOL48" s="952"/>
      <c r="UOM48" s="952"/>
      <c r="UON48" s="952"/>
      <c r="UOO48" s="952"/>
      <c r="UOP48" s="952"/>
      <c r="UOQ48" s="952"/>
      <c r="UOR48" s="952"/>
      <c r="UOS48" s="952"/>
      <c r="UOT48" s="952"/>
      <c r="UOU48" s="952"/>
      <c r="UOV48" s="952"/>
      <c r="UOW48" s="952"/>
      <c r="UOX48" s="952"/>
      <c r="UOY48" s="952"/>
      <c r="UOZ48" s="952"/>
      <c r="UPA48" s="952"/>
      <c r="UPB48" s="952"/>
      <c r="UPC48" s="952"/>
      <c r="UPD48" s="952"/>
      <c r="UPE48" s="952"/>
      <c r="UPF48" s="952"/>
      <c r="UPG48" s="952"/>
      <c r="UPH48" s="952"/>
      <c r="UPI48" s="952"/>
      <c r="UPJ48" s="952"/>
      <c r="UPK48" s="952"/>
      <c r="UPL48" s="952"/>
      <c r="UPM48" s="952"/>
      <c r="UPN48" s="952"/>
      <c r="UPO48" s="952"/>
      <c r="UPP48" s="952"/>
      <c r="UPQ48" s="952"/>
      <c r="UPR48" s="952"/>
      <c r="UPS48" s="952"/>
      <c r="UPT48" s="952"/>
      <c r="UPU48" s="952"/>
      <c r="UPV48" s="952"/>
      <c r="UPW48" s="952"/>
      <c r="UPX48" s="952"/>
      <c r="UPY48" s="952"/>
      <c r="UPZ48" s="952"/>
      <c r="UQA48" s="952"/>
      <c r="UQB48" s="952"/>
      <c r="UQC48" s="952"/>
      <c r="UQD48" s="952"/>
      <c r="UQE48" s="952"/>
      <c r="UQF48" s="952"/>
      <c r="UQG48" s="952"/>
      <c r="UQH48" s="952"/>
      <c r="UQI48" s="952"/>
      <c r="UQJ48" s="952"/>
      <c r="UQK48" s="952"/>
      <c r="UQL48" s="952"/>
      <c r="UQM48" s="952"/>
      <c r="UQN48" s="952"/>
      <c r="UQO48" s="952"/>
      <c r="UQP48" s="952"/>
      <c r="UQQ48" s="952"/>
      <c r="UQR48" s="952"/>
      <c r="UQS48" s="952"/>
      <c r="UQT48" s="952"/>
      <c r="UQU48" s="952"/>
      <c r="UQV48" s="952"/>
      <c r="UQW48" s="952"/>
      <c r="UQX48" s="952"/>
      <c r="UQY48" s="952"/>
      <c r="UQZ48" s="952"/>
      <c r="URA48" s="952"/>
      <c r="URB48" s="952"/>
      <c r="URC48" s="952"/>
      <c r="URD48" s="952"/>
      <c r="URE48" s="952"/>
      <c r="URF48" s="952"/>
      <c r="URG48" s="952"/>
      <c r="URH48" s="952"/>
      <c r="URI48" s="952"/>
      <c r="URJ48" s="952"/>
      <c r="URK48" s="952"/>
      <c r="URL48" s="952"/>
      <c r="URM48" s="952"/>
      <c r="URN48" s="952"/>
      <c r="URO48" s="952"/>
      <c r="URP48" s="952"/>
      <c r="URQ48" s="952"/>
      <c r="URR48" s="952"/>
      <c r="URS48" s="952"/>
      <c r="URT48" s="952"/>
      <c r="URU48" s="952"/>
      <c r="URV48" s="952"/>
      <c r="URW48" s="952"/>
      <c r="URX48" s="952"/>
      <c r="URY48" s="952"/>
      <c r="URZ48" s="952"/>
      <c r="USA48" s="952"/>
      <c r="USB48" s="952"/>
      <c r="USC48" s="952"/>
      <c r="USD48" s="952"/>
      <c r="USE48" s="952"/>
      <c r="USF48" s="952"/>
      <c r="USG48" s="952"/>
      <c r="USH48" s="952"/>
      <c r="USI48" s="952"/>
      <c r="USJ48" s="952"/>
      <c r="USK48" s="952"/>
      <c r="USL48" s="952"/>
      <c r="USM48" s="952"/>
      <c r="USN48" s="952"/>
      <c r="USO48" s="952"/>
      <c r="USP48" s="952"/>
      <c r="USQ48" s="952"/>
      <c r="USR48" s="952"/>
      <c r="USS48" s="952"/>
      <c r="UST48" s="952"/>
      <c r="USU48" s="952"/>
      <c r="USV48" s="952"/>
      <c r="USW48" s="952"/>
      <c r="USX48" s="952"/>
      <c r="USY48" s="952"/>
      <c r="USZ48" s="952"/>
      <c r="UTA48" s="952"/>
      <c r="UTB48" s="952"/>
      <c r="UTC48" s="952"/>
      <c r="UTD48" s="952"/>
      <c r="UTE48" s="952"/>
      <c r="UTF48" s="952"/>
      <c r="UTG48" s="952"/>
      <c r="UTH48" s="952"/>
      <c r="UTI48" s="952"/>
      <c r="UTJ48" s="952"/>
      <c r="UTK48" s="952"/>
      <c r="UTL48" s="952"/>
      <c r="UTM48" s="952"/>
      <c r="UTN48" s="952"/>
      <c r="UTO48" s="952"/>
      <c r="UTP48" s="952"/>
      <c r="UTQ48" s="952"/>
      <c r="UTR48" s="952"/>
      <c r="UTS48" s="952"/>
      <c r="UTT48" s="952"/>
      <c r="UTU48" s="952"/>
      <c r="UTV48" s="952"/>
      <c r="UTW48" s="952"/>
      <c r="UTX48" s="952"/>
      <c r="UTY48" s="952"/>
      <c r="UTZ48" s="952"/>
      <c r="UUA48" s="952"/>
      <c r="UUB48" s="952"/>
      <c r="UUC48" s="952"/>
      <c r="UUD48" s="952"/>
      <c r="UUE48" s="952"/>
      <c r="UUF48" s="952"/>
      <c r="UUG48" s="952"/>
      <c r="UUH48" s="952"/>
      <c r="UUI48" s="952"/>
      <c r="UUJ48" s="952"/>
      <c r="UUK48" s="952"/>
      <c r="UUL48" s="952"/>
      <c r="UUM48" s="952"/>
      <c r="UUN48" s="952"/>
      <c r="UUO48" s="952"/>
      <c r="UUP48" s="952"/>
      <c r="UUQ48" s="952"/>
      <c r="UUR48" s="952"/>
      <c r="UUS48" s="952"/>
      <c r="UUT48" s="952"/>
      <c r="UUU48" s="952"/>
      <c r="UUV48" s="952"/>
      <c r="UUW48" s="952"/>
      <c r="UUX48" s="952"/>
      <c r="UUY48" s="952"/>
      <c r="UUZ48" s="952"/>
      <c r="UVA48" s="952"/>
      <c r="UVB48" s="952"/>
      <c r="UVC48" s="952"/>
      <c r="UVD48" s="952"/>
      <c r="UVE48" s="952"/>
      <c r="UVF48" s="952"/>
      <c r="UVG48" s="952"/>
      <c r="UVH48" s="952"/>
      <c r="UVI48" s="952"/>
      <c r="UVJ48" s="952"/>
      <c r="UVK48" s="952"/>
      <c r="UVL48" s="952"/>
      <c r="UVM48" s="952"/>
      <c r="UVN48" s="952"/>
      <c r="UVO48" s="952"/>
      <c r="UVP48" s="952"/>
      <c r="UVQ48" s="952"/>
      <c r="UVR48" s="952"/>
      <c r="UVS48" s="952"/>
      <c r="UVT48" s="952"/>
      <c r="UVU48" s="952"/>
      <c r="UVV48" s="952"/>
      <c r="UVW48" s="952"/>
      <c r="UVX48" s="952"/>
      <c r="UVY48" s="952"/>
      <c r="UVZ48" s="952"/>
      <c r="UWA48" s="952"/>
      <c r="UWB48" s="952"/>
      <c r="UWC48" s="952"/>
      <c r="UWD48" s="952"/>
      <c r="UWE48" s="952"/>
      <c r="UWF48" s="952"/>
      <c r="UWG48" s="952"/>
      <c r="UWH48" s="952"/>
      <c r="UWI48" s="952"/>
      <c r="UWJ48" s="952"/>
      <c r="UWK48" s="952"/>
      <c r="UWL48" s="952"/>
      <c r="UWM48" s="952"/>
      <c r="UWN48" s="952"/>
      <c r="UWO48" s="952"/>
      <c r="UWP48" s="952"/>
      <c r="UWQ48" s="952"/>
      <c r="UWR48" s="952"/>
      <c r="UWS48" s="952"/>
      <c r="UWT48" s="952"/>
      <c r="UWU48" s="952"/>
      <c r="UWV48" s="952"/>
      <c r="UWW48" s="952"/>
      <c r="UWX48" s="952"/>
      <c r="UWY48" s="952"/>
      <c r="UWZ48" s="952"/>
      <c r="UXA48" s="952"/>
      <c r="UXB48" s="952"/>
      <c r="UXC48" s="952"/>
      <c r="UXD48" s="952"/>
      <c r="UXE48" s="952"/>
      <c r="UXF48" s="952"/>
      <c r="UXG48" s="952"/>
      <c r="UXH48" s="952"/>
      <c r="UXI48" s="952"/>
      <c r="UXJ48" s="952"/>
      <c r="UXK48" s="952"/>
      <c r="UXL48" s="952"/>
      <c r="UXM48" s="952"/>
      <c r="UXN48" s="952"/>
      <c r="UXO48" s="952"/>
      <c r="UXP48" s="952"/>
      <c r="UXQ48" s="952"/>
      <c r="UXR48" s="952"/>
      <c r="UXS48" s="952"/>
      <c r="UXT48" s="952"/>
      <c r="UXU48" s="952"/>
      <c r="UXV48" s="952"/>
      <c r="UXW48" s="952"/>
      <c r="UXX48" s="952"/>
      <c r="UXY48" s="952"/>
      <c r="UXZ48" s="952"/>
      <c r="UYA48" s="952"/>
      <c r="UYB48" s="952"/>
      <c r="UYC48" s="952"/>
      <c r="UYD48" s="952"/>
      <c r="UYE48" s="952"/>
      <c r="UYF48" s="952"/>
      <c r="UYG48" s="952"/>
      <c r="UYH48" s="952"/>
      <c r="UYI48" s="952"/>
      <c r="UYJ48" s="952"/>
      <c r="UYK48" s="952"/>
      <c r="UYL48" s="952"/>
      <c r="UYM48" s="952"/>
      <c r="UYN48" s="952"/>
      <c r="UYO48" s="952"/>
      <c r="UYP48" s="952"/>
      <c r="UYQ48" s="952"/>
      <c r="UYR48" s="952"/>
      <c r="UYS48" s="952"/>
      <c r="UYT48" s="952"/>
      <c r="UYU48" s="952"/>
      <c r="UYV48" s="952"/>
      <c r="UYW48" s="952"/>
      <c r="UYX48" s="952"/>
      <c r="UYY48" s="952"/>
      <c r="UYZ48" s="952"/>
      <c r="UZA48" s="952"/>
      <c r="UZB48" s="952"/>
      <c r="UZC48" s="952"/>
      <c r="UZD48" s="952"/>
      <c r="UZE48" s="952"/>
      <c r="UZF48" s="952"/>
      <c r="UZG48" s="952"/>
      <c r="UZH48" s="952"/>
      <c r="UZI48" s="952"/>
      <c r="UZJ48" s="952"/>
      <c r="UZK48" s="952"/>
      <c r="UZL48" s="952"/>
      <c r="UZM48" s="952"/>
      <c r="UZN48" s="952"/>
      <c r="UZO48" s="952"/>
      <c r="UZP48" s="952"/>
      <c r="UZQ48" s="952"/>
      <c r="UZR48" s="952"/>
      <c r="UZS48" s="952"/>
      <c r="UZT48" s="952"/>
      <c r="UZU48" s="952"/>
      <c r="UZV48" s="952"/>
      <c r="UZW48" s="952"/>
      <c r="UZX48" s="952"/>
      <c r="UZY48" s="952"/>
      <c r="UZZ48" s="952"/>
      <c r="VAA48" s="952"/>
      <c r="VAB48" s="952"/>
      <c r="VAC48" s="952"/>
      <c r="VAD48" s="952"/>
      <c r="VAE48" s="952"/>
      <c r="VAF48" s="952"/>
      <c r="VAG48" s="952"/>
      <c r="VAH48" s="952"/>
      <c r="VAI48" s="952"/>
      <c r="VAJ48" s="952"/>
      <c r="VAK48" s="952"/>
      <c r="VAL48" s="952"/>
      <c r="VAM48" s="952"/>
      <c r="VAN48" s="952"/>
      <c r="VAO48" s="952"/>
      <c r="VAP48" s="952"/>
      <c r="VAQ48" s="952"/>
      <c r="VAR48" s="952"/>
      <c r="VAS48" s="952"/>
      <c r="VAT48" s="952"/>
      <c r="VAU48" s="952"/>
      <c r="VAV48" s="952"/>
      <c r="VAW48" s="952"/>
      <c r="VAX48" s="952"/>
      <c r="VAY48" s="952"/>
      <c r="VAZ48" s="952"/>
      <c r="VBA48" s="952"/>
      <c r="VBB48" s="952"/>
      <c r="VBC48" s="952"/>
      <c r="VBD48" s="952"/>
      <c r="VBE48" s="952"/>
      <c r="VBF48" s="952"/>
      <c r="VBG48" s="952"/>
      <c r="VBH48" s="952"/>
      <c r="VBI48" s="952"/>
      <c r="VBJ48" s="952"/>
      <c r="VBK48" s="952"/>
      <c r="VBL48" s="952"/>
      <c r="VBM48" s="952"/>
      <c r="VBN48" s="952"/>
      <c r="VBO48" s="952"/>
      <c r="VBP48" s="952"/>
      <c r="VBQ48" s="952"/>
      <c r="VBR48" s="952"/>
      <c r="VBS48" s="952"/>
      <c r="VBT48" s="952"/>
      <c r="VBU48" s="952"/>
      <c r="VBV48" s="952"/>
      <c r="VBW48" s="952"/>
      <c r="VBX48" s="952"/>
      <c r="VBY48" s="952"/>
      <c r="VBZ48" s="952"/>
      <c r="VCA48" s="952"/>
      <c r="VCB48" s="952"/>
      <c r="VCC48" s="952"/>
      <c r="VCD48" s="952"/>
      <c r="VCE48" s="952"/>
      <c r="VCF48" s="952"/>
      <c r="VCG48" s="952"/>
      <c r="VCH48" s="952"/>
      <c r="VCI48" s="952"/>
      <c r="VCJ48" s="952"/>
      <c r="VCK48" s="952"/>
      <c r="VCL48" s="952"/>
      <c r="VCM48" s="952"/>
      <c r="VCN48" s="952"/>
      <c r="VCO48" s="952"/>
      <c r="VCP48" s="952"/>
      <c r="VCQ48" s="952"/>
      <c r="VCR48" s="952"/>
      <c r="VCS48" s="952"/>
      <c r="VCT48" s="952"/>
      <c r="VCU48" s="952"/>
      <c r="VCV48" s="952"/>
      <c r="VCW48" s="952"/>
      <c r="VCX48" s="952"/>
      <c r="VCY48" s="952"/>
      <c r="VCZ48" s="952"/>
      <c r="VDA48" s="952"/>
      <c r="VDB48" s="952"/>
      <c r="VDC48" s="952"/>
      <c r="VDD48" s="952"/>
      <c r="VDE48" s="952"/>
      <c r="VDF48" s="952"/>
      <c r="VDG48" s="952"/>
      <c r="VDH48" s="952"/>
      <c r="VDI48" s="952"/>
      <c r="VDJ48" s="952"/>
      <c r="VDK48" s="952"/>
      <c r="VDL48" s="952"/>
      <c r="VDM48" s="952"/>
      <c r="VDN48" s="952"/>
      <c r="VDO48" s="952"/>
      <c r="VDP48" s="952"/>
      <c r="VDQ48" s="952"/>
      <c r="VDR48" s="952"/>
      <c r="VDS48" s="952"/>
      <c r="VDT48" s="952"/>
      <c r="VDU48" s="952"/>
      <c r="VDV48" s="952"/>
      <c r="VDW48" s="952"/>
      <c r="VDX48" s="952"/>
      <c r="VDY48" s="952"/>
      <c r="VDZ48" s="952"/>
      <c r="VEA48" s="952"/>
      <c r="VEB48" s="952"/>
      <c r="VEC48" s="952"/>
      <c r="VED48" s="952"/>
      <c r="VEE48" s="952"/>
      <c r="VEF48" s="952"/>
      <c r="VEG48" s="952"/>
      <c r="VEH48" s="952"/>
      <c r="VEI48" s="952"/>
      <c r="VEJ48" s="952"/>
      <c r="VEK48" s="952"/>
      <c r="VEL48" s="952"/>
      <c r="VEM48" s="952"/>
      <c r="VEN48" s="952"/>
      <c r="VEO48" s="952"/>
      <c r="VEP48" s="952"/>
      <c r="VEQ48" s="952"/>
      <c r="VER48" s="952"/>
      <c r="VES48" s="952"/>
      <c r="VET48" s="952"/>
      <c r="VEU48" s="952"/>
      <c r="VEV48" s="952"/>
      <c r="VEW48" s="952"/>
      <c r="VEX48" s="952"/>
      <c r="VEY48" s="952"/>
      <c r="VEZ48" s="952"/>
      <c r="VFA48" s="952"/>
      <c r="VFB48" s="952"/>
      <c r="VFC48" s="952"/>
      <c r="VFD48" s="952"/>
      <c r="VFE48" s="952"/>
      <c r="VFF48" s="952"/>
      <c r="VFG48" s="952"/>
      <c r="VFH48" s="952"/>
      <c r="VFI48" s="952"/>
      <c r="VFJ48" s="952"/>
      <c r="VFK48" s="952"/>
      <c r="VFL48" s="952"/>
      <c r="VFM48" s="952"/>
      <c r="VFN48" s="952"/>
      <c r="VFO48" s="952"/>
      <c r="VFP48" s="952"/>
      <c r="VFQ48" s="952"/>
      <c r="VFR48" s="952"/>
      <c r="VFS48" s="952"/>
      <c r="VFT48" s="952"/>
      <c r="VFU48" s="952"/>
      <c r="VFV48" s="952"/>
      <c r="VFW48" s="952"/>
      <c r="VFX48" s="952"/>
      <c r="VFY48" s="952"/>
      <c r="VFZ48" s="952"/>
      <c r="VGA48" s="952"/>
      <c r="VGB48" s="952"/>
      <c r="VGC48" s="952"/>
      <c r="VGD48" s="952"/>
      <c r="VGE48" s="952"/>
      <c r="VGF48" s="952"/>
      <c r="VGG48" s="952"/>
      <c r="VGH48" s="952"/>
      <c r="VGI48" s="952"/>
      <c r="VGJ48" s="952"/>
      <c r="VGK48" s="952"/>
      <c r="VGL48" s="952"/>
      <c r="VGM48" s="952"/>
      <c r="VGN48" s="952"/>
      <c r="VGO48" s="952"/>
      <c r="VGP48" s="952"/>
      <c r="VGQ48" s="952"/>
      <c r="VGR48" s="952"/>
      <c r="VGS48" s="952"/>
      <c r="VGT48" s="952"/>
      <c r="VGU48" s="952"/>
      <c r="VGV48" s="952"/>
      <c r="VGW48" s="952"/>
      <c r="VGX48" s="952"/>
      <c r="VGY48" s="952"/>
      <c r="VGZ48" s="952"/>
      <c r="VHA48" s="952"/>
      <c r="VHB48" s="952"/>
      <c r="VHC48" s="952"/>
      <c r="VHD48" s="952"/>
      <c r="VHE48" s="952"/>
      <c r="VHF48" s="952"/>
      <c r="VHG48" s="952"/>
      <c r="VHH48" s="952"/>
      <c r="VHI48" s="952"/>
      <c r="VHJ48" s="952"/>
      <c r="VHK48" s="952"/>
      <c r="VHL48" s="952"/>
      <c r="VHM48" s="952"/>
      <c r="VHN48" s="952"/>
      <c r="VHO48" s="952"/>
      <c r="VHP48" s="952"/>
      <c r="VHQ48" s="952"/>
      <c r="VHR48" s="952"/>
      <c r="VHS48" s="952"/>
      <c r="VHT48" s="952"/>
      <c r="VHU48" s="952"/>
      <c r="VHV48" s="952"/>
      <c r="VHW48" s="952"/>
      <c r="VHX48" s="952"/>
      <c r="VHY48" s="952"/>
      <c r="VHZ48" s="952"/>
      <c r="VIA48" s="952"/>
      <c r="VIB48" s="952"/>
      <c r="VIC48" s="952"/>
      <c r="VID48" s="952"/>
      <c r="VIE48" s="952"/>
      <c r="VIF48" s="952"/>
      <c r="VIG48" s="952"/>
      <c r="VIH48" s="952"/>
      <c r="VII48" s="952"/>
      <c r="VIJ48" s="952"/>
      <c r="VIK48" s="952"/>
      <c r="VIL48" s="952"/>
      <c r="VIM48" s="952"/>
      <c r="VIN48" s="952"/>
      <c r="VIO48" s="952"/>
      <c r="VIP48" s="952"/>
      <c r="VIQ48" s="952"/>
      <c r="VIR48" s="952"/>
      <c r="VIS48" s="952"/>
      <c r="VIT48" s="952"/>
      <c r="VIU48" s="952"/>
      <c r="VIV48" s="952"/>
      <c r="VIW48" s="952"/>
      <c r="VIX48" s="952"/>
      <c r="VIY48" s="952"/>
      <c r="VIZ48" s="952"/>
      <c r="VJA48" s="952"/>
      <c r="VJB48" s="952"/>
      <c r="VJC48" s="952"/>
      <c r="VJD48" s="952"/>
      <c r="VJE48" s="952"/>
      <c r="VJF48" s="952"/>
      <c r="VJG48" s="952"/>
      <c r="VJH48" s="952"/>
      <c r="VJI48" s="952"/>
      <c r="VJJ48" s="952"/>
      <c r="VJK48" s="952"/>
      <c r="VJL48" s="952"/>
      <c r="VJM48" s="952"/>
      <c r="VJN48" s="952"/>
      <c r="VJO48" s="952"/>
      <c r="VJP48" s="952"/>
      <c r="VJQ48" s="952"/>
      <c r="VJR48" s="952"/>
      <c r="VJS48" s="952"/>
      <c r="VJT48" s="952"/>
      <c r="VJU48" s="952"/>
      <c r="VJV48" s="952"/>
      <c r="VJW48" s="952"/>
      <c r="VJX48" s="952"/>
      <c r="VJY48" s="952"/>
      <c r="VJZ48" s="952"/>
      <c r="VKA48" s="952"/>
      <c r="VKB48" s="952"/>
      <c r="VKC48" s="952"/>
      <c r="VKD48" s="952"/>
      <c r="VKE48" s="952"/>
      <c r="VKF48" s="952"/>
      <c r="VKG48" s="952"/>
      <c r="VKH48" s="952"/>
      <c r="VKI48" s="952"/>
      <c r="VKJ48" s="952"/>
      <c r="VKK48" s="952"/>
      <c r="VKL48" s="952"/>
      <c r="VKM48" s="952"/>
      <c r="VKN48" s="952"/>
      <c r="VKO48" s="952"/>
      <c r="VKP48" s="952"/>
      <c r="VKQ48" s="952"/>
      <c r="VKR48" s="952"/>
      <c r="VKS48" s="952"/>
      <c r="VKT48" s="952"/>
      <c r="VKU48" s="952"/>
      <c r="VKV48" s="952"/>
      <c r="VKW48" s="952"/>
      <c r="VKX48" s="952"/>
      <c r="VKY48" s="952"/>
      <c r="VKZ48" s="952"/>
      <c r="VLA48" s="952"/>
      <c r="VLB48" s="952"/>
      <c r="VLC48" s="952"/>
      <c r="VLD48" s="952"/>
      <c r="VLE48" s="952"/>
      <c r="VLF48" s="952"/>
      <c r="VLG48" s="952"/>
      <c r="VLH48" s="952"/>
      <c r="VLI48" s="952"/>
      <c r="VLJ48" s="952"/>
      <c r="VLK48" s="952"/>
      <c r="VLL48" s="952"/>
      <c r="VLM48" s="952"/>
      <c r="VLN48" s="952"/>
      <c r="VLO48" s="952"/>
      <c r="VLP48" s="952"/>
      <c r="VLQ48" s="952"/>
      <c r="VLR48" s="952"/>
      <c r="VLS48" s="952"/>
      <c r="VLT48" s="952"/>
      <c r="VLU48" s="952"/>
      <c r="VLV48" s="952"/>
      <c r="VLW48" s="952"/>
      <c r="VLX48" s="952"/>
      <c r="VLY48" s="952"/>
      <c r="VLZ48" s="952"/>
      <c r="VMA48" s="952"/>
      <c r="VMB48" s="952"/>
      <c r="VMC48" s="952"/>
      <c r="VMD48" s="952"/>
      <c r="VME48" s="952"/>
      <c r="VMF48" s="952"/>
      <c r="VMG48" s="952"/>
      <c r="VMH48" s="952"/>
      <c r="VMI48" s="952"/>
      <c r="VMJ48" s="952"/>
      <c r="VMK48" s="952"/>
      <c r="VML48" s="952"/>
      <c r="VMM48" s="952"/>
      <c r="VMN48" s="952"/>
      <c r="VMO48" s="952"/>
      <c r="VMP48" s="952"/>
      <c r="VMQ48" s="952"/>
      <c r="VMR48" s="952"/>
      <c r="VMS48" s="952"/>
      <c r="VMT48" s="952"/>
      <c r="VMU48" s="952"/>
      <c r="VMV48" s="952"/>
      <c r="VMW48" s="952"/>
      <c r="VMX48" s="952"/>
      <c r="VMY48" s="952"/>
      <c r="VMZ48" s="952"/>
      <c r="VNA48" s="952"/>
      <c r="VNB48" s="952"/>
      <c r="VNC48" s="952"/>
      <c r="VND48" s="952"/>
      <c r="VNE48" s="952"/>
      <c r="VNF48" s="952"/>
      <c r="VNG48" s="952"/>
      <c r="VNH48" s="952"/>
      <c r="VNI48" s="952"/>
      <c r="VNJ48" s="952"/>
      <c r="VNK48" s="952"/>
      <c r="VNL48" s="952"/>
      <c r="VNM48" s="952"/>
      <c r="VNN48" s="952"/>
      <c r="VNO48" s="952"/>
      <c r="VNP48" s="952"/>
      <c r="VNQ48" s="952"/>
      <c r="VNR48" s="952"/>
      <c r="VNS48" s="952"/>
      <c r="VNT48" s="952"/>
      <c r="VNU48" s="952"/>
      <c r="VNV48" s="952"/>
      <c r="VNW48" s="952"/>
      <c r="VNX48" s="952"/>
      <c r="VNY48" s="952"/>
      <c r="VNZ48" s="952"/>
      <c r="VOA48" s="952"/>
      <c r="VOB48" s="952"/>
      <c r="VOC48" s="952"/>
      <c r="VOD48" s="952"/>
      <c r="VOE48" s="952"/>
      <c r="VOF48" s="952"/>
      <c r="VOG48" s="952"/>
      <c r="VOH48" s="952"/>
      <c r="VOI48" s="952"/>
      <c r="VOJ48" s="952"/>
      <c r="VOK48" s="952"/>
      <c r="VOL48" s="952"/>
      <c r="VOM48" s="952"/>
      <c r="VON48" s="952"/>
      <c r="VOO48" s="952"/>
      <c r="VOP48" s="952"/>
      <c r="VOQ48" s="952"/>
      <c r="VOR48" s="952"/>
      <c r="VOS48" s="952"/>
      <c r="VOT48" s="952"/>
      <c r="VOU48" s="952"/>
      <c r="VOV48" s="952"/>
      <c r="VOW48" s="952"/>
      <c r="VOX48" s="952"/>
      <c r="VOY48" s="952"/>
      <c r="VOZ48" s="952"/>
      <c r="VPA48" s="952"/>
      <c r="VPB48" s="952"/>
      <c r="VPC48" s="952"/>
      <c r="VPD48" s="952"/>
      <c r="VPE48" s="952"/>
      <c r="VPF48" s="952"/>
      <c r="VPG48" s="952"/>
      <c r="VPH48" s="952"/>
      <c r="VPI48" s="952"/>
      <c r="VPJ48" s="952"/>
      <c r="VPK48" s="952"/>
      <c r="VPL48" s="952"/>
      <c r="VPM48" s="952"/>
      <c r="VPN48" s="952"/>
      <c r="VPO48" s="952"/>
      <c r="VPP48" s="952"/>
      <c r="VPQ48" s="952"/>
      <c r="VPR48" s="952"/>
      <c r="VPS48" s="952"/>
      <c r="VPT48" s="952"/>
      <c r="VPU48" s="952"/>
      <c r="VPV48" s="952"/>
      <c r="VPW48" s="952"/>
      <c r="VPX48" s="952"/>
      <c r="VPY48" s="952"/>
      <c r="VPZ48" s="952"/>
      <c r="VQA48" s="952"/>
      <c r="VQB48" s="952"/>
      <c r="VQC48" s="952"/>
      <c r="VQD48" s="952"/>
      <c r="VQE48" s="952"/>
      <c r="VQF48" s="952"/>
      <c r="VQG48" s="952"/>
      <c r="VQH48" s="952"/>
      <c r="VQI48" s="952"/>
      <c r="VQJ48" s="952"/>
      <c r="VQK48" s="952"/>
      <c r="VQL48" s="952"/>
      <c r="VQM48" s="952"/>
      <c r="VQN48" s="952"/>
      <c r="VQO48" s="952"/>
      <c r="VQP48" s="952"/>
      <c r="VQQ48" s="952"/>
      <c r="VQR48" s="952"/>
      <c r="VQS48" s="952"/>
      <c r="VQT48" s="952"/>
      <c r="VQU48" s="952"/>
      <c r="VQV48" s="952"/>
      <c r="VQW48" s="952"/>
      <c r="VQX48" s="952"/>
      <c r="VQY48" s="952"/>
      <c r="VQZ48" s="952"/>
      <c r="VRA48" s="952"/>
      <c r="VRB48" s="952"/>
      <c r="VRC48" s="952"/>
      <c r="VRD48" s="952"/>
      <c r="VRE48" s="952"/>
      <c r="VRF48" s="952"/>
      <c r="VRG48" s="952"/>
      <c r="VRH48" s="952"/>
      <c r="VRI48" s="952"/>
      <c r="VRJ48" s="952"/>
      <c r="VRK48" s="952"/>
      <c r="VRL48" s="952"/>
      <c r="VRM48" s="952"/>
      <c r="VRN48" s="952"/>
      <c r="VRO48" s="952"/>
      <c r="VRP48" s="952"/>
      <c r="VRQ48" s="952"/>
      <c r="VRR48" s="952"/>
      <c r="VRS48" s="952"/>
      <c r="VRT48" s="952"/>
      <c r="VRU48" s="952"/>
      <c r="VRV48" s="952"/>
      <c r="VRW48" s="952"/>
      <c r="VRX48" s="952"/>
      <c r="VRY48" s="952"/>
      <c r="VRZ48" s="952"/>
      <c r="VSA48" s="952"/>
      <c r="VSB48" s="952"/>
      <c r="VSC48" s="952"/>
      <c r="VSD48" s="952"/>
      <c r="VSE48" s="952"/>
      <c r="VSF48" s="952"/>
      <c r="VSG48" s="952"/>
      <c r="VSH48" s="952"/>
      <c r="VSI48" s="952"/>
      <c r="VSJ48" s="952"/>
      <c r="VSK48" s="952"/>
      <c r="VSL48" s="952"/>
      <c r="VSM48" s="952"/>
      <c r="VSN48" s="952"/>
      <c r="VSO48" s="952"/>
      <c r="VSP48" s="952"/>
      <c r="VSQ48" s="952"/>
      <c r="VSR48" s="952"/>
      <c r="VSS48" s="952"/>
      <c r="VST48" s="952"/>
      <c r="VSU48" s="952"/>
      <c r="VSV48" s="952"/>
      <c r="VSW48" s="952"/>
      <c r="VSX48" s="952"/>
      <c r="VSY48" s="952"/>
      <c r="VSZ48" s="952"/>
      <c r="VTA48" s="952"/>
      <c r="VTB48" s="952"/>
      <c r="VTC48" s="952"/>
      <c r="VTD48" s="952"/>
      <c r="VTE48" s="952"/>
      <c r="VTF48" s="952"/>
      <c r="VTG48" s="952"/>
      <c r="VTH48" s="952"/>
      <c r="VTI48" s="952"/>
      <c r="VTJ48" s="952"/>
      <c r="VTK48" s="952"/>
      <c r="VTL48" s="952"/>
      <c r="VTM48" s="952"/>
      <c r="VTN48" s="952"/>
      <c r="VTO48" s="952"/>
      <c r="VTP48" s="952"/>
      <c r="VTQ48" s="952"/>
      <c r="VTR48" s="952"/>
      <c r="VTS48" s="952"/>
      <c r="VTT48" s="952"/>
      <c r="VTU48" s="952"/>
      <c r="VTV48" s="952"/>
      <c r="VTW48" s="952"/>
      <c r="VTX48" s="952"/>
      <c r="VTY48" s="952"/>
      <c r="VTZ48" s="952"/>
      <c r="VUA48" s="952"/>
      <c r="VUB48" s="952"/>
      <c r="VUC48" s="952"/>
      <c r="VUD48" s="952"/>
      <c r="VUE48" s="952"/>
      <c r="VUF48" s="952"/>
      <c r="VUG48" s="952"/>
      <c r="VUH48" s="952"/>
      <c r="VUI48" s="952"/>
      <c r="VUJ48" s="952"/>
      <c r="VUK48" s="952"/>
      <c r="VUL48" s="952"/>
      <c r="VUM48" s="952"/>
      <c r="VUN48" s="952"/>
      <c r="VUO48" s="952"/>
      <c r="VUP48" s="952"/>
      <c r="VUQ48" s="952"/>
      <c r="VUR48" s="952"/>
      <c r="VUS48" s="952"/>
      <c r="VUT48" s="952"/>
      <c r="VUU48" s="952"/>
      <c r="VUV48" s="952"/>
      <c r="VUW48" s="952"/>
      <c r="VUX48" s="952"/>
      <c r="VUY48" s="952"/>
      <c r="VUZ48" s="952"/>
      <c r="VVA48" s="952"/>
      <c r="VVB48" s="952"/>
      <c r="VVC48" s="952"/>
      <c r="VVD48" s="952"/>
      <c r="VVE48" s="952"/>
      <c r="VVF48" s="952"/>
      <c r="VVG48" s="952"/>
      <c r="VVH48" s="952"/>
      <c r="VVI48" s="952"/>
      <c r="VVJ48" s="952"/>
      <c r="VVK48" s="952"/>
      <c r="VVL48" s="952"/>
      <c r="VVM48" s="952"/>
      <c r="VVN48" s="952"/>
      <c r="VVO48" s="952"/>
      <c r="VVP48" s="952"/>
      <c r="VVQ48" s="952"/>
      <c r="VVR48" s="952"/>
      <c r="VVS48" s="952"/>
      <c r="VVT48" s="952"/>
      <c r="VVU48" s="952"/>
      <c r="VVV48" s="952"/>
      <c r="VVW48" s="952"/>
      <c r="VVX48" s="952"/>
      <c r="VVY48" s="952"/>
      <c r="VVZ48" s="952"/>
      <c r="VWA48" s="952"/>
      <c r="VWB48" s="952"/>
      <c r="VWC48" s="952"/>
      <c r="VWD48" s="952"/>
      <c r="VWE48" s="952"/>
      <c r="VWF48" s="952"/>
      <c r="VWG48" s="952"/>
      <c r="VWH48" s="952"/>
      <c r="VWI48" s="952"/>
      <c r="VWJ48" s="952"/>
      <c r="VWK48" s="952"/>
      <c r="VWL48" s="952"/>
      <c r="VWM48" s="952"/>
      <c r="VWN48" s="952"/>
      <c r="VWO48" s="952"/>
      <c r="VWP48" s="952"/>
      <c r="VWQ48" s="952"/>
      <c r="VWR48" s="952"/>
      <c r="VWS48" s="952"/>
      <c r="VWT48" s="952"/>
      <c r="VWU48" s="952"/>
      <c r="VWV48" s="952"/>
      <c r="VWW48" s="952"/>
      <c r="VWX48" s="952"/>
      <c r="VWY48" s="952"/>
      <c r="VWZ48" s="952"/>
      <c r="VXA48" s="952"/>
      <c r="VXB48" s="952"/>
      <c r="VXC48" s="952"/>
      <c r="VXD48" s="952"/>
      <c r="VXE48" s="952"/>
      <c r="VXF48" s="952"/>
      <c r="VXG48" s="952"/>
      <c r="VXH48" s="952"/>
      <c r="VXI48" s="952"/>
      <c r="VXJ48" s="952"/>
      <c r="VXK48" s="952"/>
      <c r="VXL48" s="952"/>
      <c r="VXM48" s="952"/>
      <c r="VXN48" s="952"/>
      <c r="VXO48" s="952"/>
      <c r="VXP48" s="952"/>
      <c r="VXQ48" s="952"/>
      <c r="VXR48" s="952"/>
      <c r="VXS48" s="952"/>
      <c r="VXT48" s="952"/>
      <c r="VXU48" s="952"/>
      <c r="VXV48" s="952"/>
      <c r="VXW48" s="952"/>
      <c r="VXX48" s="952"/>
      <c r="VXY48" s="952"/>
      <c r="VXZ48" s="952"/>
      <c r="VYA48" s="952"/>
      <c r="VYB48" s="952"/>
      <c r="VYC48" s="952"/>
      <c r="VYD48" s="952"/>
      <c r="VYE48" s="952"/>
      <c r="VYF48" s="952"/>
      <c r="VYG48" s="952"/>
      <c r="VYH48" s="952"/>
      <c r="VYI48" s="952"/>
      <c r="VYJ48" s="952"/>
      <c r="VYK48" s="952"/>
      <c r="VYL48" s="952"/>
      <c r="VYM48" s="952"/>
      <c r="VYN48" s="952"/>
      <c r="VYO48" s="952"/>
      <c r="VYP48" s="952"/>
      <c r="VYQ48" s="952"/>
      <c r="VYR48" s="952"/>
      <c r="VYS48" s="952"/>
      <c r="VYT48" s="952"/>
      <c r="VYU48" s="952"/>
      <c r="VYV48" s="952"/>
      <c r="VYW48" s="952"/>
      <c r="VYX48" s="952"/>
      <c r="VYY48" s="952"/>
      <c r="VYZ48" s="952"/>
      <c r="VZA48" s="952"/>
      <c r="VZB48" s="952"/>
      <c r="VZC48" s="952"/>
      <c r="VZD48" s="952"/>
      <c r="VZE48" s="952"/>
      <c r="VZF48" s="952"/>
      <c r="VZG48" s="952"/>
      <c r="VZH48" s="952"/>
      <c r="VZI48" s="952"/>
      <c r="VZJ48" s="952"/>
      <c r="VZK48" s="952"/>
      <c r="VZL48" s="952"/>
      <c r="VZM48" s="952"/>
      <c r="VZN48" s="952"/>
      <c r="VZO48" s="952"/>
      <c r="VZP48" s="952"/>
      <c r="VZQ48" s="952"/>
      <c r="VZR48" s="952"/>
      <c r="VZS48" s="952"/>
      <c r="VZT48" s="952"/>
      <c r="VZU48" s="952"/>
      <c r="VZV48" s="952"/>
      <c r="VZW48" s="952"/>
      <c r="VZX48" s="952"/>
      <c r="VZY48" s="952"/>
      <c r="VZZ48" s="952"/>
      <c r="WAA48" s="952"/>
      <c r="WAB48" s="952"/>
      <c r="WAC48" s="952"/>
      <c r="WAD48" s="952"/>
      <c r="WAE48" s="952"/>
      <c r="WAF48" s="952"/>
      <c r="WAG48" s="952"/>
      <c r="WAH48" s="952"/>
      <c r="WAI48" s="952"/>
      <c r="WAJ48" s="952"/>
      <c r="WAK48" s="952"/>
      <c r="WAL48" s="952"/>
      <c r="WAM48" s="952"/>
      <c r="WAN48" s="952"/>
      <c r="WAO48" s="952"/>
      <c r="WAP48" s="952"/>
      <c r="WAQ48" s="952"/>
      <c r="WAR48" s="952"/>
      <c r="WAS48" s="952"/>
      <c r="WAT48" s="952"/>
      <c r="WAU48" s="952"/>
      <c r="WAV48" s="952"/>
      <c r="WAW48" s="952"/>
      <c r="WAX48" s="952"/>
      <c r="WAY48" s="952"/>
      <c r="WAZ48" s="952"/>
      <c r="WBA48" s="952"/>
      <c r="WBB48" s="952"/>
      <c r="WBC48" s="952"/>
      <c r="WBD48" s="952"/>
      <c r="WBE48" s="952"/>
      <c r="WBF48" s="952"/>
      <c r="WBG48" s="952"/>
      <c r="WBH48" s="952"/>
      <c r="WBI48" s="952"/>
      <c r="WBJ48" s="952"/>
      <c r="WBK48" s="952"/>
      <c r="WBL48" s="952"/>
      <c r="WBM48" s="952"/>
      <c r="WBN48" s="952"/>
      <c r="WBO48" s="952"/>
      <c r="WBP48" s="952"/>
      <c r="WBQ48" s="952"/>
      <c r="WBR48" s="952"/>
      <c r="WBS48" s="952"/>
      <c r="WBT48" s="952"/>
      <c r="WBU48" s="952"/>
      <c r="WBV48" s="952"/>
      <c r="WBW48" s="952"/>
      <c r="WBX48" s="952"/>
      <c r="WBY48" s="952"/>
      <c r="WBZ48" s="952"/>
      <c r="WCA48" s="952"/>
      <c r="WCB48" s="952"/>
      <c r="WCC48" s="952"/>
      <c r="WCD48" s="952"/>
      <c r="WCE48" s="952"/>
      <c r="WCF48" s="952"/>
      <c r="WCG48" s="952"/>
      <c r="WCH48" s="952"/>
      <c r="WCI48" s="952"/>
      <c r="WCJ48" s="952"/>
      <c r="WCK48" s="952"/>
      <c r="WCL48" s="952"/>
      <c r="WCM48" s="952"/>
      <c r="WCN48" s="952"/>
      <c r="WCO48" s="952"/>
      <c r="WCP48" s="952"/>
      <c r="WCQ48" s="952"/>
      <c r="WCR48" s="952"/>
      <c r="WCS48" s="952"/>
      <c r="WCT48" s="952"/>
      <c r="WCU48" s="952"/>
      <c r="WCV48" s="952"/>
      <c r="WCW48" s="952"/>
      <c r="WCX48" s="952"/>
      <c r="WCY48" s="952"/>
      <c r="WCZ48" s="952"/>
      <c r="WDA48" s="952"/>
      <c r="WDB48" s="952"/>
      <c r="WDC48" s="952"/>
      <c r="WDD48" s="952"/>
      <c r="WDE48" s="952"/>
      <c r="WDF48" s="952"/>
      <c r="WDG48" s="952"/>
      <c r="WDH48" s="952"/>
      <c r="WDI48" s="952"/>
      <c r="WDJ48" s="952"/>
      <c r="WDK48" s="952"/>
      <c r="WDL48" s="952"/>
      <c r="WDM48" s="952"/>
      <c r="WDN48" s="952"/>
      <c r="WDO48" s="952"/>
      <c r="WDP48" s="952"/>
      <c r="WDQ48" s="952"/>
      <c r="WDR48" s="952"/>
      <c r="WDS48" s="952"/>
      <c r="WDT48" s="952"/>
      <c r="WDU48" s="952"/>
      <c r="WDV48" s="952"/>
      <c r="WDW48" s="952"/>
      <c r="WDX48" s="952"/>
      <c r="WDY48" s="952"/>
      <c r="WDZ48" s="952"/>
      <c r="WEA48" s="952"/>
      <c r="WEB48" s="952"/>
      <c r="WEC48" s="952"/>
      <c r="WED48" s="952"/>
      <c r="WEE48" s="952"/>
      <c r="WEF48" s="952"/>
      <c r="WEG48" s="952"/>
      <c r="WEH48" s="952"/>
      <c r="WEI48" s="952"/>
      <c r="WEJ48" s="952"/>
      <c r="WEK48" s="952"/>
      <c r="WEL48" s="952"/>
      <c r="WEM48" s="952"/>
      <c r="WEN48" s="952"/>
      <c r="WEO48" s="952"/>
      <c r="WEP48" s="952"/>
      <c r="WEQ48" s="952"/>
      <c r="WER48" s="952"/>
      <c r="WES48" s="952"/>
      <c r="WET48" s="952"/>
      <c r="WEU48" s="952"/>
      <c r="WEV48" s="952"/>
      <c r="WEW48" s="952"/>
      <c r="WEX48" s="952"/>
      <c r="WEY48" s="952"/>
      <c r="WEZ48" s="952"/>
      <c r="WFA48" s="952"/>
      <c r="WFB48" s="952"/>
      <c r="WFC48" s="952"/>
      <c r="WFD48" s="952"/>
      <c r="WFE48" s="952"/>
      <c r="WFF48" s="952"/>
      <c r="WFG48" s="952"/>
      <c r="WFH48" s="952"/>
      <c r="WFI48" s="952"/>
      <c r="WFJ48" s="952"/>
      <c r="WFK48" s="952"/>
      <c r="WFL48" s="952"/>
      <c r="WFM48" s="952"/>
      <c r="WFN48" s="952"/>
      <c r="WFO48" s="952"/>
      <c r="WFP48" s="952"/>
      <c r="WFQ48" s="952"/>
      <c r="WFR48" s="952"/>
      <c r="WFS48" s="952"/>
      <c r="WFT48" s="952"/>
      <c r="WFU48" s="952"/>
      <c r="WFV48" s="952"/>
      <c r="WFW48" s="952"/>
      <c r="WFX48" s="952"/>
      <c r="WFY48" s="952"/>
      <c r="WFZ48" s="952"/>
      <c r="WGA48" s="952"/>
      <c r="WGB48" s="952"/>
      <c r="WGC48" s="952"/>
      <c r="WGD48" s="952"/>
      <c r="WGE48" s="952"/>
      <c r="WGF48" s="952"/>
      <c r="WGG48" s="952"/>
      <c r="WGH48" s="952"/>
      <c r="WGI48" s="952"/>
      <c r="WGJ48" s="952"/>
      <c r="WGK48" s="952"/>
      <c r="WGL48" s="952"/>
      <c r="WGM48" s="952"/>
      <c r="WGN48" s="952"/>
      <c r="WGO48" s="952"/>
      <c r="WGP48" s="952"/>
      <c r="WGQ48" s="952"/>
      <c r="WGR48" s="952"/>
      <c r="WGS48" s="952"/>
      <c r="WGT48" s="952"/>
      <c r="WGU48" s="952"/>
      <c r="WGV48" s="952"/>
      <c r="WGW48" s="952"/>
      <c r="WGX48" s="952"/>
      <c r="WGY48" s="952"/>
      <c r="WGZ48" s="952"/>
      <c r="WHA48" s="952"/>
      <c r="WHB48" s="952"/>
      <c r="WHC48" s="952"/>
      <c r="WHD48" s="952"/>
      <c r="WHE48" s="952"/>
      <c r="WHF48" s="952"/>
      <c r="WHG48" s="952"/>
      <c r="WHH48" s="952"/>
      <c r="WHI48" s="952"/>
      <c r="WHJ48" s="952"/>
      <c r="WHK48" s="952"/>
      <c r="WHL48" s="952"/>
      <c r="WHM48" s="952"/>
      <c r="WHN48" s="952"/>
      <c r="WHO48" s="952"/>
      <c r="WHP48" s="952"/>
      <c r="WHQ48" s="952"/>
      <c r="WHR48" s="952"/>
      <c r="WHS48" s="952"/>
      <c r="WHT48" s="952"/>
      <c r="WHU48" s="952"/>
      <c r="WHV48" s="952"/>
      <c r="WHW48" s="952"/>
      <c r="WHX48" s="952"/>
      <c r="WHY48" s="952"/>
      <c r="WHZ48" s="952"/>
      <c r="WIA48" s="952"/>
      <c r="WIB48" s="952"/>
      <c r="WIC48" s="952"/>
      <c r="WID48" s="952"/>
      <c r="WIE48" s="952"/>
      <c r="WIF48" s="952"/>
      <c r="WIG48" s="952"/>
      <c r="WIH48" s="952"/>
      <c r="WII48" s="952"/>
      <c r="WIJ48" s="952"/>
      <c r="WIK48" s="952"/>
      <c r="WIL48" s="952"/>
      <c r="WIM48" s="952"/>
      <c r="WIN48" s="952"/>
      <c r="WIO48" s="952"/>
      <c r="WIP48" s="952"/>
      <c r="WIQ48" s="952"/>
      <c r="WIR48" s="952"/>
      <c r="WIS48" s="952"/>
      <c r="WIT48" s="952"/>
      <c r="WIU48" s="952"/>
      <c r="WIV48" s="952"/>
      <c r="WIW48" s="952"/>
      <c r="WIX48" s="952"/>
      <c r="WIY48" s="952"/>
      <c r="WIZ48" s="952"/>
      <c r="WJA48" s="952"/>
      <c r="WJB48" s="952"/>
      <c r="WJC48" s="952"/>
      <c r="WJD48" s="952"/>
      <c r="WJE48" s="952"/>
      <c r="WJF48" s="952"/>
      <c r="WJG48" s="952"/>
      <c r="WJH48" s="952"/>
      <c r="WJI48" s="952"/>
      <c r="WJJ48" s="952"/>
      <c r="WJK48" s="952"/>
      <c r="WJL48" s="952"/>
      <c r="WJM48" s="952"/>
      <c r="WJN48" s="952"/>
      <c r="WJO48" s="952"/>
      <c r="WJP48" s="952"/>
      <c r="WJQ48" s="952"/>
      <c r="WJR48" s="952"/>
      <c r="WJS48" s="952"/>
      <c r="WJT48" s="952"/>
      <c r="WJU48" s="952"/>
      <c r="WJV48" s="952"/>
      <c r="WJW48" s="952"/>
      <c r="WJX48" s="952"/>
      <c r="WJY48" s="952"/>
      <c r="WJZ48" s="952"/>
      <c r="WKA48" s="952"/>
      <c r="WKB48" s="952"/>
      <c r="WKC48" s="952"/>
      <c r="WKD48" s="952"/>
      <c r="WKE48" s="952"/>
      <c r="WKF48" s="952"/>
      <c r="WKG48" s="952"/>
      <c r="WKH48" s="952"/>
      <c r="WKI48" s="952"/>
      <c r="WKJ48" s="952"/>
      <c r="WKK48" s="952"/>
      <c r="WKL48" s="952"/>
      <c r="WKM48" s="952"/>
      <c r="WKN48" s="952"/>
      <c r="WKO48" s="952"/>
      <c r="WKP48" s="952"/>
      <c r="WKQ48" s="952"/>
      <c r="WKR48" s="952"/>
      <c r="WKS48" s="952"/>
      <c r="WKT48" s="952"/>
      <c r="WKU48" s="952"/>
      <c r="WKV48" s="952"/>
      <c r="WKW48" s="952"/>
      <c r="WKX48" s="952"/>
      <c r="WKY48" s="952"/>
      <c r="WKZ48" s="952"/>
      <c r="WLA48" s="952"/>
      <c r="WLB48" s="952"/>
      <c r="WLC48" s="952"/>
      <c r="WLD48" s="952"/>
      <c r="WLE48" s="952"/>
      <c r="WLF48" s="952"/>
      <c r="WLG48" s="952"/>
      <c r="WLH48" s="952"/>
      <c r="WLI48" s="952"/>
      <c r="WLJ48" s="952"/>
      <c r="WLK48" s="952"/>
      <c r="WLL48" s="952"/>
      <c r="WLM48" s="952"/>
      <c r="WLN48" s="952"/>
      <c r="WLO48" s="952"/>
      <c r="WLP48" s="952"/>
      <c r="WLQ48" s="952"/>
      <c r="WLR48" s="952"/>
      <c r="WLS48" s="952"/>
      <c r="WLT48" s="952"/>
      <c r="WLU48" s="952"/>
      <c r="WLV48" s="952"/>
      <c r="WLW48" s="952"/>
      <c r="WLX48" s="952"/>
      <c r="WLY48" s="952"/>
      <c r="WLZ48" s="952"/>
      <c r="WMA48" s="952"/>
      <c r="WMB48" s="952"/>
      <c r="WMC48" s="952"/>
      <c r="WMD48" s="952"/>
      <c r="WME48" s="952"/>
      <c r="WMF48" s="952"/>
      <c r="WMG48" s="952"/>
      <c r="WMH48" s="952"/>
      <c r="WMI48" s="952"/>
      <c r="WMJ48" s="952"/>
      <c r="WMK48" s="952"/>
      <c r="WML48" s="952"/>
      <c r="WMM48" s="952"/>
      <c r="WMN48" s="952"/>
      <c r="WMO48" s="952"/>
      <c r="WMP48" s="952"/>
      <c r="WMQ48" s="952"/>
      <c r="WMR48" s="952"/>
      <c r="WMS48" s="952"/>
      <c r="WMT48" s="952"/>
      <c r="WMU48" s="952"/>
      <c r="WMV48" s="952"/>
      <c r="WMW48" s="952"/>
      <c r="WMX48" s="952"/>
      <c r="WMY48" s="952"/>
      <c r="WMZ48" s="952"/>
      <c r="WNA48" s="952"/>
      <c r="WNB48" s="952"/>
      <c r="WNC48" s="952"/>
      <c r="WND48" s="952"/>
      <c r="WNE48" s="952"/>
      <c r="WNF48" s="952"/>
      <c r="WNG48" s="952"/>
      <c r="WNH48" s="952"/>
      <c r="WNI48" s="952"/>
      <c r="WNJ48" s="952"/>
      <c r="WNK48" s="952"/>
      <c r="WNL48" s="952"/>
      <c r="WNM48" s="952"/>
      <c r="WNN48" s="952"/>
      <c r="WNO48" s="952"/>
      <c r="WNP48" s="952"/>
      <c r="WNQ48" s="952"/>
      <c r="WNR48" s="952"/>
      <c r="WNS48" s="952"/>
      <c r="WNT48" s="952"/>
      <c r="WNU48" s="952"/>
      <c r="WNV48" s="952"/>
      <c r="WNW48" s="952"/>
      <c r="WNX48" s="952"/>
      <c r="WNY48" s="952"/>
      <c r="WNZ48" s="952"/>
      <c r="WOA48" s="952"/>
      <c r="WOB48" s="952"/>
      <c r="WOC48" s="952"/>
      <c r="WOD48" s="952"/>
      <c r="WOE48" s="952"/>
      <c r="WOF48" s="952"/>
      <c r="WOG48" s="952"/>
      <c r="WOH48" s="952"/>
      <c r="WOI48" s="952"/>
      <c r="WOJ48" s="952"/>
      <c r="WOK48" s="952"/>
      <c r="WOL48" s="952"/>
      <c r="WOM48" s="952"/>
      <c r="WON48" s="952"/>
      <c r="WOO48" s="952"/>
      <c r="WOP48" s="952"/>
      <c r="WOQ48" s="952"/>
      <c r="WOR48" s="952"/>
      <c r="WOS48" s="952"/>
      <c r="WOT48" s="952"/>
      <c r="WOU48" s="952"/>
      <c r="WOV48" s="952"/>
      <c r="WOW48" s="952"/>
      <c r="WOX48" s="952"/>
      <c r="WOY48" s="952"/>
      <c r="WOZ48" s="952"/>
      <c r="WPA48" s="952"/>
      <c r="WPB48" s="952"/>
      <c r="WPC48" s="952"/>
      <c r="WPD48" s="952"/>
      <c r="WPE48" s="952"/>
      <c r="WPF48" s="952"/>
      <c r="WPG48" s="952"/>
      <c r="WPH48" s="952"/>
      <c r="WPI48" s="952"/>
      <c r="WPJ48" s="952"/>
      <c r="WPK48" s="952"/>
      <c r="WPL48" s="952"/>
      <c r="WPM48" s="952"/>
      <c r="WPN48" s="952"/>
      <c r="WPO48" s="952"/>
      <c r="WPP48" s="952"/>
      <c r="WPQ48" s="952"/>
      <c r="WPR48" s="952"/>
      <c r="WPS48" s="952"/>
      <c r="WPT48" s="952"/>
      <c r="WPU48" s="952"/>
      <c r="WPV48" s="952"/>
      <c r="WPW48" s="952"/>
      <c r="WPX48" s="952"/>
      <c r="WPY48" s="952"/>
      <c r="WPZ48" s="952"/>
      <c r="WQA48" s="952"/>
      <c r="WQB48" s="952"/>
      <c r="WQC48" s="952"/>
      <c r="WQD48" s="952"/>
      <c r="WQE48" s="952"/>
      <c r="WQF48" s="952"/>
      <c r="WQG48" s="952"/>
      <c r="WQH48" s="952"/>
      <c r="WQI48" s="952"/>
      <c r="WQJ48" s="952"/>
      <c r="WQK48" s="952"/>
      <c r="WQL48" s="952"/>
      <c r="WQM48" s="952"/>
      <c r="WQN48" s="952"/>
      <c r="WQO48" s="952"/>
      <c r="WQP48" s="952"/>
      <c r="WQQ48" s="952"/>
      <c r="WQR48" s="952"/>
      <c r="WQS48" s="952"/>
      <c r="WQT48" s="952"/>
      <c r="WQU48" s="952"/>
      <c r="WQV48" s="952"/>
      <c r="WQW48" s="952"/>
      <c r="WQX48" s="952"/>
      <c r="WQY48" s="952"/>
      <c r="WQZ48" s="952"/>
      <c r="WRA48" s="952"/>
      <c r="WRB48" s="952"/>
      <c r="WRC48" s="952"/>
      <c r="WRD48" s="952"/>
      <c r="WRE48" s="952"/>
      <c r="WRF48" s="952"/>
      <c r="WRG48" s="952"/>
      <c r="WRH48" s="952"/>
      <c r="WRI48" s="952"/>
      <c r="WRJ48" s="952"/>
      <c r="WRK48" s="952"/>
      <c r="WRL48" s="952"/>
      <c r="WRM48" s="952"/>
      <c r="WRN48" s="952"/>
      <c r="WRO48" s="952"/>
      <c r="WRP48" s="952"/>
      <c r="WRQ48" s="952"/>
      <c r="WRR48" s="952"/>
      <c r="WRS48" s="952"/>
      <c r="WRT48" s="952"/>
      <c r="WRU48" s="952"/>
      <c r="WRV48" s="952"/>
      <c r="WRW48" s="952"/>
      <c r="WRX48" s="952"/>
      <c r="WRY48" s="952"/>
      <c r="WRZ48" s="952"/>
      <c r="WSA48" s="952"/>
      <c r="WSB48" s="952"/>
      <c r="WSC48" s="952"/>
      <c r="WSD48" s="952"/>
      <c r="WSE48" s="952"/>
      <c r="WSF48" s="952"/>
      <c r="WSG48" s="952"/>
      <c r="WSH48" s="952"/>
      <c r="WSI48" s="952"/>
      <c r="WSJ48" s="952"/>
      <c r="WSK48" s="952"/>
      <c r="WSL48" s="952"/>
      <c r="WSM48" s="952"/>
      <c r="WSN48" s="952"/>
      <c r="WSO48" s="952"/>
      <c r="WSP48" s="952"/>
      <c r="WSQ48" s="952"/>
      <c r="WSR48" s="952"/>
      <c r="WSS48" s="952"/>
      <c r="WST48" s="952"/>
      <c r="WSU48" s="952"/>
      <c r="WSV48" s="952"/>
      <c r="WSW48" s="952"/>
      <c r="WSX48" s="952"/>
      <c r="WSY48" s="952"/>
      <c r="WSZ48" s="952"/>
      <c r="WTA48" s="952"/>
      <c r="WTB48" s="952"/>
      <c r="WTC48" s="952"/>
      <c r="WTD48" s="952"/>
      <c r="WTE48" s="952"/>
      <c r="WTF48" s="952"/>
      <c r="WTG48" s="952"/>
      <c r="WTH48" s="952"/>
      <c r="WTI48" s="952"/>
      <c r="WTJ48" s="952"/>
      <c r="WTK48" s="952"/>
      <c r="WTL48" s="952"/>
      <c r="WTM48" s="952"/>
      <c r="WTN48" s="952"/>
      <c r="WTO48" s="952"/>
      <c r="WTP48" s="952"/>
      <c r="WTQ48" s="952"/>
      <c r="WTR48" s="952"/>
      <c r="WTS48" s="952"/>
      <c r="WTT48" s="952"/>
      <c r="WTU48" s="952"/>
      <c r="WTV48" s="952"/>
      <c r="WTW48" s="952"/>
      <c r="WTX48" s="952"/>
      <c r="WTY48" s="952"/>
      <c r="WTZ48" s="952"/>
      <c r="WUA48" s="952"/>
      <c r="WUB48" s="952"/>
      <c r="WUC48" s="952"/>
      <c r="WUD48" s="952"/>
      <c r="WUE48" s="952"/>
      <c r="WUF48" s="952"/>
      <c r="WUG48" s="952"/>
      <c r="WUH48" s="952"/>
      <c r="WUI48" s="952"/>
      <c r="WUJ48" s="952"/>
      <c r="WUK48" s="952"/>
      <c r="WUL48" s="952"/>
      <c r="WUM48" s="952"/>
      <c r="WUN48" s="952"/>
      <c r="WUO48" s="952"/>
      <c r="WUP48" s="952"/>
      <c r="WUQ48" s="952"/>
      <c r="WUR48" s="952"/>
      <c r="WUS48" s="952"/>
      <c r="WUT48" s="952"/>
      <c r="WUU48" s="952"/>
      <c r="WUV48" s="952"/>
      <c r="WUW48" s="952"/>
      <c r="WUX48" s="952"/>
      <c r="WUY48" s="952"/>
      <c r="WUZ48" s="952"/>
      <c r="WVA48" s="952"/>
      <c r="WVB48" s="952"/>
      <c r="WVC48" s="952"/>
      <c r="WVD48" s="952"/>
      <c r="WVE48" s="952"/>
      <c r="WVF48" s="952"/>
      <c r="WVG48" s="952"/>
      <c r="WVH48" s="952"/>
      <c r="WVI48" s="952"/>
      <c r="WVJ48" s="952"/>
      <c r="WVK48" s="952"/>
      <c r="WVL48" s="952"/>
      <c r="WVM48" s="952"/>
      <c r="WVN48" s="952"/>
      <c r="WVO48" s="952"/>
      <c r="WVP48" s="952"/>
      <c r="WVQ48" s="952"/>
      <c r="WVR48" s="952"/>
      <c r="WVS48" s="952"/>
      <c r="WVT48" s="952"/>
      <c r="WVU48" s="952"/>
      <c r="WVV48" s="952"/>
      <c r="WVW48" s="952"/>
      <c r="WVX48" s="952"/>
      <c r="WVY48" s="952"/>
      <c r="WVZ48" s="952"/>
      <c r="WWA48" s="952"/>
      <c r="WWB48" s="952"/>
      <c r="WWC48" s="952"/>
      <c r="WWD48" s="952"/>
      <c r="WWE48" s="952"/>
      <c r="WWF48" s="952"/>
      <c r="WWG48" s="952"/>
      <c r="WWH48" s="952"/>
      <c r="WWI48" s="952"/>
      <c r="WWJ48" s="952"/>
      <c r="WWK48" s="952"/>
      <c r="WWL48" s="952"/>
      <c r="WWM48" s="952"/>
      <c r="WWN48" s="952"/>
      <c r="WWO48" s="952"/>
      <c r="WWP48" s="952"/>
      <c r="WWQ48" s="952"/>
      <c r="WWR48" s="952"/>
      <c r="WWS48" s="952"/>
      <c r="WWT48" s="952"/>
      <c r="WWU48" s="952"/>
      <c r="WWV48" s="952"/>
      <c r="WWW48" s="952"/>
      <c r="WWX48" s="952"/>
      <c r="WWY48" s="952"/>
      <c r="WWZ48" s="952"/>
      <c r="WXA48" s="952"/>
      <c r="WXB48" s="952"/>
      <c r="WXC48" s="952"/>
      <c r="WXD48" s="952"/>
      <c r="WXE48" s="952"/>
      <c r="WXF48" s="952"/>
      <c r="WXG48" s="952"/>
      <c r="WXH48" s="952"/>
      <c r="WXI48" s="952"/>
      <c r="WXJ48" s="952"/>
      <c r="WXK48" s="952"/>
      <c r="WXL48" s="952"/>
      <c r="WXM48" s="952"/>
      <c r="WXN48" s="952"/>
      <c r="WXO48" s="952"/>
      <c r="WXP48" s="952"/>
      <c r="WXQ48" s="952"/>
      <c r="WXR48" s="952"/>
      <c r="WXS48" s="952"/>
      <c r="WXT48" s="952"/>
      <c r="WXU48" s="952"/>
      <c r="WXV48" s="952"/>
      <c r="WXW48" s="952"/>
      <c r="WXX48" s="952"/>
      <c r="WXY48" s="952"/>
      <c r="WXZ48" s="952"/>
      <c r="WYA48" s="952"/>
      <c r="WYB48" s="952"/>
      <c r="WYC48" s="952"/>
      <c r="WYD48" s="952"/>
      <c r="WYE48" s="952"/>
      <c r="WYF48" s="952"/>
      <c r="WYG48" s="952"/>
      <c r="WYH48" s="952"/>
      <c r="WYI48" s="952"/>
      <c r="WYJ48" s="952"/>
      <c r="WYK48" s="952"/>
      <c r="WYL48" s="952"/>
      <c r="WYM48" s="952"/>
      <c r="WYN48" s="952"/>
      <c r="WYO48" s="952"/>
      <c r="WYP48" s="952"/>
      <c r="WYQ48" s="952"/>
      <c r="WYR48" s="952"/>
      <c r="WYS48" s="952"/>
      <c r="WYT48" s="952"/>
      <c r="WYU48" s="952"/>
      <c r="WYV48" s="952"/>
      <c r="WYW48" s="952"/>
      <c r="WYX48" s="952"/>
      <c r="WYY48" s="952"/>
      <c r="WYZ48" s="952"/>
      <c r="WZA48" s="952"/>
      <c r="WZB48" s="952"/>
      <c r="WZC48" s="952"/>
      <c r="WZD48" s="952"/>
      <c r="WZE48" s="952"/>
      <c r="WZF48" s="952"/>
      <c r="WZG48" s="952"/>
      <c r="WZH48" s="952"/>
      <c r="WZI48" s="952"/>
      <c r="WZJ48" s="952"/>
      <c r="WZK48" s="952"/>
      <c r="WZL48" s="952"/>
      <c r="WZM48" s="952"/>
      <c r="WZN48" s="952"/>
      <c r="WZO48" s="952"/>
      <c r="WZP48" s="952"/>
      <c r="WZQ48" s="952"/>
      <c r="WZR48" s="952"/>
      <c r="WZS48" s="952"/>
      <c r="WZT48" s="952"/>
      <c r="WZU48" s="952"/>
      <c r="WZV48" s="952"/>
      <c r="WZW48" s="952"/>
      <c r="WZX48" s="952"/>
      <c r="WZY48" s="952"/>
      <c r="WZZ48" s="952"/>
      <c r="XAA48" s="952"/>
      <c r="XAB48" s="952"/>
      <c r="XAC48" s="952"/>
      <c r="XAD48" s="952"/>
      <c r="XAE48" s="952"/>
      <c r="XAF48" s="952"/>
      <c r="XAG48" s="952"/>
      <c r="XAH48" s="952"/>
      <c r="XAI48" s="952"/>
      <c r="XAJ48" s="952"/>
      <c r="XAK48" s="952"/>
      <c r="XAL48" s="952"/>
      <c r="XAM48" s="952"/>
      <c r="XAN48" s="952"/>
      <c r="XAO48" s="952"/>
      <c r="XAP48" s="952"/>
      <c r="XAQ48" s="952"/>
      <c r="XAR48" s="952"/>
      <c r="XAS48" s="952"/>
      <c r="XAT48" s="952"/>
      <c r="XAU48" s="952"/>
      <c r="XAV48" s="952"/>
      <c r="XAW48" s="952"/>
      <c r="XAX48" s="952"/>
      <c r="XAY48" s="952"/>
      <c r="XAZ48" s="952"/>
      <c r="XBA48" s="952"/>
      <c r="XBB48" s="952"/>
      <c r="XBC48" s="952"/>
      <c r="XBD48" s="952"/>
      <c r="XBE48" s="952"/>
      <c r="XBF48" s="952"/>
      <c r="XBG48" s="952"/>
      <c r="XBH48" s="952"/>
      <c r="XBI48" s="952"/>
      <c r="XBJ48" s="952"/>
      <c r="XBK48" s="952"/>
      <c r="XBL48" s="952"/>
      <c r="XBM48" s="952"/>
      <c r="XBN48" s="952"/>
      <c r="XBO48" s="952"/>
      <c r="XBP48" s="952"/>
      <c r="XBQ48" s="952"/>
      <c r="XBR48" s="952"/>
      <c r="XBS48" s="952"/>
      <c r="XBT48" s="952"/>
      <c r="XBU48" s="952"/>
      <c r="XBV48" s="952"/>
      <c r="XBW48" s="952"/>
      <c r="XBX48" s="952"/>
      <c r="XBY48" s="952"/>
      <c r="XBZ48" s="952"/>
      <c r="XCA48" s="952"/>
      <c r="XCB48" s="952"/>
      <c r="XCC48" s="952"/>
      <c r="XCD48" s="952"/>
      <c r="XCE48" s="952"/>
      <c r="XCF48" s="952"/>
      <c r="XCG48" s="952"/>
      <c r="XCH48" s="952"/>
      <c r="XCI48" s="952"/>
      <c r="XCJ48" s="952"/>
      <c r="XCK48" s="952"/>
      <c r="XCL48" s="952"/>
      <c r="XCM48" s="952"/>
      <c r="XCN48" s="952"/>
      <c r="XCO48" s="952"/>
      <c r="XCP48" s="952"/>
      <c r="XCQ48" s="952"/>
      <c r="XCR48" s="952"/>
      <c r="XCS48" s="952"/>
      <c r="XCT48" s="952"/>
      <c r="XCU48" s="952"/>
      <c r="XCV48" s="952"/>
      <c r="XCW48" s="952"/>
      <c r="XCX48" s="952"/>
      <c r="XCY48" s="952"/>
      <c r="XCZ48" s="952"/>
      <c r="XDA48" s="952"/>
      <c r="XDB48" s="952"/>
      <c r="XDC48" s="952"/>
      <c r="XDD48" s="952"/>
      <c r="XDE48" s="952"/>
      <c r="XDF48" s="952"/>
      <c r="XDG48" s="952"/>
      <c r="XDH48" s="952"/>
      <c r="XDI48" s="952"/>
      <c r="XDJ48" s="952"/>
      <c r="XDK48" s="952"/>
      <c r="XDL48" s="952"/>
      <c r="XDM48" s="952"/>
      <c r="XDN48" s="952"/>
      <c r="XDO48" s="952"/>
      <c r="XDP48" s="952"/>
      <c r="XDQ48" s="952"/>
      <c r="XDR48" s="952"/>
      <c r="XDS48" s="952"/>
      <c r="XDT48" s="952"/>
      <c r="XDU48" s="952"/>
      <c r="XDV48" s="952"/>
      <c r="XDW48" s="952"/>
      <c r="XDX48" s="952"/>
      <c r="XDY48" s="952"/>
      <c r="XDZ48" s="952"/>
      <c r="XEA48" s="952"/>
      <c r="XEB48" s="952"/>
      <c r="XEC48" s="952"/>
    </row>
    <row r="49" spans="1:16357" ht="68.25" customHeight="1">
      <c r="A49" s="97" t="s">
        <v>100</v>
      </c>
      <c r="B49" s="102" t="s">
        <v>101</v>
      </c>
      <c r="C49" s="98"/>
      <c r="D49" s="98"/>
      <c r="E49" s="98"/>
      <c r="F49" s="98"/>
      <c r="G49" s="98"/>
      <c r="H49" s="98"/>
      <c r="I49" s="98"/>
      <c r="J49" s="98"/>
      <c r="K49" s="98"/>
      <c r="L49" s="98"/>
      <c r="M49" s="98"/>
      <c r="N49" s="98"/>
      <c r="O49" s="97"/>
      <c r="P49" s="97"/>
      <c r="Q49" s="97"/>
      <c r="R49" s="97"/>
      <c r="S49" s="952"/>
      <c r="T49" s="952"/>
      <c r="U49" s="952"/>
      <c r="V49" s="952"/>
      <c r="W49" s="952"/>
      <c r="X49" s="952"/>
      <c r="Y49" s="952"/>
      <c r="Z49" s="952"/>
      <c r="AA49" s="952"/>
      <c r="AB49" s="952"/>
      <c r="AC49" s="952"/>
      <c r="AD49" s="952"/>
      <c r="AE49" s="952"/>
      <c r="AF49" s="952"/>
      <c r="AG49" s="952"/>
      <c r="AH49" s="7"/>
      <c r="AI49" s="35"/>
      <c r="AJ49" s="7"/>
      <c r="AK49" s="90"/>
      <c r="AL49" s="5"/>
      <c r="AM49" s="168"/>
      <c r="AN49" s="168"/>
      <c r="AO49" s="168"/>
      <c r="AP49" s="168"/>
      <c r="AQ49" s="168"/>
      <c r="AR49" s="168"/>
      <c r="AS49" s="168"/>
      <c r="AT49" s="168"/>
      <c r="AU49" s="168"/>
      <c r="AV49" s="168"/>
      <c r="AW49" s="168"/>
      <c r="AX49" s="952"/>
      <c r="AY49" s="952"/>
      <c r="AZ49" s="952"/>
      <c r="BA49" s="952"/>
      <c r="BB49" s="952"/>
      <c r="BC49" s="952"/>
      <c r="BD49" s="952"/>
      <c r="BE49" s="952"/>
      <c r="BF49" s="952"/>
      <c r="BG49" s="952"/>
      <c r="BH49" s="952"/>
      <c r="BI49" s="952"/>
      <c r="BJ49" s="952"/>
      <c r="BK49" s="952"/>
      <c r="BL49" s="952"/>
      <c r="BM49" s="952"/>
      <c r="BN49" s="952"/>
      <c r="BO49" s="952"/>
      <c r="BP49" s="952"/>
      <c r="BQ49" s="952"/>
      <c r="BR49" s="952"/>
      <c r="BS49" s="952"/>
      <c r="BT49" s="952"/>
      <c r="BU49" s="952"/>
      <c r="BV49" s="168"/>
      <c r="BW49" s="168"/>
      <c r="BX49" s="168"/>
      <c r="BY49" s="952"/>
      <c r="BZ49" s="952"/>
      <c r="CA49" s="952"/>
      <c r="CB49" s="952"/>
      <c r="CC49" s="952"/>
      <c r="CD49" s="952"/>
      <c r="CE49" s="952"/>
      <c r="CF49" s="952"/>
      <c r="CG49" s="952"/>
      <c r="CH49" s="952"/>
      <c r="CI49" s="952"/>
      <c r="CJ49" s="952"/>
      <c r="CK49" s="952"/>
      <c r="CL49" s="952"/>
      <c r="CM49" s="952"/>
      <c r="CN49" s="952"/>
      <c r="CO49" s="952"/>
      <c r="CP49" s="952"/>
      <c r="CQ49" s="952"/>
      <c r="CR49" s="952"/>
      <c r="CS49" s="952"/>
      <c r="CT49" s="952"/>
      <c r="CU49" s="952"/>
      <c r="CV49" s="952"/>
      <c r="CW49" s="952"/>
      <c r="CX49" s="952"/>
      <c r="CY49" s="952"/>
      <c r="CZ49" s="952"/>
      <c r="DA49" s="952"/>
      <c r="DB49" s="952"/>
      <c r="DC49" s="952"/>
      <c r="DD49" s="952"/>
      <c r="DE49" s="952"/>
      <c r="DF49" s="952"/>
      <c r="DG49" s="952"/>
      <c r="DH49" s="952"/>
      <c r="DI49" s="952"/>
      <c r="DJ49" s="952"/>
      <c r="DK49" s="952"/>
      <c r="DL49" s="952"/>
      <c r="DM49" s="952"/>
      <c r="DN49" s="952"/>
      <c r="DO49" s="952"/>
      <c r="DP49" s="952"/>
      <c r="DQ49" s="952"/>
      <c r="DR49" s="952"/>
      <c r="DS49" s="952"/>
      <c r="DT49" s="952"/>
      <c r="DU49" s="952"/>
      <c r="DV49" s="952"/>
      <c r="DW49" s="952"/>
      <c r="DX49" s="952"/>
      <c r="DY49" s="952"/>
      <c r="DZ49" s="952"/>
      <c r="EA49" s="952"/>
      <c r="EB49" s="952"/>
      <c r="EC49" s="952"/>
      <c r="ED49" s="952"/>
      <c r="EE49" s="952"/>
      <c r="EF49" s="952"/>
      <c r="EG49" s="952"/>
      <c r="EH49" s="952"/>
      <c r="EI49" s="952"/>
      <c r="EJ49" s="952"/>
      <c r="EK49" s="952"/>
      <c r="EL49" s="952"/>
      <c r="EM49" s="952"/>
      <c r="EN49" s="952"/>
      <c r="EO49" s="952"/>
      <c r="EP49" s="952"/>
      <c r="EQ49" s="952"/>
      <c r="ER49" s="952"/>
      <c r="ES49" s="952"/>
      <c r="ET49" s="952"/>
      <c r="EU49" s="952"/>
      <c r="EV49" s="952"/>
      <c r="EW49" s="952"/>
      <c r="EX49" s="952"/>
      <c r="EY49" s="952"/>
      <c r="EZ49" s="952"/>
      <c r="FA49" s="952"/>
      <c r="FB49" s="952"/>
      <c r="FC49" s="952"/>
      <c r="FD49" s="952"/>
      <c r="FE49" s="952"/>
      <c r="FF49" s="952"/>
      <c r="FG49" s="952"/>
      <c r="FH49" s="952"/>
      <c r="FI49" s="952"/>
      <c r="FJ49" s="952"/>
      <c r="FK49" s="952"/>
      <c r="FL49" s="952"/>
      <c r="FM49" s="952"/>
      <c r="FN49" s="952"/>
      <c r="FO49" s="952"/>
      <c r="FP49" s="952"/>
      <c r="FQ49" s="952"/>
      <c r="FR49" s="952"/>
      <c r="FS49" s="952"/>
      <c r="FT49" s="952"/>
      <c r="FU49" s="952"/>
      <c r="FV49" s="952"/>
      <c r="FW49" s="952"/>
      <c r="FX49" s="952"/>
      <c r="FY49" s="952"/>
      <c r="FZ49" s="952"/>
      <c r="GA49" s="952"/>
      <c r="GB49" s="952"/>
      <c r="GC49" s="952"/>
      <c r="GD49" s="952"/>
      <c r="GE49" s="952"/>
      <c r="GF49" s="952"/>
      <c r="GG49" s="952"/>
      <c r="GH49" s="952"/>
      <c r="GI49" s="952"/>
      <c r="GJ49" s="952"/>
      <c r="GK49" s="952"/>
      <c r="GL49" s="952"/>
      <c r="GM49" s="952"/>
      <c r="GN49" s="952"/>
      <c r="GO49" s="952"/>
      <c r="GP49" s="952"/>
      <c r="GQ49" s="952"/>
      <c r="GR49" s="952"/>
      <c r="GS49" s="952"/>
      <c r="GT49" s="952"/>
      <c r="GU49" s="952"/>
      <c r="GV49" s="952"/>
      <c r="GW49" s="952"/>
      <c r="GX49" s="952"/>
      <c r="GY49" s="952"/>
      <c r="GZ49" s="952"/>
      <c r="HA49" s="952"/>
      <c r="HB49" s="952"/>
      <c r="HC49" s="952"/>
      <c r="HD49" s="952"/>
      <c r="HE49" s="952"/>
      <c r="HF49" s="952"/>
      <c r="HG49" s="952"/>
      <c r="HH49" s="952"/>
      <c r="HI49" s="952"/>
      <c r="HJ49" s="952"/>
      <c r="HK49" s="952"/>
      <c r="HL49" s="952"/>
      <c r="HM49" s="952"/>
      <c r="HN49" s="952"/>
      <c r="HO49" s="952"/>
      <c r="HP49" s="952"/>
      <c r="HQ49" s="952"/>
      <c r="HR49" s="952"/>
      <c r="HS49" s="952"/>
      <c r="HT49" s="952"/>
      <c r="HU49" s="952"/>
      <c r="HV49" s="952"/>
      <c r="HW49" s="952"/>
      <c r="HX49" s="952"/>
      <c r="HY49" s="952"/>
      <c r="HZ49" s="952"/>
      <c r="IA49" s="952"/>
      <c r="IB49" s="952"/>
      <c r="IC49" s="952"/>
      <c r="ID49" s="952"/>
      <c r="IE49" s="952"/>
      <c r="IF49" s="952"/>
      <c r="IG49" s="952"/>
      <c r="IH49" s="952"/>
      <c r="II49" s="952"/>
      <c r="IJ49" s="952"/>
      <c r="IK49" s="952"/>
      <c r="IL49" s="952"/>
      <c r="IM49" s="952"/>
      <c r="IN49" s="952"/>
      <c r="IO49" s="952"/>
      <c r="IP49" s="952"/>
      <c r="IQ49" s="952"/>
      <c r="IR49" s="952"/>
      <c r="IS49" s="952"/>
      <c r="IT49" s="952"/>
      <c r="IU49" s="952"/>
      <c r="IV49" s="952"/>
      <c r="IW49" s="952"/>
      <c r="IX49" s="952"/>
      <c r="IY49" s="952"/>
      <c r="IZ49" s="952"/>
      <c r="JA49" s="952"/>
      <c r="JB49" s="952"/>
      <c r="JC49" s="952"/>
      <c r="JD49" s="952"/>
      <c r="JE49" s="952"/>
      <c r="JF49" s="952"/>
      <c r="JG49" s="952"/>
      <c r="JH49" s="952"/>
      <c r="JI49" s="952"/>
      <c r="JJ49" s="952"/>
      <c r="JK49" s="952"/>
      <c r="JL49" s="952"/>
      <c r="JM49" s="952"/>
      <c r="JN49" s="952"/>
      <c r="JO49" s="952"/>
      <c r="JP49" s="952"/>
      <c r="JQ49" s="952"/>
      <c r="JR49" s="952"/>
      <c r="JS49" s="952"/>
      <c r="JT49" s="952"/>
      <c r="JU49" s="952"/>
      <c r="JV49" s="952"/>
      <c r="JW49" s="952"/>
      <c r="JX49" s="952"/>
      <c r="JY49" s="952"/>
      <c r="JZ49" s="952"/>
      <c r="KA49" s="952"/>
      <c r="KB49" s="952"/>
      <c r="KC49" s="952"/>
      <c r="KD49" s="952"/>
      <c r="KE49" s="952"/>
      <c r="KF49" s="952"/>
      <c r="KG49" s="952"/>
      <c r="KH49" s="952"/>
      <c r="KI49" s="952"/>
      <c r="KJ49" s="952"/>
      <c r="KK49" s="952"/>
      <c r="KL49" s="952"/>
      <c r="KM49" s="952"/>
      <c r="KN49" s="952"/>
      <c r="KO49" s="952"/>
      <c r="KP49" s="952"/>
      <c r="KQ49" s="952"/>
      <c r="KR49" s="952"/>
      <c r="KS49" s="952"/>
      <c r="KT49" s="952"/>
      <c r="KU49" s="952"/>
      <c r="KV49" s="952"/>
      <c r="KW49" s="952"/>
      <c r="KX49" s="952"/>
      <c r="KY49" s="952"/>
      <c r="KZ49" s="952"/>
      <c r="LA49" s="952"/>
      <c r="LB49" s="952"/>
      <c r="LC49" s="952"/>
      <c r="LD49" s="952"/>
      <c r="LE49" s="952"/>
      <c r="LF49" s="952"/>
      <c r="LG49" s="952"/>
      <c r="LH49" s="952"/>
      <c r="LI49" s="952"/>
      <c r="LJ49" s="952"/>
      <c r="LK49" s="952"/>
      <c r="LL49" s="952"/>
      <c r="LM49" s="952"/>
      <c r="LN49" s="952"/>
      <c r="LO49" s="952"/>
      <c r="LP49" s="952"/>
      <c r="LQ49" s="952"/>
      <c r="LR49" s="952"/>
      <c r="LS49" s="952"/>
      <c r="LT49" s="952"/>
      <c r="LU49" s="952"/>
      <c r="LV49" s="952"/>
      <c r="LW49" s="952"/>
      <c r="LX49" s="952"/>
      <c r="LY49" s="952"/>
      <c r="LZ49" s="952"/>
      <c r="MA49" s="952"/>
      <c r="MB49" s="952"/>
      <c r="MC49" s="952"/>
      <c r="MD49" s="952"/>
      <c r="ME49" s="952"/>
      <c r="MF49" s="952"/>
      <c r="MG49" s="952"/>
      <c r="MH49" s="952"/>
      <c r="MI49" s="952"/>
      <c r="MJ49" s="952"/>
      <c r="MK49" s="952"/>
      <c r="ML49" s="952"/>
      <c r="MM49" s="952"/>
      <c r="MN49" s="952"/>
      <c r="MO49" s="952"/>
      <c r="MP49" s="952"/>
      <c r="MQ49" s="952"/>
      <c r="MR49" s="952"/>
      <c r="MS49" s="952"/>
      <c r="MT49" s="952"/>
      <c r="MU49" s="952"/>
      <c r="MV49" s="952"/>
      <c r="MW49" s="952"/>
      <c r="MX49" s="952"/>
      <c r="MY49" s="952"/>
      <c r="MZ49" s="952"/>
      <c r="NA49" s="952"/>
      <c r="NB49" s="952"/>
      <c r="NC49" s="952"/>
      <c r="ND49" s="952"/>
      <c r="NE49" s="952"/>
      <c r="NF49" s="952"/>
      <c r="NG49" s="952"/>
      <c r="NH49" s="952"/>
      <c r="NI49" s="952"/>
      <c r="NJ49" s="952"/>
      <c r="NK49" s="952"/>
      <c r="NL49" s="952"/>
      <c r="NM49" s="952"/>
      <c r="NN49" s="952"/>
      <c r="NO49" s="952"/>
      <c r="NP49" s="952"/>
      <c r="NQ49" s="952"/>
      <c r="NR49" s="952"/>
      <c r="NS49" s="952"/>
      <c r="NT49" s="952"/>
      <c r="NU49" s="952"/>
      <c r="NV49" s="952"/>
      <c r="NW49" s="952"/>
      <c r="NX49" s="952"/>
      <c r="NY49" s="952"/>
      <c r="NZ49" s="952"/>
      <c r="OA49" s="952"/>
      <c r="OB49" s="952"/>
      <c r="OC49" s="952"/>
      <c r="OD49" s="952"/>
      <c r="OE49" s="952"/>
      <c r="OF49" s="952"/>
      <c r="OG49" s="952"/>
      <c r="OH49" s="952"/>
      <c r="OI49" s="952"/>
      <c r="OJ49" s="952"/>
      <c r="OK49" s="952"/>
      <c r="OL49" s="952"/>
      <c r="OM49" s="952"/>
      <c r="ON49" s="952"/>
      <c r="OO49" s="952"/>
      <c r="OP49" s="952"/>
      <c r="OQ49" s="952"/>
      <c r="OR49" s="952"/>
      <c r="OS49" s="952"/>
      <c r="OT49" s="952"/>
      <c r="OU49" s="952"/>
      <c r="OV49" s="952"/>
      <c r="OW49" s="952"/>
      <c r="OX49" s="952"/>
      <c r="OY49" s="952"/>
      <c r="OZ49" s="952"/>
      <c r="PA49" s="952"/>
      <c r="PB49" s="952"/>
      <c r="PC49" s="952"/>
      <c r="PD49" s="952"/>
      <c r="PE49" s="952"/>
      <c r="PF49" s="952"/>
      <c r="PG49" s="952"/>
      <c r="PH49" s="952"/>
      <c r="PI49" s="952"/>
      <c r="PJ49" s="952"/>
      <c r="PK49" s="952"/>
      <c r="PL49" s="952"/>
      <c r="PM49" s="952"/>
      <c r="PN49" s="952"/>
      <c r="PO49" s="952"/>
      <c r="PP49" s="952"/>
      <c r="PQ49" s="952"/>
      <c r="PR49" s="952"/>
      <c r="PS49" s="952"/>
      <c r="PT49" s="952"/>
      <c r="PU49" s="952"/>
      <c r="PV49" s="952"/>
      <c r="PW49" s="952"/>
      <c r="PX49" s="952"/>
      <c r="PY49" s="952"/>
      <c r="PZ49" s="952"/>
      <c r="QA49" s="952"/>
      <c r="QB49" s="952"/>
      <c r="QC49" s="952"/>
      <c r="QD49" s="952"/>
      <c r="QE49" s="952"/>
      <c r="QF49" s="952"/>
      <c r="QG49" s="952"/>
      <c r="QH49" s="952"/>
      <c r="QI49" s="952"/>
      <c r="QJ49" s="952"/>
      <c r="QK49" s="952"/>
      <c r="QL49" s="952"/>
      <c r="QM49" s="952"/>
      <c r="QN49" s="952"/>
      <c r="QO49" s="952"/>
      <c r="QP49" s="952"/>
      <c r="QQ49" s="952"/>
      <c r="QR49" s="952"/>
      <c r="QS49" s="952"/>
      <c r="QT49" s="952"/>
      <c r="QU49" s="952"/>
      <c r="QV49" s="952"/>
      <c r="QW49" s="952"/>
      <c r="QX49" s="952"/>
      <c r="QY49" s="952"/>
      <c r="QZ49" s="952"/>
      <c r="RA49" s="952"/>
      <c r="RB49" s="952"/>
      <c r="RC49" s="952"/>
      <c r="RD49" s="952"/>
      <c r="RE49" s="952"/>
      <c r="RF49" s="952"/>
      <c r="RG49" s="952"/>
      <c r="RH49" s="952"/>
      <c r="RI49" s="952"/>
      <c r="RJ49" s="952"/>
      <c r="RK49" s="952"/>
      <c r="RL49" s="952"/>
      <c r="RM49" s="952"/>
      <c r="RN49" s="952"/>
      <c r="RO49" s="952"/>
      <c r="RP49" s="952"/>
      <c r="RQ49" s="952"/>
      <c r="RR49" s="952"/>
      <c r="RS49" s="952"/>
      <c r="RT49" s="952"/>
      <c r="RU49" s="952"/>
      <c r="RV49" s="952"/>
      <c r="RW49" s="952"/>
      <c r="RX49" s="952"/>
      <c r="RY49" s="952"/>
      <c r="RZ49" s="952"/>
      <c r="SA49" s="952"/>
      <c r="SB49" s="952"/>
      <c r="SC49" s="952"/>
      <c r="SD49" s="952"/>
      <c r="SE49" s="952"/>
      <c r="SF49" s="952"/>
      <c r="SG49" s="952"/>
      <c r="SH49" s="952"/>
      <c r="SI49" s="952"/>
      <c r="SJ49" s="952"/>
      <c r="SK49" s="952"/>
      <c r="SL49" s="952"/>
      <c r="SM49" s="952"/>
      <c r="SN49" s="952"/>
      <c r="SO49" s="952"/>
      <c r="SP49" s="952"/>
      <c r="SQ49" s="952"/>
      <c r="SR49" s="952"/>
      <c r="SS49" s="952"/>
      <c r="ST49" s="952"/>
      <c r="SU49" s="952"/>
      <c r="SV49" s="952"/>
      <c r="SW49" s="952"/>
      <c r="SX49" s="952"/>
      <c r="SY49" s="952"/>
      <c r="SZ49" s="952"/>
      <c r="TA49" s="952"/>
      <c r="TB49" s="952"/>
      <c r="TC49" s="952"/>
      <c r="TD49" s="952"/>
      <c r="TE49" s="952"/>
      <c r="TF49" s="952"/>
      <c r="TG49" s="952"/>
      <c r="TH49" s="952"/>
      <c r="TI49" s="952"/>
      <c r="TJ49" s="952"/>
      <c r="TK49" s="952"/>
      <c r="TL49" s="952"/>
      <c r="TM49" s="952"/>
      <c r="TN49" s="952"/>
      <c r="TO49" s="952"/>
      <c r="TP49" s="952"/>
      <c r="TQ49" s="952"/>
      <c r="TR49" s="952"/>
      <c r="TS49" s="952"/>
      <c r="TT49" s="952"/>
      <c r="TU49" s="952"/>
      <c r="TV49" s="952"/>
      <c r="TW49" s="952"/>
      <c r="TX49" s="952"/>
      <c r="TY49" s="952"/>
      <c r="TZ49" s="952"/>
      <c r="UA49" s="952"/>
      <c r="UB49" s="952"/>
      <c r="UC49" s="952"/>
      <c r="UD49" s="952"/>
      <c r="UE49" s="952"/>
      <c r="UF49" s="952"/>
      <c r="UG49" s="952"/>
      <c r="UH49" s="952"/>
      <c r="UI49" s="952"/>
      <c r="UJ49" s="952"/>
      <c r="UK49" s="952"/>
      <c r="UL49" s="952"/>
      <c r="UM49" s="952"/>
      <c r="UN49" s="952"/>
      <c r="UO49" s="952"/>
      <c r="UP49" s="952"/>
      <c r="UQ49" s="952"/>
      <c r="UR49" s="952"/>
      <c r="US49" s="952"/>
      <c r="UT49" s="952"/>
      <c r="UU49" s="952"/>
      <c r="UV49" s="952"/>
      <c r="UW49" s="952"/>
      <c r="UX49" s="952"/>
      <c r="UY49" s="952"/>
      <c r="UZ49" s="952"/>
      <c r="VA49" s="952"/>
      <c r="VB49" s="952"/>
      <c r="VC49" s="952"/>
      <c r="VD49" s="952"/>
      <c r="VE49" s="952"/>
      <c r="VF49" s="952"/>
      <c r="VG49" s="952"/>
      <c r="VH49" s="952"/>
      <c r="VI49" s="952"/>
      <c r="VJ49" s="952"/>
      <c r="VK49" s="952"/>
      <c r="VL49" s="952"/>
      <c r="VM49" s="952"/>
      <c r="VN49" s="952"/>
      <c r="VO49" s="952"/>
      <c r="VP49" s="952"/>
      <c r="VQ49" s="952"/>
      <c r="VR49" s="952"/>
      <c r="VS49" s="952"/>
      <c r="VT49" s="952"/>
      <c r="VU49" s="952"/>
      <c r="VV49" s="952"/>
      <c r="VW49" s="952"/>
      <c r="VX49" s="952"/>
      <c r="VY49" s="952"/>
      <c r="VZ49" s="952"/>
      <c r="WA49" s="952"/>
      <c r="WB49" s="952"/>
      <c r="WC49" s="952"/>
      <c r="WD49" s="952"/>
      <c r="WE49" s="952"/>
      <c r="WF49" s="952"/>
      <c r="WG49" s="952"/>
      <c r="WH49" s="952"/>
      <c r="WI49" s="952"/>
      <c r="WJ49" s="952"/>
      <c r="WK49" s="952"/>
      <c r="WL49" s="952"/>
      <c r="WM49" s="952"/>
      <c r="WN49" s="952"/>
      <c r="WO49" s="952"/>
      <c r="WP49" s="952"/>
      <c r="WQ49" s="952"/>
      <c r="WR49" s="952"/>
      <c r="WS49" s="952"/>
      <c r="WT49" s="952"/>
      <c r="WU49" s="952"/>
      <c r="WV49" s="952"/>
      <c r="WW49" s="952"/>
      <c r="WX49" s="952"/>
      <c r="WY49" s="952"/>
      <c r="WZ49" s="952"/>
      <c r="XA49" s="952"/>
      <c r="XB49" s="952"/>
      <c r="XC49" s="952"/>
      <c r="XD49" s="952"/>
      <c r="XE49" s="952"/>
      <c r="XF49" s="952"/>
      <c r="XG49" s="952"/>
      <c r="XH49" s="952"/>
      <c r="XI49" s="952"/>
      <c r="XJ49" s="952"/>
      <c r="XK49" s="952"/>
      <c r="XL49" s="952"/>
      <c r="XM49" s="952"/>
      <c r="XN49" s="952"/>
      <c r="XO49" s="952"/>
      <c r="XP49" s="952"/>
      <c r="XQ49" s="952"/>
      <c r="XR49" s="952"/>
      <c r="XS49" s="952"/>
      <c r="XT49" s="952"/>
      <c r="XU49" s="952"/>
      <c r="XV49" s="952"/>
      <c r="XW49" s="952"/>
      <c r="XX49" s="952"/>
      <c r="XY49" s="952"/>
      <c r="XZ49" s="952"/>
      <c r="YA49" s="952"/>
      <c r="YB49" s="952"/>
      <c r="YC49" s="952"/>
      <c r="YD49" s="952"/>
      <c r="YE49" s="952"/>
      <c r="YF49" s="952"/>
      <c r="YG49" s="952"/>
      <c r="YH49" s="952"/>
      <c r="YI49" s="952"/>
      <c r="YJ49" s="952"/>
      <c r="YK49" s="952"/>
      <c r="YL49" s="952"/>
      <c r="YM49" s="952"/>
      <c r="YN49" s="952"/>
      <c r="YO49" s="952"/>
      <c r="YP49" s="952"/>
      <c r="YQ49" s="952"/>
      <c r="YR49" s="952"/>
      <c r="YS49" s="952"/>
      <c r="YT49" s="952"/>
      <c r="YU49" s="952"/>
      <c r="YV49" s="952"/>
      <c r="YW49" s="952"/>
      <c r="YX49" s="952"/>
      <c r="YY49" s="952"/>
      <c r="YZ49" s="952"/>
      <c r="ZA49" s="952"/>
      <c r="ZB49" s="952"/>
      <c r="ZC49" s="952"/>
      <c r="ZD49" s="952"/>
      <c r="ZE49" s="952"/>
      <c r="ZF49" s="952"/>
      <c r="ZG49" s="952"/>
      <c r="ZH49" s="952"/>
      <c r="ZI49" s="952"/>
      <c r="ZJ49" s="952"/>
      <c r="ZK49" s="952"/>
      <c r="ZL49" s="952"/>
      <c r="ZM49" s="952"/>
      <c r="ZN49" s="952"/>
      <c r="ZO49" s="952"/>
      <c r="ZP49" s="952"/>
      <c r="ZQ49" s="952"/>
      <c r="ZR49" s="952"/>
      <c r="ZS49" s="952"/>
      <c r="ZT49" s="952"/>
      <c r="ZU49" s="952"/>
      <c r="ZV49" s="952"/>
      <c r="ZW49" s="952"/>
      <c r="ZX49" s="952"/>
      <c r="ZY49" s="952"/>
      <c r="ZZ49" s="952"/>
      <c r="AAA49" s="952"/>
      <c r="AAB49" s="952"/>
      <c r="AAC49" s="952"/>
      <c r="AAD49" s="952"/>
      <c r="AAE49" s="952"/>
      <c r="AAF49" s="952"/>
      <c r="AAG49" s="952"/>
      <c r="AAH49" s="952"/>
      <c r="AAI49" s="952"/>
      <c r="AAJ49" s="952"/>
      <c r="AAK49" s="952"/>
      <c r="AAL49" s="952"/>
      <c r="AAM49" s="952"/>
      <c r="AAN49" s="952"/>
      <c r="AAO49" s="952"/>
      <c r="AAP49" s="952"/>
      <c r="AAQ49" s="952"/>
      <c r="AAR49" s="952"/>
      <c r="AAS49" s="952"/>
      <c r="AAT49" s="952"/>
      <c r="AAU49" s="952"/>
      <c r="AAV49" s="952"/>
      <c r="AAW49" s="952"/>
      <c r="AAX49" s="952"/>
      <c r="AAY49" s="952"/>
      <c r="AAZ49" s="952"/>
      <c r="ABA49" s="952"/>
      <c r="ABB49" s="952"/>
      <c r="ABC49" s="952"/>
      <c r="ABD49" s="952"/>
      <c r="ABE49" s="952"/>
      <c r="ABF49" s="952"/>
      <c r="ABG49" s="952"/>
      <c r="ABH49" s="952"/>
      <c r="ABI49" s="952"/>
      <c r="ABJ49" s="952"/>
      <c r="ABK49" s="952"/>
      <c r="ABL49" s="952"/>
      <c r="ABM49" s="952"/>
      <c r="ABN49" s="952"/>
      <c r="ABO49" s="952"/>
      <c r="ABP49" s="952"/>
      <c r="ABQ49" s="952"/>
      <c r="ABR49" s="952"/>
      <c r="ABS49" s="952"/>
      <c r="ABT49" s="952"/>
      <c r="ABU49" s="952"/>
      <c r="ABV49" s="952"/>
      <c r="ABW49" s="952"/>
      <c r="ABX49" s="952"/>
      <c r="ABY49" s="952"/>
      <c r="ABZ49" s="952"/>
      <c r="ACA49" s="952"/>
      <c r="ACB49" s="952"/>
      <c r="ACC49" s="952"/>
      <c r="ACD49" s="952"/>
      <c r="ACE49" s="952"/>
      <c r="ACF49" s="952"/>
      <c r="ACG49" s="952"/>
      <c r="ACH49" s="952"/>
      <c r="ACI49" s="952"/>
      <c r="ACJ49" s="952"/>
      <c r="ACK49" s="952"/>
      <c r="ACL49" s="952"/>
      <c r="ACM49" s="952"/>
      <c r="ACN49" s="952"/>
      <c r="ACO49" s="952"/>
      <c r="ACP49" s="952"/>
      <c r="ACQ49" s="952"/>
      <c r="ACR49" s="952"/>
      <c r="ACS49" s="952"/>
      <c r="ACT49" s="952"/>
      <c r="ACU49" s="952"/>
      <c r="ACV49" s="952"/>
      <c r="ACW49" s="952"/>
      <c r="ACX49" s="952"/>
      <c r="ACY49" s="952"/>
      <c r="ACZ49" s="952"/>
      <c r="ADA49" s="952"/>
      <c r="ADB49" s="952"/>
      <c r="ADC49" s="952"/>
      <c r="ADD49" s="952"/>
      <c r="ADE49" s="952"/>
      <c r="ADF49" s="952"/>
      <c r="ADG49" s="952"/>
      <c r="ADH49" s="952"/>
      <c r="ADI49" s="952"/>
      <c r="ADJ49" s="952"/>
      <c r="ADK49" s="952"/>
      <c r="ADL49" s="952"/>
      <c r="ADM49" s="952"/>
      <c r="ADN49" s="952"/>
      <c r="ADO49" s="952"/>
      <c r="ADP49" s="952"/>
      <c r="ADQ49" s="952"/>
      <c r="ADR49" s="952"/>
      <c r="ADS49" s="952"/>
      <c r="ADT49" s="952"/>
      <c r="ADU49" s="952"/>
      <c r="ADV49" s="952"/>
      <c r="ADW49" s="952"/>
      <c r="ADX49" s="952"/>
      <c r="ADY49" s="952"/>
      <c r="ADZ49" s="952"/>
      <c r="AEA49" s="952"/>
      <c r="AEB49" s="952"/>
      <c r="AEC49" s="952"/>
      <c r="AED49" s="952"/>
      <c r="AEE49" s="952"/>
      <c r="AEF49" s="952"/>
      <c r="AEG49" s="952"/>
      <c r="AEH49" s="952"/>
      <c r="AEI49" s="952"/>
      <c r="AEJ49" s="952"/>
      <c r="AEK49" s="952"/>
      <c r="AEL49" s="952"/>
      <c r="AEM49" s="952"/>
      <c r="AEN49" s="952"/>
      <c r="AEO49" s="952"/>
      <c r="AEP49" s="952"/>
      <c r="AEQ49" s="952"/>
      <c r="AER49" s="952"/>
      <c r="AES49" s="952"/>
      <c r="AET49" s="952"/>
      <c r="AEU49" s="952"/>
      <c r="AEV49" s="952"/>
      <c r="AEW49" s="952"/>
      <c r="AEX49" s="952"/>
      <c r="AEY49" s="952"/>
      <c r="AEZ49" s="952"/>
      <c r="AFA49" s="952"/>
      <c r="AFB49" s="952"/>
      <c r="AFC49" s="952"/>
      <c r="AFD49" s="952"/>
      <c r="AFE49" s="952"/>
      <c r="AFF49" s="952"/>
      <c r="AFG49" s="952"/>
      <c r="AFH49" s="952"/>
      <c r="AFI49" s="952"/>
      <c r="AFJ49" s="952"/>
      <c r="AFK49" s="952"/>
      <c r="AFL49" s="952"/>
      <c r="AFM49" s="952"/>
      <c r="AFN49" s="952"/>
      <c r="AFO49" s="952"/>
      <c r="AFP49" s="952"/>
      <c r="AFQ49" s="952"/>
      <c r="AFR49" s="952"/>
      <c r="AFS49" s="952"/>
      <c r="AFT49" s="952"/>
      <c r="AFU49" s="952"/>
      <c r="AFV49" s="952"/>
      <c r="AFW49" s="952"/>
      <c r="AFX49" s="952"/>
      <c r="AFY49" s="952"/>
      <c r="AFZ49" s="952"/>
      <c r="AGA49" s="952"/>
      <c r="AGB49" s="952"/>
      <c r="AGC49" s="952"/>
      <c r="AGD49" s="952"/>
      <c r="AGE49" s="952"/>
      <c r="AGF49" s="952"/>
      <c r="AGG49" s="952"/>
      <c r="AGH49" s="952"/>
      <c r="AGI49" s="952"/>
      <c r="AGJ49" s="952"/>
      <c r="AGK49" s="952"/>
      <c r="AGL49" s="952"/>
      <c r="AGM49" s="952"/>
      <c r="AGN49" s="952"/>
      <c r="AGO49" s="952"/>
      <c r="AGP49" s="952"/>
      <c r="AGQ49" s="952"/>
      <c r="AGR49" s="952"/>
      <c r="AGS49" s="952"/>
      <c r="AGT49" s="952"/>
      <c r="AGU49" s="952"/>
      <c r="AGV49" s="952"/>
      <c r="AGW49" s="952"/>
      <c r="AGX49" s="952"/>
      <c r="AGY49" s="952"/>
      <c r="AGZ49" s="952"/>
      <c r="AHA49" s="952"/>
      <c r="AHB49" s="952"/>
      <c r="AHC49" s="952"/>
      <c r="AHD49" s="952"/>
      <c r="AHE49" s="952"/>
      <c r="AHF49" s="952"/>
      <c r="AHG49" s="952"/>
      <c r="AHH49" s="952"/>
      <c r="AHI49" s="952"/>
      <c r="AHJ49" s="952"/>
      <c r="AHK49" s="952"/>
      <c r="AHL49" s="952"/>
      <c r="AHM49" s="952"/>
      <c r="AHN49" s="952"/>
      <c r="AHO49" s="952"/>
      <c r="AHP49" s="952"/>
      <c r="AHQ49" s="952"/>
      <c r="AHR49" s="952"/>
      <c r="AHS49" s="952"/>
      <c r="AHT49" s="952"/>
      <c r="AHU49" s="952"/>
      <c r="AHV49" s="952"/>
      <c r="AHW49" s="952"/>
      <c r="AHX49" s="952"/>
      <c r="AHY49" s="952"/>
      <c r="AHZ49" s="952"/>
      <c r="AIA49" s="952"/>
      <c r="AIB49" s="952"/>
      <c r="AIC49" s="952"/>
      <c r="AID49" s="952"/>
      <c r="AIE49" s="952"/>
      <c r="AIF49" s="952"/>
      <c r="AIG49" s="952"/>
      <c r="AIH49" s="952"/>
      <c r="AII49" s="952"/>
      <c r="AIJ49" s="952"/>
      <c r="AIK49" s="952"/>
      <c r="AIL49" s="952"/>
      <c r="AIM49" s="952"/>
      <c r="AIN49" s="952"/>
      <c r="AIO49" s="952"/>
      <c r="AIP49" s="952"/>
      <c r="AIQ49" s="952"/>
      <c r="AIR49" s="952"/>
      <c r="AIS49" s="952"/>
      <c r="AIT49" s="952"/>
      <c r="AIU49" s="952"/>
      <c r="AIV49" s="952"/>
      <c r="AIW49" s="952"/>
      <c r="AIX49" s="952"/>
      <c r="AIY49" s="952"/>
      <c r="AIZ49" s="952"/>
      <c r="AJA49" s="952"/>
      <c r="AJB49" s="952"/>
      <c r="AJC49" s="952"/>
      <c r="AJD49" s="952"/>
      <c r="AJE49" s="952"/>
      <c r="AJF49" s="952"/>
      <c r="AJG49" s="952"/>
      <c r="AJH49" s="952"/>
      <c r="AJI49" s="952"/>
      <c r="AJJ49" s="952"/>
      <c r="AJK49" s="952"/>
      <c r="AJL49" s="952"/>
      <c r="AJM49" s="952"/>
      <c r="AJN49" s="952"/>
      <c r="AJO49" s="952"/>
      <c r="AJP49" s="952"/>
      <c r="AJQ49" s="952"/>
      <c r="AJR49" s="952"/>
      <c r="AJS49" s="952"/>
      <c r="AJT49" s="952"/>
      <c r="AJU49" s="952"/>
      <c r="AJV49" s="952"/>
      <c r="AJW49" s="952"/>
      <c r="AJX49" s="952"/>
      <c r="AJY49" s="952"/>
      <c r="AJZ49" s="952"/>
      <c r="AKA49" s="952"/>
      <c r="AKB49" s="952"/>
      <c r="AKC49" s="952"/>
      <c r="AKD49" s="952"/>
      <c r="AKE49" s="952"/>
      <c r="AKF49" s="952"/>
      <c r="AKG49" s="952"/>
      <c r="AKH49" s="952"/>
      <c r="AKI49" s="952"/>
      <c r="AKJ49" s="952"/>
      <c r="AKK49" s="952"/>
      <c r="AKL49" s="952"/>
      <c r="AKM49" s="952"/>
      <c r="AKN49" s="952"/>
      <c r="AKO49" s="952"/>
      <c r="AKP49" s="952"/>
      <c r="AKQ49" s="952"/>
      <c r="AKR49" s="952"/>
      <c r="AKS49" s="952"/>
      <c r="AKT49" s="952"/>
      <c r="AKU49" s="952"/>
      <c r="AKV49" s="952"/>
      <c r="AKW49" s="952"/>
      <c r="AKX49" s="952"/>
      <c r="AKY49" s="952"/>
      <c r="AKZ49" s="952"/>
      <c r="ALA49" s="952"/>
      <c r="ALB49" s="952"/>
      <c r="ALC49" s="952"/>
      <c r="ALD49" s="952"/>
      <c r="ALE49" s="952"/>
      <c r="ALF49" s="952"/>
      <c r="ALG49" s="952"/>
      <c r="ALH49" s="952"/>
      <c r="ALI49" s="952"/>
      <c r="ALJ49" s="952"/>
      <c r="ALK49" s="952"/>
      <c r="ALL49" s="952"/>
      <c r="ALM49" s="952"/>
      <c r="ALN49" s="952"/>
      <c r="ALO49" s="952"/>
      <c r="ALP49" s="952"/>
      <c r="ALQ49" s="952"/>
      <c r="ALR49" s="952"/>
      <c r="ALS49" s="952"/>
      <c r="ALT49" s="952"/>
      <c r="ALU49" s="952"/>
      <c r="ALV49" s="952"/>
      <c r="ALW49" s="952"/>
      <c r="ALX49" s="952"/>
      <c r="ALY49" s="952"/>
      <c r="ALZ49" s="952"/>
      <c r="AMA49" s="952"/>
      <c r="AMB49" s="952"/>
      <c r="AMC49" s="952"/>
      <c r="AMD49" s="952"/>
      <c r="AME49" s="952"/>
      <c r="AMF49" s="952"/>
      <c r="AMG49" s="952"/>
      <c r="AMH49" s="952"/>
      <c r="AMI49" s="952"/>
      <c r="AMJ49" s="952"/>
      <c r="AMK49" s="952"/>
      <c r="AML49" s="952"/>
      <c r="AMM49" s="952"/>
      <c r="AMN49" s="952"/>
      <c r="AMO49" s="952"/>
      <c r="AMP49" s="952"/>
      <c r="AMQ49" s="952"/>
      <c r="AMR49" s="952"/>
      <c r="AMS49" s="952"/>
      <c r="AMT49" s="952"/>
      <c r="AMU49" s="952"/>
      <c r="AMV49" s="952"/>
      <c r="AMW49" s="952"/>
      <c r="AMX49" s="952"/>
      <c r="AMY49" s="952"/>
      <c r="AMZ49" s="952"/>
      <c r="ANA49" s="952"/>
      <c r="ANB49" s="952"/>
      <c r="ANC49" s="952"/>
      <c r="AND49" s="952"/>
      <c r="ANE49" s="952"/>
      <c r="ANF49" s="952"/>
      <c r="ANG49" s="952"/>
      <c r="ANH49" s="952"/>
      <c r="ANI49" s="952"/>
      <c r="ANJ49" s="952"/>
      <c r="ANK49" s="952"/>
      <c r="ANL49" s="952"/>
      <c r="ANM49" s="952"/>
      <c r="ANN49" s="952"/>
      <c r="ANO49" s="952"/>
      <c r="ANP49" s="952"/>
      <c r="ANQ49" s="952"/>
      <c r="ANR49" s="952"/>
      <c r="ANS49" s="952"/>
      <c r="ANT49" s="952"/>
      <c r="ANU49" s="952"/>
      <c r="ANV49" s="952"/>
      <c r="ANW49" s="952"/>
      <c r="ANX49" s="952"/>
      <c r="ANY49" s="952"/>
      <c r="ANZ49" s="952"/>
      <c r="AOA49" s="952"/>
      <c r="AOB49" s="952"/>
      <c r="AOC49" s="952"/>
      <c r="AOD49" s="952"/>
      <c r="AOE49" s="952"/>
      <c r="AOF49" s="952"/>
      <c r="AOG49" s="952"/>
      <c r="AOH49" s="952"/>
      <c r="AOI49" s="952"/>
      <c r="AOJ49" s="952"/>
      <c r="AOK49" s="952"/>
      <c r="AOL49" s="952"/>
      <c r="AOM49" s="952"/>
      <c r="AON49" s="952"/>
      <c r="AOO49" s="952"/>
      <c r="AOP49" s="952"/>
      <c r="AOQ49" s="952"/>
      <c r="AOR49" s="952"/>
      <c r="AOS49" s="952"/>
      <c r="AOT49" s="952"/>
      <c r="AOU49" s="952"/>
      <c r="AOV49" s="952"/>
      <c r="AOW49" s="952"/>
      <c r="AOX49" s="952"/>
      <c r="AOY49" s="952"/>
      <c r="AOZ49" s="952"/>
      <c r="APA49" s="952"/>
      <c r="APB49" s="952"/>
      <c r="APC49" s="952"/>
      <c r="APD49" s="952"/>
      <c r="APE49" s="952"/>
      <c r="APF49" s="952"/>
      <c r="APG49" s="952"/>
      <c r="APH49" s="952"/>
      <c r="API49" s="952"/>
      <c r="APJ49" s="952"/>
      <c r="APK49" s="952"/>
      <c r="APL49" s="952"/>
      <c r="APM49" s="952"/>
      <c r="APN49" s="952"/>
      <c r="APO49" s="952"/>
      <c r="APP49" s="952"/>
      <c r="APQ49" s="952"/>
      <c r="APR49" s="952"/>
      <c r="APS49" s="952"/>
      <c r="APT49" s="952"/>
      <c r="APU49" s="952"/>
      <c r="APV49" s="952"/>
      <c r="APW49" s="952"/>
      <c r="APX49" s="952"/>
      <c r="APY49" s="952"/>
      <c r="APZ49" s="952"/>
      <c r="AQA49" s="952"/>
      <c r="AQB49" s="952"/>
      <c r="AQC49" s="952"/>
      <c r="AQD49" s="952"/>
      <c r="AQE49" s="952"/>
      <c r="AQF49" s="952"/>
      <c r="AQG49" s="952"/>
      <c r="AQH49" s="952"/>
      <c r="AQI49" s="952"/>
      <c r="AQJ49" s="952"/>
      <c r="AQK49" s="952"/>
      <c r="AQL49" s="952"/>
      <c r="AQM49" s="952"/>
      <c r="AQN49" s="952"/>
      <c r="AQO49" s="952"/>
      <c r="AQP49" s="952"/>
      <c r="AQQ49" s="952"/>
      <c r="AQR49" s="952"/>
      <c r="AQS49" s="952"/>
      <c r="AQT49" s="952"/>
      <c r="AQU49" s="952"/>
      <c r="AQV49" s="952"/>
      <c r="AQW49" s="952"/>
      <c r="AQX49" s="952"/>
      <c r="AQY49" s="952"/>
      <c r="AQZ49" s="952"/>
      <c r="ARA49" s="952"/>
      <c r="ARB49" s="952"/>
      <c r="ARC49" s="952"/>
      <c r="ARD49" s="952"/>
      <c r="ARE49" s="952"/>
      <c r="ARF49" s="952"/>
      <c r="ARG49" s="952"/>
      <c r="ARH49" s="952"/>
      <c r="ARI49" s="952"/>
      <c r="ARJ49" s="952"/>
      <c r="ARK49" s="952"/>
      <c r="ARL49" s="952"/>
      <c r="ARM49" s="952"/>
      <c r="ARN49" s="952"/>
      <c r="ARO49" s="952"/>
      <c r="ARP49" s="952"/>
      <c r="ARQ49" s="952"/>
      <c r="ARR49" s="952"/>
      <c r="ARS49" s="952"/>
      <c r="ART49" s="952"/>
      <c r="ARU49" s="952"/>
      <c r="ARV49" s="952"/>
      <c r="ARW49" s="952"/>
      <c r="ARX49" s="952"/>
      <c r="ARY49" s="952"/>
      <c r="ARZ49" s="952"/>
      <c r="ASA49" s="952"/>
      <c r="ASB49" s="952"/>
      <c r="ASC49" s="952"/>
      <c r="ASD49" s="952"/>
      <c r="ASE49" s="952"/>
      <c r="ASF49" s="952"/>
      <c r="ASG49" s="952"/>
      <c r="ASH49" s="952"/>
      <c r="ASI49" s="952"/>
      <c r="ASJ49" s="952"/>
      <c r="ASK49" s="952"/>
      <c r="ASL49" s="952"/>
      <c r="ASM49" s="952"/>
      <c r="ASN49" s="952"/>
      <c r="ASO49" s="952"/>
      <c r="ASP49" s="952"/>
      <c r="ASQ49" s="952"/>
      <c r="ASR49" s="952"/>
      <c r="ASS49" s="952"/>
      <c r="AST49" s="952"/>
      <c r="ASU49" s="952"/>
      <c r="ASV49" s="952"/>
      <c r="ASW49" s="952"/>
      <c r="ASX49" s="952"/>
      <c r="ASY49" s="952"/>
      <c r="ASZ49" s="952"/>
      <c r="ATA49" s="952"/>
      <c r="ATB49" s="952"/>
      <c r="ATC49" s="952"/>
      <c r="ATD49" s="952"/>
      <c r="ATE49" s="952"/>
      <c r="ATF49" s="952"/>
      <c r="ATG49" s="952"/>
      <c r="ATH49" s="952"/>
      <c r="ATI49" s="952"/>
      <c r="ATJ49" s="952"/>
      <c r="ATK49" s="952"/>
      <c r="ATL49" s="952"/>
      <c r="ATM49" s="952"/>
      <c r="ATN49" s="952"/>
      <c r="ATO49" s="952"/>
      <c r="ATP49" s="952"/>
      <c r="ATQ49" s="952"/>
      <c r="ATR49" s="952"/>
      <c r="ATS49" s="952"/>
      <c r="ATT49" s="952"/>
      <c r="ATU49" s="952"/>
      <c r="ATV49" s="952"/>
      <c r="ATW49" s="952"/>
      <c r="ATX49" s="952"/>
      <c r="ATY49" s="952"/>
      <c r="ATZ49" s="952"/>
      <c r="AUA49" s="952"/>
      <c r="AUB49" s="952"/>
      <c r="AUC49" s="952"/>
      <c r="AUD49" s="952"/>
      <c r="AUE49" s="952"/>
      <c r="AUF49" s="952"/>
      <c r="AUG49" s="952"/>
      <c r="AUH49" s="952"/>
      <c r="AUI49" s="952"/>
      <c r="AUJ49" s="952"/>
      <c r="AUK49" s="952"/>
      <c r="AUL49" s="952"/>
      <c r="AUM49" s="952"/>
      <c r="AUN49" s="952"/>
      <c r="AUO49" s="952"/>
      <c r="AUP49" s="952"/>
      <c r="AUQ49" s="952"/>
      <c r="AUR49" s="952"/>
      <c r="AUS49" s="952"/>
      <c r="AUT49" s="952"/>
      <c r="AUU49" s="952"/>
      <c r="AUV49" s="952"/>
      <c r="AUW49" s="952"/>
      <c r="AUX49" s="952"/>
      <c r="AUY49" s="952"/>
      <c r="AUZ49" s="952"/>
      <c r="AVA49" s="952"/>
      <c r="AVB49" s="952"/>
      <c r="AVC49" s="952"/>
      <c r="AVD49" s="952"/>
      <c r="AVE49" s="952"/>
      <c r="AVF49" s="952"/>
      <c r="AVG49" s="952"/>
      <c r="AVH49" s="952"/>
      <c r="AVI49" s="952"/>
      <c r="AVJ49" s="952"/>
      <c r="AVK49" s="952"/>
      <c r="AVL49" s="952"/>
      <c r="AVM49" s="952"/>
      <c r="AVN49" s="952"/>
      <c r="AVO49" s="952"/>
      <c r="AVP49" s="952"/>
      <c r="AVQ49" s="952"/>
      <c r="AVR49" s="952"/>
      <c r="AVS49" s="952"/>
      <c r="AVT49" s="952"/>
      <c r="AVU49" s="952"/>
      <c r="AVV49" s="952"/>
      <c r="AVW49" s="952"/>
      <c r="AVX49" s="952"/>
      <c r="AVY49" s="952"/>
      <c r="AVZ49" s="952"/>
      <c r="AWA49" s="952"/>
      <c r="AWB49" s="952"/>
      <c r="AWC49" s="952"/>
      <c r="AWD49" s="952"/>
      <c r="AWE49" s="952"/>
      <c r="AWF49" s="952"/>
      <c r="AWG49" s="952"/>
      <c r="AWH49" s="952"/>
      <c r="AWI49" s="952"/>
      <c r="AWJ49" s="952"/>
      <c r="AWK49" s="952"/>
      <c r="AWL49" s="952"/>
      <c r="AWM49" s="952"/>
      <c r="AWN49" s="952"/>
      <c r="AWO49" s="952"/>
      <c r="AWP49" s="952"/>
      <c r="AWQ49" s="952"/>
      <c r="AWR49" s="952"/>
      <c r="AWS49" s="952"/>
      <c r="AWT49" s="952"/>
      <c r="AWU49" s="952"/>
      <c r="AWV49" s="952"/>
      <c r="AWW49" s="952"/>
      <c r="AWX49" s="952"/>
      <c r="AWY49" s="952"/>
      <c r="AWZ49" s="952"/>
      <c r="AXA49" s="952"/>
      <c r="AXB49" s="952"/>
      <c r="AXC49" s="952"/>
      <c r="AXD49" s="952"/>
      <c r="AXE49" s="952"/>
      <c r="AXF49" s="952"/>
      <c r="AXG49" s="952"/>
      <c r="AXH49" s="952"/>
      <c r="AXI49" s="952"/>
      <c r="AXJ49" s="952"/>
      <c r="AXK49" s="952"/>
      <c r="AXL49" s="952"/>
      <c r="AXM49" s="952"/>
      <c r="AXN49" s="952"/>
      <c r="AXO49" s="952"/>
      <c r="AXP49" s="952"/>
      <c r="AXQ49" s="952"/>
      <c r="AXR49" s="952"/>
      <c r="AXS49" s="952"/>
      <c r="AXT49" s="952"/>
      <c r="AXU49" s="952"/>
      <c r="AXV49" s="952"/>
      <c r="AXW49" s="952"/>
      <c r="AXX49" s="952"/>
      <c r="AXY49" s="952"/>
      <c r="AXZ49" s="952"/>
      <c r="AYA49" s="952"/>
      <c r="AYB49" s="952"/>
      <c r="AYC49" s="952"/>
      <c r="AYD49" s="952"/>
      <c r="AYE49" s="952"/>
      <c r="AYF49" s="952"/>
      <c r="AYG49" s="952"/>
      <c r="AYH49" s="952"/>
      <c r="AYI49" s="952"/>
      <c r="AYJ49" s="952"/>
      <c r="AYK49" s="952"/>
      <c r="AYL49" s="952"/>
      <c r="AYM49" s="952"/>
      <c r="AYN49" s="952"/>
      <c r="AYO49" s="952"/>
      <c r="AYP49" s="952"/>
      <c r="AYQ49" s="952"/>
      <c r="AYR49" s="952"/>
      <c r="AYS49" s="952"/>
      <c r="AYT49" s="952"/>
      <c r="AYU49" s="952"/>
      <c r="AYV49" s="952"/>
      <c r="AYW49" s="952"/>
      <c r="AYX49" s="952"/>
      <c r="AYY49" s="952"/>
      <c r="AYZ49" s="952"/>
      <c r="AZA49" s="952"/>
      <c r="AZB49" s="952"/>
      <c r="AZC49" s="952"/>
      <c r="AZD49" s="952"/>
      <c r="AZE49" s="952"/>
      <c r="AZF49" s="952"/>
      <c r="AZG49" s="952"/>
      <c r="AZH49" s="952"/>
      <c r="AZI49" s="952"/>
      <c r="AZJ49" s="952"/>
      <c r="AZK49" s="952"/>
      <c r="AZL49" s="952"/>
      <c r="AZM49" s="952"/>
      <c r="AZN49" s="952"/>
      <c r="AZO49" s="952"/>
      <c r="AZP49" s="952"/>
      <c r="AZQ49" s="952"/>
      <c r="AZR49" s="952"/>
      <c r="AZS49" s="952"/>
      <c r="AZT49" s="952"/>
      <c r="AZU49" s="952"/>
      <c r="AZV49" s="952"/>
      <c r="AZW49" s="952"/>
      <c r="AZX49" s="952"/>
      <c r="AZY49" s="952"/>
      <c r="AZZ49" s="952"/>
      <c r="BAA49" s="952"/>
      <c r="BAB49" s="952"/>
      <c r="BAC49" s="952"/>
      <c r="BAD49" s="952"/>
      <c r="BAE49" s="952"/>
      <c r="BAF49" s="952"/>
      <c r="BAG49" s="952"/>
      <c r="BAH49" s="952"/>
      <c r="BAI49" s="952"/>
      <c r="BAJ49" s="952"/>
      <c r="BAK49" s="952"/>
      <c r="BAL49" s="952"/>
      <c r="BAM49" s="952"/>
      <c r="BAN49" s="952"/>
      <c r="BAO49" s="952"/>
      <c r="BAP49" s="952"/>
      <c r="BAQ49" s="952"/>
      <c r="BAR49" s="952"/>
      <c r="BAS49" s="952"/>
      <c r="BAT49" s="952"/>
      <c r="BAU49" s="952"/>
      <c r="BAV49" s="952"/>
      <c r="BAW49" s="952"/>
      <c r="BAX49" s="952"/>
      <c r="BAY49" s="952"/>
      <c r="BAZ49" s="952"/>
      <c r="BBA49" s="952"/>
      <c r="BBB49" s="952"/>
      <c r="BBC49" s="952"/>
      <c r="BBD49" s="952"/>
      <c r="BBE49" s="952"/>
      <c r="BBF49" s="952"/>
      <c r="BBG49" s="952"/>
      <c r="BBH49" s="952"/>
      <c r="BBI49" s="952"/>
      <c r="BBJ49" s="952"/>
      <c r="BBK49" s="952"/>
      <c r="BBL49" s="952"/>
      <c r="BBM49" s="952"/>
      <c r="BBN49" s="952"/>
      <c r="BBO49" s="952"/>
      <c r="BBP49" s="952"/>
      <c r="BBQ49" s="952"/>
      <c r="BBR49" s="952"/>
      <c r="BBS49" s="952"/>
      <c r="BBT49" s="952"/>
      <c r="BBU49" s="952"/>
      <c r="BBV49" s="952"/>
      <c r="BBW49" s="952"/>
      <c r="BBX49" s="952"/>
      <c r="BBY49" s="952"/>
      <c r="BBZ49" s="952"/>
      <c r="BCA49" s="952"/>
      <c r="BCB49" s="952"/>
      <c r="BCC49" s="952"/>
      <c r="BCD49" s="952"/>
      <c r="BCE49" s="952"/>
      <c r="BCF49" s="952"/>
      <c r="BCG49" s="952"/>
      <c r="BCH49" s="952"/>
      <c r="BCI49" s="952"/>
      <c r="BCJ49" s="952"/>
      <c r="BCK49" s="952"/>
      <c r="BCL49" s="952"/>
      <c r="BCM49" s="952"/>
      <c r="BCN49" s="952"/>
      <c r="BCO49" s="952"/>
      <c r="BCP49" s="952"/>
      <c r="BCQ49" s="952"/>
      <c r="BCR49" s="952"/>
      <c r="BCS49" s="952"/>
      <c r="BCT49" s="952"/>
      <c r="BCU49" s="952"/>
      <c r="BCV49" s="952"/>
      <c r="BCW49" s="952"/>
      <c r="BCX49" s="952"/>
      <c r="BCY49" s="952"/>
      <c r="BCZ49" s="952"/>
      <c r="BDA49" s="952"/>
      <c r="BDB49" s="952"/>
      <c r="BDC49" s="952"/>
      <c r="BDD49" s="952"/>
      <c r="BDE49" s="952"/>
      <c r="BDF49" s="952"/>
      <c r="BDG49" s="952"/>
      <c r="BDH49" s="952"/>
      <c r="BDI49" s="952"/>
      <c r="BDJ49" s="952"/>
      <c r="BDK49" s="952"/>
      <c r="BDL49" s="952"/>
      <c r="BDM49" s="952"/>
      <c r="BDN49" s="952"/>
      <c r="BDO49" s="952"/>
      <c r="BDP49" s="952"/>
      <c r="BDQ49" s="952"/>
      <c r="BDR49" s="952"/>
      <c r="BDS49" s="952"/>
      <c r="BDT49" s="952"/>
      <c r="BDU49" s="952"/>
      <c r="BDV49" s="952"/>
      <c r="BDW49" s="952"/>
      <c r="BDX49" s="952"/>
      <c r="BDY49" s="952"/>
      <c r="BDZ49" s="952"/>
      <c r="BEA49" s="952"/>
      <c r="BEB49" s="952"/>
      <c r="BEC49" s="952"/>
      <c r="BED49" s="952"/>
      <c r="BEE49" s="952"/>
      <c r="BEF49" s="952"/>
      <c r="BEG49" s="952"/>
      <c r="BEH49" s="952"/>
      <c r="BEI49" s="952"/>
      <c r="BEJ49" s="952"/>
      <c r="BEK49" s="952"/>
      <c r="BEL49" s="952"/>
      <c r="BEM49" s="952"/>
      <c r="BEN49" s="952"/>
      <c r="BEO49" s="952"/>
      <c r="BEP49" s="952"/>
      <c r="BEQ49" s="952"/>
      <c r="BER49" s="952"/>
      <c r="BES49" s="952"/>
      <c r="BET49" s="952"/>
      <c r="BEU49" s="952"/>
      <c r="BEV49" s="952"/>
      <c r="BEW49" s="952"/>
      <c r="BEX49" s="952"/>
      <c r="BEY49" s="952"/>
      <c r="BEZ49" s="952"/>
      <c r="BFA49" s="952"/>
      <c r="BFB49" s="952"/>
      <c r="BFC49" s="952"/>
      <c r="BFD49" s="952"/>
      <c r="BFE49" s="952"/>
      <c r="BFF49" s="952"/>
      <c r="BFG49" s="952"/>
      <c r="BFH49" s="952"/>
      <c r="BFI49" s="952"/>
      <c r="BFJ49" s="952"/>
      <c r="BFK49" s="952"/>
      <c r="BFL49" s="952"/>
      <c r="BFM49" s="952"/>
      <c r="BFN49" s="952"/>
      <c r="BFO49" s="952"/>
      <c r="BFP49" s="952"/>
      <c r="BFQ49" s="952"/>
      <c r="BFR49" s="952"/>
      <c r="BFS49" s="952"/>
      <c r="BFT49" s="952"/>
      <c r="BFU49" s="952"/>
      <c r="BFV49" s="952"/>
      <c r="BFW49" s="952"/>
      <c r="BFX49" s="952"/>
      <c r="BFY49" s="952"/>
      <c r="BFZ49" s="952"/>
      <c r="BGA49" s="952"/>
      <c r="BGB49" s="952"/>
      <c r="BGC49" s="952"/>
      <c r="BGD49" s="952"/>
      <c r="BGE49" s="952"/>
      <c r="BGF49" s="952"/>
      <c r="BGG49" s="952"/>
      <c r="BGH49" s="952"/>
      <c r="BGI49" s="952"/>
      <c r="BGJ49" s="952"/>
      <c r="BGK49" s="952"/>
      <c r="BGL49" s="952"/>
      <c r="BGM49" s="952"/>
      <c r="BGN49" s="952"/>
      <c r="BGO49" s="952"/>
      <c r="BGP49" s="952"/>
      <c r="BGQ49" s="952"/>
      <c r="BGR49" s="952"/>
      <c r="BGS49" s="952"/>
      <c r="BGT49" s="952"/>
      <c r="BGU49" s="952"/>
      <c r="BGV49" s="952"/>
      <c r="BGW49" s="952"/>
      <c r="BGX49" s="952"/>
      <c r="BGY49" s="952"/>
      <c r="BGZ49" s="952"/>
      <c r="BHA49" s="952"/>
      <c r="BHB49" s="952"/>
      <c r="BHC49" s="952"/>
      <c r="BHD49" s="952"/>
      <c r="BHE49" s="952"/>
      <c r="BHF49" s="952"/>
      <c r="BHG49" s="952"/>
      <c r="BHH49" s="952"/>
      <c r="BHI49" s="952"/>
      <c r="BHJ49" s="952"/>
      <c r="BHK49" s="952"/>
      <c r="BHL49" s="952"/>
      <c r="BHM49" s="952"/>
      <c r="BHN49" s="952"/>
      <c r="BHO49" s="952"/>
      <c r="BHP49" s="952"/>
      <c r="BHQ49" s="952"/>
      <c r="BHR49" s="952"/>
      <c r="BHS49" s="952"/>
      <c r="BHT49" s="952"/>
      <c r="BHU49" s="952"/>
      <c r="BHV49" s="952"/>
      <c r="BHW49" s="952"/>
      <c r="BHX49" s="952"/>
      <c r="BHY49" s="952"/>
      <c r="BHZ49" s="952"/>
      <c r="BIA49" s="952"/>
      <c r="BIB49" s="952"/>
      <c r="BIC49" s="952"/>
      <c r="BID49" s="952"/>
      <c r="BIE49" s="952"/>
      <c r="BIF49" s="952"/>
      <c r="BIG49" s="952"/>
      <c r="BIH49" s="952"/>
      <c r="BII49" s="952"/>
      <c r="BIJ49" s="952"/>
      <c r="BIK49" s="952"/>
      <c r="BIL49" s="952"/>
      <c r="BIM49" s="952"/>
      <c r="BIN49" s="952"/>
      <c r="BIO49" s="952"/>
      <c r="BIP49" s="952"/>
      <c r="BIQ49" s="952"/>
      <c r="BIR49" s="952"/>
      <c r="BIS49" s="952"/>
      <c r="BIT49" s="952"/>
      <c r="BIU49" s="952"/>
      <c r="BIV49" s="952"/>
      <c r="BIW49" s="952"/>
      <c r="BIX49" s="952"/>
      <c r="BIY49" s="952"/>
      <c r="BIZ49" s="952"/>
      <c r="BJA49" s="952"/>
      <c r="BJB49" s="952"/>
      <c r="BJC49" s="952"/>
      <c r="BJD49" s="952"/>
      <c r="BJE49" s="952"/>
      <c r="BJF49" s="952"/>
      <c r="BJG49" s="952"/>
      <c r="BJH49" s="952"/>
      <c r="BJI49" s="952"/>
      <c r="BJJ49" s="952"/>
      <c r="BJK49" s="952"/>
      <c r="BJL49" s="952"/>
      <c r="BJM49" s="952"/>
      <c r="BJN49" s="952"/>
      <c r="BJO49" s="952"/>
      <c r="BJP49" s="952"/>
      <c r="BJQ49" s="952"/>
      <c r="BJR49" s="952"/>
      <c r="BJS49" s="952"/>
      <c r="BJT49" s="952"/>
      <c r="BJU49" s="952"/>
      <c r="BJV49" s="952"/>
      <c r="BJW49" s="952"/>
      <c r="BJX49" s="952"/>
      <c r="BJY49" s="952"/>
      <c r="BJZ49" s="952"/>
      <c r="BKA49" s="952"/>
      <c r="BKB49" s="952"/>
      <c r="BKC49" s="952"/>
      <c r="BKD49" s="952"/>
      <c r="BKE49" s="952"/>
      <c r="BKF49" s="952"/>
      <c r="BKG49" s="952"/>
      <c r="BKH49" s="952"/>
      <c r="BKI49" s="952"/>
      <c r="BKJ49" s="952"/>
      <c r="BKK49" s="952"/>
      <c r="BKL49" s="952"/>
      <c r="BKM49" s="952"/>
      <c r="BKN49" s="952"/>
      <c r="BKO49" s="952"/>
      <c r="BKP49" s="952"/>
      <c r="BKQ49" s="952"/>
      <c r="BKR49" s="952"/>
      <c r="BKS49" s="952"/>
      <c r="BKT49" s="952"/>
      <c r="BKU49" s="952"/>
      <c r="BKV49" s="952"/>
      <c r="BKW49" s="952"/>
      <c r="BKX49" s="952"/>
      <c r="BKY49" s="952"/>
      <c r="BKZ49" s="952"/>
      <c r="BLA49" s="952"/>
      <c r="BLB49" s="952"/>
      <c r="BLC49" s="952"/>
      <c r="BLD49" s="952"/>
      <c r="BLE49" s="952"/>
      <c r="BLF49" s="952"/>
      <c r="BLG49" s="952"/>
      <c r="BLH49" s="952"/>
      <c r="BLI49" s="952"/>
      <c r="BLJ49" s="952"/>
      <c r="BLK49" s="952"/>
      <c r="BLL49" s="952"/>
      <c r="BLM49" s="952"/>
      <c r="BLN49" s="952"/>
      <c r="BLO49" s="952"/>
      <c r="BLP49" s="952"/>
      <c r="BLQ49" s="952"/>
      <c r="BLR49" s="952"/>
      <c r="BLS49" s="952"/>
      <c r="BLT49" s="952"/>
      <c r="BLU49" s="952"/>
      <c r="BLV49" s="952"/>
      <c r="BLW49" s="952"/>
      <c r="BLX49" s="952"/>
      <c r="BLY49" s="952"/>
      <c r="BLZ49" s="952"/>
      <c r="BMA49" s="952"/>
      <c r="BMB49" s="952"/>
      <c r="BMC49" s="952"/>
      <c r="BMD49" s="952"/>
      <c r="BME49" s="952"/>
      <c r="BMF49" s="952"/>
      <c r="BMG49" s="952"/>
      <c r="BMH49" s="952"/>
      <c r="BMI49" s="952"/>
      <c r="BMJ49" s="952"/>
      <c r="BMK49" s="952"/>
      <c r="BML49" s="952"/>
      <c r="BMM49" s="952"/>
      <c r="BMN49" s="952"/>
      <c r="BMO49" s="952"/>
      <c r="BMP49" s="952"/>
      <c r="BMQ49" s="952"/>
      <c r="BMR49" s="952"/>
      <c r="BMS49" s="952"/>
      <c r="BMT49" s="952"/>
      <c r="BMU49" s="952"/>
      <c r="BMV49" s="952"/>
      <c r="BMW49" s="952"/>
      <c r="BMX49" s="952"/>
      <c r="BMY49" s="952"/>
      <c r="BMZ49" s="952"/>
      <c r="BNA49" s="952"/>
      <c r="BNB49" s="952"/>
      <c r="BNC49" s="952"/>
      <c r="BND49" s="952"/>
      <c r="BNE49" s="952"/>
      <c r="BNF49" s="952"/>
      <c r="BNG49" s="952"/>
      <c r="BNH49" s="952"/>
      <c r="BNI49" s="952"/>
      <c r="BNJ49" s="952"/>
      <c r="BNK49" s="952"/>
      <c r="BNL49" s="952"/>
      <c r="BNM49" s="952"/>
      <c r="BNN49" s="952"/>
      <c r="BNO49" s="952"/>
      <c r="BNP49" s="952"/>
      <c r="BNQ49" s="952"/>
      <c r="BNR49" s="952"/>
      <c r="BNS49" s="952"/>
      <c r="BNT49" s="952"/>
      <c r="BNU49" s="952"/>
      <c r="BNV49" s="952"/>
      <c r="BNW49" s="952"/>
      <c r="BNX49" s="952"/>
      <c r="BNY49" s="952"/>
      <c r="BNZ49" s="952"/>
      <c r="BOA49" s="952"/>
      <c r="BOB49" s="952"/>
      <c r="BOC49" s="952"/>
      <c r="BOD49" s="952"/>
      <c r="BOE49" s="952"/>
      <c r="BOF49" s="952"/>
      <c r="BOG49" s="952"/>
      <c r="BOH49" s="952"/>
      <c r="BOI49" s="952"/>
      <c r="BOJ49" s="952"/>
      <c r="BOK49" s="952"/>
      <c r="BOL49" s="952"/>
      <c r="BOM49" s="952"/>
      <c r="BON49" s="952"/>
      <c r="BOO49" s="952"/>
      <c r="BOP49" s="952"/>
      <c r="BOQ49" s="952"/>
      <c r="BOR49" s="952"/>
      <c r="BOS49" s="952"/>
      <c r="BOT49" s="952"/>
      <c r="BOU49" s="952"/>
      <c r="BOV49" s="952"/>
      <c r="BOW49" s="952"/>
      <c r="BOX49" s="952"/>
      <c r="BOY49" s="952"/>
      <c r="BOZ49" s="952"/>
      <c r="BPA49" s="952"/>
      <c r="BPB49" s="952"/>
      <c r="BPC49" s="952"/>
      <c r="BPD49" s="952"/>
      <c r="BPE49" s="952"/>
      <c r="BPF49" s="952"/>
      <c r="BPG49" s="952"/>
      <c r="BPH49" s="952"/>
      <c r="BPI49" s="952"/>
      <c r="BPJ49" s="952"/>
      <c r="BPK49" s="952"/>
      <c r="BPL49" s="952"/>
      <c r="BPM49" s="952"/>
      <c r="BPN49" s="952"/>
      <c r="BPO49" s="952"/>
      <c r="BPP49" s="952"/>
      <c r="BPQ49" s="952"/>
      <c r="BPR49" s="952"/>
      <c r="BPS49" s="952"/>
      <c r="BPT49" s="952"/>
      <c r="BPU49" s="952"/>
      <c r="BPV49" s="952"/>
      <c r="BPW49" s="952"/>
      <c r="BPX49" s="952"/>
      <c r="BPY49" s="952"/>
      <c r="BPZ49" s="952"/>
      <c r="BQA49" s="952"/>
      <c r="BQB49" s="952"/>
      <c r="BQC49" s="952"/>
      <c r="BQD49" s="952"/>
      <c r="BQE49" s="952"/>
      <c r="BQF49" s="952"/>
      <c r="BQG49" s="952"/>
      <c r="BQH49" s="952"/>
      <c r="BQI49" s="952"/>
      <c r="BQJ49" s="952"/>
      <c r="BQK49" s="952"/>
      <c r="BQL49" s="952"/>
      <c r="BQM49" s="952"/>
      <c r="BQN49" s="952"/>
      <c r="BQO49" s="952"/>
      <c r="BQP49" s="952"/>
      <c r="BQQ49" s="952"/>
      <c r="BQR49" s="952"/>
      <c r="BQS49" s="952"/>
      <c r="BQT49" s="952"/>
      <c r="BQU49" s="952"/>
      <c r="BQV49" s="952"/>
      <c r="BQW49" s="952"/>
      <c r="BQX49" s="952"/>
      <c r="BQY49" s="952"/>
      <c r="BQZ49" s="952"/>
      <c r="BRA49" s="952"/>
      <c r="BRB49" s="952"/>
      <c r="BRC49" s="952"/>
      <c r="BRD49" s="952"/>
      <c r="BRE49" s="952"/>
      <c r="BRF49" s="952"/>
      <c r="BRG49" s="952"/>
      <c r="BRH49" s="952"/>
      <c r="BRI49" s="952"/>
      <c r="BRJ49" s="952"/>
      <c r="BRK49" s="952"/>
      <c r="BRL49" s="952"/>
      <c r="BRM49" s="952"/>
      <c r="BRN49" s="952"/>
      <c r="BRO49" s="952"/>
      <c r="BRP49" s="952"/>
      <c r="BRQ49" s="952"/>
      <c r="BRR49" s="952"/>
      <c r="BRS49" s="952"/>
      <c r="BRT49" s="952"/>
      <c r="BRU49" s="952"/>
      <c r="BRV49" s="952"/>
      <c r="BRW49" s="952"/>
      <c r="BRX49" s="952"/>
      <c r="BRY49" s="952"/>
      <c r="BRZ49" s="952"/>
      <c r="BSA49" s="952"/>
      <c r="BSB49" s="952"/>
      <c r="BSC49" s="952"/>
      <c r="BSD49" s="952"/>
      <c r="BSE49" s="952"/>
      <c r="BSF49" s="952"/>
      <c r="BSG49" s="952"/>
      <c r="BSH49" s="952"/>
      <c r="BSI49" s="952"/>
      <c r="BSJ49" s="952"/>
      <c r="BSK49" s="952"/>
      <c r="BSL49" s="952"/>
      <c r="BSM49" s="952"/>
      <c r="BSN49" s="952"/>
      <c r="BSO49" s="952"/>
      <c r="BSP49" s="952"/>
      <c r="BSQ49" s="952"/>
      <c r="BSR49" s="952"/>
      <c r="BSS49" s="952"/>
      <c r="BST49" s="952"/>
      <c r="BSU49" s="952"/>
      <c r="BSV49" s="952"/>
      <c r="BSW49" s="952"/>
      <c r="BSX49" s="952"/>
      <c r="BSY49" s="952"/>
      <c r="BSZ49" s="952"/>
      <c r="BTA49" s="952"/>
      <c r="BTB49" s="952"/>
      <c r="BTC49" s="952"/>
      <c r="BTD49" s="952"/>
      <c r="BTE49" s="952"/>
      <c r="BTF49" s="952"/>
      <c r="BTG49" s="952"/>
      <c r="BTH49" s="952"/>
      <c r="BTI49" s="952"/>
      <c r="BTJ49" s="952"/>
      <c r="BTK49" s="952"/>
      <c r="BTL49" s="952"/>
      <c r="BTM49" s="952"/>
      <c r="BTN49" s="952"/>
      <c r="BTO49" s="952"/>
      <c r="BTP49" s="952"/>
      <c r="BTQ49" s="952"/>
      <c r="BTR49" s="952"/>
      <c r="BTS49" s="952"/>
      <c r="BTT49" s="952"/>
      <c r="BTU49" s="952"/>
      <c r="BTV49" s="952"/>
      <c r="BTW49" s="952"/>
      <c r="BTX49" s="952"/>
      <c r="BTY49" s="952"/>
      <c r="BTZ49" s="952"/>
      <c r="BUA49" s="952"/>
      <c r="BUB49" s="952"/>
      <c r="BUC49" s="952"/>
      <c r="BUD49" s="952"/>
      <c r="BUE49" s="952"/>
      <c r="BUF49" s="952"/>
      <c r="BUG49" s="952"/>
      <c r="BUH49" s="952"/>
      <c r="BUI49" s="952"/>
      <c r="BUJ49" s="952"/>
      <c r="BUK49" s="952"/>
      <c r="BUL49" s="952"/>
      <c r="BUM49" s="952"/>
      <c r="BUN49" s="952"/>
      <c r="BUO49" s="952"/>
      <c r="BUP49" s="952"/>
      <c r="BUQ49" s="952"/>
      <c r="BUR49" s="952"/>
      <c r="BUS49" s="952"/>
      <c r="BUT49" s="952"/>
      <c r="BUU49" s="952"/>
      <c r="BUV49" s="952"/>
      <c r="BUW49" s="952"/>
      <c r="BUX49" s="952"/>
      <c r="BUY49" s="952"/>
      <c r="BUZ49" s="952"/>
      <c r="BVA49" s="952"/>
      <c r="BVB49" s="952"/>
      <c r="BVC49" s="952"/>
      <c r="BVD49" s="952"/>
      <c r="BVE49" s="952"/>
      <c r="BVF49" s="952"/>
      <c r="BVG49" s="952"/>
      <c r="BVH49" s="952"/>
      <c r="BVI49" s="952"/>
      <c r="BVJ49" s="952"/>
      <c r="BVK49" s="952"/>
      <c r="BVL49" s="952"/>
      <c r="BVM49" s="952"/>
      <c r="BVN49" s="952"/>
      <c r="BVO49" s="952"/>
      <c r="BVP49" s="952"/>
      <c r="BVQ49" s="952"/>
      <c r="BVR49" s="952"/>
      <c r="BVS49" s="952"/>
      <c r="BVT49" s="952"/>
      <c r="BVU49" s="952"/>
      <c r="BVV49" s="952"/>
      <c r="BVW49" s="952"/>
      <c r="BVX49" s="952"/>
      <c r="BVY49" s="952"/>
      <c r="BVZ49" s="952"/>
      <c r="BWA49" s="952"/>
      <c r="BWB49" s="952"/>
      <c r="BWC49" s="952"/>
      <c r="BWD49" s="952"/>
      <c r="BWE49" s="952"/>
      <c r="BWF49" s="952"/>
      <c r="BWG49" s="952"/>
      <c r="BWH49" s="952"/>
      <c r="BWI49" s="952"/>
      <c r="BWJ49" s="952"/>
      <c r="BWK49" s="952"/>
      <c r="BWL49" s="952"/>
      <c r="BWM49" s="952"/>
      <c r="BWN49" s="952"/>
      <c r="BWO49" s="952"/>
      <c r="BWP49" s="952"/>
      <c r="BWQ49" s="952"/>
      <c r="BWR49" s="952"/>
      <c r="BWS49" s="952"/>
      <c r="BWT49" s="952"/>
      <c r="BWU49" s="952"/>
      <c r="BWV49" s="952"/>
      <c r="BWW49" s="952"/>
      <c r="BWX49" s="952"/>
      <c r="BWY49" s="952"/>
      <c r="BWZ49" s="952"/>
      <c r="BXA49" s="952"/>
      <c r="BXB49" s="952"/>
      <c r="BXC49" s="952"/>
      <c r="BXD49" s="952"/>
      <c r="BXE49" s="952"/>
      <c r="BXF49" s="952"/>
      <c r="BXG49" s="952"/>
      <c r="BXH49" s="952"/>
      <c r="BXI49" s="952"/>
      <c r="BXJ49" s="952"/>
      <c r="BXK49" s="952"/>
      <c r="BXL49" s="952"/>
      <c r="BXM49" s="952"/>
      <c r="BXN49" s="952"/>
      <c r="BXO49" s="952"/>
      <c r="BXP49" s="952"/>
      <c r="BXQ49" s="952"/>
      <c r="BXR49" s="952"/>
      <c r="BXS49" s="952"/>
      <c r="BXT49" s="952"/>
      <c r="BXU49" s="952"/>
      <c r="BXV49" s="952"/>
      <c r="BXW49" s="952"/>
      <c r="BXX49" s="952"/>
      <c r="BXY49" s="952"/>
      <c r="BXZ49" s="952"/>
      <c r="BYA49" s="952"/>
      <c r="BYB49" s="952"/>
      <c r="BYC49" s="952"/>
      <c r="BYD49" s="952"/>
      <c r="BYE49" s="952"/>
      <c r="BYF49" s="952"/>
      <c r="BYG49" s="952"/>
      <c r="BYH49" s="952"/>
      <c r="BYI49" s="952"/>
      <c r="BYJ49" s="952"/>
      <c r="BYK49" s="952"/>
      <c r="BYL49" s="952"/>
      <c r="BYM49" s="952"/>
      <c r="BYN49" s="952"/>
      <c r="BYO49" s="952"/>
      <c r="BYP49" s="952"/>
      <c r="BYQ49" s="952"/>
      <c r="BYR49" s="952"/>
      <c r="BYS49" s="952"/>
      <c r="BYT49" s="952"/>
      <c r="BYU49" s="952"/>
      <c r="BYV49" s="952"/>
      <c r="BYW49" s="952"/>
      <c r="BYX49" s="952"/>
      <c r="BYY49" s="952"/>
      <c r="BYZ49" s="952"/>
      <c r="BZA49" s="952"/>
      <c r="BZB49" s="952"/>
      <c r="BZC49" s="952"/>
      <c r="BZD49" s="952"/>
      <c r="BZE49" s="952"/>
      <c r="BZF49" s="952"/>
      <c r="BZG49" s="952"/>
      <c r="BZH49" s="952"/>
      <c r="BZI49" s="952"/>
      <c r="BZJ49" s="952"/>
      <c r="BZK49" s="952"/>
      <c r="BZL49" s="952"/>
      <c r="BZM49" s="952"/>
      <c r="BZN49" s="952"/>
      <c r="BZO49" s="952"/>
      <c r="BZP49" s="952"/>
      <c r="BZQ49" s="952"/>
      <c r="BZR49" s="952"/>
      <c r="BZS49" s="952"/>
      <c r="BZT49" s="952"/>
      <c r="BZU49" s="952"/>
      <c r="BZV49" s="952"/>
      <c r="BZW49" s="952"/>
      <c r="BZX49" s="952"/>
      <c r="BZY49" s="952"/>
      <c r="BZZ49" s="952"/>
      <c r="CAA49" s="952"/>
      <c r="CAB49" s="952"/>
      <c r="CAC49" s="952"/>
      <c r="CAD49" s="952"/>
      <c r="CAE49" s="952"/>
      <c r="CAF49" s="952"/>
      <c r="CAG49" s="952"/>
      <c r="CAH49" s="952"/>
      <c r="CAI49" s="952"/>
      <c r="CAJ49" s="952"/>
      <c r="CAK49" s="952"/>
      <c r="CAL49" s="952"/>
      <c r="CAM49" s="952"/>
      <c r="CAN49" s="952"/>
      <c r="CAO49" s="952"/>
      <c r="CAP49" s="952"/>
      <c r="CAQ49" s="952"/>
      <c r="CAR49" s="952"/>
      <c r="CAS49" s="952"/>
      <c r="CAT49" s="952"/>
      <c r="CAU49" s="952"/>
      <c r="CAV49" s="952"/>
      <c r="CAW49" s="952"/>
      <c r="CAX49" s="952"/>
      <c r="CAY49" s="952"/>
      <c r="CAZ49" s="952"/>
      <c r="CBA49" s="952"/>
      <c r="CBB49" s="952"/>
      <c r="CBC49" s="952"/>
      <c r="CBD49" s="952"/>
      <c r="CBE49" s="952"/>
      <c r="CBF49" s="952"/>
      <c r="CBG49" s="952"/>
      <c r="CBH49" s="952"/>
      <c r="CBI49" s="952"/>
      <c r="CBJ49" s="952"/>
      <c r="CBK49" s="952"/>
      <c r="CBL49" s="952"/>
      <c r="CBM49" s="952"/>
      <c r="CBN49" s="952"/>
      <c r="CBO49" s="952"/>
      <c r="CBP49" s="952"/>
      <c r="CBQ49" s="952"/>
      <c r="CBR49" s="952"/>
      <c r="CBS49" s="952"/>
      <c r="CBT49" s="952"/>
      <c r="CBU49" s="952"/>
      <c r="CBV49" s="952"/>
      <c r="CBW49" s="952"/>
      <c r="CBX49" s="952"/>
      <c r="CBY49" s="952"/>
      <c r="CBZ49" s="952"/>
      <c r="CCA49" s="952"/>
      <c r="CCB49" s="952"/>
      <c r="CCC49" s="952"/>
      <c r="CCD49" s="952"/>
      <c r="CCE49" s="952"/>
      <c r="CCF49" s="952"/>
      <c r="CCG49" s="952"/>
      <c r="CCH49" s="952"/>
      <c r="CCI49" s="952"/>
      <c r="CCJ49" s="952"/>
      <c r="CCK49" s="952"/>
      <c r="CCL49" s="952"/>
      <c r="CCM49" s="952"/>
      <c r="CCN49" s="952"/>
      <c r="CCO49" s="952"/>
      <c r="CCP49" s="952"/>
      <c r="CCQ49" s="952"/>
      <c r="CCR49" s="952"/>
      <c r="CCS49" s="952"/>
      <c r="CCT49" s="952"/>
      <c r="CCU49" s="952"/>
      <c r="CCV49" s="952"/>
      <c r="CCW49" s="952"/>
      <c r="CCX49" s="952"/>
      <c r="CCY49" s="952"/>
      <c r="CCZ49" s="952"/>
      <c r="CDA49" s="952"/>
      <c r="CDB49" s="952"/>
      <c r="CDC49" s="952"/>
      <c r="CDD49" s="952"/>
      <c r="CDE49" s="952"/>
      <c r="CDF49" s="952"/>
      <c r="CDG49" s="952"/>
      <c r="CDH49" s="952"/>
      <c r="CDI49" s="952"/>
      <c r="CDJ49" s="952"/>
      <c r="CDK49" s="952"/>
      <c r="CDL49" s="952"/>
      <c r="CDM49" s="952"/>
      <c r="CDN49" s="952"/>
      <c r="CDO49" s="952"/>
      <c r="CDP49" s="952"/>
      <c r="CDQ49" s="952"/>
      <c r="CDR49" s="952"/>
      <c r="CDS49" s="952"/>
      <c r="CDT49" s="952"/>
      <c r="CDU49" s="952"/>
      <c r="CDV49" s="952"/>
      <c r="CDW49" s="952"/>
      <c r="CDX49" s="952"/>
      <c r="CDY49" s="952"/>
      <c r="CDZ49" s="952"/>
      <c r="CEA49" s="952"/>
      <c r="CEB49" s="952"/>
      <c r="CEC49" s="952"/>
      <c r="CED49" s="952"/>
      <c r="CEE49" s="952"/>
      <c r="CEF49" s="952"/>
      <c r="CEG49" s="952"/>
      <c r="CEH49" s="952"/>
      <c r="CEI49" s="952"/>
      <c r="CEJ49" s="952"/>
      <c r="CEK49" s="952"/>
      <c r="CEL49" s="952"/>
      <c r="CEM49" s="952"/>
      <c r="CEN49" s="952"/>
      <c r="CEO49" s="952"/>
      <c r="CEP49" s="952"/>
      <c r="CEQ49" s="952"/>
      <c r="CER49" s="952"/>
      <c r="CES49" s="952"/>
      <c r="CET49" s="952"/>
      <c r="CEU49" s="952"/>
      <c r="CEV49" s="952"/>
      <c r="CEW49" s="952"/>
      <c r="CEX49" s="952"/>
      <c r="CEY49" s="952"/>
      <c r="CEZ49" s="952"/>
      <c r="CFA49" s="952"/>
      <c r="CFB49" s="952"/>
      <c r="CFC49" s="952"/>
      <c r="CFD49" s="952"/>
      <c r="CFE49" s="952"/>
      <c r="CFF49" s="952"/>
      <c r="CFG49" s="952"/>
      <c r="CFH49" s="952"/>
      <c r="CFI49" s="952"/>
      <c r="CFJ49" s="952"/>
      <c r="CFK49" s="952"/>
      <c r="CFL49" s="952"/>
      <c r="CFM49" s="952"/>
      <c r="CFN49" s="952"/>
      <c r="CFO49" s="952"/>
      <c r="CFP49" s="952"/>
      <c r="CFQ49" s="952"/>
      <c r="CFR49" s="952"/>
      <c r="CFS49" s="952"/>
      <c r="CFT49" s="952"/>
      <c r="CFU49" s="952"/>
      <c r="CFV49" s="952"/>
      <c r="CFW49" s="952"/>
      <c r="CFX49" s="952"/>
      <c r="CFY49" s="952"/>
      <c r="CFZ49" s="952"/>
      <c r="CGA49" s="952"/>
      <c r="CGB49" s="952"/>
      <c r="CGC49" s="952"/>
      <c r="CGD49" s="952"/>
      <c r="CGE49" s="952"/>
      <c r="CGF49" s="952"/>
      <c r="CGG49" s="952"/>
      <c r="CGH49" s="952"/>
      <c r="CGI49" s="952"/>
      <c r="CGJ49" s="952"/>
      <c r="CGK49" s="952"/>
      <c r="CGL49" s="952"/>
      <c r="CGM49" s="952"/>
      <c r="CGN49" s="952"/>
      <c r="CGO49" s="952"/>
      <c r="CGP49" s="952"/>
      <c r="CGQ49" s="952"/>
      <c r="CGR49" s="952"/>
      <c r="CGS49" s="952"/>
      <c r="CGT49" s="952"/>
      <c r="CGU49" s="952"/>
      <c r="CGV49" s="952"/>
      <c r="CGW49" s="952"/>
      <c r="CGX49" s="952"/>
      <c r="CGY49" s="952"/>
      <c r="CGZ49" s="952"/>
      <c r="CHA49" s="952"/>
      <c r="CHB49" s="952"/>
      <c r="CHC49" s="952"/>
      <c r="CHD49" s="952"/>
      <c r="CHE49" s="952"/>
      <c r="CHF49" s="952"/>
      <c r="CHG49" s="952"/>
      <c r="CHH49" s="952"/>
      <c r="CHI49" s="952"/>
      <c r="CHJ49" s="952"/>
      <c r="CHK49" s="952"/>
      <c r="CHL49" s="952"/>
      <c r="CHM49" s="952"/>
      <c r="CHN49" s="952"/>
      <c r="CHO49" s="952"/>
      <c r="CHP49" s="952"/>
      <c r="CHQ49" s="952"/>
      <c r="CHR49" s="952"/>
      <c r="CHS49" s="952"/>
      <c r="CHT49" s="952"/>
      <c r="CHU49" s="952"/>
      <c r="CHV49" s="952"/>
      <c r="CHW49" s="952"/>
      <c r="CHX49" s="952"/>
      <c r="CHY49" s="952"/>
      <c r="CHZ49" s="952"/>
      <c r="CIA49" s="952"/>
      <c r="CIB49" s="952"/>
      <c r="CIC49" s="952"/>
      <c r="CID49" s="952"/>
      <c r="CIE49" s="952"/>
      <c r="CIF49" s="952"/>
      <c r="CIG49" s="952"/>
      <c r="CIH49" s="952"/>
      <c r="CII49" s="952"/>
      <c r="CIJ49" s="952"/>
      <c r="CIK49" s="952"/>
      <c r="CIL49" s="952"/>
      <c r="CIM49" s="952"/>
      <c r="CIN49" s="952"/>
      <c r="CIO49" s="952"/>
      <c r="CIP49" s="952"/>
      <c r="CIQ49" s="952"/>
      <c r="CIR49" s="952"/>
      <c r="CIS49" s="952"/>
      <c r="CIT49" s="952"/>
      <c r="CIU49" s="952"/>
      <c r="CIV49" s="952"/>
      <c r="CIW49" s="952"/>
      <c r="CIX49" s="952"/>
      <c r="CIY49" s="952"/>
      <c r="CIZ49" s="952"/>
      <c r="CJA49" s="952"/>
      <c r="CJB49" s="952"/>
      <c r="CJC49" s="952"/>
      <c r="CJD49" s="952"/>
      <c r="CJE49" s="952"/>
      <c r="CJF49" s="952"/>
      <c r="CJG49" s="952"/>
      <c r="CJH49" s="952"/>
      <c r="CJI49" s="952"/>
      <c r="CJJ49" s="952"/>
      <c r="CJK49" s="952"/>
      <c r="CJL49" s="952"/>
      <c r="CJM49" s="952"/>
      <c r="CJN49" s="952"/>
      <c r="CJO49" s="952"/>
      <c r="CJP49" s="952"/>
      <c r="CJQ49" s="952"/>
      <c r="CJR49" s="952"/>
      <c r="CJS49" s="952"/>
      <c r="CJT49" s="952"/>
      <c r="CJU49" s="952"/>
      <c r="CJV49" s="952"/>
      <c r="CJW49" s="952"/>
      <c r="CJX49" s="952"/>
      <c r="CJY49" s="952"/>
      <c r="CJZ49" s="952"/>
      <c r="CKA49" s="952"/>
      <c r="CKB49" s="952"/>
      <c r="CKC49" s="952"/>
      <c r="CKD49" s="952"/>
      <c r="CKE49" s="952"/>
      <c r="CKF49" s="952"/>
      <c r="CKG49" s="952"/>
      <c r="CKH49" s="952"/>
      <c r="CKI49" s="952"/>
      <c r="CKJ49" s="952"/>
      <c r="CKK49" s="952"/>
      <c r="CKL49" s="952"/>
      <c r="CKM49" s="952"/>
      <c r="CKN49" s="952"/>
      <c r="CKO49" s="952"/>
      <c r="CKP49" s="952"/>
      <c r="CKQ49" s="952"/>
      <c r="CKR49" s="952"/>
      <c r="CKS49" s="952"/>
      <c r="CKT49" s="952"/>
      <c r="CKU49" s="952"/>
      <c r="CKV49" s="952"/>
      <c r="CKW49" s="952"/>
      <c r="CKX49" s="952"/>
      <c r="CKY49" s="952"/>
      <c r="CKZ49" s="952"/>
      <c r="CLA49" s="952"/>
      <c r="CLB49" s="952"/>
      <c r="CLC49" s="952"/>
      <c r="CLD49" s="952"/>
      <c r="CLE49" s="952"/>
      <c r="CLF49" s="952"/>
      <c r="CLG49" s="952"/>
      <c r="CLH49" s="952"/>
      <c r="CLI49" s="952"/>
      <c r="CLJ49" s="952"/>
      <c r="CLK49" s="952"/>
      <c r="CLL49" s="952"/>
      <c r="CLM49" s="952"/>
      <c r="CLN49" s="952"/>
      <c r="CLO49" s="952"/>
      <c r="CLP49" s="952"/>
      <c r="CLQ49" s="952"/>
      <c r="CLR49" s="952"/>
      <c r="CLS49" s="952"/>
      <c r="CLT49" s="952"/>
      <c r="CLU49" s="952"/>
      <c r="CLV49" s="952"/>
      <c r="CLW49" s="952"/>
      <c r="CLX49" s="952"/>
      <c r="CLY49" s="952"/>
      <c r="CLZ49" s="952"/>
      <c r="CMA49" s="952"/>
      <c r="CMB49" s="952"/>
      <c r="CMC49" s="952"/>
      <c r="CMD49" s="952"/>
      <c r="CME49" s="952"/>
      <c r="CMF49" s="952"/>
      <c r="CMG49" s="952"/>
      <c r="CMH49" s="952"/>
      <c r="CMI49" s="952"/>
      <c r="CMJ49" s="952"/>
      <c r="CMK49" s="952"/>
      <c r="CML49" s="952"/>
      <c r="CMM49" s="952"/>
      <c r="CMN49" s="952"/>
      <c r="CMO49" s="952"/>
      <c r="CMP49" s="952"/>
      <c r="CMQ49" s="952"/>
      <c r="CMR49" s="952"/>
      <c r="CMS49" s="952"/>
      <c r="CMT49" s="952"/>
      <c r="CMU49" s="952"/>
      <c r="CMV49" s="952"/>
      <c r="CMW49" s="952"/>
      <c r="CMX49" s="952"/>
      <c r="CMY49" s="952"/>
      <c r="CMZ49" s="952"/>
      <c r="CNA49" s="952"/>
      <c r="CNB49" s="952"/>
      <c r="CNC49" s="952"/>
      <c r="CND49" s="952"/>
      <c r="CNE49" s="952"/>
      <c r="CNF49" s="952"/>
      <c r="CNG49" s="952"/>
      <c r="CNH49" s="952"/>
      <c r="CNI49" s="952"/>
      <c r="CNJ49" s="952"/>
      <c r="CNK49" s="952"/>
      <c r="CNL49" s="952"/>
      <c r="CNM49" s="952"/>
      <c r="CNN49" s="952"/>
      <c r="CNO49" s="952"/>
      <c r="CNP49" s="952"/>
      <c r="CNQ49" s="952"/>
      <c r="CNR49" s="952"/>
      <c r="CNS49" s="952"/>
      <c r="CNT49" s="952"/>
      <c r="CNU49" s="952"/>
      <c r="CNV49" s="952"/>
      <c r="CNW49" s="952"/>
      <c r="CNX49" s="952"/>
      <c r="CNY49" s="952"/>
      <c r="CNZ49" s="952"/>
      <c r="COA49" s="952"/>
      <c r="COB49" s="952"/>
      <c r="COC49" s="952"/>
      <c r="COD49" s="952"/>
      <c r="COE49" s="952"/>
      <c r="COF49" s="952"/>
      <c r="COG49" s="952"/>
      <c r="COH49" s="952"/>
      <c r="COI49" s="952"/>
      <c r="COJ49" s="952"/>
      <c r="COK49" s="952"/>
      <c r="COL49" s="952"/>
      <c r="COM49" s="952"/>
      <c r="CON49" s="952"/>
      <c r="COO49" s="952"/>
      <c r="COP49" s="952"/>
      <c r="COQ49" s="952"/>
      <c r="COR49" s="952"/>
      <c r="COS49" s="952"/>
      <c r="COT49" s="952"/>
      <c r="COU49" s="952"/>
      <c r="COV49" s="952"/>
      <c r="COW49" s="952"/>
      <c r="COX49" s="952"/>
      <c r="COY49" s="952"/>
      <c r="COZ49" s="952"/>
      <c r="CPA49" s="952"/>
      <c r="CPB49" s="952"/>
      <c r="CPC49" s="952"/>
      <c r="CPD49" s="952"/>
      <c r="CPE49" s="952"/>
      <c r="CPF49" s="952"/>
      <c r="CPG49" s="952"/>
      <c r="CPH49" s="952"/>
      <c r="CPI49" s="952"/>
      <c r="CPJ49" s="952"/>
      <c r="CPK49" s="952"/>
      <c r="CPL49" s="952"/>
      <c r="CPM49" s="952"/>
      <c r="CPN49" s="952"/>
      <c r="CPO49" s="952"/>
      <c r="CPP49" s="952"/>
      <c r="CPQ49" s="952"/>
      <c r="CPR49" s="952"/>
      <c r="CPS49" s="952"/>
      <c r="CPT49" s="952"/>
      <c r="CPU49" s="952"/>
      <c r="CPV49" s="952"/>
      <c r="CPW49" s="952"/>
      <c r="CPX49" s="952"/>
      <c r="CPY49" s="952"/>
      <c r="CPZ49" s="952"/>
      <c r="CQA49" s="952"/>
      <c r="CQB49" s="952"/>
      <c r="CQC49" s="952"/>
      <c r="CQD49" s="952"/>
      <c r="CQE49" s="952"/>
      <c r="CQF49" s="952"/>
      <c r="CQG49" s="952"/>
      <c r="CQH49" s="952"/>
      <c r="CQI49" s="952"/>
      <c r="CQJ49" s="952"/>
      <c r="CQK49" s="952"/>
      <c r="CQL49" s="952"/>
      <c r="CQM49" s="952"/>
      <c r="CQN49" s="952"/>
      <c r="CQO49" s="952"/>
      <c r="CQP49" s="952"/>
      <c r="CQQ49" s="952"/>
      <c r="CQR49" s="952"/>
      <c r="CQS49" s="952"/>
      <c r="CQT49" s="952"/>
      <c r="CQU49" s="952"/>
      <c r="CQV49" s="952"/>
      <c r="CQW49" s="952"/>
      <c r="CQX49" s="952"/>
      <c r="CQY49" s="952"/>
      <c r="CQZ49" s="952"/>
      <c r="CRA49" s="952"/>
      <c r="CRB49" s="952"/>
      <c r="CRC49" s="952"/>
      <c r="CRD49" s="952"/>
      <c r="CRE49" s="952"/>
      <c r="CRF49" s="952"/>
      <c r="CRG49" s="952"/>
      <c r="CRH49" s="952"/>
      <c r="CRI49" s="952"/>
      <c r="CRJ49" s="952"/>
      <c r="CRK49" s="952"/>
      <c r="CRL49" s="952"/>
      <c r="CRM49" s="952"/>
      <c r="CRN49" s="952"/>
      <c r="CRO49" s="952"/>
      <c r="CRP49" s="952"/>
      <c r="CRQ49" s="952"/>
      <c r="CRR49" s="952"/>
      <c r="CRS49" s="952"/>
      <c r="CRT49" s="952"/>
      <c r="CRU49" s="952"/>
      <c r="CRV49" s="952"/>
      <c r="CRW49" s="952"/>
      <c r="CRX49" s="952"/>
      <c r="CRY49" s="952"/>
      <c r="CRZ49" s="952"/>
      <c r="CSA49" s="952"/>
      <c r="CSB49" s="952"/>
      <c r="CSC49" s="952"/>
      <c r="CSD49" s="952"/>
      <c r="CSE49" s="952"/>
      <c r="CSF49" s="952"/>
      <c r="CSG49" s="952"/>
      <c r="CSH49" s="952"/>
      <c r="CSI49" s="952"/>
      <c r="CSJ49" s="952"/>
      <c r="CSK49" s="952"/>
      <c r="CSL49" s="952"/>
      <c r="CSM49" s="952"/>
      <c r="CSN49" s="952"/>
      <c r="CSO49" s="952"/>
      <c r="CSP49" s="952"/>
      <c r="CSQ49" s="952"/>
      <c r="CSR49" s="952"/>
      <c r="CSS49" s="952"/>
      <c r="CST49" s="952"/>
      <c r="CSU49" s="952"/>
      <c r="CSV49" s="952"/>
      <c r="CSW49" s="952"/>
      <c r="CSX49" s="952"/>
      <c r="CSY49" s="952"/>
      <c r="CSZ49" s="952"/>
      <c r="CTA49" s="952"/>
      <c r="CTB49" s="952"/>
      <c r="CTC49" s="952"/>
      <c r="CTD49" s="952"/>
      <c r="CTE49" s="952"/>
      <c r="CTF49" s="952"/>
      <c r="CTG49" s="952"/>
      <c r="CTH49" s="952"/>
      <c r="CTI49" s="952"/>
      <c r="CTJ49" s="952"/>
      <c r="CTK49" s="952"/>
      <c r="CTL49" s="952"/>
      <c r="CTM49" s="952"/>
      <c r="CTN49" s="952"/>
      <c r="CTO49" s="952"/>
      <c r="CTP49" s="952"/>
      <c r="CTQ49" s="952"/>
      <c r="CTR49" s="952"/>
      <c r="CTS49" s="952"/>
      <c r="CTT49" s="952"/>
      <c r="CTU49" s="952"/>
      <c r="CTV49" s="952"/>
      <c r="CTW49" s="952"/>
      <c r="CTX49" s="952"/>
      <c r="CTY49" s="952"/>
      <c r="CTZ49" s="952"/>
      <c r="CUA49" s="952"/>
      <c r="CUB49" s="952"/>
      <c r="CUC49" s="952"/>
      <c r="CUD49" s="952"/>
      <c r="CUE49" s="952"/>
      <c r="CUF49" s="952"/>
      <c r="CUG49" s="952"/>
      <c r="CUH49" s="952"/>
      <c r="CUI49" s="952"/>
      <c r="CUJ49" s="952"/>
      <c r="CUK49" s="952"/>
      <c r="CUL49" s="952"/>
      <c r="CUM49" s="952"/>
      <c r="CUN49" s="952"/>
      <c r="CUO49" s="952"/>
      <c r="CUP49" s="952"/>
      <c r="CUQ49" s="952"/>
      <c r="CUR49" s="952"/>
      <c r="CUS49" s="952"/>
      <c r="CUT49" s="952"/>
      <c r="CUU49" s="952"/>
      <c r="CUV49" s="952"/>
      <c r="CUW49" s="952"/>
      <c r="CUX49" s="952"/>
      <c r="CUY49" s="952"/>
      <c r="CUZ49" s="952"/>
      <c r="CVA49" s="952"/>
      <c r="CVB49" s="952"/>
      <c r="CVC49" s="952"/>
      <c r="CVD49" s="952"/>
      <c r="CVE49" s="952"/>
      <c r="CVF49" s="952"/>
      <c r="CVG49" s="952"/>
      <c r="CVH49" s="952"/>
      <c r="CVI49" s="952"/>
      <c r="CVJ49" s="952"/>
      <c r="CVK49" s="952"/>
      <c r="CVL49" s="952"/>
      <c r="CVM49" s="952"/>
      <c r="CVN49" s="952"/>
      <c r="CVO49" s="952"/>
      <c r="CVP49" s="952"/>
      <c r="CVQ49" s="952"/>
      <c r="CVR49" s="952"/>
      <c r="CVS49" s="952"/>
      <c r="CVT49" s="952"/>
      <c r="CVU49" s="952"/>
      <c r="CVV49" s="952"/>
      <c r="CVW49" s="952"/>
      <c r="CVX49" s="952"/>
      <c r="CVY49" s="952"/>
      <c r="CVZ49" s="952"/>
      <c r="CWA49" s="952"/>
      <c r="CWB49" s="952"/>
      <c r="CWC49" s="952"/>
      <c r="CWD49" s="952"/>
      <c r="CWE49" s="952"/>
      <c r="CWF49" s="952"/>
      <c r="CWG49" s="952"/>
      <c r="CWH49" s="952"/>
      <c r="CWI49" s="952"/>
      <c r="CWJ49" s="952"/>
      <c r="CWK49" s="952"/>
      <c r="CWL49" s="952"/>
      <c r="CWM49" s="952"/>
      <c r="CWN49" s="952"/>
      <c r="CWO49" s="952"/>
      <c r="CWP49" s="952"/>
      <c r="CWQ49" s="952"/>
      <c r="CWR49" s="952"/>
      <c r="CWS49" s="952"/>
      <c r="CWT49" s="952"/>
      <c r="CWU49" s="952"/>
      <c r="CWV49" s="952"/>
      <c r="CWW49" s="952"/>
      <c r="CWX49" s="952"/>
      <c r="CWY49" s="952"/>
      <c r="CWZ49" s="952"/>
      <c r="CXA49" s="952"/>
      <c r="CXB49" s="952"/>
      <c r="CXC49" s="952"/>
      <c r="CXD49" s="952"/>
      <c r="CXE49" s="952"/>
      <c r="CXF49" s="952"/>
      <c r="CXG49" s="952"/>
      <c r="CXH49" s="952"/>
      <c r="CXI49" s="952"/>
      <c r="CXJ49" s="952"/>
      <c r="CXK49" s="952"/>
      <c r="CXL49" s="952"/>
      <c r="CXM49" s="952"/>
      <c r="CXN49" s="952"/>
      <c r="CXO49" s="952"/>
      <c r="CXP49" s="952"/>
      <c r="CXQ49" s="952"/>
      <c r="CXR49" s="952"/>
      <c r="CXS49" s="952"/>
      <c r="CXT49" s="952"/>
      <c r="CXU49" s="952"/>
      <c r="CXV49" s="952"/>
      <c r="CXW49" s="952"/>
      <c r="CXX49" s="952"/>
      <c r="CXY49" s="952"/>
      <c r="CXZ49" s="952"/>
      <c r="CYA49" s="952"/>
      <c r="CYB49" s="952"/>
      <c r="CYC49" s="952"/>
      <c r="CYD49" s="952"/>
      <c r="CYE49" s="952"/>
      <c r="CYF49" s="952"/>
      <c r="CYG49" s="952"/>
      <c r="CYH49" s="952"/>
      <c r="CYI49" s="952"/>
      <c r="CYJ49" s="952"/>
      <c r="CYK49" s="952"/>
      <c r="CYL49" s="952"/>
      <c r="CYM49" s="952"/>
      <c r="CYN49" s="952"/>
      <c r="CYO49" s="952"/>
      <c r="CYP49" s="952"/>
      <c r="CYQ49" s="952"/>
      <c r="CYR49" s="952"/>
      <c r="CYS49" s="952"/>
      <c r="CYT49" s="952"/>
      <c r="CYU49" s="952"/>
      <c r="CYV49" s="952"/>
      <c r="CYW49" s="952"/>
      <c r="CYX49" s="952"/>
      <c r="CYY49" s="952"/>
      <c r="CYZ49" s="952"/>
      <c r="CZA49" s="952"/>
      <c r="CZB49" s="952"/>
      <c r="CZC49" s="952"/>
      <c r="CZD49" s="952"/>
      <c r="CZE49" s="952"/>
      <c r="CZF49" s="952"/>
      <c r="CZG49" s="952"/>
      <c r="CZH49" s="952"/>
      <c r="CZI49" s="952"/>
      <c r="CZJ49" s="952"/>
      <c r="CZK49" s="952"/>
      <c r="CZL49" s="952"/>
      <c r="CZM49" s="952"/>
      <c r="CZN49" s="952"/>
      <c r="CZO49" s="952"/>
      <c r="CZP49" s="952"/>
      <c r="CZQ49" s="952"/>
      <c r="CZR49" s="952"/>
      <c r="CZS49" s="952"/>
      <c r="CZT49" s="952"/>
      <c r="CZU49" s="952"/>
      <c r="CZV49" s="952"/>
      <c r="CZW49" s="952"/>
      <c r="CZX49" s="952"/>
      <c r="CZY49" s="952"/>
      <c r="CZZ49" s="952"/>
      <c r="DAA49" s="952"/>
      <c r="DAB49" s="952"/>
      <c r="DAC49" s="952"/>
      <c r="DAD49" s="952"/>
      <c r="DAE49" s="952"/>
      <c r="DAF49" s="952"/>
      <c r="DAG49" s="952"/>
      <c r="DAH49" s="952"/>
      <c r="DAI49" s="952"/>
      <c r="DAJ49" s="952"/>
      <c r="DAK49" s="952"/>
      <c r="DAL49" s="952"/>
      <c r="DAM49" s="952"/>
      <c r="DAN49" s="952"/>
      <c r="DAO49" s="952"/>
      <c r="DAP49" s="952"/>
      <c r="DAQ49" s="952"/>
      <c r="DAR49" s="952"/>
      <c r="DAS49" s="952"/>
      <c r="DAT49" s="952"/>
      <c r="DAU49" s="952"/>
      <c r="DAV49" s="952"/>
      <c r="DAW49" s="952"/>
      <c r="DAX49" s="952"/>
      <c r="DAY49" s="952"/>
      <c r="DAZ49" s="952"/>
      <c r="DBA49" s="952"/>
      <c r="DBB49" s="952"/>
      <c r="DBC49" s="952"/>
      <c r="DBD49" s="952"/>
      <c r="DBE49" s="952"/>
      <c r="DBF49" s="952"/>
      <c r="DBG49" s="952"/>
      <c r="DBH49" s="952"/>
      <c r="DBI49" s="952"/>
      <c r="DBJ49" s="952"/>
      <c r="DBK49" s="952"/>
      <c r="DBL49" s="952"/>
      <c r="DBM49" s="952"/>
      <c r="DBN49" s="952"/>
      <c r="DBO49" s="952"/>
      <c r="DBP49" s="952"/>
      <c r="DBQ49" s="952"/>
      <c r="DBR49" s="952"/>
      <c r="DBS49" s="952"/>
      <c r="DBT49" s="952"/>
      <c r="DBU49" s="952"/>
      <c r="DBV49" s="952"/>
      <c r="DBW49" s="952"/>
      <c r="DBX49" s="952"/>
      <c r="DBY49" s="952"/>
      <c r="DBZ49" s="952"/>
      <c r="DCA49" s="952"/>
      <c r="DCB49" s="952"/>
      <c r="DCC49" s="952"/>
      <c r="DCD49" s="952"/>
      <c r="DCE49" s="952"/>
      <c r="DCF49" s="952"/>
      <c r="DCG49" s="952"/>
      <c r="DCH49" s="952"/>
      <c r="DCI49" s="952"/>
      <c r="DCJ49" s="952"/>
      <c r="DCK49" s="952"/>
      <c r="DCL49" s="952"/>
      <c r="DCM49" s="952"/>
      <c r="DCN49" s="952"/>
      <c r="DCO49" s="952"/>
      <c r="DCP49" s="952"/>
      <c r="DCQ49" s="952"/>
      <c r="DCR49" s="952"/>
      <c r="DCS49" s="952"/>
      <c r="DCT49" s="952"/>
      <c r="DCU49" s="952"/>
      <c r="DCV49" s="952"/>
      <c r="DCW49" s="952"/>
      <c r="DCX49" s="952"/>
      <c r="DCY49" s="952"/>
      <c r="DCZ49" s="952"/>
      <c r="DDA49" s="952"/>
      <c r="DDB49" s="952"/>
      <c r="DDC49" s="952"/>
      <c r="DDD49" s="952"/>
      <c r="DDE49" s="952"/>
      <c r="DDF49" s="952"/>
      <c r="DDG49" s="952"/>
      <c r="DDH49" s="952"/>
      <c r="DDI49" s="952"/>
      <c r="DDJ49" s="952"/>
      <c r="DDK49" s="952"/>
      <c r="DDL49" s="952"/>
      <c r="DDM49" s="952"/>
      <c r="DDN49" s="952"/>
      <c r="DDO49" s="952"/>
      <c r="DDP49" s="952"/>
      <c r="DDQ49" s="952"/>
      <c r="DDR49" s="952"/>
      <c r="DDS49" s="952"/>
      <c r="DDT49" s="952"/>
      <c r="DDU49" s="952"/>
      <c r="DDV49" s="952"/>
      <c r="DDW49" s="952"/>
      <c r="DDX49" s="952"/>
      <c r="DDY49" s="952"/>
      <c r="DDZ49" s="952"/>
      <c r="DEA49" s="952"/>
      <c r="DEB49" s="952"/>
      <c r="DEC49" s="952"/>
      <c r="DED49" s="952"/>
      <c r="DEE49" s="952"/>
      <c r="DEF49" s="952"/>
      <c r="DEG49" s="952"/>
      <c r="DEH49" s="952"/>
      <c r="DEI49" s="952"/>
      <c r="DEJ49" s="952"/>
      <c r="DEK49" s="952"/>
      <c r="DEL49" s="952"/>
      <c r="DEM49" s="952"/>
      <c r="DEN49" s="952"/>
      <c r="DEO49" s="952"/>
      <c r="DEP49" s="952"/>
      <c r="DEQ49" s="952"/>
      <c r="DER49" s="952"/>
      <c r="DES49" s="952"/>
      <c r="DET49" s="952"/>
      <c r="DEU49" s="952"/>
      <c r="DEV49" s="952"/>
      <c r="DEW49" s="952"/>
      <c r="DEX49" s="952"/>
      <c r="DEY49" s="952"/>
      <c r="DEZ49" s="952"/>
      <c r="DFA49" s="952"/>
      <c r="DFB49" s="952"/>
      <c r="DFC49" s="952"/>
      <c r="DFD49" s="952"/>
      <c r="DFE49" s="952"/>
      <c r="DFF49" s="952"/>
      <c r="DFG49" s="952"/>
      <c r="DFH49" s="952"/>
      <c r="DFI49" s="952"/>
      <c r="DFJ49" s="952"/>
      <c r="DFK49" s="952"/>
      <c r="DFL49" s="952"/>
      <c r="DFM49" s="952"/>
      <c r="DFN49" s="952"/>
      <c r="DFO49" s="952"/>
      <c r="DFP49" s="952"/>
      <c r="DFQ49" s="952"/>
      <c r="DFR49" s="952"/>
      <c r="DFS49" s="952"/>
      <c r="DFT49" s="952"/>
      <c r="DFU49" s="952"/>
      <c r="DFV49" s="952"/>
      <c r="DFW49" s="952"/>
      <c r="DFX49" s="952"/>
      <c r="DFY49" s="952"/>
      <c r="DFZ49" s="952"/>
      <c r="DGA49" s="952"/>
      <c r="DGB49" s="952"/>
      <c r="DGC49" s="952"/>
      <c r="DGD49" s="952"/>
      <c r="DGE49" s="952"/>
      <c r="DGF49" s="952"/>
      <c r="DGG49" s="952"/>
      <c r="DGH49" s="952"/>
      <c r="DGI49" s="952"/>
      <c r="DGJ49" s="952"/>
      <c r="DGK49" s="952"/>
      <c r="DGL49" s="952"/>
      <c r="DGM49" s="952"/>
      <c r="DGN49" s="952"/>
      <c r="DGO49" s="952"/>
      <c r="DGP49" s="952"/>
      <c r="DGQ49" s="952"/>
      <c r="DGR49" s="952"/>
      <c r="DGS49" s="952"/>
      <c r="DGT49" s="952"/>
      <c r="DGU49" s="952"/>
      <c r="DGV49" s="952"/>
      <c r="DGW49" s="952"/>
      <c r="DGX49" s="952"/>
      <c r="DGY49" s="952"/>
      <c r="DGZ49" s="952"/>
      <c r="DHA49" s="952"/>
      <c r="DHB49" s="952"/>
      <c r="DHC49" s="952"/>
      <c r="DHD49" s="952"/>
      <c r="DHE49" s="952"/>
      <c r="DHF49" s="952"/>
      <c r="DHG49" s="952"/>
      <c r="DHH49" s="952"/>
      <c r="DHI49" s="952"/>
      <c r="DHJ49" s="952"/>
      <c r="DHK49" s="952"/>
      <c r="DHL49" s="952"/>
      <c r="DHM49" s="952"/>
      <c r="DHN49" s="952"/>
      <c r="DHO49" s="952"/>
      <c r="DHP49" s="952"/>
      <c r="DHQ49" s="952"/>
      <c r="DHR49" s="952"/>
      <c r="DHS49" s="952"/>
      <c r="DHT49" s="952"/>
      <c r="DHU49" s="952"/>
      <c r="DHV49" s="952"/>
      <c r="DHW49" s="952"/>
      <c r="DHX49" s="952"/>
      <c r="DHY49" s="952"/>
      <c r="DHZ49" s="952"/>
      <c r="DIA49" s="952"/>
      <c r="DIB49" s="952"/>
      <c r="DIC49" s="952"/>
      <c r="DID49" s="952"/>
      <c r="DIE49" s="952"/>
      <c r="DIF49" s="952"/>
      <c r="DIG49" s="952"/>
      <c r="DIH49" s="952"/>
      <c r="DII49" s="952"/>
      <c r="DIJ49" s="952"/>
      <c r="DIK49" s="952"/>
      <c r="DIL49" s="952"/>
      <c r="DIM49" s="952"/>
      <c r="DIN49" s="952"/>
      <c r="DIO49" s="952"/>
      <c r="DIP49" s="952"/>
      <c r="DIQ49" s="952"/>
      <c r="DIR49" s="952"/>
      <c r="DIS49" s="952"/>
      <c r="DIT49" s="952"/>
      <c r="DIU49" s="952"/>
      <c r="DIV49" s="952"/>
      <c r="DIW49" s="952"/>
      <c r="DIX49" s="952"/>
      <c r="DIY49" s="952"/>
      <c r="DIZ49" s="952"/>
      <c r="DJA49" s="952"/>
      <c r="DJB49" s="952"/>
      <c r="DJC49" s="952"/>
      <c r="DJD49" s="952"/>
      <c r="DJE49" s="952"/>
      <c r="DJF49" s="952"/>
      <c r="DJG49" s="952"/>
      <c r="DJH49" s="952"/>
      <c r="DJI49" s="952"/>
      <c r="DJJ49" s="952"/>
      <c r="DJK49" s="952"/>
      <c r="DJL49" s="952"/>
      <c r="DJM49" s="952"/>
      <c r="DJN49" s="952"/>
      <c r="DJO49" s="952"/>
      <c r="DJP49" s="952"/>
      <c r="DJQ49" s="952"/>
      <c r="DJR49" s="952"/>
      <c r="DJS49" s="952"/>
      <c r="DJT49" s="952"/>
      <c r="DJU49" s="952"/>
      <c r="DJV49" s="952"/>
      <c r="DJW49" s="952"/>
      <c r="DJX49" s="952"/>
      <c r="DJY49" s="952"/>
      <c r="DJZ49" s="952"/>
      <c r="DKA49" s="952"/>
      <c r="DKB49" s="952"/>
      <c r="DKC49" s="952"/>
      <c r="DKD49" s="952"/>
      <c r="DKE49" s="952"/>
      <c r="DKF49" s="952"/>
      <c r="DKG49" s="952"/>
      <c r="DKH49" s="952"/>
      <c r="DKI49" s="952"/>
      <c r="DKJ49" s="952"/>
      <c r="DKK49" s="952"/>
      <c r="DKL49" s="952"/>
      <c r="DKM49" s="952"/>
      <c r="DKN49" s="952"/>
      <c r="DKO49" s="952"/>
      <c r="DKP49" s="952"/>
      <c r="DKQ49" s="952"/>
      <c r="DKR49" s="952"/>
      <c r="DKS49" s="952"/>
      <c r="DKT49" s="952"/>
      <c r="DKU49" s="952"/>
      <c r="DKV49" s="952"/>
      <c r="DKW49" s="952"/>
      <c r="DKX49" s="952"/>
      <c r="DKY49" s="952"/>
      <c r="DKZ49" s="952"/>
      <c r="DLA49" s="952"/>
      <c r="DLB49" s="952"/>
      <c r="DLC49" s="952"/>
      <c r="DLD49" s="952"/>
      <c r="DLE49" s="952"/>
      <c r="DLF49" s="952"/>
      <c r="DLG49" s="952"/>
      <c r="DLH49" s="952"/>
      <c r="DLI49" s="952"/>
      <c r="DLJ49" s="952"/>
      <c r="DLK49" s="952"/>
      <c r="DLL49" s="952"/>
      <c r="DLM49" s="952"/>
      <c r="DLN49" s="952"/>
      <c r="DLO49" s="952"/>
      <c r="DLP49" s="952"/>
      <c r="DLQ49" s="952"/>
      <c r="DLR49" s="952"/>
      <c r="DLS49" s="952"/>
      <c r="DLT49" s="952"/>
      <c r="DLU49" s="952"/>
      <c r="DLV49" s="952"/>
      <c r="DLW49" s="952"/>
      <c r="DLX49" s="952"/>
      <c r="DLY49" s="952"/>
      <c r="DLZ49" s="952"/>
      <c r="DMA49" s="952"/>
      <c r="DMB49" s="952"/>
      <c r="DMC49" s="952"/>
      <c r="DMD49" s="952"/>
      <c r="DME49" s="952"/>
      <c r="DMF49" s="952"/>
      <c r="DMG49" s="952"/>
      <c r="DMH49" s="952"/>
      <c r="DMI49" s="952"/>
      <c r="DMJ49" s="952"/>
      <c r="DMK49" s="952"/>
      <c r="DML49" s="952"/>
      <c r="DMM49" s="952"/>
      <c r="DMN49" s="952"/>
      <c r="DMO49" s="952"/>
      <c r="DMP49" s="952"/>
      <c r="DMQ49" s="952"/>
      <c r="DMR49" s="952"/>
      <c r="DMS49" s="952"/>
      <c r="DMT49" s="952"/>
      <c r="DMU49" s="952"/>
      <c r="DMV49" s="952"/>
      <c r="DMW49" s="952"/>
      <c r="DMX49" s="952"/>
      <c r="DMY49" s="952"/>
      <c r="DMZ49" s="952"/>
      <c r="DNA49" s="952"/>
      <c r="DNB49" s="952"/>
      <c r="DNC49" s="952"/>
      <c r="DND49" s="952"/>
      <c r="DNE49" s="952"/>
      <c r="DNF49" s="952"/>
      <c r="DNG49" s="952"/>
      <c r="DNH49" s="952"/>
      <c r="DNI49" s="952"/>
      <c r="DNJ49" s="952"/>
      <c r="DNK49" s="952"/>
      <c r="DNL49" s="952"/>
      <c r="DNM49" s="952"/>
      <c r="DNN49" s="952"/>
      <c r="DNO49" s="952"/>
      <c r="DNP49" s="952"/>
      <c r="DNQ49" s="952"/>
      <c r="DNR49" s="952"/>
      <c r="DNS49" s="952"/>
      <c r="DNT49" s="952"/>
      <c r="DNU49" s="952"/>
      <c r="DNV49" s="952"/>
      <c r="DNW49" s="952"/>
      <c r="DNX49" s="952"/>
      <c r="DNY49" s="952"/>
      <c r="DNZ49" s="952"/>
      <c r="DOA49" s="952"/>
      <c r="DOB49" s="952"/>
      <c r="DOC49" s="952"/>
      <c r="DOD49" s="952"/>
      <c r="DOE49" s="952"/>
      <c r="DOF49" s="952"/>
      <c r="DOG49" s="952"/>
      <c r="DOH49" s="952"/>
      <c r="DOI49" s="952"/>
      <c r="DOJ49" s="952"/>
      <c r="DOK49" s="952"/>
      <c r="DOL49" s="952"/>
      <c r="DOM49" s="952"/>
      <c r="DON49" s="952"/>
      <c r="DOO49" s="952"/>
      <c r="DOP49" s="952"/>
      <c r="DOQ49" s="952"/>
      <c r="DOR49" s="952"/>
      <c r="DOS49" s="952"/>
      <c r="DOT49" s="952"/>
      <c r="DOU49" s="952"/>
      <c r="DOV49" s="952"/>
      <c r="DOW49" s="952"/>
      <c r="DOX49" s="952"/>
      <c r="DOY49" s="952"/>
      <c r="DOZ49" s="952"/>
      <c r="DPA49" s="952"/>
      <c r="DPB49" s="952"/>
      <c r="DPC49" s="952"/>
      <c r="DPD49" s="952"/>
      <c r="DPE49" s="952"/>
      <c r="DPF49" s="952"/>
      <c r="DPG49" s="952"/>
      <c r="DPH49" s="952"/>
      <c r="DPI49" s="952"/>
      <c r="DPJ49" s="952"/>
      <c r="DPK49" s="952"/>
      <c r="DPL49" s="952"/>
      <c r="DPM49" s="952"/>
      <c r="DPN49" s="952"/>
      <c r="DPO49" s="952"/>
      <c r="DPP49" s="952"/>
      <c r="DPQ49" s="952"/>
      <c r="DPR49" s="952"/>
      <c r="DPS49" s="952"/>
      <c r="DPT49" s="952"/>
      <c r="DPU49" s="952"/>
      <c r="DPV49" s="952"/>
      <c r="DPW49" s="952"/>
      <c r="DPX49" s="952"/>
      <c r="DPY49" s="952"/>
      <c r="DPZ49" s="952"/>
      <c r="DQA49" s="952"/>
      <c r="DQB49" s="952"/>
      <c r="DQC49" s="952"/>
      <c r="DQD49" s="952"/>
      <c r="DQE49" s="952"/>
      <c r="DQF49" s="952"/>
      <c r="DQG49" s="952"/>
      <c r="DQH49" s="952"/>
      <c r="DQI49" s="952"/>
      <c r="DQJ49" s="952"/>
      <c r="DQK49" s="952"/>
      <c r="DQL49" s="952"/>
      <c r="DQM49" s="952"/>
      <c r="DQN49" s="952"/>
      <c r="DQO49" s="952"/>
      <c r="DQP49" s="952"/>
      <c r="DQQ49" s="952"/>
      <c r="DQR49" s="952"/>
      <c r="DQS49" s="952"/>
      <c r="DQT49" s="952"/>
      <c r="DQU49" s="952"/>
      <c r="DQV49" s="952"/>
      <c r="DQW49" s="952"/>
      <c r="DQX49" s="952"/>
      <c r="DQY49" s="952"/>
      <c r="DQZ49" s="952"/>
      <c r="DRA49" s="952"/>
      <c r="DRB49" s="952"/>
      <c r="DRC49" s="952"/>
      <c r="DRD49" s="952"/>
      <c r="DRE49" s="952"/>
      <c r="DRF49" s="952"/>
      <c r="DRG49" s="952"/>
      <c r="DRH49" s="952"/>
      <c r="DRI49" s="952"/>
      <c r="DRJ49" s="952"/>
      <c r="DRK49" s="952"/>
      <c r="DRL49" s="952"/>
      <c r="DRM49" s="952"/>
      <c r="DRN49" s="952"/>
      <c r="DRO49" s="952"/>
      <c r="DRP49" s="952"/>
      <c r="DRQ49" s="952"/>
      <c r="DRR49" s="952"/>
      <c r="DRS49" s="952"/>
      <c r="DRT49" s="952"/>
      <c r="DRU49" s="952"/>
      <c r="DRV49" s="952"/>
      <c r="DRW49" s="952"/>
      <c r="DRX49" s="952"/>
      <c r="DRY49" s="952"/>
      <c r="DRZ49" s="952"/>
      <c r="DSA49" s="952"/>
      <c r="DSB49" s="952"/>
      <c r="DSC49" s="952"/>
      <c r="DSD49" s="952"/>
      <c r="DSE49" s="952"/>
      <c r="DSF49" s="952"/>
      <c r="DSG49" s="952"/>
      <c r="DSH49" s="952"/>
      <c r="DSI49" s="952"/>
      <c r="DSJ49" s="952"/>
      <c r="DSK49" s="952"/>
      <c r="DSL49" s="952"/>
      <c r="DSM49" s="952"/>
      <c r="DSN49" s="952"/>
      <c r="DSO49" s="952"/>
      <c r="DSP49" s="952"/>
      <c r="DSQ49" s="952"/>
      <c r="DSR49" s="952"/>
      <c r="DSS49" s="952"/>
      <c r="DST49" s="952"/>
      <c r="DSU49" s="952"/>
      <c r="DSV49" s="952"/>
      <c r="DSW49" s="952"/>
      <c r="DSX49" s="952"/>
      <c r="DSY49" s="952"/>
      <c r="DSZ49" s="952"/>
      <c r="DTA49" s="952"/>
      <c r="DTB49" s="952"/>
      <c r="DTC49" s="952"/>
      <c r="DTD49" s="952"/>
      <c r="DTE49" s="952"/>
      <c r="DTF49" s="952"/>
      <c r="DTG49" s="952"/>
      <c r="DTH49" s="952"/>
      <c r="DTI49" s="952"/>
      <c r="DTJ49" s="952"/>
      <c r="DTK49" s="952"/>
      <c r="DTL49" s="952"/>
      <c r="DTM49" s="952"/>
      <c r="DTN49" s="952"/>
      <c r="DTO49" s="952"/>
      <c r="DTP49" s="952"/>
      <c r="DTQ49" s="952"/>
      <c r="DTR49" s="952"/>
      <c r="DTS49" s="952"/>
      <c r="DTT49" s="952"/>
      <c r="DTU49" s="952"/>
      <c r="DTV49" s="952"/>
      <c r="DTW49" s="952"/>
      <c r="DTX49" s="952"/>
      <c r="DTY49" s="952"/>
      <c r="DTZ49" s="952"/>
      <c r="DUA49" s="952"/>
      <c r="DUB49" s="952"/>
      <c r="DUC49" s="952"/>
      <c r="DUD49" s="952"/>
      <c r="DUE49" s="952"/>
      <c r="DUF49" s="952"/>
      <c r="DUG49" s="952"/>
      <c r="DUH49" s="952"/>
      <c r="DUI49" s="952"/>
      <c r="DUJ49" s="952"/>
      <c r="DUK49" s="952"/>
      <c r="DUL49" s="952"/>
      <c r="DUM49" s="952"/>
      <c r="DUN49" s="952"/>
      <c r="DUO49" s="952"/>
      <c r="DUP49" s="952"/>
      <c r="DUQ49" s="952"/>
      <c r="DUR49" s="952"/>
      <c r="DUS49" s="952"/>
      <c r="DUT49" s="952"/>
      <c r="DUU49" s="952"/>
      <c r="DUV49" s="952"/>
      <c r="DUW49" s="952"/>
      <c r="DUX49" s="952"/>
      <c r="DUY49" s="952"/>
      <c r="DUZ49" s="952"/>
      <c r="DVA49" s="952"/>
      <c r="DVB49" s="952"/>
      <c r="DVC49" s="952"/>
      <c r="DVD49" s="952"/>
      <c r="DVE49" s="952"/>
      <c r="DVF49" s="952"/>
      <c r="DVG49" s="952"/>
      <c r="DVH49" s="952"/>
      <c r="DVI49" s="952"/>
      <c r="DVJ49" s="952"/>
      <c r="DVK49" s="952"/>
      <c r="DVL49" s="952"/>
      <c r="DVM49" s="952"/>
      <c r="DVN49" s="952"/>
      <c r="DVO49" s="952"/>
      <c r="DVP49" s="952"/>
      <c r="DVQ49" s="952"/>
      <c r="DVR49" s="952"/>
      <c r="DVS49" s="952"/>
      <c r="DVT49" s="952"/>
      <c r="DVU49" s="952"/>
      <c r="DVV49" s="952"/>
      <c r="DVW49" s="952"/>
      <c r="DVX49" s="952"/>
      <c r="DVY49" s="952"/>
      <c r="DVZ49" s="952"/>
      <c r="DWA49" s="952"/>
      <c r="DWB49" s="952"/>
      <c r="DWC49" s="952"/>
      <c r="DWD49" s="952"/>
      <c r="DWE49" s="952"/>
      <c r="DWF49" s="952"/>
      <c r="DWG49" s="952"/>
      <c r="DWH49" s="952"/>
      <c r="DWI49" s="952"/>
      <c r="DWJ49" s="952"/>
      <c r="DWK49" s="952"/>
      <c r="DWL49" s="952"/>
      <c r="DWM49" s="952"/>
      <c r="DWN49" s="952"/>
      <c r="DWO49" s="952"/>
      <c r="DWP49" s="952"/>
      <c r="DWQ49" s="952"/>
      <c r="DWR49" s="952"/>
      <c r="DWS49" s="952"/>
      <c r="DWT49" s="952"/>
      <c r="DWU49" s="952"/>
      <c r="DWV49" s="952"/>
      <c r="DWW49" s="952"/>
      <c r="DWX49" s="952"/>
      <c r="DWY49" s="952"/>
      <c r="DWZ49" s="952"/>
      <c r="DXA49" s="952"/>
      <c r="DXB49" s="952"/>
      <c r="DXC49" s="952"/>
      <c r="DXD49" s="952"/>
      <c r="DXE49" s="952"/>
      <c r="DXF49" s="952"/>
      <c r="DXG49" s="952"/>
      <c r="DXH49" s="952"/>
      <c r="DXI49" s="952"/>
      <c r="DXJ49" s="952"/>
      <c r="DXK49" s="952"/>
      <c r="DXL49" s="952"/>
      <c r="DXM49" s="952"/>
      <c r="DXN49" s="952"/>
      <c r="DXO49" s="952"/>
      <c r="DXP49" s="952"/>
      <c r="DXQ49" s="952"/>
      <c r="DXR49" s="952"/>
      <c r="DXS49" s="952"/>
      <c r="DXT49" s="952"/>
      <c r="DXU49" s="952"/>
      <c r="DXV49" s="952"/>
      <c r="DXW49" s="952"/>
      <c r="DXX49" s="952"/>
      <c r="DXY49" s="952"/>
      <c r="DXZ49" s="952"/>
      <c r="DYA49" s="952"/>
      <c r="DYB49" s="952"/>
      <c r="DYC49" s="952"/>
      <c r="DYD49" s="952"/>
      <c r="DYE49" s="952"/>
      <c r="DYF49" s="952"/>
      <c r="DYG49" s="952"/>
      <c r="DYH49" s="952"/>
      <c r="DYI49" s="952"/>
      <c r="DYJ49" s="952"/>
      <c r="DYK49" s="952"/>
      <c r="DYL49" s="952"/>
      <c r="DYM49" s="952"/>
      <c r="DYN49" s="952"/>
      <c r="DYO49" s="952"/>
      <c r="DYP49" s="952"/>
      <c r="DYQ49" s="952"/>
      <c r="DYR49" s="952"/>
      <c r="DYS49" s="952"/>
      <c r="DYT49" s="952"/>
      <c r="DYU49" s="952"/>
      <c r="DYV49" s="952"/>
      <c r="DYW49" s="952"/>
      <c r="DYX49" s="952"/>
      <c r="DYY49" s="952"/>
      <c r="DYZ49" s="952"/>
      <c r="DZA49" s="952"/>
      <c r="DZB49" s="952"/>
      <c r="DZC49" s="952"/>
      <c r="DZD49" s="952"/>
      <c r="DZE49" s="952"/>
      <c r="DZF49" s="952"/>
      <c r="DZG49" s="952"/>
      <c r="DZH49" s="952"/>
      <c r="DZI49" s="952"/>
      <c r="DZJ49" s="952"/>
      <c r="DZK49" s="952"/>
      <c r="DZL49" s="952"/>
      <c r="DZM49" s="952"/>
      <c r="DZN49" s="952"/>
      <c r="DZO49" s="952"/>
      <c r="DZP49" s="952"/>
      <c r="DZQ49" s="952"/>
      <c r="DZR49" s="952"/>
      <c r="DZS49" s="952"/>
      <c r="DZT49" s="952"/>
      <c r="DZU49" s="952"/>
      <c r="DZV49" s="952"/>
      <c r="DZW49" s="952"/>
      <c r="DZX49" s="952"/>
      <c r="DZY49" s="952"/>
      <c r="DZZ49" s="952"/>
      <c r="EAA49" s="952"/>
      <c r="EAB49" s="952"/>
      <c r="EAC49" s="952"/>
      <c r="EAD49" s="952"/>
      <c r="EAE49" s="952"/>
      <c r="EAF49" s="952"/>
      <c r="EAG49" s="952"/>
      <c r="EAH49" s="952"/>
      <c r="EAI49" s="952"/>
      <c r="EAJ49" s="952"/>
      <c r="EAK49" s="952"/>
      <c r="EAL49" s="952"/>
      <c r="EAM49" s="952"/>
      <c r="EAN49" s="952"/>
      <c r="EAO49" s="952"/>
      <c r="EAP49" s="952"/>
      <c r="EAQ49" s="952"/>
      <c r="EAR49" s="952"/>
      <c r="EAS49" s="952"/>
      <c r="EAT49" s="952"/>
      <c r="EAU49" s="952"/>
      <c r="EAV49" s="952"/>
      <c r="EAW49" s="952"/>
      <c r="EAX49" s="952"/>
      <c r="EAY49" s="952"/>
      <c r="EAZ49" s="952"/>
      <c r="EBA49" s="952"/>
      <c r="EBB49" s="952"/>
      <c r="EBC49" s="952"/>
      <c r="EBD49" s="952"/>
      <c r="EBE49" s="952"/>
      <c r="EBF49" s="952"/>
      <c r="EBG49" s="952"/>
      <c r="EBH49" s="952"/>
      <c r="EBI49" s="952"/>
      <c r="EBJ49" s="952"/>
      <c r="EBK49" s="952"/>
      <c r="EBL49" s="952"/>
      <c r="EBM49" s="952"/>
      <c r="EBN49" s="952"/>
      <c r="EBO49" s="952"/>
      <c r="EBP49" s="952"/>
      <c r="EBQ49" s="952"/>
      <c r="EBR49" s="952"/>
      <c r="EBS49" s="952"/>
      <c r="EBT49" s="952"/>
      <c r="EBU49" s="952"/>
      <c r="EBV49" s="952"/>
      <c r="EBW49" s="952"/>
      <c r="EBX49" s="952"/>
      <c r="EBY49" s="952"/>
      <c r="EBZ49" s="952"/>
      <c r="ECA49" s="952"/>
      <c r="ECB49" s="952"/>
      <c r="ECC49" s="952"/>
      <c r="ECD49" s="952"/>
      <c r="ECE49" s="952"/>
      <c r="ECF49" s="952"/>
      <c r="ECG49" s="952"/>
      <c r="ECH49" s="952"/>
      <c r="ECI49" s="952"/>
      <c r="ECJ49" s="952"/>
      <c r="ECK49" s="952"/>
      <c r="ECL49" s="952"/>
      <c r="ECM49" s="952"/>
      <c r="ECN49" s="952"/>
      <c r="ECO49" s="952"/>
      <c r="ECP49" s="952"/>
      <c r="ECQ49" s="952"/>
      <c r="ECR49" s="952"/>
      <c r="ECS49" s="952"/>
      <c r="ECT49" s="952"/>
      <c r="ECU49" s="952"/>
      <c r="ECV49" s="952"/>
      <c r="ECW49" s="952"/>
      <c r="ECX49" s="952"/>
      <c r="ECY49" s="952"/>
      <c r="ECZ49" s="952"/>
      <c r="EDA49" s="952"/>
      <c r="EDB49" s="952"/>
      <c r="EDC49" s="952"/>
      <c r="EDD49" s="952"/>
      <c r="EDE49" s="952"/>
      <c r="EDF49" s="952"/>
      <c r="EDG49" s="952"/>
      <c r="EDH49" s="952"/>
      <c r="EDI49" s="952"/>
      <c r="EDJ49" s="952"/>
      <c r="EDK49" s="952"/>
      <c r="EDL49" s="952"/>
      <c r="EDM49" s="952"/>
      <c r="EDN49" s="952"/>
      <c r="EDO49" s="952"/>
      <c r="EDP49" s="952"/>
      <c r="EDQ49" s="952"/>
      <c r="EDR49" s="952"/>
      <c r="EDS49" s="952"/>
      <c r="EDT49" s="952"/>
      <c r="EDU49" s="952"/>
      <c r="EDV49" s="952"/>
      <c r="EDW49" s="952"/>
      <c r="EDX49" s="952"/>
      <c r="EDY49" s="952"/>
      <c r="EDZ49" s="952"/>
      <c r="EEA49" s="952"/>
      <c r="EEB49" s="952"/>
      <c r="EEC49" s="952"/>
      <c r="EED49" s="952"/>
      <c r="EEE49" s="952"/>
      <c r="EEF49" s="952"/>
      <c r="EEG49" s="952"/>
      <c r="EEH49" s="952"/>
      <c r="EEI49" s="952"/>
      <c r="EEJ49" s="952"/>
      <c r="EEK49" s="952"/>
      <c r="EEL49" s="952"/>
      <c r="EEM49" s="952"/>
      <c r="EEN49" s="952"/>
      <c r="EEO49" s="952"/>
      <c r="EEP49" s="952"/>
      <c r="EEQ49" s="952"/>
      <c r="EER49" s="952"/>
      <c r="EES49" s="952"/>
      <c r="EET49" s="952"/>
      <c r="EEU49" s="952"/>
      <c r="EEV49" s="952"/>
      <c r="EEW49" s="952"/>
      <c r="EEX49" s="952"/>
      <c r="EEY49" s="952"/>
      <c r="EEZ49" s="952"/>
      <c r="EFA49" s="952"/>
      <c r="EFB49" s="952"/>
      <c r="EFC49" s="952"/>
      <c r="EFD49" s="952"/>
      <c r="EFE49" s="952"/>
      <c r="EFF49" s="952"/>
      <c r="EFG49" s="952"/>
      <c r="EFH49" s="952"/>
      <c r="EFI49" s="952"/>
      <c r="EFJ49" s="952"/>
      <c r="EFK49" s="952"/>
      <c r="EFL49" s="952"/>
      <c r="EFM49" s="952"/>
      <c r="EFN49" s="952"/>
      <c r="EFO49" s="952"/>
      <c r="EFP49" s="952"/>
      <c r="EFQ49" s="952"/>
      <c r="EFR49" s="952"/>
      <c r="EFS49" s="952"/>
      <c r="EFT49" s="952"/>
      <c r="EFU49" s="952"/>
      <c r="EFV49" s="952"/>
      <c r="EFW49" s="952"/>
      <c r="EFX49" s="952"/>
      <c r="EFY49" s="952"/>
      <c r="EFZ49" s="952"/>
      <c r="EGA49" s="952"/>
      <c r="EGB49" s="952"/>
      <c r="EGC49" s="952"/>
      <c r="EGD49" s="952"/>
      <c r="EGE49" s="952"/>
      <c r="EGF49" s="952"/>
      <c r="EGG49" s="952"/>
      <c r="EGH49" s="952"/>
      <c r="EGI49" s="952"/>
      <c r="EGJ49" s="952"/>
      <c r="EGK49" s="952"/>
      <c r="EGL49" s="952"/>
      <c r="EGM49" s="952"/>
      <c r="EGN49" s="952"/>
      <c r="EGO49" s="952"/>
      <c r="EGP49" s="952"/>
      <c r="EGQ49" s="952"/>
      <c r="EGR49" s="952"/>
      <c r="EGS49" s="952"/>
      <c r="EGT49" s="952"/>
      <c r="EGU49" s="952"/>
      <c r="EGV49" s="952"/>
      <c r="EGW49" s="952"/>
      <c r="EGX49" s="952"/>
      <c r="EGY49" s="952"/>
      <c r="EGZ49" s="952"/>
      <c r="EHA49" s="952"/>
      <c r="EHB49" s="952"/>
      <c r="EHC49" s="952"/>
      <c r="EHD49" s="952"/>
      <c r="EHE49" s="952"/>
      <c r="EHF49" s="952"/>
      <c r="EHG49" s="952"/>
      <c r="EHH49" s="952"/>
      <c r="EHI49" s="952"/>
      <c r="EHJ49" s="952"/>
      <c r="EHK49" s="952"/>
      <c r="EHL49" s="952"/>
      <c r="EHM49" s="952"/>
      <c r="EHN49" s="952"/>
      <c r="EHO49" s="952"/>
      <c r="EHP49" s="952"/>
      <c r="EHQ49" s="952"/>
      <c r="EHR49" s="952"/>
      <c r="EHS49" s="952"/>
      <c r="EHT49" s="952"/>
      <c r="EHU49" s="952"/>
      <c r="EHV49" s="952"/>
      <c r="EHW49" s="952"/>
      <c r="EHX49" s="952"/>
      <c r="EHY49" s="952"/>
      <c r="EHZ49" s="952"/>
      <c r="EIA49" s="952"/>
      <c r="EIB49" s="952"/>
      <c r="EIC49" s="952"/>
      <c r="EID49" s="952"/>
      <c r="EIE49" s="952"/>
      <c r="EIF49" s="952"/>
      <c r="EIG49" s="952"/>
      <c r="EIH49" s="952"/>
      <c r="EII49" s="952"/>
      <c r="EIJ49" s="952"/>
      <c r="EIK49" s="952"/>
      <c r="EIL49" s="952"/>
      <c r="EIM49" s="952"/>
      <c r="EIN49" s="952"/>
      <c r="EIO49" s="952"/>
      <c r="EIP49" s="952"/>
      <c r="EIQ49" s="952"/>
      <c r="EIR49" s="952"/>
      <c r="EIS49" s="952"/>
      <c r="EIT49" s="952"/>
      <c r="EIU49" s="952"/>
      <c r="EIV49" s="952"/>
      <c r="EIW49" s="952"/>
      <c r="EIX49" s="952"/>
      <c r="EIY49" s="952"/>
      <c r="EIZ49" s="952"/>
      <c r="EJA49" s="952"/>
      <c r="EJB49" s="952"/>
      <c r="EJC49" s="952"/>
      <c r="EJD49" s="952"/>
      <c r="EJE49" s="952"/>
      <c r="EJF49" s="952"/>
      <c r="EJG49" s="952"/>
      <c r="EJH49" s="952"/>
      <c r="EJI49" s="952"/>
      <c r="EJJ49" s="952"/>
      <c r="EJK49" s="952"/>
      <c r="EJL49" s="952"/>
      <c r="EJM49" s="952"/>
      <c r="EJN49" s="952"/>
      <c r="EJO49" s="952"/>
      <c r="EJP49" s="952"/>
      <c r="EJQ49" s="952"/>
      <c r="EJR49" s="952"/>
      <c r="EJS49" s="952"/>
      <c r="EJT49" s="952"/>
      <c r="EJU49" s="952"/>
      <c r="EJV49" s="952"/>
      <c r="EJW49" s="952"/>
      <c r="EJX49" s="952"/>
      <c r="EJY49" s="952"/>
      <c r="EJZ49" s="952"/>
      <c r="EKA49" s="952"/>
      <c r="EKB49" s="952"/>
      <c r="EKC49" s="952"/>
      <c r="EKD49" s="952"/>
      <c r="EKE49" s="952"/>
      <c r="EKF49" s="952"/>
      <c r="EKG49" s="952"/>
      <c r="EKH49" s="952"/>
      <c r="EKI49" s="952"/>
      <c r="EKJ49" s="952"/>
      <c r="EKK49" s="952"/>
      <c r="EKL49" s="952"/>
      <c r="EKM49" s="952"/>
      <c r="EKN49" s="952"/>
      <c r="EKO49" s="952"/>
      <c r="EKP49" s="952"/>
      <c r="EKQ49" s="952"/>
      <c r="EKR49" s="952"/>
      <c r="EKS49" s="952"/>
      <c r="EKT49" s="952"/>
      <c r="EKU49" s="952"/>
      <c r="EKV49" s="952"/>
      <c r="EKW49" s="952"/>
      <c r="EKX49" s="952"/>
      <c r="EKY49" s="952"/>
      <c r="EKZ49" s="952"/>
      <c r="ELA49" s="952"/>
      <c r="ELB49" s="952"/>
      <c r="ELC49" s="952"/>
      <c r="ELD49" s="952"/>
      <c r="ELE49" s="952"/>
      <c r="ELF49" s="952"/>
      <c r="ELG49" s="952"/>
      <c r="ELH49" s="952"/>
      <c r="ELI49" s="952"/>
      <c r="ELJ49" s="952"/>
      <c r="ELK49" s="952"/>
      <c r="ELL49" s="952"/>
      <c r="ELM49" s="952"/>
      <c r="ELN49" s="952"/>
      <c r="ELO49" s="952"/>
      <c r="ELP49" s="952"/>
      <c r="ELQ49" s="952"/>
      <c r="ELR49" s="952"/>
      <c r="ELS49" s="952"/>
      <c r="ELT49" s="952"/>
      <c r="ELU49" s="952"/>
      <c r="ELV49" s="952"/>
      <c r="ELW49" s="952"/>
      <c r="ELX49" s="952"/>
      <c r="ELY49" s="952"/>
      <c r="ELZ49" s="952"/>
      <c r="EMA49" s="952"/>
      <c r="EMB49" s="952"/>
      <c r="EMC49" s="952"/>
      <c r="EMD49" s="952"/>
      <c r="EME49" s="952"/>
      <c r="EMF49" s="952"/>
      <c r="EMG49" s="952"/>
      <c r="EMH49" s="952"/>
      <c r="EMI49" s="952"/>
      <c r="EMJ49" s="952"/>
      <c r="EMK49" s="952"/>
      <c r="EML49" s="952"/>
      <c r="EMM49" s="952"/>
      <c r="EMN49" s="952"/>
      <c r="EMO49" s="952"/>
      <c r="EMP49" s="952"/>
      <c r="EMQ49" s="952"/>
      <c r="EMR49" s="952"/>
      <c r="EMS49" s="952"/>
      <c r="EMT49" s="952"/>
      <c r="EMU49" s="952"/>
      <c r="EMV49" s="952"/>
      <c r="EMW49" s="952"/>
      <c r="EMX49" s="952"/>
      <c r="EMY49" s="952"/>
      <c r="EMZ49" s="952"/>
      <c r="ENA49" s="952"/>
      <c r="ENB49" s="952"/>
      <c r="ENC49" s="952"/>
      <c r="END49" s="952"/>
      <c r="ENE49" s="952"/>
      <c r="ENF49" s="952"/>
      <c r="ENG49" s="952"/>
      <c r="ENH49" s="952"/>
      <c r="ENI49" s="952"/>
      <c r="ENJ49" s="952"/>
      <c r="ENK49" s="952"/>
      <c r="ENL49" s="952"/>
      <c r="ENM49" s="952"/>
      <c r="ENN49" s="952"/>
      <c r="ENO49" s="952"/>
      <c r="ENP49" s="952"/>
      <c r="ENQ49" s="952"/>
      <c r="ENR49" s="952"/>
      <c r="ENS49" s="952"/>
      <c r="ENT49" s="952"/>
      <c r="ENU49" s="952"/>
      <c r="ENV49" s="952"/>
      <c r="ENW49" s="952"/>
      <c r="ENX49" s="952"/>
      <c r="ENY49" s="952"/>
      <c r="ENZ49" s="952"/>
      <c r="EOA49" s="952"/>
      <c r="EOB49" s="952"/>
      <c r="EOC49" s="952"/>
      <c r="EOD49" s="952"/>
      <c r="EOE49" s="952"/>
      <c r="EOF49" s="952"/>
      <c r="EOG49" s="952"/>
      <c r="EOH49" s="952"/>
      <c r="EOI49" s="952"/>
      <c r="EOJ49" s="952"/>
      <c r="EOK49" s="952"/>
      <c r="EOL49" s="952"/>
      <c r="EOM49" s="952"/>
      <c r="EON49" s="952"/>
      <c r="EOO49" s="952"/>
      <c r="EOP49" s="952"/>
      <c r="EOQ49" s="952"/>
      <c r="EOR49" s="952"/>
      <c r="EOS49" s="952"/>
      <c r="EOT49" s="952"/>
      <c r="EOU49" s="952"/>
      <c r="EOV49" s="952"/>
      <c r="EOW49" s="952"/>
      <c r="EOX49" s="952"/>
      <c r="EOY49" s="952"/>
      <c r="EOZ49" s="952"/>
      <c r="EPA49" s="952"/>
      <c r="EPB49" s="952"/>
      <c r="EPC49" s="952"/>
      <c r="EPD49" s="952"/>
      <c r="EPE49" s="952"/>
      <c r="EPF49" s="952"/>
      <c r="EPG49" s="952"/>
      <c r="EPH49" s="952"/>
      <c r="EPI49" s="952"/>
      <c r="EPJ49" s="952"/>
      <c r="EPK49" s="952"/>
      <c r="EPL49" s="952"/>
      <c r="EPM49" s="952"/>
      <c r="EPN49" s="952"/>
      <c r="EPO49" s="952"/>
      <c r="EPP49" s="952"/>
      <c r="EPQ49" s="952"/>
      <c r="EPR49" s="952"/>
      <c r="EPS49" s="952"/>
      <c r="EPT49" s="952"/>
      <c r="EPU49" s="952"/>
      <c r="EPV49" s="952"/>
      <c r="EPW49" s="952"/>
      <c r="EPX49" s="952"/>
      <c r="EPY49" s="952"/>
      <c r="EPZ49" s="952"/>
      <c r="EQA49" s="952"/>
      <c r="EQB49" s="952"/>
      <c r="EQC49" s="952"/>
      <c r="EQD49" s="952"/>
      <c r="EQE49" s="952"/>
      <c r="EQF49" s="952"/>
      <c r="EQG49" s="952"/>
      <c r="EQH49" s="952"/>
      <c r="EQI49" s="952"/>
      <c r="EQJ49" s="952"/>
      <c r="EQK49" s="952"/>
      <c r="EQL49" s="952"/>
      <c r="EQM49" s="952"/>
      <c r="EQN49" s="952"/>
      <c r="EQO49" s="952"/>
      <c r="EQP49" s="952"/>
      <c r="EQQ49" s="952"/>
      <c r="EQR49" s="952"/>
      <c r="EQS49" s="952"/>
      <c r="EQT49" s="952"/>
      <c r="EQU49" s="952"/>
      <c r="EQV49" s="952"/>
      <c r="EQW49" s="952"/>
      <c r="EQX49" s="952"/>
      <c r="EQY49" s="952"/>
      <c r="EQZ49" s="952"/>
      <c r="ERA49" s="952"/>
      <c r="ERB49" s="952"/>
      <c r="ERC49" s="952"/>
      <c r="ERD49" s="952"/>
      <c r="ERE49" s="952"/>
      <c r="ERF49" s="952"/>
      <c r="ERG49" s="952"/>
      <c r="ERH49" s="952"/>
      <c r="ERI49" s="952"/>
      <c r="ERJ49" s="952"/>
      <c r="ERK49" s="952"/>
      <c r="ERL49" s="952"/>
      <c r="ERM49" s="952"/>
      <c r="ERN49" s="952"/>
      <c r="ERO49" s="952"/>
      <c r="ERP49" s="952"/>
      <c r="ERQ49" s="952"/>
      <c r="ERR49" s="952"/>
      <c r="ERS49" s="952"/>
      <c r="ERT49" s="952"/>
      <c r="ERU49" s="952"/>
      <c r="ERV49" s="952"/>
      <c r="ERW49" s="952"/>
      <c r="ERX49" s="952"/>
      <c r="ERY49" s="952"/>
      <c r="ERZ49" s="952"/>
      <c r="ESA49" s="952"/>
      <c r="ESB49" s="952"/>
      <c r="ESC49" s="952"/>
      <c r="ESD49" s="952"/>
      <c r="ESE49" s="952"/>
      <c r="ESF49" s="952"/>
      <c r="ESG49" s="952"/>
      <c r="ESH49" s="952"/>
      <c r="ESI49" s="952"/>
      <c r="ESJ49" s="952"/>
      <c r="ESK49" s="952"/>
      <c r="ESL49" s="952"/>
      <c r="ESM49" s="952"/>
      <c r="ESN49" s="952"/>
      <c r="ESO49" s="952"/>
      <c r="ESP49" s="952"/>
      <c r="ESQ49" s="952"/>
      <c r="ESR49" s="952"/>
      <c r="ESS49" s="952"/>
      <c r="EST49" s="952"/>
      <c r="ESU49" s="952"/>
      <c r="ESV49" s="952"/>
      <c r="ESW49" s="952"/>
      <c r="ESX49" s="952"/>
      <c r="ESY49" s="952"/>
      <c r="ESZ49" s="952"/>
      <c r="ETA49" s="952"/>
      <c r="ETB49" s="952"/>
      <c r="ETC49" s="952"/>
      <c r="ETD49" s="952"/>
      <c r="ETE49" s="952"/>
      <c r="ETF49" s="952"/>
      <c r="ETG49" s="952"/>
      <c r="ETH49" s="952"/>
      <c r="ETI49" s="952"/>
      <c r="ETJ49" s="952"/>
      <c r="ETK49" s="952"/>
      <c r="ETL49" s="952"/>
      <c r="ETM49" s="952"/>
      <c r="ETN49" s="952"/>
      <c r="ETO49" s="952"/>
      <c r="ETP49" s="952"/>
      <c r="ETQ49" s="952"/>
      <c r="ETR49" s="952"/>
      <c r="ETS49" s="952"/>
      <c r="ETT49" s="952"/>
      <c r="ETU49" s="952"/>
      <c r="ETV49" s="952"/>
      <c r="ETW49" s="952"/>
      <c r="ETX49" s="952"/>
      <c r="ETY49" s="952"/>
      <c r="ETZ49" s="952"/>
      <c r="EUA49" s="952"/>
      <c r="EUB49" s="952"/>
      <c r="EUC49" s="952"/>
      <c r="EUD49" s="952"/>
      <c r="EUE49" s="952"/>
      <c r="EUF49" s="952"/>
      <c r="EUG49" s="952"/>
      <c r="EUH49" s="952"/>
      <c r="EUI49" s="952"/>
      <c r="EUJ49" s="952"/>
      <c r="EUK49" s="952"/>
      <c r="EUL49" s="952"/>
      <c r="EUM49" s="952"/>
      <c r="EUN49" s="952"/>
      <c r="EUO49" s="952"/>
      <c r="EUP49" s="952"/>
      <c r="EUQ49" s="952"/>
      <c r="EUR49" s="952"/>
      <c r="EUS49" s="952"/>
      <c r="EUT49" s="952"/>
      <c r="EUU49" s="952"/>
      <c r="EUV49" s="952"/>
      <c r="EUW49" s="952"/>
      <c r="EUX49" s="952"/>
      <c r="EUY49" s="952"/>
      <c r="EUZ49" s="952"/>
      <c r="EVA49" s="952"/>
      <c r="EVB49" s="952"/>
      <c r="EVC49" s="952"/>
      <c r="EVD49" s="952"/>
      <c r="EVE49" s="952"/>
      <c r="EVF49" s="952"/>
      <c r="EVG49" s="952"/>
      <c r="EVH49" s="952"/>
      <c r="EVI49" s="952"/>
      <c r="EVJ49" s="952"/>
      <c r="EVK49" s="952"/>
      <c r="EVL49" s="952"/>
      <c r="EVM49" s="952"/>
      <c r="EVN49" s="952"/>
      <c r="EVO49" s="952"/>
      <c r="EVP49" s="952"/>
      <c r="EVQ49" s="952"/>
      <c r="EVR49" s="952"/>
      <c r="EVS49" s="952"/>
      <c r="EVT49" s="952"/>
      <c r="EVU49" s="952"/>
      <c r="EVV49" s="952"/>
      <c r="EVW49" s="952"/>
      <c r="EVX49" s="952"/>
      <c r="EVY49" s="952"/>
      <c r="EVZ49" s="952"/>
      <c r="EWA49" s="952"/>
      <c r="EWB49" s="952"/>
      <c r="EWC49" s="952"/>
      <c r="EWD49" s="952"/>
      <c r="EWE49" s="952"/>
      <c r="EWF49" s="952"/>
      <c r="EWG49" s="952"/>
      <c r="EWH49" s="952"/>
      <c r="EWI49" s="952"/>
      <c r="EWJ49" s="952"/>
      <c r="EWK49" s="952"/>
      <c r="EWL49" s="952"/>
      <c r="EWM49" s="952"/>
      <c r="EWN49" s="952"/>
      <c r="EWO49" s="952"/>
      <c r="EWP49" s="952"/>
      <c r="EWQ49" s="952"/>
      <c r="EWR49" s="952"/>
      <c r="EWS49" s="952"/>
      <c r="EWT49" s="952"/>
      <c r="EWU49" s="952"/>
      <c r="EWV49" s="952"/>
      <c r="EWW49" s="952"/>
      <c r="EWX49" s="952"/>
      <c r="EWY49" s="952"/>
      <c r="EWZ49" s="952"/>
      <c r="EXA49" s="952"/>
      <c r="EXB49" s="952"/>
      <c r="EXC49" s="952"/>
      <c r="EXD49" s="952"/>
      <c r="EXE49" s="952"/>
      <c r="EXF49" s="952"/>
      <c r="EXG49" s="952"/>
      <c r="EXH49" s="952"/>
      <c r="EXI49" s="952"/>
      <c r="EXJ49" s="952"/>
      <c r="EXK49" s="952"/>
      <c r="EXL49" s="952"/>
      <c r="EXM49" s="952"/>
      <c r="EXN49" s="952"/>
      <c r="EXO49" s="952"/>
      <c r="EXP49" s="952"/>
      <c r="EXQ49" s="952"/>
      <c r="EXR49" s="952"/>
      <c r="EXS49" s="952"/>
      <c r="EXT49" s="952"/>
      <c r="EXU49" s="952"/>
      <c r="EXV49" s="952"/>
      <c r="EXW49" s="952"/>
      <c r="EXX49" s="952"/>
      <c r="EXY49" s="952"/>
      <c r="EXZ49" s="952"/>
      <c r="EYA49" s="952"/>
      <c r="EYB49" s="952"/>
      <c r="EYC49" s="952"/>
      <c r="EYD49" s="952"/>
      <c r="EYE49" s="952"/>
      <c r="EYF49" s="952"/>
      <c r="EYG49" s="952"/>
      <c r="EYH49" s="952"/>
      <c r="EYI49" s="952"/>
      <c r="EYJ49" s="952"/>
      <c r="EYK49" s="952"/>
      <c r="EYL49" s="952"/>
      <c r="EYM49" s="952"/>
      <c r="EYN49" s="952"/>
      <c r="EYO49" s="952"/>
      <c r="EYP49" s="952"/>
      <c r="EYQ49" s="952"/>
      <c r="EYR49" s="952"/>
      <c r="EYS49" s="952"/>
      <c r="EYT49" s="952"/>
      <c r="EYU49" s="952"/>
      <c r="EYV49" s="952"/>
      <c r="EYW49" s="952"/>
      <c r="EYX49" s="952"/>
      <c r="EYY49" s="952"/>
      <c r="EYZ49" s="952"/>
      <c r="EZA49" s="952"/>
      <c r="EZB49" s="952"/>
      <c r="EZC49" s="952"/>
      <c r="EZD49" s="952"/>
      <c r="EZE49" s="952"/>
      <c r="EZF49" s="952"/>
      <c r="EZG49" s="952"/>
      <c r="EZH49" s="952"/>
      <c r="EZI49" s="952"/>
      <c r="EZJ49" s="952"/>
      <c r="EZK49" s="952"/>
      <c r="EZL49" s="952"/>
      <c r="EZM49" s="952"/>
      <c r="EZN49" s="952"/>
      <c r="EZO49" s="952"/>
      <c r="EZP49" s="952"/>
      <c r="EZQ49" s="952"/>
      <c r="EZR49" s="952"/>
      <c r="EZS49" s="952"/>
      <c r="EZT49" s="952"/>
      <c r="EZU49" s="952"/>
      <c r="EZV49" s="952"/>
      <c r="EZW49" s="952"/>
      <c r="EZX49" s="952"/>
      <c r="EZY49" s="952"/>
      <c r="EZZ49" s="952"/>
      <c r="FAA49" s="952"/>
      <c r="FAB49" s="952"/>
      <c r="FAC49" s="952"/>
      <c r="FAD49" s="952"/>
      <c r="FAE49" s="952"/>
      <c r="FAF49" s="952"/>
      <c r="FAG49" s="952"/>
      <c r="FAH49" s="952"/>
      <c r="FAI49" s="952"/>
      <c r="FAJ49" s="952"/>
      <c r="FAK49" s="952"/>
      <c r="FAL49" s="952"/>
      <c r="FAM49" s="952"/>
      <c r="FAN49" s="952"/>
      <c r="FAO49" s="952"/>
      <c r="FAP49" s="952"/>
      <c r="FAQ49" s="952"/>
      <c r="FAR49" s="952"/>
      <c r="FAS49" s="952"/>
      <c r="FAT49" s="952"/>
      <c r="FAU49" s="952"/>
      <c r="FAV49" s="952"/>
      <c r="FAW49" s="952"/>
      <c r="FAX49" s="952"/>
      <c r="FAY49" s="952"/>
      <c r="FAZ49" s="952"/>
      <c r="FBA49" s="952"/>
      <c r="FBB49" s="952"/>
      <c r="FBC49" s="952"/>
      <c r="FBD49" s="952"/>
      <c r="FBE49" s="952"/>
      <c r="FBF49" s="952"/>
      <c r="FBG49" s="952"/>
      <c r="FBH49" s="952"/>
      <c r="FBI49" s="952"/>
      <c r="FBJ49" s="952"/>
      <c r="FBK49" s="952"/>
      <c r="FBL49" s="952"/>
      <c r="FBM49" s="952"/>
      <c r="FBN49" s="952"/>
      <c r="FBO49" s="952"/>
      <c r="FBP49" s="952"/>
      <c r="FBQ49" s="952"/>
      <c r="FBR49" s="952"/>
      <c r="FBS49" s="952"/>
      <c r="FBT49" s="952"/>
      <c r="FBU49" s="952"/>
      <c r="FBV49" s="952"/>
      <c r="FBW49" s="952"/>
      <c r="FBX49" s="952"/>
      <c r="FBY49" s="952"/>
      <c r="FBZ49" s="952"/>
      <c r="FCA49" s="952"/>
      <c r="FCB49" s="952"/>
      <c r="FCC49" s="952"/>
      <c r="FCD49" s="952"/>
      <c r="FCE49" s="952"/>
      <c r="FCF49" s="952"/>
      <c r="FCG49" s="952"/>
      <c r="FCH49" s="952"/>
      <c r="FCI49" s="952"/>
      <c r="FCJ49" s="952"/>
      <c r="FCK49" s="952"/>
      <c r="FCL49" s="952"/>
      <c r="FCM49" s="952"/>
      <c r="FCN49" s="952"/>
      <c r="FCO49" s="952"/>
      <c r="FCP49" s="952"/>
      <c r="FCQ49" s="952"/>
      <c r="FCR49" s="952"/>
      <c r="FCS49" s="952"/>
      <c r="FCT49" s="952"/>
      <c r="FCU49" s="952"/>
      <c r="FCV49" s="952"/>
      <c r="FCW49" s="952"/>
      <c r="FCX49" s="952"/>
      <c r="FCY49" s="952"/>
      <c r="FCZ49" s="952"/>
      <c r="FDA49" s="952"/>
      <c r="FDB49" s="952"/>
      <c r="FDC49" s="952"/>
      <c r="FDD49" s="952"/>
      <c r="FDE49" s="952"/>
      <c r="FDF49" s="952"/>
      <c r="FDG49" s="952"/>
      <c r="FDH49" s="952"/>
      <c r="FDI49" s="952"/>
      <c r="FDJ49" s="952"/>
      <c r="FDK49" s="952"/>
      <c r="FDL49" s="952"/>
      <c r="FDM49" s="952"/>
      <c r="FDN49" s="952"/>
      <c r="FDO49" s="952"/>
      <c r="FDP49" s="952"/>
      <c r="FDQ49" s="952"/>
      <c r="FDR49" s="952"/>
      <c r="FDS49" s="952"/>
      <c r="FDT49" s="952"/>
      <c r="FDU49" s="952"/>
      <c r="FDV49" s="952"/>
      <c r="FDW49" s="952"/>
      <c r="FDX49" s="952"/>
      <c r="FDY49" s="952"/>
      <c r="FDZ49" s="952"/>
      <c r="FEA49" s="952"/>
      <c r="FEB49" s="952"/>
      <c r="FEC49" s="952"/>
      <c r="FED49" s="952"/>
      <c r="FEE49" s="952"/>
      <c r="FEF49" s="952"/>
      <c r="FEG49" s="952"/>
      <c r="FEH49" s="952"/>
      <c r="FEI49" s="952"/>
      <c r="FEJ49" s="952"/>
      <c r="FEK49" s="952"/>
      <c r="FEL49" s="952"/>
      <c r="FEM49" s="952"/>
      <c r="FEN49" s="952"/>
      <c r="FEO49" s="952"/>
      <c r="FEP49" s="952"/>
      <c r="FEQ49" s="952"/>
      <c r="FER49" s="952"/>
      <c r="FES49" s="952"/>
      <c r="FET49" s="952"/>
      <c r="FEU49" s="952"/>
      <c r="FEV49" s="952"/>
      <c r="FEW49" s="952"/>
      <c r="FEX49" s="952"/>
      <c r="FEY49" s="952"/>
      <c r="FEZ49" s="952"/>
      <c r="FFA49" s="952"/>
      <c r="FFB49" s="952"/>
      <c r="FFC49" s="952"/>
      <c r="FFD49" s="952"/>
      <c r="FFE49" s="952"/>
      <c r="FFF49" s="952"/>
      <c r="FFG49" s="952"/>
      <c r="FFH49" s="952"/>
      <c r="FFI49" s="952"/>
      <c r="FFJ49" s="952"/>
      <c r="FFK49" s="952"/>
      <c r="FFL49" s="952"/>
      <c r="FFM49" s="952"/>
      <c r="FFN49" s="952"/>
      <c r="FFO49" s="952"/>
      <c r="FFP49" s="952"/>
      <c r="FFQ49" s="952"/>
      <c r="FFR49" s="952"/>
      <c r="FFS49" s="952"/>
      <c r="FFT49" s="952"/>
      <c r="FFU49" s="952"/>
      <c r="FFV49" s="952"/>
      <c r="FFW49" s="952"/>
      <c r="FFX49" s="952"/>
      <c r="FFY49" s="952"/>
      <c r="FFZ49" s="952"/>
      <c r="FGA49" s="952"/>
      <c r="FGB49" s="952"/>
      <c r="FGC49" s="952"/>
      <c r="FGD49" s="952"/>
      <c r="FGE49" s="952"/>
      <c r="FGF49" s="952"/>
      <c r="FGG49" s="952"/>
      <c r="FGH49" s="952"/>
      <c r="FGI49" s="952"/>
      <c r="FGJ49" s="952"/>
      <c r="FGK49" s="952"/>
      <c r="FGL49" s="952"/>
      <c r="FGM49" s="952"/>
      <c r="FGN49" s="952"/>
      <c r="FGO49" s="952"/>
      <c r="FGP49" s="952"/>
      <c r="FGQ49" s="952"/>
      <c r="FGR49" s="952"/>
      <c r="FGS49" s="952"/>
      <c r="FGT49" s="952"/>
      <c r="FGU49" s="952"/>
      <c r="FGV49" s="952"/>
      <c r="FGW49" s="952"/>
      <c r="FGX49" s="952"/>
      <c r="FGY49" s="952"/>
      <c r="FGZ49" s="952"/>
      <c r="FHA49" s="952"/>
      <c r="FHB49" s="952"/>
      <c r="FHC49" s="952"/>
      <c r="FHD49" s="952"/>
      <c r="FHE49" s="952"/>
      <c r="FHF49" s="952"/>
      <c r="FHG49" s="952"/>
      <c r="FHH49" s="952"/>
      <c r="FHI49" s="952"/>
      <c r="FHJ49" s="952"/>
      <c r="FHK49" s="952"/>
      <c r="FHL49" s="952"/>
      <c r="FHM49" s="952"/>
      <c r="FHN49" s="952"/>
      <c r="FHO49" s="952"/>
      <c r="FHP49" s="952"/>
      <c r="FHQ49" s="952"/>
      <c r="FHR49" s="952"/>
      <c r="FHS49" s="952"/>
      <c r="FHT49" s="952"/>
      <c r="FHU49" s="952"/>
      <c r="FHV49" s="952"/>
      <c r="FHW49" s="952"/>
      <c r="FHX49" s="952"/>
      <c r="FHY49" s="952"/>
      <c r="FHZ49" s="952"/>
      <c r="FIA49" s="952"/>
      <c r="FIB49" s="952"/>
      <c r="FIC49" s="952"/>
      <c r="FID49" s="952"/>
      <c r="FIE49" s="952"/>
      <c r="FIF49" s="952"/>
      <c r="FIG49" s="952"/>
      <c r="FIH49" s="952"/>
      <c r="FII49" s="952"/>
      <c r="FIJ49" s="952"/>
      <c r="FIK49" s="952"/>
      <c r="FIL49" s="952"/>
      <c r="FIM49" s="952"/>
      <c r="FIN49" s="952"/>
      <c r="FIO49" s="952"/>
      <c r="FIP49" s="952"/>
      <c r="FIQ49" s="952"/>
      <c r="FIR49" s="952"/>
      <c r="FIS49" s="952"/>
      <c r="FIT49" s="952"/>
      <c r="FIU49" s="952"/>
      <c r="FIV49" s="952"/>
      <c r="FIW49" s="952"/>
      <c r="FIX49" s="952"/>
      <c r="FIY49" s="952"/>
      <c r="FIZ49" s="952"/>
      <c r="FJA49" s="952"/>
      <c r="FJB49" s="952"/>
      <c r="FJC49" s="952"/>
      <c r="FJD49" s="952"/>
      <c r="FJE49" s="952"/>
      <c r="FJF49" s="952"/>
      <c r="FJG49" s="952"/>
      <c r="FJH49" s="952"/>
      <c r="FJI49" s="952"/>
      <c r="FJJ49" s="952"/>
      <c r="FJK49" s="952"/>
      <c r="FJL49" s="952"/>
      <c r="FJM49" s="952"/>
      <c r="FJN49" s="952"/>
      <c r="FJO49" s="952"/>
      <c r="FJP49" s="952"/>
      <c r="FJQ49" s="952"/>
      <c r="FJR49" s="952"/>
      <c r="FJS49" s="952"/>
      <c r="FJT49" s="952"/>
      <c r="FJU49" s="952"/>
      <c r="FJV49" s="952"/>
      <c r="FJW49" s="952"/>
      <c r="FJX49" s="952"/>
      <c r="FJY49" s="952"/>
      <c r="FJZ49" s="952"/>
      <c r="FKA49" s="952"/>
      <c r="FKB49" s="952"/>
      <c r="FKC49" s="952"/>
      <c r="FKD49" s="952"/>
      <c r="FKE49" s="952"/>
      <c r="FKF49" s="952"/>
      <c r="FKG49" s="952"/>
      <c r="FKH49" s="952"/>
      <c r="FKI49" s="952"/>
      <c r="FKJ49" s="952"/>
      <c r="FKK49" s="952"/>
      <c r="FKL49" s="952"/>
      <c r="FKM49" s="952"/>
      <c r="FKN49" s="952"/>
      <c r="FKO49" s="952"/>
      <c r="FKP49" s="952"/>
      <c r="FKQ49" s="952"/>
      <c r="FKR49" s="952"/>
      <c r="FKS49" s="952"/>
      <c r="FKT49" s="952"/>
      <c r="FKU49" s="952"/>
      <c r="FKV49" s="952"/>
      <c r="FKW49" s="952"/>
      <c r="FKX49" s="952"/>
      <c r="FKY49" s="952"/>
      <c r="FKZ49" s="952"/>
      <c r="FLA49" s="952"/>
      <c r="FLB49" s="952"/>
      <c r="FLC49" s="952"/>
      <c r="FLD49" s="952"/>
      <c r="FLE49" s="952"/>
      <c r="FLF49" s="952"/>
      <c r="FLG49" s="952"/>
      <c r="FLH49" s="952"/>
      <c r="FLI49" s="952"/>
      <c r="FLJ49" s="952"/>
      <c r="FLK49" s="952"/>
      <c r="FLL49" s="952"/>
      <c r="FLM49" s="952"/>
      <c r="FLN49" s="952"/>
      <c r="FLO49" s="952"/>
      <c r="FLP49" s="952"/>
      <c r="FLQ49" s="952"/>
      <c r="FLR49" s="952"/>
      <c r="FLS49" s="952"/>
      <c r="FLT49" s="952"/>
      <c r="FLU49" s="952"/>
      <c r="FLV49" s="952"/>
      <c r="FLW49" s="952"/>
      <c r="FLX49" s="952"/>
      <c r="FLY49" s="952"/>
      <c r="FLZ49" s="952"/>
      <c r="FMA49" s="952"/>
      <c r="FMB49" s="952"/>
      <c r="FMC49" s="952"/>
      <c r="FMD49" s="952"/>
      <c r="FME49" s="952"/>
      <c r="FMF49" s="952"/>
      <c r="FMG49" s="952"/>
      <c r="FMH49" s="952"/>
      <c r="FMI49" s="952"/>
      <c r="FMJ49" s="952"/>
      <c r="FMK49" s="952"/>
      <c r="FML49" s="952"/>
      <c r="FMM49" s="952"/>
      <c r="FMN49" s="952"/>
      <c r="FMO49" s="952"/>
      <c r="FMP49" s="952"/>
      <c r="FMQ49" s="952"/>
      <c r="FMR49" s="952"/>
      <c r="FMS49" s="952"/>
      <c r="FMT49" s="952"/>
      <c r="FMU49" s="952"/>
      <c r="FMV49" s="952"/>
      <c r="FMW49" s="952"/>
      <c r="FMX49" s="952"/>
      <c r="FMY49" s="952"/>
      <c r="FMZ49" s="952"/>
      <c r="FNA49" s="952"/>
      <c r="FNB49" s="952"/>
      <c r="FNC49" s="952"/>
      <c r="FND49" s="952"/>
      <c r="FNE49" s="952"/>
      <c r="FNF49" s="952"/>
      <c r="FNG49" s="952"/>
      <c r="FNH49" s="952"/>
      <c r="FNI49" s="952"/>
      <c r="FNJ49" s="952"/>
      <c r="FNK49" s="952"/>
      <c r="FNL49" s="952"/>
      <c r="FNM49" s="952"/>
      <c r="FNN49" s="952"/>
      <c r="FNO49" s="952"/>
      <c r="FNP49" s="952"/>
      <c r="FNQ49" s="952"/>
      <c r="FNR49" s="952"/>
      <c r="FNS49" s="952"/>
      <c r="FNT49" s="952"/>
      <c r="FNU49" s="952"/>
      <c r="FNV49" s="952"/>
      <c r="FNW49" s="952"/>
      <c r="FNX49" s="952"/>
      <c r="FNY49" s="952"/>
      <c r="FNZ49" s="952"/>
      <c r="FOA49" s="952"/>
      <c r="FOB49" s="952"/>
      <c r="FOC49" s="952"/>
      <c r="FOD49" s="952"/>
      <c r="FOE49" s="952"/>
      <c r="FOF49" s="952"/>
      <c r="FOG49" s="952"/>
      <c r="FOH49" s="952"/>
      <c r="FOI49" s="952"/>
      <c r="FOJ49" s="952"/>
      <c r="FOK49" s="952"/>
      <c r="FOL49" s="952"/>
      <c r="FOM49" s="952"/>
      <c r="FON49" s="952"/>
      <c r="FOO49" s="952"/>
      <c r="FOP49" s="952"/>
      <c r="FOQ49" s="952"/>
      <c r="FOR49" s="952"/>
      <c r="FOS49" s="952"/>
      <c r="FOT49" s="952"/>
      <c r="FOU49" s="952"/>
      <c r="FOV49" s="952"/>
      <c r="FOW49" s="952"/>
      <c r="FOX49" s="952"/>
      <c r="FOY49" s="952"/>
      <c r="FOZ49" s="952"/>
      <c r="FPA49" s="952"/>
      <c r="FPB49" s="952"/>
      <c r="FPC49" s="952"/>
      <c r="FPD49" s="952"/>
      <c r="FPE49" s="952"/>
      <c r="FPF49" s="952"/>
      <c r="FPG49" s="952"/>
      <c r="FPH49" s="952"/>
      <c r="FPI49" s="952"/>
      <c r="FPJ49" s="952"/>
      <c r="FPK49" s="952"/>
      <c r="FPL49" s="952"/>
      <c r="FPM49" s="952"/>
      <c r="FPN49" s="952"/>
      <c r="FPO49" s="952"/>
      <c r="FPP49" s="952"/>
      <c r="FPQ49" s="952"/>
      <c r="FPR49" s="952"/>
      <c r="FPS49" s="952"/>
      <c r="FPT49" s="952"/>
      <c r="FPU49" s="952"/>
      <c r="FPV49" s="952"/>
      <c r="FPW49" s="952"/>
      <c r="FPX49" s="952"/>
      <c r="FPY49" s="952"/>
      <c r="FPZ49" s="952"/>
      <c r="FQA49" s="952"/>
      <c r="FQB49" s="952"/>
      <c r="FQC49" s="952"/>
      <c r="FQD49" s="952"/>
      <c r="FQE49" s="952"/>
      <c r="FQF49" s="952"/>
      <c r="FQG49" s="952"/>
      <c r="FQH49" s="952"/>
      <c r="FQI49" s="952"/>
      <c r="FQJ49" s="952"/>
      <c r="FQK49" s="952"/>
      <c r="FQL49" s="952"/>
      <c r="FQM49" s="952"/>
      <c r="FQN49" s="952"/>
      <c r="FQO49" s="952"/>
      <c r="FQP49" s="952"/>
      <c r="FQQ49" s="952"/>
      <c r="FQR49" s="952"/>
      <c r="FQS49" s="952"/>
      <c r="FQT49" s="952"/>
      <c r="FQU49" s="952"/>
      <c r="FQV49" s="952"/>
      <c r="FQW49" s="952"/>
      <c r="FQX49" s="952"/>
      <c r="FQY49" s="952"/>
      <c r="FQZ49" s="952"/>
      <c r="FRA49" s="952"/>
      <c r="FRB49" s="952"/>
      <c r="FRC49" s="952"/>
      <c r="FRD49" s="952"/>
      <c r="FRE49" s="952"/>
      <c r="FRF49" s="952"/>
      <c r="FRG49" s="952"/>
      <c r="FRH49" s="952"/>
      <c r="FRI49" s="952"/>
      <c r="FRJ49" s="952"/>
      <c r="FRK49" s="952"/>
      <c r="FRL49" s="952"/>
      <c r="FRM49" s="952"/>
      <c r="FRN49" s="952"/>
      <c r="FRO49" s="952"/>
      <c r="FRP49" s="952"/>
      <c r="FRQ49" s="952"/>
      <c r="FRR49" s="952"/>
      <c r="FRS49" s="952"/>
      <c r="FRT49" s="952"/>
      <c r="FRU49" s="952"/>
      <c r="FRV49" s="952"/>
      <c r="FRW49" s="952"/>
      <c r="FRX49" s="952"/>
      <c r="FRY49" s="952"/>
      <c r="FRZ49" s="952"/>
      <c r="FSA49" s="952"/>
      <c r="FSB49" s="952"/>
      <c r="FSC49" s="952"/>
      <c r="FSD49" s="952"/>
      <c r="FSE49" s="952"/>
      <c r="FSF49" s="952"/>
      <c r="FSG49" s="952"/>
      <c r="FSH49" s="952"/>
      <c r="FSI49" s="952"/>
      <c r="FSJ49" s="952"/>
      <c r="FSK49" s="952"/>
      <c r="FSL49" s="952"/>
      <c r="FSM49" s="952"/>
      <c r="FSN49" s="952"/>
      <c r="FSO49" s="952"/>
      <c r="FSP49" s="952"/>
      <c r="FSQ49" s="952"/>
      <c r="FSR49" s="952"/>
      <c r="FSS49" s="952"/>
      <c r="FST49" s="952"/>
      <c r="FSU49" s="952"/>
      <c r="FSV49" s="952"/>
      <c r="FSW49" s="952"/>
      <c r="FSX49" s="952"/>
      <c r="FSY49" s="952"/>
      <c r="FSZ49" s="952"/>
      <c r="FTA49" s="952"/>
      <c r="FTB49" s="952"/>
      <c r="FTC49" s="952"/>
      <c r="FTD49" s="952"/>
      <c r="FTE49" s="952"/>
      <c r="FTF49" s="952"/>
      <c r="FTG49" s="952"/>
      <c r="FTH49" s="952"/>
      <c r="FTI49" s="952"/>
      <c r="FTJ49" s="952"/>
      <c r="FTK49" s="952"/>
      <c r="FTL49" s="952"/>
      <c r="FTM49" s="952"/>
      <c r="FTN49" s="952"/>
      <c r="FTO49" s="952"/>
      <c r="FTP49" s="952"/>
      <c r="FTQ49" s="952"/>
      <c r="FTR49" s="952"/>
      <c r="FTS49" s="952"/>
      <c r="FTT49" s="952"/>
      <c r="FTU49" s="952"/>
      <c r="FTV49" s="952"/>
      <c r="FTW49" s="952"/>
      <c r="FTX49" s="952"/>
      <c r="FTY49" s="952"/>
      <c r="FTZ49" s="952"/>
      <c r="FUA49" s="952"/>
      <c r="FUB49" s="952"/>
      <c r="FUC49" s="952"/>
      <c r="FUD49" s="952"/>
      <c r="FUE49" s="952"/>
      <c r="FUF49" s="952"/>
      <c r="FUG49" s="952"/>
      <c r="FUH49" s="952"/>
      <c r="FUI49" s="952"/>
      <c r="FUJ49" s="952"/>
      <c r="FUK49" s="952"/>
      <c r="FUL49" s="952"/>
      <c r="FUM49" s="952"/>
      <c r="FUN49" s="952"/>
      <c r="FUO49" s="952"/>
      <c r="FUP49" s="952"/>
      <c r="FUQ49" s="952"/>
      <c r="FUR49" s="952"/>
      <c r="FUS49" s="952"/>
      <c r="FUT49" s="952"/>
      <c r="FUU49" s="952"/>
      <c r="FUV49" s="952"/>
      <c r="FUW49" s="952"/>
      <c r="FUX49" s="952"/>
      <c r="FUY49" s="952"/>
      <c r="FUZ49" s="952"/>
      <c r="FVA49" s="952"/>
      <c r="FVB49" s="952"/>
      <c r="FVC49" s="952"/>
      <c r="FVD49" s="952"/>
      <c r="FVE49" s="952"/>
      <c r="FVF49" s="952"/>
      <c r="FVG49" s="952"/>
      <c r="FVH49" s="952"/>
      <c r="FVI49" s="952"/>
      <c r="FVJ49" s="952"/>
      <c r="FVK49" s="952"/>
      <c r="FVL49" s="952"/>
      <c r="FVM49" s="952"/>
      <c r="FVN49" s="952"/>
      <c r="FVO49" s="952"/>
      <c r="FVP49" s="952"/>
      <c r="FVQ49" s="952"/>
      <c r="FVR49" s="952"/>
      <c r="FVS49" s="952"/>
      <c r="FVT49" s="952"/>
      <c r="FVU49" s="952"/>
      <c r="FVV49" s="952"/>
      <c r="FVW49" s="952"/>
      <c r="FVX49" s="952"/>
      <c r="FVY49" s="952"/>
      <c r="FVZ49" s="952"/>
      <c r="FWA49" s="952"/>
      <c r="FWB49" s="952"/>
      <c r="FWC49" s="952"/>
      <c r="FWD49" s="952"/>
      <c r="FWE49" s="952"/>
      <c r="FWF49" s="952"/>
      <c r="FWG49" s="952"/>
      <c r="FWH49" s="952"/>
      <c r="FWI49" s="952"/>
      <c r="FWJ49" s="952"/>
      <c r="FWK49" s="952"/>
      <c r="FWL49" s="952"/>
      <c r="FWM49" s="952"/>
      <c r="FWN49" s="952"/>
      <c r="FWO49" s="952"/>
      <c r="FWP49" s="952"/>
      <c r="FWQ49" s="952"/>
      <c r="FWR49" s="952"/>
      <c r="FWS49" s="952"/>
      <c r="FWT49" s="952"/>
      <c r="FWU49" s="952"/>
      <c r="FWV49" s="952"/>
      <c r="FWW49" s="952"/>
      <c r="FWX49" s="952"/>
      <c r="FWY49" s="952"/>
      <c r="FWZ49" s="952"/>
      <c r="FXA49" s="952"/>
      <c r="FXB49" s="952"/>
      <c r="FXC49" s="952"/>
      <c r="FXD49" s="952"/>
      <c r="FXE49" s="952"/>
      <c r="FXF49" s="952"/>
      <c r="FXG49" s="952"/>
      <c r="FXH49" s="952"/>
      <c r="FXI49" s="952"/>
      <c r="FXJ49" s="952"/>
      <c r="FXK49" s="952"/>
      <c r="FXL49" s="952"/>
      <c r="FXM49" s="952"/>
      <c r="FXN49" s="952"/>
      <c r="FXO49" s="952"/>
      <c r="FXP49" s="952"/>
      <c r="FXQ49" s="952"/>
      <c r="FXR49" s="952"/>
      <c r="FXS49" s="952"/>
      <c r="FXT49" s="952"/>
      <c r="FXU49" s="952"/>
      <c r="FXV49" s="952"/>
      <c r="FXW49" s="952"/>
      <c r="FXX49" s="952"/>
      <c r="FXY49" s="952"/>
      <c r="FXZ49" s="952"/>
      <c r="FYA49" s="952"/>
      <c r="FYB49" s="952"/>
      <c r="FYC49" s="952"/>
      <c r="FYD49" s="952"/>
      <c r="FYE49" s="952"/>
      <c r="FYF49" s="952"/>
      <c r="FYG49" s="952"/>
      <c r="FYH49" s="952"/>
      <c r="FYI49" s="952"/>
      <c r="FYJ49" s="952"/>
      <c r="FYK49" s="952"/>
      <c r="FYL49" s="952"/>
      <c r="FYM49" s="952"/>
      <c r="FYN49" s="952"/>
      <c r="FYO49" s="952"/>
      <c r="FYP49" s="952"/>
      <c r="FYQ49" s="952"/>
      <c r="FYR49" s="952"/>
      <c r="FYS49" s="952"/>
      <c r="FYT49" s="952"/>
      <c r="FYU49" s="952"/>
      <c r="FYV49" s="952"/>
      <c r="FYW49" s="952"/>
      <c r="FYX49" s="952"/>
      <c r="FYY49" s="952"/>
      <c r="FYZ49" s="952"/>
      <c r="FZA49" s="952"/>
      <c r="FZB49" s="952"/>
      <c r="FZC49" s="952"/>
      <c r="FZD49" s="952"/>
      <c r="FZE49" s="952"/>
      <c r="FZF49" s="952"/>
      <c r="FZG49" s="952"/>
      <c r="FZH49" s="952"/>
      <c r="FZI49" s="952"/>
      <c r="FZJ49" s="952"/>
      <c r="FZK49" s="952"/>
      <c r="FZL49" s="952"/>
      <c r="FZM49" s="952"/>
      <c r="FZN49" s="952"/>
      <c r="FZO49" s="952"/>
      <c r="FZP49" s="952"/>
      <c r="FZQ49" s="952"/>
      <c r="FZR49" s="952"/>
      <c r="FZS49" s="952"/>
      <c r="FZT49" s="952"/>
      <c r="FZU49" s="952"/>
      <c r="FZV49" s="952"/>
      <c r="FZW49" s="952"/>
      <c r="FZX49" s="952"/>
      <c r="FZY49" s="952"/>
      <c r="FZZ49" s="952"/>
      <c r="GAA49" s="952"/>
      <c r="GAB49" s="952"/>
      <c r="GAC49" s="952"/>
      <c r="GAD49" s="952"/>
      <c r="GAE49" s="952"/>
      <c r="GAF49" s="952"/>
      <c r="GAG49" s="952"/>
      <c r="GAH49" s="952"/>
      <c r="GAI49" s="952"/>
      <c r="GAJ49" s="952"/>
      <c r="GAK49" s="952"/>
      <c r="GAL49" s="952"/>
      <c r="GAM49" s="952"/>
      <c r="GAN49" s="952"/>
      <c r="GAO49" s="952"/>
      <c r="GAP49" s="952"/>
      <c r="GAQ49" s="952"/>
      <c r="GAR49" s="952"/>
      <c r="GAS49" s="952"/>
      <c r="GAT49" s="952"/>
      <c r="GAU49" s="952"/>
      <c r="GAV49" s="952"/>
      <c r="GAW49" s="952"/>
      <c r="GAX49" s="952"/>
      <c r="GAY49" s="952"/>
      <c r="GAZ49" s="952"/>
      <c r="GBA49" s="952"/>
      <c r="GBB49" s="952"/>
      <c r="GBC49" s="952"/>
      <c r="GBD49" s="952"/>
      <c r="GBE49" s="952"/>
      <c r="GBF49" s="952"/>
      <c r="GBG49" s="952"/>
      <c r="GBH49" s="952"/>
      <c r="GBI49" s="952"/>
      <c r="GBJ49" s="952"/>
      <c r="GBK49" s="952"/>
      <c r="GBL49" s="952"/>
      <c r="GBM49" s="952"/>
      <c r="GBN49" s="952"/>
      <c r="GBO49" s="952"/>
      <c r="GBP49" s="952"/>
      <c r="GBQ49" s="952"/>
      <c r="GBR49" s="952"/>
      <c r="GBS49" s="952"/>
      <c r="GBT49" s="952"/>
      <c r="GBU49" s="952"/>
      <c r="GBV49" s="952"/>
      <c r="GBW49" s="952"/>
      <c r="GBX49" s="952"/>
      <c r="GBY49" s="952"/>
      <c r="GBZ49" s="952"/>
      <c r="GCA49" s="952"/>
      <c r="GCB49" s="952"/>
      <c r="GCC49" s="952"/>
      <c r="GCD49" s="952"/>
      <c r="GCE49" s="952"/>
      <c r="GCF49" s="952"/>
      <c r="GCG49" s="952"/>
      <c r="GCH49" s="952"/>
      <c r="GCI49" s="952"/>
      <c r="GCJ49" s="952"/>
      <c r="GCK49" s="952"/>
      <c r="GCL49" s="952"/>
      <c r="GCM49" s="952"/>
      <c r="GCN49" s="952"/>
      <c r="GCO49" s="952"/>
      <c r="GCP49" s="952"/>
      <c r="GCQ49" s="952"/>
      <c r="GCR49" s="952"/>
      <c r="GCS49" s="952"/>
      <c r="GCT49" s="952"/>
      <c r="GCU49" s="952"/>
      <c r="GCV49" s="952"/>
      <c r="GCW49" s="952"/>
      <c r="GCX49" s="952"/>
      <c r="GCY49" s="952"/>
      <c r="GCZ49" s="952"/>
      <c r="GDA49" s="952"/>
      <c r="GDB49" s="952"/>
      <c r="GDC49" s="952"/>
      <c r="GDD49" s="952"/>
      <c r="GDE49" s="952"/>
      <c r="GDF49" s="952"/>
      <c r="GDG49" s="952"/>
      <c r="GDH49" s="952"/>
      <c r="GDI49" s="952"/>
      <c r="GDJ49" s="952"/>
      <c r="GDK49" s="952"/>
      <c r="GDL49" s="952"/>
      <c r="GDM49" s="952"/>
      <c r="GDN49" s="952"/>
      <c r="GDO49" s="952"/>
      <c r="GDP49" s="952"/>
      <c r="GDQ49" s="952"/>
      <c r="GDR49" s="952"/>
      <c r="GDS49" s="952"/>
      <c r="GDT49" s="952"/>
      <c r="GDU49" s="952"/>
      <c r="GDV49" s="952"/>
      <c r="GDW49" s="952"/>
      <c r="GDX49" s="952"/>
      <c r="GDY49" s="952"/>
      <c r="GDZ49" s="952"/>
      <c r="GEA49" s="952"/>
      <c r="GEB49" s="952"/>
      <c r="GEC49" s="952"/>
      <c r="GED49" s="952"/>
      <c r="GEE49" s="952"/>
      <c r="GEF49" s="952"/>
      <c r="GEG49" s="952"/>
      <c r="GEH49" s="952"/>
      <c r="GEI49" s="952"/>
      <c r="GEJ49" s="952"/>
      <c r="GEK49" s="952"/>
      <c r="GEL49" s="952"/>
      <c r="GEM49" s="952"/>
      <c r="GEN49" s="952"/>
      <c r="GEO49" s="952"/>
      <c r="GEP49" s="952"/>
      <c r="GEQ49" s="952"/>
      <c r="GER49" s="952"/>
      <c r="GES49" s="952"/>
      <c r="GET49" s="952"/>
      <c r="GEU49" s="952"/>
      <c r="GEV49" s="952"/>
      <c r="GEW49" s="952"/>
      <c r="GEX49" s="952"/>
      <c r="GEY49" s="952"/>
      <c r="GEZ49" s="952"/>
      <c r="GFA49" s="952"/>
      <c r="GFB49" s="952"/>
      <c r="GFC49" s="952"/>
      <c r="GFD49" s="952"/>
      <c r="GFE49" s="952"/>
      <c r="GFF49" s="952"/>
      <c r="GFG49" s="952"/>
      <c r="GFH49" s="952"/>
      <c r="GFI49" s="952"/>
      <c r="GFJ49" s="952"/>
      <c r="GFK49" s="952"/>
      <c r="GFL49" s="952"/>
      <c r="GFM49" s="952"/>
      <c r="GFN49" s="952"/>
      <c r="GFO49" s="952"/>
      <c r="GFP49" s="952"/>
      <c r="GFQ49" s="952"/>
      <c r="GFR49" s="952"/>
      <c r="GFS49" s="952"/>
      <c r="GFT49" s="952"/>
      <c r="GFU49" s="952"/>
      <c r="GFV49" s="952"/>
      <c r="GFW49" s="952"/>
      <c r="GFX49" s="952"/>
      <c r="GFY49" s="952"/>
      <c r="GFZ49" s="952"/>
      <c r="GGA49" s="952"/>
      <c r="GGB49" s="952"/>
      <c r="GGC49" s="952"/>
      <c r="GGD49" s="952"/>
      <c r="GGE49" s="952"/>
      <c r="GGF49" s="952"/>
      <c r="GGG49" s="952"/>
      <c r="GGH49" s="952"/>
      <c r="GGI49" s="952"/>
      <c r="GGJ49" s="952"/>
      <c r="GGK49" s="952"/>
      <c r="GGL49" s="952"/>
      <c r="GGM49" s="952"/>
      <c r="GGN49" s="952"/>
      <c r="GGO49" s="952"/>
      <c r="GGP49" s="952"/>
      <c r="GGQ49" s="952"/>
      <c r="GGR49" s="952"/>
      <c r="GGS49" s="952"/>
      <c r="GGT49" s="952"/>
      <c r="GGU49" s="952"/>
      <c r="GGV49" s="952"/>
      <c r="GGW49" s="952"/>
      <c r="GGX49" s="952"/>
      <c r="GGY49" s="952"/>
      <c r="GGZ49" s="952"/>
      <c r="GHA49" s="952"/>
      <c r="GHB49" s="952"/>
      <c r="GHC49" s="952"/>
      <c r="GHD49" s="952"/>
      <c r="GHE49" s="952"/>
      <c r="GHF49" s="952"/>
      <c r="GHG49" s="952"/>
      <c r="GHH49" s="952"/>
      <c r="GHI49" s="952"/>
      <c r="GHJ49" s="952"/>
      <c r="GHK49" s="952"/>
      <c r="GHL49" s="952"/>
      <c r="GHM49" s="952"/>
      <c r="GHN49" s="952"/>
      <c r="GHO49" s="952"/>
      <c r="GHP49" s="952"/>
      <c r="GHQ49" s="952"/>
      <c r="GHR49" s="952"/>
      <c r="GHS49" s="952"/>
      <c r="GHT49" s="952"/>
      <c r="GHU49" s="952"/>
      <c r="GHV49" s="952"/>
      <c r="GHW49" s="952"/>
      <c r="GHX49" s="952"/>
      <c r="GHY49" s="952"/>
      <c r="GHZ49" s="952"/>
      <c r="GIA49" s="952"/>
      <c r="GIB49" s="952"/>
      <c r="GIC49" s="952"/>
      <c r="GID49" s="952"/>
      <c r="GIE49" s="952"/>
      <c r="GIF49" s="952"/>
      <c r="GIG49" s="952"/>
      <c r="GIH49" s="952"/>
      <c r="GII49" s="952"/>
      <c r="GIJ49" s="952"/>
      <c r="GIK49" s="952"/>
      <c r="GIL49" s="952"/>
      <c r="GIM49" s="952"/>
      <c r="GIN49" s="952"/>
      <c r="GIO49" s="952"/>
      <c r="GIP49" s="952"/>
      <c r="GIQ49" s="952"/>
      <c r="GIR49" s="952"/>
      <c r="GIS49" s="952"/>
      <c r="GIT49" s="952"/>
      <c r="GIU49" s="952"/>
      <c r="GIV49" s="952"/>
      <c r="GIW49" s="952"/>
      <c r="GIX49" s="952"/>
      <c r="GIY49" s="952"/>
      <c r="GIZ49" s="952"/>
      <c r="GJA49" s="952"/>
      <c r="GJB49" s="952"/>
      <c r="GJC49" s="952"/>
      <c r="GJD49" s="952"/>
      <c r="GJE49" s="952"/>
      <c r="GJF49" s="952"/>
      <c r="GJG49" s="952"/>
      <c r="GJH49" s="952"/>
      <c r="GJI49" s="952"/>
      <c r="GJJ49" s="952"/>
      <c r="GJK49" s="952"/>
      <c r="GJL49" s="952"/>
      <c r="GJM49" s="952"/>
      <c r="GJN49" s="952"/>
      <c r="GJO49" s="952"/>
      <c r="GJP49" s="952"/>
      <c r="GJQ49" s="952"/>
      <c r="GJR49" s="952"/>
      <c r="GJS49" s="952"/>
      <c r="GJT49" s="952"/>
      <c r="GJU49" s="952"/>
      <c r="GJV49" s="952"/>
      <c r="GJW49" s="952"/>
      <c r="GJX49" s="952"/>
      <c r="GJY49" s="952"/>
      <c r="GJZ49" s="952"/>
      <c r="GKA49" s="952"/>
      <c r="GKB49" s="952"/>
      <c r="GKC49" s="952"/>
      <c r="GKD49" s="952"/>
      <c r="GKE49" s="952"/>
      <c r="GKF49" s="952"/>
      <c r="GKG49" s="952"/>
      <c r="GKH49" s="952"/>
      <c r="GKI49" s="952"/>
      <c r="GKJ49" s="952"/>
      <c r="GKK49" s="952"/>
      <c r="GKL49" s="952"/>
      <c r="GKM49" s="952"/>
      <c r="GKN49" s="952"/>
      <c r="GKO49" s="952"/>
      <c r="GKP49" s="952"/>
      <c r="GKQ49" s="952"/>
      <c r="GKR49" s="952"/>
      <c r="GKS49" s="952"/>
      <c r="GKT49" s="952"/>
      <c r="GKU49" s="952"/>
      <c r="GKV49" s="952"/>
      <c r="GKW49" s="952"/>
      <c r="GKX49" s="952"/>
      <c r="GKY49" s="952"/>
      <c r="GKZ49" s="952"/>
      <c r="GLA49" s="952"/>
      <c r="GLB49" s="952"/>
      <c r="GLC49" s="952"/>
      <c r="GLD49" s="952"/>
      <c r="GLE49" s="952"/>
      <c r="GLF49" s="952"/>
      <c r="GLG49" s="952"/>
      <c r="GLH49" s="952"/>
      <c r="GLI49" s="952"/>
      <c r="GLJ49" s="952"/>
      <c r="GLK49" s="952"/>
      <c r="GLL49" s="952"/>
      <c r="GLM49" s="952"/>
      <c r="GLN49" s="952"/>
      <c r="GLO49" s="952"/>
      <c r="GLP49" s="952"/>
      <c r="GLQ49" s="952"/>
      <c r="GLR49" s="952"/>
      <c r="GLS49" s="952"/>
      <c r="GLT49" s="952"/>
      <c r="GLU49" s="952"/>
      <c r="GLV49" s="952"/>
      <c r="GLW49" s="952"/>
      <c r="GLX49" s="952"/>
      <c r="GLY49" s="952"/>
      <c r="GLZ49" s="952"/>
      <c r="GMA49" s="952"/>
      <c r="GMB49" s="952"/>
      <c r="GMC49" s="952"/>
      <c r="GMD49" s="952"/>
      <c r="GME49" s="952"/>
      <c r="GMF49" s="952"/>
      <c r="GMG49" s="952"/>
      <c r="GMH49" s="952"/>
      <c r="GMI49" s="952"/>
      <c r="GMJ49" s="952"/>
      <c r="GMK49" s="952"/>
      <c r="GML49" s="952"/>
      <c r="GMM49" s="952"/>
      <c r="GMN49" s="952"/>
      <c r="GMO49" s="952"/>
      <c r="GMP49" s="952"/>
      <c r="GMQ49" s="952"/>
      <c r="GMR49" s="952"/>
      <c r="GMS49" s="952"/>
      <c r="GMT49" s="952"/>
      <c r="GMU49" s="952"/>
      <c r="GMV49" s="952"/>
      <c r="GMW49" s="952"/>
      <c r="GMX49" s="952"/>
      <c r="GMY49" s="952"/>
      <c r="GMZ49" s="952"/>
      <c r="GNA49" s="952"/>
      <c r="GNB49" s="952"/>
      <c r="GNC49" s="952"/>
      <c r="GND49" s="952"/>
      <c r="GNE49" s="952"/>
      <c r="GNF49" s="952"/>
      <c r="GNG49" s="952"/>
      <c r="GNH49" s="952"/>
      <c r="GNI49" s="952"/>
      <c r="GNJ49" s="952"/>
      <c r="GNK49" s="952"/>
      <c r="GNL49" s="952"/>
      <c r="GNM49" s="952"/>
      <c r="GNN49" s="952"/>
      <c r="GNO49" s="952"/>
      <c r="GNP49" s="952"/>
      <c r="GNQ49" s="952"/>
      <c r="GNR49" s="952"/>
      <c r="GNS49" s="952"/>
      <c r="GNT49" s="952"/>
      <c r="GNU49" s="952"/>
      <c r="GNV49" s="952"/>
      <c r="GNW49" s="952"/>
      <c r="GNX49" s="952"/>
      <c r="GNY49" s="952"/>
      <c r="GNZ49" s="952"/>
      <c r="GOA49" s="952"/>
      <c r="GOB49" s="952"/>
      <c r="GOC49" s="952"/>
      <c r="GOD49" s="952"/>
      <c r="GOE49" s="952"/>
      <c r="GOF49" s="952"/>
      <c r="GOG49" s="952"/>
      <c r="GOH49" s="952"/>
      <c r="GOI49" s="952"/>
      <c r="GOJ49" s="952"/>
      <c r="GOK49" s="952"/>
      <c r="GOL49" s="952"/>
      <c r="GOM49" s="952"/>
      <c r="GON49" s="952"/>
      <c r="GOO49" s="952"/>
      <c r="GOP49" s="952"/>
      <c r="GOQ49" s="952"/>
      <c r="GOR49" s="952"/>
      <c r="GOS49" s="952"/>
      <c r="GOT49" s="952"/>
      <c r="GOU49" s="952"/>
      <c r="GOV49" s="952"/>
      <c r="GOW49" s="952"/>
      <c r="GOX49" s="952"/>
      <c r="GOY49" s="952"/>
      <c r="GOZ49" s="952"/>
      <c r="GPA49" s="952"/>
      <c r="GPB49" s="952"/>
      <c r="GPC49" s="952"/>
      <c r="GPD49" s="952"/>
      <c r="GPE49" s="952"/>
      <c r="GPF49" s="952"/>
      <c r="GPG49" s="952"/>
      <c r="GPH49" s="952"/>
      <c r="GPI49" s="952"/>
      <c r="GPJ49" s="952"/>
      <c r="GPK49" s="952"/>
      <c r="GPL49" s="952"/>
      <c r="GPM49" s="952"/>
      <c r="GPN49" s="952"/>
      <c r="GPO49" s="952"/>
      <c r="GPP49" s="952"/>
      <c r="GPQ49" s="952"/>
      <c r="GPR49" s="952"/>
      <c r="GPS49" s="952"/>
      <c r="GPT49" s="952"/>
      <c r="GPU49" s="952"/>
      <c r="GPV49" s="952"/>
      <c r="GPW49" s="952"/>
      <c r="GPX49" s="952"/>
      <c r="GPY49" s="952"/>
      <c r="GPZ49" s="952"/>
      <c r="GQA49" s="952"/>
      <c r="GQB49" s="952"/>
      <c r="GQC49" s="952"/>
      <c r="GQD49" s="952"/>
      <c r="GQE49" s="952"/>
      <c r="GQF49" s="952"/>
      <c r="GQG49" s="952"/>
      <c r="GQH49" s="952"/>
      <c r="GQI49" s="952"/>
      <c r="GQJ49" s="952"/>
      <c r="GQK49" s="952"/>
      <c r="GQL49" s="952"/>
      <c r="GQM49" s="952"/>
      <c r="GQN49" s="952"/>
      <c r="GQO49" s="952"/>
      <c r="GQP49" s="952"/>
      <c r="GQQ49" s="952"/>
      <c r="GQR49" s="952"/>
      <c r="GQS49" s="952"/>
      <c r="GQT49" s="952"/>
      <c r="GQU49" s="952"/>
      <c r="GQV49" s="952"/>
      <c r="GQW49" s="952"/>
      <c r="GQX49" s="952"/>
      <c r="GQY49" s="952"/>
      <c r="GQZ49" s="952"/>
      <c r="GRA49" s="952"/>
      <c r="GRB49" s="952"/>
      <c r="GRC49" s="952"/>
      <c r="GRD49" s="952"/>
      <c r="GRE49" s="952"/>
      <c r="GRF49" s="952"/>
      <c r="GRG49" s="952"/>
      <c r="GRH49" s="952"/>
      <c r="GRI49" s="952"/>
      <c r="GRJ49" s="952"/>
      <c r="GRK49" s="952"/>
      <c r="GRL49" s="952"/>
      <c r="GRM49" s="952"/>
      <c r="GRN49" s="952"/>
      <c r="GRO49" s="952"/>
      <c r="GRP49" s="952"/>
      <c r="GRQ49" s="952"/>
      <c r="GRR49" s="952"/>
      <c r="GRS49" s="952"/>
      <c r="GRT49" s="952"/>
      <c r="GRU49" s="952"/>
      <c r="GRV49" s="952"/>
      <c r="GRW49" s="952"/>
      <c r="GRX49" s="952"/>
      <c r="GRY49" s="952"/>
      <c r="GRZ49" s="952"/>
      <c r="GSA49" s="952"/>
      <c r="GSB49" s="952"/>
      <c r="GSC49" s="952"/>
      <c r="GSD49" s="952"/>
      <c r="GSE49" s="952"/>
      <c r="GSF49" s="952"/>
      <c r="GSG49" s="952"/>
      <c r="GSH49" s="952"/>
      <c r="GSI49" s="952"/>
      <c r="GSJ49" s="952"/>
      <c r="GSK49" s="952"/>
      <c r="GSL49" s="952"/>
      <c r="GSM49" s="952"/>
      <c r="GSN49" s="952"/>
      <c r="GSO49" s="952"/>
      <c r="GSP49" s="952"/>
      <c r="GSQ49" s="952"/>
      <c r="GSR49" s="952"/>
      <c r="GSS49" s="952"/>
      <c r="GST49" s="952"/>
      <c r="GSU49" s="952"/>
      <c r="GSV49" s="952"/>
      <c r="GSW49" s="952"/>
      <c r="GSX49" s="952"/>
      <c r="GSY49" s="952"/>
      <c r="GSZ49" s="952"/>
      <c r="GTA49" s="952"/>
      <c r="GTB49" s="952"/>
      <c r="GTC49" s="952"/>
      <c r="GTD49" s="952"/>
      <c r="GTE49" s="952"/>
      <c r="GTF49" s="952"/>
      <c r="GTG49" s="952"/>
      <c r="GTH49" s="952"/>
      <c r="GTI49" s="952"/>
      <c r="GTJ49" s="952"/>
      <c r="GTK49" s="952"/>
      <c r="GTL49" s="952"/>
      <c r="GTM49" s="952"/>
      <c r="GTN49" s="952"/>
      <c r="GTO49" s="952"/>
      <c r="GTP49" s="952"/>
      <c r="GTQ49" s="952"/>
      <c r="GTR49" s="952"/>
      <c r="GTS49" s="952"/>
      <c r="GTT49" s="952"/>
      <c r="GTU49" s="952"/>
      <c r="GTV49" s="952"/>
      <c r="GTW49" s="952"/>
      <c r="GTX49" s="952"/>
      <c r="GTY49" s="952"/>
      <c r="GTZ49" s="952"/>
      <c r="GUA49" s="952"/>
      <c r="GUB49" s="952"/>
      <c r="GUC49" s="952"/>
      <c r="GUD49" s="952"/>
      <c r="GUE49" s="952"/>
      <c r="GUF49" s="952"/>
      <c r="GUG49" s="952"/>
      <c r="GUH49" s="952"/>
      <c r="GUI49" s="952"/>
      <c r="GUJ49" s="952"/>
      <c r="GUK49" s="952"/>
      <c r="GUL49" s="952"/>
      <c r="GUM49" s="952"/>
      <c r="GUN49" s="952"/>
      <c r="GUO49" s="952"/>
      <c r="GUP49" s="952"/>
      <c r="GUQ49" s="952"/>
      <c r="GUR49" s="952"/>
      <c r="GUS49" s="952"/>
      <c r="GUT49" s="952"/>
      <c r="GUU49" s="952"/>
      <c r="GUV49" s="952"/>
      <c r="GUW49" s="952"/>
      <c r="GUX49" s="952"/>
      <c r="GUY49" s="952"/>
      <c r="GUZ49" s="952"/>
      <c r="GVA49" s="952"/>
      <c r="GVB49" s="952"/>
      <c r="GVC49" s="952"/>
      <c r="GVD49" s="952"/>
      <c r="GVE49" s="952"/>
      <c r="GVF49" s="952"/>
      <c r="GVG49" s="952"/>
      <c r="GVH49" s="952"/>
      <c r="GVI49" s="952"/>
      <c r="GVJ49" s="952"/>
      <c r="GVK49" s="952"/>
      <c r="GVL49" s="952"/>
      <c r="GVM49" s="952"/>
      <c r="GVN49" s="952"/>
      <c r="GVO49" s="952"/>
      <c r="GVP49" s="952"/>
      <c r="GVQ49" s="952"/>
      <c r="GVR49" s="952"/>
      <c r="GVS49" s="952"/>
      <c r="GVT49" s="952"/>
      <c r="GVU49" s="952"/>
      <c r="GVV49" s="952"/>
      <c r="GVW49" s="952"/>
      <c r="GVX49" s="952"/>
      <c r="GVY49" s="952"/>
      <c r="GVZ49" s="952"/>
      <c r="GWA49" s="952"/>
      <c r="GWB49" s="952"/>
      <c r="GWC49" s="952"/>
      <c r="GWD49" s="952"/>
      <c r="GWE49" s="952"/>
      <c r="GWF49" s="952"/>
      <c r="GWG49" s="952"/>
      <c r="GWH49" s="952"/>
      <c r="GWI49" s="952"/>
      <c r="GWJ49" s="952"/>
      <c r="GWK49" s="952"/>
      <c r="GWL49" s="952"/>
      <c r="GWM49" s="952"/>
      <c r="GWN49" s="952"/>
      <c r="GWO49" s="952"/>
      <c r="GWP49" s="952"/>
      <c r="GWQ49" s="952"/>
      <c r="GWR49" s="952"/>
      <c r="GWS49" s="952"/>
      <c r="GWT49" s="952"/>
      <c r="GWU49" s="952"/>
      <c r="GWV49" s="952"/>
      <c r="GWW49" s="952"/>
      <c r="GWX49" s="952"/>
      <c r="GWY49" s="952"/>
      <c r="GWZ49" s="952"/>
      <c r="GXA49" s="952"/>
      <c r="GXB49" s="952"/>
      <c r="GXC49" s="952"/>
      <c r="GXD49" s="952"/>
      <c r="GXE49" s="952"/>
      <c r="GXF49" s="952"/>
      <c r="GXG49" s="952"/>
      <c r="GXH49" s="952"/>
      <c r="GXI49" s="952"/>
      <c r="GXJ49" s="952"/>
      <c r="GXK49" s="952"/>
      <c r="GXL49" s="952"/>
      <c r="GXM49" s="952"/>
      <c r="GXN49" s="952"/>
      <c r="GXO49" s="952"/>
      <c r="GXP49" s="952"/>
      <c r="GXQ49" s="952"/>
      <c r="GXR49" s="952"/>
      <c r="GXS49" s="952"/>
      <c r="GXT49" s="952"/>
      <c r="GXU49" s="952"/>
      <c r="GXV49" s="952"/>
      <c r="GXW49" s="952"/>
      <c r="GXX49" s="952"/>
      <c r="GXY49" s="952"/>
      <c r="GXZ49" s="952"/>
      <c r="GYA49" s="952"/>
      <c r="GYB49" s="952"/>
      <c r="GYC49" s="952"/>
      <c r="GYD49" s="952"/>
      <c r="GYE49" s="952"/>
      <c r="GYF49" s="952"/>
      <c r="GYG49" s="952"/>
      <c r="GYH49" s="952"/>
      <c r="GYI49" s="952"/>
      <c r="GYJ49" s="952"/>
      <c r="GYK49" s="952"/>
      <c r="GYL49" s="952"/>
      <c r="GYM49" s="952"/>
      <c r="GYN49" s="952"/>
      <c r="GYO49" s="952"/>
      <c r="GYP49" s="952"/>
      <c r="GYQ49" s="952"/>
      <c r="GYR49" s="952"/>
      <c r="GYS49" s="952"/>
      <c r="GYT49" s="952"/>
      <c r="GYU49" s="952"/>
      <c r="GYV49" s="952"/>
      <c r="GYW49" s="952"/>
      <c r="GYX49" s="952"/>
      <c r="GYY49" s="952"/>
      <c r="GYZ49" s="952"/>
      <c r="GZA49" s="952"/>
      <c r="GZB49" s="952"/>
      <c r="GZC49" s="952"/>
      <c r="GZD49" s="952"/>
      <c r="GZE49" s="952"/>
      <c r="GZF49" s="952"/>
      <c r="GZG49" s="952"/>
      <c r="GZH49" s="952"/>
      <c r="GZI49" s="952"/>
      <c r="GZJ49" s="952"/>
      <c r="GZK49" s="952"/>
      <c r="GZL49" s="952"/>
      <c r="GZM49" s="952"/>
      <c r="GZN49" s="952"/>
      <c r="GZO49" s="952"/>
      <c r="GZP49" s="952"/>
      <c r="GZQ49" s="952"/>
      <c r="GZR49" s="952"/>
      <c r="GZS49" s="952"/>
      <c r="GZT49" s="952"/>
      <c r="GZU49" s="952"/>
      <c r="GZV49" s="952"/>
      <c r="GZW49" s="952"/>
      <c r="GZX49" s="952"/>
      <c r="GZY49" s="952"/>
      <c r="GZZ49" s="952"/>
      <c r="HAA49" s="952"/>
      <c r="HAB49" s="952"/>
      <c r="HAC49" s="952"/>
      <c r="HAD49" s="952"/>
      <c r="HAE49" s="952"/>
      <c r="HAF49" s="952"/>
      <c r="HAG49" s="952"/>
      <c r="HAH49" s="952"/>
      <c r="HAI49" s="952"/>
      <c r="HAJ49" s="952"/>
      <c r="HAK49" s="952"/>
      <c r="HAL49" s="952"/>
      <c r="HAM49" s="952"/>
      <c r="HAN49" s="952"/>
      <c r="HAO49" s="952"/>
      <c r="HAP49" s="952"/>
      <c r="HAQ49" s="952"/>
      <c r="HAR49" s="952"/>
      <c r="HAS49" s="952"/>
      <c r="HAT49" s="952"/>
      <c r="HAU49" s="952"/>
      <c r="HAV49" s="952"/>
      <c r="HAW49" s="952"/>
      <c r="HAX49" s="952"/>
      <c r="HAY49" s="952"/>
      <c r="HAZ49" s="952"/>
      <c r="HBA49" s="952"/>
      <c r="HBB49" s="952"/>
      <c r="HBC49" s="952"/>
      <c r="HBD49" s="952"/>
      <c r="HBE49" s="952"/>
      <c r="HBF49" s="952"/>
      <c r="HBG49" s="952"/>
      <c r="HBH49" s="952"/>
      <c r="HBI49" s="952"/>
      <c r="HBJ49" s="952"/>
      <c r="HBK49" s="952"/>
      <c r="HBL49" s="952"/>
      <c r="HBM49" s="952"/>
      <c r="HBN49" s="952"/>
      <c r="HBO49" s="952"/>
      <c r="HBP49" s="952"/>
      <c r="HBQ49" s="952"/>
      <c r="HBR49" s="952"/>
      <c r="HBS49" s="952"/>
      <c r="HBT49" s="952"/>
      <c r="HBU49" s="952"/>
      <c r="HBV49" s="952"/>
      <c r="HBW49" s="952"/>
      <c r="HBX49" s="952"/>
      <c r="HBY49" s="952"/>
      <c r="HBZ49" s="952"/>
      <c r="HCA49" s="952"/>
      <c r="HCB49" s="952"/>
      <c r="HCC49" s="952"/>
      <c r="HCD49" s="952"/>
      <c r="HCE49" s="952"/>
      <c r="HCF49" s="952"/>
      <c r="HCG49" s="952"/>
      <c r="HCH49" s="952"/>
      <c r="HCI49" s="952"/>
      <c r="HCJ49" s="952"/>
      <c r="HCK49" s="952"/>
      <c r="HCL49" s="952"/>
      <c r="HCM49" s="952"/>
      <c r="HCN49" s="952"/>
      <c r="HCO49" s="952"/>
      <c r="HCP49" s="952"/>
      <c r="HCQ49" s="952"/>
      <c r="HCR49" s="952"/>
      <c r="HCS49" s="952"/>
      <c r="HCT49" s="952"/>
      <c r="HCU49" s="952"/>
      <c r="HCV49" s="952"/>
      <c r="HCW49" s="952"/>
      <c r="HCX49" s="952"/>
      <c r="HCY49" s="952"/>
      <c r="HCZ49" s="952"/>
      <c r="HDA49" s="952"/>
      <c r="HDB49" s="952"/>
      <c r="HDC49" s="952"/>
      <c r="HDD49" s="952"/>
      <c r="HDE49" s="952"/>
      <c r="HDF49" s="952"/>
      <c r="HDG49" s="952"/>
      <c r="HDH49" s="952"/>
      <c r="HDI49" s="952"/>
      <c r="HDJ49" s="952"/>
      <c r="HDK49" s="952"/>
      <c r="HDL49" s="952"/>
      <c r="HDM49" s="952"/>
      <c r="HDN49" s="952"/>
      <c r="HDO49" s="952"/>
      <c r="HDP49" s="952"/>
      <c r="HDQ49" s="952"/>
      <c r="HDR49" s="952"/>
      <c r="HDS49" s="952"/>
      <c r="HDT49" s="952"/>
      <c r="HDU49" s="952"/>
      <c r="HDV49" s="952"/>
      <c r="HDW49" s="952"/>
      <c r="HDX49" s="952"/>
      <c r="HDY49" s="952"/>
      <c r="HDZ49" s="952"/>
      <c r="HEA49" s="952"/>
      <c r="HEB49" s="952"/>
      <c r="HEC49" s="952"/>
      <c r="HED49" s="952"/>
      <c r="HEE49" s="952"/>
      <c r="HEF49" s="952"/>
      <c r="HEG49" s="952"/>
      <c r="HEH49" s="952"/>
      <c r="HEI49" s="952"/>
      <c r="HEJ49" s="952"/>
      <c r="HEK49" s="952"/>
      <c r="HEL49" s="952"/>
      <c r="HEM49" s="952"/>
      <c r="HEN49" s="952"/>
      <c r="HEO49" s="952"/>
      <c r="HEP49" s="952"/>
      <c r="HEQ49" s="952"/>
      <c r="HER49" s="952"/>
      <c r="HES49" s="952"/>
      <c r="HET49" s="952"/>
      <c r="HEU49" s="952"/>
      <c r="HEV49" s="952"/>
      <c r="HEW49" s="952"/>
      <c r="HEX49" s="952"/>
      <c r="HEY49" s="952"/>
      <c r="HEZ49" s="952"/>
      <c r="HFA49" s="952"/>
      <c r="HFB49" s="952"/>
      <c r="HFC49" s="952"/>
      <c r="HFD49" s="952"/>
      <c r="HFE49" s="952"/>
      <c r="HFF49" s="952"/>
      <c r="HFG49" s="952"/>
      <c r="HFH49" s="952"/>
      <c r="HFI49" s="952"/>
      <c r="HFJ49" s="952"/>
      <c r="HFK49" s="952"/>
      <c r="HFL49" s="952"/>
      <c r="HFM49" s="952"/>
      <c r="HFN49" s="952"/>
      <c r="HFO49" s="952"/>
      <c r="HFP49" s="952"/>
      <c r="HFQ49" s="952"/>
      <c r="HFR49" s="952"/>
      <c r="HFS49" s="952"/>
      <c r="HFT49" s="952"/>
      <c r="HFU49" s="952"/>
      <c r="HFV49" s="952"/>
      <c r="HFW49" s="952"/>
      <c r="HFX49" s="952"/>
      <c r="HFY49" s="952"/>
      <c r="HFZ49" s="952"/>
      <c r="HGA49" s="952"/>
      <c r="HGB49" s="952"/>
      <c r="HGC49" s="952"/>
      <c r="HGD49" s="952"/>
      <c r="HGE49" s="952"/>
      <c r="HGF49" s="952"/>
      <c r="HGG49" s="952"/>
      <c r="HGH49" s="952"/>
      <c r="HGI49" s="952"/>
      <c r="HGJ49" s="952"/>
      <c r="HGK49" s="952"/>
      <c r="HGL49" s="952"/>
      <c r="HGM49" s="952"/>
      <c r="HGN49" s="952"/>
      <c r="HGO49" s="952"/>
      <c r="HGP49" s="952"/>
      <c r="HGQ49" s="952"/>
      <c r="HGR49" s="952"/>
      <c r="HGS49" s="952"/>
      <c r="HGT49" s="952"/>
      <c r="HGU49" s="952"/>
      <c r="HGV49" s="952"/>
      <c r="HGW49" s="952"/>
      <c r="HGX49" s="952"/>
      <c r="HGY49" s="952"/>
      <c r="HGZ49" s="952"/>
      <c r="HHA49" s="952"/>
      <c r="HHB49" s="952"/>
      <c r="HHC49" s="952"/>
      <c r="HHD49" s="952"/>
      <c r="HHE49" s="952"/>
      <c r="HHF49" s="952"/>
      <c r="HHG49" s="952"/>
      <c r="HHH49" s="952"/>
      <c r="HHI49" s="952"/>
      <c r="HHJ49" s="952"/>
      <c r="HHK49" s="952"/>
      <c r="HHL49" s="952"/>
      <c r="HHM49" s="952"/>
      <c r="HHN49" s="952"/>
      <c r="HHO49" s="952"/>
      <c r="HHP49" s="952"/>
      <c r="HHQ49" s="952"/>
      <c r="HHR49" s="952"/>
      <c r="HHS49" s="952"/>
      <c r="HHT49" s="952"/>
      <c r="HHU49" s="952"/>
      <c r="HHV49" s="952"/>
      <c r="HHW49" s="952"/>
      <c r="HHX49" s="952"/>
      <c r="HHY49" s="952"/>
      <c r="HHZ49" s="952"/>
      <c r="HIA49" s="952"/>
      <c r="HIB49" s="952"/>
      <c r="HIC49" s="952"/>
      <c r="HID49" s="952"/>
      <c r="HIE49" s="952"/>
      <c r="HIF49" s="952"/>
      <c r="HIG49" s="952"/>
      <c r="HIH49" s="952"/>
      <c r="HII49" s="952"/>
      <c r="HIJ49" s="952"/>
      <c r="HIK49" s="952"/>
      <c r="HIL49" s="952"/>
      <c r="HIM49" s="952"/>
      <c r="HIN49" s="952"/>
      <c r="HIO49" s="952"/>
      <c r="HIP49" s="952"/>
      <c r="HIQ49" s="952"/>
      <c r="HIR49" s="952"/>
      <c r="HIS49" s="952"/>
      <c r="HIT49" s="952"/>
      <c r="HIU49" s="952"/>
      <c r="HIV49" s="952"/>
      <c r="HIW49" s="952"/>
      <c r="HIX49" s="952"/>
      <c r="HIY49" s="952"/>
      <c r="HIZ49" s="952"/>
      <c r="HJA49" s="952"/>
      <c r="HJB49" s="952"/>
      <c r="HJC49" s="952"/>
      <c r="HJD49" s="952"/>
      <c r="HJE49" s="952"/>
      <c r="HJF49" s="952"/>
      <c r="HJG49" s="952"/>
      <c r="HJH49" s="952"/>
      <c r="HJI49" s="952"/>
      <c r="HJJ49" s="952"/>
      <c r="HJK49" s="952"/>
      <c r="HJL49" s="952"/>
      <c r="HJM49" s="952"/>
      <c r="HJN49" s="952"/>
      <c r="HJO49" s="952"/>
      <c r="HJP49" s="952"/>
      <c r="HJQ49" s="952"/>
      <c r="HJR49" s="952"/>
      <c r="HJS49" s="952"/>
      <c r="HJT49" s="952"/>
      <c r="HJU49" s="952"/>
      <c r="HJV49" s="952"/>
      <c r="HJW49" s="952"/>
      <c r="HJX49" s="952"/>
      <c r="HJY49" s="952"/>
      <c r="HJZ49" s="952"/>
      <c r="HKA49" s="952"/>
      <c r="HKB49" s="952"/>
      <c r="HKC49" s="952"/>
      <c r="HKD49" s="952"/>
      <c r="HKE49" s="952"/>
      <c r="HKF49" s="952"/>
      <c r="HKG49" s="952"/>
      <c r="HKH49" s="952"/>
      <c r="HKI49" s="952"/>
      <c r="HKJ49" s="952"/>
      <c r="HKK49" s="952"/>
      <c r="HKL49" s="952"/>
      <c r="HKM49" s="952"/>
      <c r="HKN49" s="952"/>
      <c r="HKO49" s="952"/>
      <c r="HKP49" s="952"/>
      <c r="HKQ49" s="952"/>
      <c r="HKR49" s="952"/>
      <c r="HKS49" s="952"/>
      <c r="HKT49" s="952"/>
      <c r="HKU49" s="952"/>
      <c r="HKV49" s="952"/>
      <c r="HKW49" s="952"/>
      <c r="HKX49" s="952"/>
      <c r="HKY49" s="952"/>
      <c r="HKZ49" s="952"/>
      <c r="HLA49" s="952"/>
      <c r="HLB49" s="952"/>
      <c r="HLC49" s="952"/>
      <c r="HLD49" s="952"/>
      <c r="HLE49" s="952"/>
      <c r="HLF49" s="952"/>
      <c r="HLG49" s="952"/>
      <c r="HLH49" s="952"/>
      <c r="HLI49" s="952"/>
      <c r="HLJ49" s="952"/>
      <c r="HLK49" s="952"/>
      <c r="HLL49" s="952"/>
      <c r="HLM49" s="952"/>
      <c r="HLN49" s="952"/>
      <c r="HLO49" s="952"/>
      <c r="HLP49" s="952"/>
      <c r="HLQ49" s="952"/>
      <c r="HLR49" s="952"/>
      <c r="HLS49" s="952"/>
      <c r="HLT49" s="952"/>
      <c r="HLU49" s="952"/>
      <c r="HLV49" s="952"/>
      <c r="HLW49" s="952"/>
      <c r="HLX49" s="952"/>
      <c r="HLY49" s="952"/>
      <c r="HLZ49" s="952"/>
      <c r="HMA49" s="952"/>
      <c r="HMB49" s="952"/>
      <c r="HMC49" s="952"/>
      <c r="HMD49" s="952"/>
      <c r="HME49" s="952"/>
      <c r="HMF49" s="952"/>
      <c r="HMG49" s="952"/>
      <c r="HMH49" s="952"/>
      <c r="HMI49" s="952"/>
      <c r="HMJ49" s="952"/>
      <c r="HMK49" s="952"/>
      <c r="HML49" s="952"/>
      <c r="HMM49" s="952"/>
      <c r="HMN49" s="952"/>
      <c r="HMO49" s="952"/>
      <c r="HMP49" s="952"/>
      <c r="HMQ49" s="952"/>
      <c r="HMR49" s="952"/>
      <c r="HMS49" s="952"/>
      <c r="HMT49" s="952"/>
      <c r="HMU49" s="952"/>
      <c r="HMV49" s="952"/>
      <c r="HMW49" s="952"/>
      <c r="HMX49" s="952"/>
      <c r="HMY49" s="952"/>
      <c r="HMZ49" s="952"/>
      <c r="HNA49" s="952"/>
      <c r="HNB49" s="952"/>
      <c r="HNC49" s="952"/>
      <c r="HND49" s="952"/>
      <c r="HNE49" s="952"/>
      <c r="HNF49" s="952"/>
      <c r="HNG49" s="952"/>
      <c r="HNH49" s="952"/>
      <c r="HNI49" s="952"/>
      <c r="HNJ49" s="952"/>
      <c r="HNK49" s="952"/>
      <c r="HNL49" s="952"/>
      <c r="HNM49" s="952"/>
      <c r="HNN49" s="952"/>
      <c r="HNO49" s="952"/>
      <c r="HNP49" s="952"/>
      <c r="HNQ49" s="952"/>
      <c r="HNR49" s="952"/>
      <c r="HNS49" s="952"/>
      <c r="HNT49" s="952"/>
      <c r="HNU49" s="952"/>
      <c r="HNV49" s="952"/>
      <c r="HNW49" s="952"/>
      <c r="HNX49" s="952"/>
      <c r="HNY49" s="952"/>
      <c r="HNZ49" s="952"/>
      <c r="HOA49" s="952"/>
      <c r="HOB49" s="952"/>
      <c r="HOC49" s="952"/>
      <c r="HOD49" s="952"/>
      <c r="HOE49" s="952"/>
      <c r="HOF49" s="952"/>
      <c r="HOG49" s="952"/>
      <c r="HOH49" s="952"/>
      <c r="HOI49" s="952"/>
      <c r="HOJ49" s="952"/>
      <c r="HOK49" s="952"/>
      <c r="HOL49" s="952"/>
      <c r="HOM49" s="952"/>
      <c r="HON49" s="952"/>
      <c r="HOO49" s="952"/>
      <c r="HOP49" s="952"/>
      <c r="HOQ49" s="952"/>
      <c r="HOR49" s="952"/>
      <c r="HOS49" s="952"/>
      <c r="HOT49" s="952"/>
      <c r="HOU49" s="952"/>
      <c r="HOV49" s="952"/>
      <c r="HOW49" s="952"/>
      <c r="HOX49" s="952"/>
      <c r="HOY49" s="952"/>
      <c r="HOZ49" s="952"/>
      <c r="HPA49" s="952"/>
      <c r="HPB49" s="952"/>
      <c r="HPC49" s="952"/>
      <c r="HPD49" s="952"/>
      <c r="HPE49" s="952"/>
      <c r="HPF49" s="952"/>
      <c r="HPG49" s="952"/>
      <c r="HPH49" s="952"/>
      <c r="HPI49" s="952"/>
      <c r="HPJ49" s="952"/>
      <c r="HPK49" s="952"/>
      <c r="HPL49" s="952"/>
      <c r="HPM49" s="952"/>
      <c r="HPN49" s="952"/>
      <c r="HPO49" s="952"/>
      <c r="HPP49" s="952"/>
      <c r="HPQ49" s="952"/>
      <c r="HPR49" s="952"/>
      <c r="HPS49" s="952"/>
      <c r="HPT49" s="952"/>
      <c r="HPU49" s="952"/>
      <c r="HPV49" s="952"/>
      <c r="HPW49" s="952"/>
      <c r="HPX49" s="952"/>
      <c r="HPY49" s="952"/>
      <c r="HPZ49" s="952"/>
      <c r="HQA49" s="952"/>
      <c r="HQB49" s="952"/>
      <c r="HQC49" s="952"/>
      <c r="HQD49" s="952"/>
      <c r="HQE49" s="952"/>
      <c r="HQF49" s="952"/>
      <c r="HQG49" s="952"/>
      <c r="HQH49" s="952"/>
      <c r="HQI49" s="952"/>
      <c r="HQJ49" s="952"/>
      <c r="HQK49" s="952"/>
      <c r="HQL49" s="952"/>
      <c r="HQM49" s="952"/>
      <c r="HQN49" s="952"/>
      <c r="HQO49" s="952"/>
      <c r="HQP49" s="952"/>
      <c r="HQQ49" s="952"/>
      <c r="HQR49" s="952"/>
      <c r="HQS49" s="952"/>
      <c r="HQT49" s="952"/>
      <c r="HQU49" s="952"/>
      <c r="HQV49" s="952"/>
      <c r="HQW49" s="952"/>
      <c r="HQX49" s="952"/>
      <c r="HQY49" s="952"/>
      <c r="HQZ49" s="952"/>
      <c r="HRA49" s="952"/>
      <c r="HRB49" s="952"/>
      <c r="HRC49" s="952"/>
      <c r="HRD49" s="952"/>
      <c r="HRE49" s="952"/>
      <c r="HRF49" s="952"/>
      <c r="HRG49" s="952"/>
      <c r="HRH49" s="952"/>
      <c r="HRI49" s="952"/>
      <c r="HRJ49" s="952"/>
      <c r="HRK49" s="952"/>
      <c r="HRL49" s="952"/>
      <c r="HRM49" s="952"/>
      <c r="HRN49" s="952"/>
      <c r="HRO49" s="952"/>
      <c r="HRP49" s="952"/>
      <c r="HRQ49" s="952"/>
      <c r="HRR49" s="952"/>
      <c r="HRS49" s="952"/>
      <c r="HRT49" s="952"/>
      <c r="HRU49" s="952"/>
      <c r="HRV49" s="952"/>
      <c r="HRW49" s="952"/>
      <c r="HRX49" s="952"/>
      <c r="HRY49" s="952"/>
      <c r="HRZ49" s="952"/>
      <c r="HSA49" s="952"/>
      <c r="HSB49" s="952"/>
      <c r="HSC49" s="952"/>
      <c r="HSD49" s="952"/>
      <c r="HSE49" s="952"/>
      <c r="HSF49" s="952"/>
      <c r="HSG49" s="952"/>
      <c r="HSH49" s="952"/>
      <c r="HSI49" s="952"/>
      <c r="HSJ49" s="952"/>
      <c r="HSK49" s="952"/>
      <c r="HSL49" s="952"/>
      <c r="HSM49" s="952"/>
      <c r="HSN49" s="952"/>
      <c r="HSO49" s="952"/>
      <c r="HSP49" s="952"/>
      <c r="HSQ49" s="952"/>
      <c r="HSR49" s="952"/>
      <c r="HSS49" s="952"/>
      <c r="HST49" s="952"/>
      <c r="HSU49" s="952"/>
      <c r="HSV49" s="952"/>
      <c r="HSW49" s="952"/>
      <c r="HSX49" s="952"/>
      <c r="HSY49" s="952"/>
      <c r="HSZ49" s="952"/>
      <c r="HTA49" s="952"/>
      <c r="HTB49" s="952"/>
      <c r="HTC49" s="952"/>
      <c r="HTD49" s="952"/>
      <c r="HTE49" s="952"/>
      <c r="HTF49" s="952"/>
      <c r="HTG49" s="952"/>
      <c r="HTH49" s="952"/>
      <c r="HTI49" s="952"/>
      <c r="HTJ49" s="952"/>
      <c r="HTK49" s="952"/>
      <c r="HTL49" s="952"/>
      <c r="HTM49" s="952"/>
      <c r="HTN49" s="952"/>
      <c r="HTO49" s="952"/>
      <c r="HTP49" s="952"/>
      <c r="HTQ49" s="952"/>
      <c r="HTR49" s="952"/>
      <c r="HTS49" s="952"/>
      <c r="HTT49" s="952"/>
      <c r="HTU49" s="952"/>
      <c r="HTV49" s="952"/>
      <c r="HTW49" s="952"/>
      <c r="HTX49" s="952"/>
      <c r="HTY49" s="952"/>
      <c r="HTZ49" s="952"/>
      <c r="HUA49" s="952"/>
      <c r="HUB49" s="952"/>
      <c r="HUC49" s="952"/>
      <c r="HUD49" s="952"/>
      <c r="HUE49" s="952"/>
      <c r="HUF49" s="952"/>
      <c r="HUG49" s="952"/>
      <c r="HUH49" s="952"/>
      <c r="HUI49" s="952"/>
      <c r="HUJ49" s="952"/>
      <c r="HUK49" s="952"/>
      <c r="HUL49" s="952"/>
      <c r="HUM49" s="952"/>
      <c r="HUN49" s="952"/>
      <c r="HUO49" s="952"/>
      <c r="HUP49" s="952"/>
      <c r="HUQ49" s="952"/>
      <c r="HUR49" s="952"/>
      <c r="HUS49" s="952"/>
      <c r="HUT49" s="952"/>
      <c r="HUU49" s="952"/>
      <c r="HUV49" s="952"/>
      <c r="HUW49" s="952"/>
      <c r="HUX49" s="952"/>
      <c r="HUY49" s="952"/>
      <c r="HUZ49" s="952"/>
      <c r="HVA49" s="952"/>
      <c r="HVB49" s="952"/>
      <c r="HVC49" s="952"/>
      <c r="HVD49" s="952"/>
      <c r="HVE49" s="952"/>
      <c r="HVF49" s="952"/>
      <c r="HVG49" s="952"/>
      <c r="HVH49" s="952"/>
      <c r="HVI49" s="952"/>
      <c r="HVJ49" s="952"/>
      <c r="HVK49" s="952"/>
      <c r="HVL49" s="952"/>
      <c r="HVM49" s="952"/>
      <c r="HVN49" s="952"/>
      <c r="HVO49" s="952"/>
      <c r="HVP49" s="952"/>
      <c r="HVQ49" s="952"/>
      <c r="HVR49" s="952"/>
      <c r="HVS49" s="952"/>
      <c r="HVT49" s="952"/>
      <c r="HVU49" s="952"/>
      <c r="HVV49" s="952"/>
      <c r="HVW49" s="952"/>
      <c r="HVX49" s="952"/>
      <c r="HVY49" s="952"/>
      <c r="HVZ49" s="952"/>
      <c r="HWA49" s="952"/>
      <c r="HWB49" s="952"/>
      <c r="HWC49" s="952"/>
      <c r="HWD49" s="952"/>
      <c r="HWE49" s="952"/>
      <c r="HWF49" s="952"/>
      <c r="HWG49" s="952"/>
      <c r="HWH49" s="952"/>
      <c r="HWI49" s="952"/>
      <c r="HWJ49" s="952"/>
      <c r="HWK49" s="952"/>
      <c r="HWL49" s="952"/>
      <c r="HWM49" s="952"/>
      <c r="HWN49" s="952"/>
      <c r="HWO49" s="952"/>
      <c r="HWP49" s="952"/>
      <c r="HWQ49" s="952"/>
      <c r="HWR49" s="952"/>
      <c r="HWS49" s="952"/>
      <c r="HWT49" s="952"/>
      <c r="HWU49" s="952"/>
      <c r="HWV49" s="952"/>
      <c r="HWW49" s="952"/>
      <c r="HWX49" s="952"/>
      <c r="HWY49" s="952"/>
      <c r="HWZ49" s="952"/>
      <c r="HXA49" s="952"/>
      <c r="HXB49" s="952"/>
      <c r="HXC49" s="952"/>
      <c r="HXD49" s="952"/>
      <c r="HXE49" s="952"/>
      <c r="HXF49" s="952"/>
      <c r="HXG49" s="952"/>
      <c r="HXH49" s="952"/>
      <c r="HXI49" s="952"/>
      <c r="HXJ49" s="952"/>
      <c r="HXK49" s="952"/>
      <c r="HXL49" s="952"/>
      <c r="HXM49" s="952"/>
      <c r="HXN49" s="952"/>
      <c r="HXO49" s="952"/>
      <c r="HXP49" s="952"/>
      <c r="HXQ49" s="952"/>
      <c r="HXR49" s="952"/>
      <c r="HXS49" s="952"/>
      <c r="HXT49" s="952"/>
      <c r="HXU49" s="952"/>
      <c r="HXV49" s="952"/>
      <c r="HXW49" s="952"/>
      <c r="HXX49" s="952"/>
      <c r="HXY49" s="952"/>
      <c r="HXZ49" s="952"/>
      <c r="HYA49" s="952"/>
      <c r="HYB49" s="952"/>
      <c r="HYC49" s="952"/>
      <c r="HYD49" s="952"/>
      <c r="HYE49" s="952"/>
      <c r="HYF49" s="952"/>
      <c r="HYG49" s="952"/>
      <c r="HYH49" s="952"/>
      <c r="HYI49" s="952"/>
      <c r="HYJ49" s="952"/>
      <c r="HYK49" s="952"/>
      <c r="HYL49" s="952"/>
      <c r="HYM49" s="952"/>
      <c r="HYN49" s="952"/>
      <c r="HYO49" s="952"/>
      <c r="HYP49" s="952"/>
      <c r="HYQ49" s="952"/>
      <c r="HYR49" s="952"/>
      <c r="HYS49" s="952"/>
      <c r="HYT49" s="952"/>
      <c r="HYU49" s="952"/>
      <c r="HYV49" s="952"/>
      <c r="HYW49" s="952"/>
      <c r="HYX49" s="952"/>
      <c r="HYY49" s="952"/>
      <c r="HYZ49" s="952"/>
      <c r="HZA49" s="952"/>
      <c r="HZB49" s="952"/>
      <c r="HZC49" s="952"/>
      <c r="HZD49" s="952"/>
      <c r="HZE49" s="952"/>
      <c r="HZF49" s="952"/>
      <c r="HZG49" s="952"/>
      <c r="HZH49" s="952"/>
      <c r="HZI49" s="952"/>
      <c r="HZJ49" s="952"/>
      <c r="HZK49" s="952"/>
      <c r="HZL49" s="952"/>
      <c r="HZM49" s="952"/>
      <c r="HZN49" s="952"/>
      <c r="HZO49" s="952"/>
      <c r="HZP49" s="952"/>
      <c r="HZQ49" s="952"/>
      <c r="HZR49" s="952"/>
      <c r="HZS49" s="952"/>
      <c r="HZT49" s="952"/>
      <c r="HZU49" s="952"/>
      <c r="HZV49" s="952"/>
      <c r="HZW49" s="952"/>
      <c r="HZX49" s="952"/>
      <c r="HZY49" s="952"/>
      <c r="HZZ49" s="952"/>
      <c r="IAA49" s="952"/>
      <c r="IAB49" s="952"/>
      <c r="IAC49" s="952"/>
      <c r="IAD49" s="952"/>
      <c r="IAE49" s="952"/>
      <c r="IAF49" s="952"/>
      <c r="IAG49" s="952"/>
      <c r="IAH49" s="952"/>
      <c r="IAI49" s="952"/>
      <c r="IAJ49" s="952"/>
      <c r="IAK49" s="952"/>
      <c r="IAL49" s="952"/>
      <c r="IAM49" s="952"/>
      <c r="IAN49" s="952"/>
      <c r="IAO49" s="952"/>
      <c r="IAP49" s="952"/>
      <c r="IAQ49" s="952"/>
      <c r="IAR49" s="952"/>
      <c r="IAS49" s="952"/>
      <c r="IAT49" s="952"/>
      <c r="IAU49" s="952"/>
      <c r="IAV49" s="952"/>
      <c r="IAW49" s="952"/>
      <c r="IAX49" s="952"/>
      <c r="IAY49" s="952"/>
      <c r="IAZ49" s="952"/>
      <c r="IBA49" s="952"/>
      <c r="IBB49" s="952"/>
      <c r="IBC49" s="952"/>
      <c r="IBD49" s="952"/>
      <c r="IBE49" s="952"/>
      <c r="IBF49" s="952"/>
      <c r="IBG49" s="952"/>
      <c r="IBH49" s="952"/>
      <c r="IBI49" s="952"/>
      <c r="IBJ49" s="952"/>
      <c r="IBK49" s="952"/>
      <c r="IBL49" s="952"/>
      <c r="IBM49" s="952"/>
      <c r="IBN49" s="952"/>
      <c r="IBO49" s="952"/>
      <c r="IBP49" s="952"/>
      <c r="IBQ49" s="952"/>
      <c r="IBR49" s="952"/>
      <c r="IBS49" s="952"/>
      <c r="IBT49" s="952"/>
      <c r="IBU49" s="952"/>
      <c r="IBV49" s="952"/>
      <c r="IBW49" s="952"/>
      <c r="IBX49" s="952"/>
      <c r="IBY49" s="952"/>
      <c r="IBZ49" s="952"/>
      <c r="ICA49" s="952"/>
      <c r="ICB49" s="952"/>
      <c r="ICC49" s="952"/>
      <c r="ICD49" s="952"/>
      <c r="ICE49" s="952"/>
      <c r="ICF49" s="952"/>
      <c r="ICG49" s="952"/>
      <c r="ICH49" s="952"/>
      <c r="ICI49" s="952"/>
      <c r="ICJ49" s="952"/>
      <c r="ICK49" s="952"/>
      <c r="ICL49" s="952"/>
      <c r="ICM49" s="952"/>
      <c r="ICN49" s="952"/>
      <c r="ICO49" s="952"/>
      <c r="ICP49" s="952"/>
      <c r="ICQ49" s="952"/>
      <c r="ICR49" s="952"/>
      <c r="ICS49" s="952"/>
      <c r="ICT49" s="952"/>
      <c r="ICU49" s="952"/>
      <c r="ICV49" s="952"/>
      <c r="ICW49" s="952"/>
      <c r="ICX49" s="952"/>
      <c r="ICY49" s="952"/>
      <c r="ICZ49" s="952"/>
      <c r="IDA49" s="952"/>
      <c r="IDB49" s="952"/>
      <c r="IDC49" s="952"/>
      <c r="IDD49" s="952"/>
      <c r="IDE49" s="952"/>
      <c r="IDF49" s="952"/>
      <c r="IDG49" s="952"/>
      <c r="IDH49" s="952"/>
      <c r="IDI49" s="952"/>
      <c r="IDJ49" s="952"/>
      <c r="IDK49" s="952"/>
      <c r="IDL49" s="952"/>
      <c r="IDM49" s="952"/>
      <c r="IDN49" s="952"/>
      <c r="IDO49" s="952"/>
      <c r="IDP49" s="952"/>
      <c r="IDQ49" s="952"/>
      <c r="IDR49" s="952"/>
      <c r="IDS49" s="952"/>
      <c r="IDT49" s="952"/>
      <c r="IDU49" s="952"/>
      <c r="IDV49" s="952"/>
      <c r="IDW49" s="952"/>
      <c r="IDX49" s="952"/>
      <c r="IDY49" s="952"/>
      <c r="IDZ49" s="952"/>
      <c r="IEA49" s="952"/>
      <c r="IEB49" s="952"/>
      <c r="IEC49" s="952"/>
      <c r="IED49" s="952"/>
      <c r="IEE49" s="952"/>
      <c r="IEF49" s="952"/>
      <c r="IEG49" s="952"/>
      <c r="IEH49" s="952"/>
      <c r="IEI49" s="952"/>
      <c r="IEJ49" s="952"/>
      <c r="IEK49" s="952"/>
      <c r="IEL49" s="952"/>
      <c r="IEM49" s="952"/>
      <c r="IEN49" s="952"/>
      <c r="IEO49" s="952"/>
      <c r="IEP49" s="952"/>
      <c r="IEQ49" s="952"/>
      <c r="IER49" s="952"/>
      <c r="IES49" s="952"/>
      <c r="IET49" s="952"/>
      <c r="IEU49" s="952"/>
      <c r="IEV49" s="952"/>
      <c r="IEW49" s="952"/>
      <c r="IEX49" s="952"/>
      <c r="IEY49" s="952"/>
      <c r="IEZ49" s="952"/>
      <c r="IFA49" s="952"/>
      <c r="IFB49" s="952"/>
      <c r="IFC49" s="952"/>
      <c r="IFD49" s="952"/>
      <c r="IFE49" s="952"/>
      <c r="IFF49" s="952"/>
      <c r="IFG49" s="952"/>
      <c r="IFH49" s="952"/>
      <c r="IFI49" s="952"/>
      <c r="IFJ49" s="952"/>
      <c r="IFK49" s="952"/>
      <c r="IFL49" s="952"/>
      <c r="IFM49" s="952"/>
      <c r="IFN49" s="952"/>
      <c r="IFO49" s="952"/>
      <c r="IFP49" s="952"/>
      <c r="IFQ49" s="952"/>
      <c r="IFR49" s="952"/>
      <c r="IFS49" s="952"/>
      <c r="IFT49" s="952"/>
      <c r="IFU49" s="952"/>
      <c r="IFV49" s="952"/>
      <c r="IFW49" s="952"/>
      <c r="IFX49" s="952"/>
      <c r="IFY49" s="952"/>
      <c r="IFZ49" s="952"/>
      <c r="IGA49" s="952"/>
      <c r="IGB49" s="952"/>
      <c r="IGC49" s="952"/>
      <c r="IGD49" s="952"/>
      <c r="IGE49" s="952"/>
      <c r="IGF49" s="952"/>
      <c r="IGG49" s="952"/>
      <c r="IGH49" s="952"/>
      <c r="IGI49" s="952"/>
      <c r="IGJ49" s="952"/>
      <c r="IGK49" s="952"/>
      <c r="IGL49" s="952"/>
      <c r="IGM49" s="952"/>
      <c r="IGN49" s="952"/>
      <c r="IGO49" s="952"/>
      <c r="IGP49" s="952"/>
      <c r="IGQ49" s="952"/>
      <c r="IGR49" s="952"/>
      <c r="IGS49" s="952"/>
      <c r="IGT49" s="952"/>
      <c r="IGU49" s="952"/>
      <c r="IGV49" s="952"/>
      <c r="IGW49" s="952"/>
      <c r="IGX49" s="952"/>
      <c r="IGY49" s="952"/>
      <c r="IGZ49" s="952"/>
      <c r="IHA49" s="952"/>
      <c r="IHB49" s="952"/>
      <c r="IHC49" s="952"/>
      <c r="IHD49" s="952"/>
      <c r="IHE49" s="952"/>
      <c r="IHF49" s="952"/>
      <c r="IHG49" s="952"/>
      <c r="IHH49" s="952"/>
      <c r="IHI49" s="952"/>
      <c r="IHJ49" s="952"/>
      <c r="IHK49" s="952"/>
      <c r="IHL49" s="952"/>
      <c r="IHM49" s="952"/>
      <c r="IHN49" s="952"/>
      <c r="IHO49" s="952"/>
      <c r="IHP49" s="952"/>
      <c r="IHQ49" s="952"/>
      <c r="IHR49" s="952"/>
      <c r="IHS49" s="952"/>
      <c r="IHT49" s="952"/>
      <c r="IHU49" s="952"/>
      <c r="IHV49" s="952"/>
      <c r="IHW49" s="952"/>
      <c r="IHX49" s="952"/>
      <c r="IHY49" s="952"/>
      <c r="IHZ49" s="952"/>
      <c r="IIA49" s="952"/>
      <c r="IIB49" s="952"/>
      <c r="IIC49" s="952"/>
      <c r="IID49" s="952"/>
      <c r="IIE49" s="952"/>
      <c r="IIF49" s="952"/>
      <c r="IIG49" s="952"/>
      <c r="IIH49" s="952"/>
      <c r="III49" s="952"/>
      <c r="IIJ49" s="952"/>
      <c r="IIK49" s="952"/>
      <c r="IIL49" s="952"/>
      <c r="IIM49" s="952"/>
      <c r="IIN49" s="952"/>
      <c r="IIO49" s="952"/>
      <c r="IIP49" s="952"/>
      <c r="IIQ49" s="952"/>
      <c r="IIR49" s="952"/>
      <c r="IIS49" s="952"/>
      <c r="IIT49" s="952"/>
      <c r="IIU49" s="952"/>
      <c r="IIV49" s="952"/>
      <c r="IIW49" s="952"/>
      <c r="IIX49" s="952"/>
      <c r="IIY49" s="952"/>
      <c r="IIZ49" s="952"/>
      <c r="IJA49" s="952"/>
      <c r="IJB49" s="952"/>
      <c r="IJC49" s="952"/>
      <c r="IJD49" s="952"/>
      <c r="IJE49" s="952"/>
      <c r="IJF49" s="952"/>
      <c r="IJG49" s="952"/>
      <c r="IJH49" s="952"/>
      <c r="IJI49" s="952"/>
      <c r="IJJ49" s="952"/>
      <c r="IJK49" s="952"/>
      <c r="IJL49" s="952"/>
      <c r="IJM49" s="952"/>
      <c r="IJN49" s="952"/>
      <c r="IJO49" s="952"/>
      <c r="IJP49" s="952"/>
      <c r="IJQ49" s="952"/>
      <c r="IJR49" s="952"/>
      <c r="IJS49" s="952"/>
      <c r="IJT49" s="952"/>
      <c r="IJU49" s="952"/>
      <c r="IJV49" s="952"/>
      <c r="IJW49" s="952"/>
      <c r="IJX49" s="952"/>
      <c r="IJY49" s="952"/>
      <c r="IJZ49" s="952"/>
      <c r="IKA49" s="952"/>
      <c r="IKB49" s="952"/>
      <c r="IKC49" s="952"/>
      <c r="IKD49" s="952"/>
      <c r="IKE49" s="952"/>
      <c r="IKF49" s="952"/>
      <c r="IKG49" s="952"/>
      <c r="IKH49" s="952"/>
      <c r="IKI49" s="952"/>
      <c r="IKJ49" s="952"/>
      <c r="IKK49" s="952"/>
      <c r="IKL49" s="952"/>
      <c r="IKM49" s="952"/>
      <c r="IKN49" s="952"/>
      <c r="IKO49" s="952"/>
      <c r="IKP49" s="952"/>
      <c r="IKQ49" s="952"/>
      <c r="IKR49" s="952"/>
      <c r="IKS49" s="952"/>
      <c r="IKT49" s="952"/>
      <c r="IKU49" s="952"/>
      <c r="IKV49" s="952"/>
      <c r="IKW49" s="952"/>
      <c r="IKX49" s="952"/>
      <c r="IKY49" s="952"/>
      <c r="IKZ49" s="952"/>
      <c r="ILA49" s="952"/>
      <c r="ILB49" s="952"/>
      <c r="ILC49" s="952"/>
      <c r="ILD49" s="952"/>
      <c r="ILE49" s="952"/>
      <c r="ILF49" s="952"/>
      <c r="ILG49" s="952"/>
      <c r="ILH49" s="952"/>
      <c r="ILI49" s="952"/>
      <c r="ILJ49" s="952"/>
      <c r="ILK49" s="952"/>
      <c r="ILL49" s="952"/>
      <c r="ILM49" s="952"/>
      <c r="ILN49" s="952"/>
      <c r="ILO49" s="952"/>
      <c r="ILP49" s="952"/>
      <c r="ILQ49" s="952"/>
      <c r="ILR49" s="952"/>
      <c r="ILS49" s="952"/>
      <c r="ILT49" s="952"/>
      <c r="ILU49" s="952"/>
      <c r="ILV49" s="952"/>
      <c r="ILW49" s="952"/>
      <c r="ILX49" s="952"/>
      <c r="ILY49" s="952"/>
      <c r="ILZ49" s="952"/>
      <c r="IMA49" s="952"/>
      <c r="IMB49" s="952"/>
      <c r="IMC49" s="952"/>
      <c r="IMD49" s="952"/>
      <c r="IME49" s="952"/>
      <c r="IMF49" s="952"/>
      <c r="IMG49" s="952"/>
      <c r="IMH49" s="952"/>
      <c r="IMI49" s="952"/>
      <c r="IMJ49" s="952"/>
      <c r="IMK49" s="952"/>
      <c r="IML49" s="952"/>
      <c r="IMM49" s="952"/>
      <c r="IMN49" s="952"/>
      <c r="IMO49" s="952"/>
      <c r="IMP49" s="952"/>
      <c r="IMQ49" s="952"/>
      <c r="IMR49" s="952"/>
      <c r="IMS49" s="952"/>
      <c r="IMT49" s="952"/>
      <c r="IMU49" s="952"/>
      <c r="IMV49" s="952"/>
      <c r="IMW49" s="952"/>
      <c r="IMX49" s="952"/>
      <c r="IMY49" s="952"/>
      <c r="IMZ49" s="952"/>
      <c r="INA49" s="952"/>
      <c r="INB49" s="952"/>
      <c r="INC49" s="952"/>
      <c r="IND49" s="952"/>
      <c r="INE49" s="952"/>
      <c r="INF49" s="952"/>
      <c r="ING49" s="952"/>
      <c r="INH49" s="952"/>
      <c r="INI49" s="952"/>
      <c r="INJ49" s="952"/>
      <c r="INK49" s="952"/>
      <c r="INL49" s="952"/>
      <c r="INM49" s="952"/>
      <c r="INN49" s="952"/>
      <c r="INO49" s="952"/>
      <c r="INP49" s="952"/>
      <c r="INQ49" s="952"/>
      <c r="INR49" s="952"/>
      <c r="INS49" s="952"/>
      <c r="INT49" s="952"/>
      <c r="INU49" s="952"/>
      <c r="INV49" s="952"/>
      <c r="INW49" s="952"/>
      <c r="INX49" s="952"/>
      <c r="INY49" s="952"/>
      <c r="INZ49" s="952"/>
      <c r="IOA49" s="952"/>
      <c r="IOB49" s="952"/>
      <c r="IOC49" s="952"/>
      <c r="IOD49" s="952"/>
      <c r="IOE49" s="952"/>
      <c r="IOF49" s="952"/>
      <c r="IOG49" s="952"/>
      <c r="IOH49" s="952"/>
      <c r="IOI49" s="952"/>
      <c r="IOJ49" s="952"/>
      <c r="IOK49" s="952"/>
      <c r="IOL49" s="952"/>
      <c r="IOM49" s="952"/>
      <c r="ION49" s="952"/>
      <c r="IOO49" s="952"/>
      <c r="IOP49" s="952"/>
      <c r="IOQ49" s="952"/>
      <c r="IOR49" s="952"/>
      <c r="IOS49" s="952"/>
      <c r="IOT49" s="952"/>
      <c r="IOU49" s="952"/>
      <c r="IOV49" s="952"/>
      <c r="IOW49" s="952"/>
      <c r="IOX49" s="952"/>
      <c r="IOY49" s="952"/>
      <c r="IOZ49" s="952"/>
      <c r="IPA49" s="952"/>
      <c r="IPB49" s="952"/>
      <c r="IPC49" s="952"/>
      <c r="IPD49" s="952"/>
      <c r="IPE49" s="952"/>
      <c r="IPF49" s="952"/>
      <c r="IPG49" s="952"/>
      <c r="IPH49" s="952"/>
      <c r="IPI49" s="952"/>
      <c r="IPJ49" s="952"/>
      <c r="IPK49" s="952"/>
      <c r="IPL49" s="952"/>
      <c r="IPM49" s="952"/>
      <c r="IPN49" s="952"/>
      <c r="IPO49" s="952"/>
      <c r="IPP49" s="952"/>
      <c r="IPQ49" s="952"/>
      <c r="IPR49" s="952"/>
      <c r="IPS49" s="952"/>
      <c r="IPT49" s="952"/>
      <c r="IPU49" s="952"/>
      <c r="IPV49" s="952"/>
      <c r="IPW49" s="952"/>
      <c r="IPX49" s="952"/>
      <c r="IPY49" s="952"/>
      <c r="IPZ49" s="952"/>
      <c r="IQA49" s="952"/>
      <c r="IQB49" s="952"/>
      <c r="IQC49" s="952"/>
      <c r="IQD49" s="952"/>
      <c r="IQE49" s="952"/>
      <c r="IQF49" s="952"/>
      <c r="IQG49" s="952"/>
      <c r="IQH49" s="952"/>
      <c r="IQI49" s="952"/>
      <c r="IQJ49" s="952"/>
      <c r="IQK49" s="952"/>
      <c r="IQL49" s="952"/>
      <c r="IQM49" s="952"/>
      <c r="IQN49" s="952"/>
      <c r="IQO49" s="952"/>
      <c r="IQP49" s="952"/>
      <c r="IQQ49" s="952"/>
      <c r="IQR49" s="952"/>
      <c r="IQS49" s="952"/>
      <c r="IQT49" s="952"/>
      <c r="IQU49" s="952"/>
      <c r="IQV49" s="952"/>
      <c r="IQW49" s="952"/>
      <c r="IQX49" s="952"/>
      <c r="IQY49" s="952"/>
      <c r="IQZ49" s="952"/>
      <c r="IRA49" s="952"/>
      <c r="IRB49" s="952"/>
      <c r="IRC49" s="952"/>
      <c r="IRD49" s="952"/>
      <c r="IRE49" s="952"/>
      <c r="IRF49" s="952"/>
      <c r="IRG49" s="952"/>
      <c r="IRH49" s="952"/>
      <c r="IRI49" s="952"/>
      <c r="IRJ49" s="952"/>
      <c r="IRK49" s="952"/>
      <c r="IRL49" s="952"/>
      <c r="IRM49" s="952"/>
      <c r="IRN49" s="952"/>
      <c r="IRO49" s="952"/>
      <c r="IRP49" s="952"/>
      <c r="IRQ49" s="952"/>
      <c r="IRR49" s="952"/>
      <c r="IRS49" s="952"/>
      <c r="IRT49" s="952"/>
      <c r="IRU49" s="952"/>
      <c r="IRV49" s="952"/>
      <c r="IRW49" s="952"/>
      <c r="IRX49" s="952"/>
      <c r="IRY49" s="952"/>
      <c r="IRZ49" s="952"/>
      <c r="ISA49" s="952"/>
      <c r="ISB49" s="952"/>
      <c r="ISC49" s="952"/>
      <c r="ISD49" s="952"/>
      <c r="ISE49" s="952"/>
      <c r="ISF49" s="952"/>
      <c r="ISG49" s="952"/>
      <c r="ISH49" s="952"/>
      <c r="ISI49" s="952"/>
      <c r="ISJ49" s="952"/>
      <c r="ISK49" s="952"/>
      <c r="ISL49" s="952"/>
      <c r="ISM49" s="952"/>
      <c r="ISN49" s="952"/>
      <c r="ISO49" s="952"/>
      <c r="ISP49" s="952"/>
      <c r="ISQ49" s="952"/>
      <c r="ISR49" s="952"/>
      <c r="ISS49" s="952"/>
      <c r="IST49" s="952"/>
      <c r="ISU49" s="952"/>
      <c r="ISV49" s="952"/>
      <c r="ISW49" s="952"/>
      <c r="ISX49" s="952"/>
      <c r="ISY49" s="952"/>
      <c r="ISZ49" s="952"/>
      <c r="ITA49" s="952"/>
      <c r="ITB49" s="952"/>
      <c r="ITC49" s="952"/>
      <c r="ITD49" s="952"/>
      <c r="ITE49" s="952"/>
      <c r="ITF49" s="952"/>
      <c r="ITG49" s="952"/>
      <c r="ITH49" s="952"/>
      <c r="ITI49" s="952"/>
      <c r="ITJ49" s="952"/>
      <c r="ITK49" s="952"/>
      <c r="ITL49" s="952"/>
      <c r="ITM49" s="952"/>
      <c r="ITN49" s="952"/>
      <c r="ITO49" s="952"/>
      <c r="ITP49" s="952"/>
      <c r="ITQ49" s="952"/>
      <c r="ITR49" s="952"/>
      <c r="ITS49" s="952"/>
      <c r="ITT49" s="952"/>
      <c r="ITU49" s="952"/>
      <c r="ITV49" s="952"/>
      <c r="ITW49" s="952"/>
      <c r="ITX49" s="952"/>
      <c r="ITY49" s="952"/>
      <c r="ITZ49" s="952"/>
      <c r="IUA49" s="952"/>
      <c r="IUB49" s="952"/>
      <c r="IUC49" s="952"/>
      <c r="IUD49" s="952"/>
      <c r="IUE49" s="952"/>
      <c r="IUF49" s="952"/>
      <c r="IUG49" s="952"/>
      <c r="IUH49" s="952"/>
      <c r="IUI49" s="952"/>
      <c r="IUJ49" s="952"/>
      <c r="IUK49" s="952"/>
      <c r="IUL49" s="952"/>
      <c r="IUM49" s="952"/>
      <c r="IUN49" s="952"/>
      <c r="IUO49" s="952"/>
      <c r="IUP49" s="952"/>
      <c r="IUQ49" s="952"/>
      <c r="IUR49" s="952"/>
      <c r="IUS49" s="952"/>
      <c r="IUT49" s="952"/>
      <c r="IUU49" s="952"/>
      <c r="IUV49" s="952"/>
      <c r="IUW49" s="952"/>
      <c r="IUX49" s="952"/>
      <c r="IUY49" s="952"/>
      <c r="IUZ49" s="952"/>
      <c r="IVA49" s="952"/>
      <c r="IVB49" s="952"/>
      <c r="IVC49" s="952"/>
      <c r="IVD49" s="952"/>
      <c r="IVE49" s="952"/>
      <c r="IVF49" s="952"/>
      <c r="IVG49" s="952"/>
      <c r="IVH49" s="952"/>
      <c r="IVI49" s="952"/>
      <c r="IVJ49" s="952"/>
      <c r="IVK49" s="952"/>
      <c r="IVL49" s="952"/>
      <c r="IVM49" s="952"/>
      <c r="IVN49" s="952"/>
      <c r="IVO49" s="952"/>
      <c r="IVP49" s="952"/>
      <c r="IVQ49" s="952"/>
      <c r="IVR49" s="952"/>
      <c r="IVS49" s="952"/>
      <c r="IVT49" s="952"/>
      <c r="IVU49" s="952"/>
      <c r="IVV49" s="952"/>
      <c r="IVW49" s="952"/>
      <c r="IVX49" s="952"/>
      <c r="IVY49" s="952"/>
      <c r="IVZ49" s="952"/>
      <c r="IWA49" s="952"/>
      <c r="IWB49" s="952"/>
      <c r="IWC49" s="952"/>
      <c r="IWD49" s="952"/>
      <c r="IWE49" s="952"/>
      <c r="IWF49" s="952"/>
      <c r="IWG49" s="952"/>
      <c r="IWH49" s="952"/>
      <c r="IWI49" s="952"/>
      <c r="IWJ49" s="952"/>
      <c r="IWK49" s="952"/>
      <c r="IWL49" s="952"/>
      <c r="IWM49" s="952"/>
      <c r="IWN49" s="952"/>
      <c r="IWO49" s="952"/>
      <c r="IWP49" s="952"/>
      <c r="IWQ49" s="952"/>
      <c r="IWR49" s="952"/>
      <c r="IWS49" s="952"/>
      <c r="IWT49" s="952"/>
      <c r="IWU49" s="952"/>
      <c r="IWV49" s="952"/>
      <c r="IWW49" s="952"/>
      <c r="IWX49" s="952"/>
      <c r="IWY49" s="952"/>
      <c r="IWZ49" s="952"/>
      <c r="IXA49" s="952"/>
      <c r="IXB49" s="952"/>
      <c r="IXC49" s="952"/>
      <c r="IXD49" s="952"/>
      <c r="IXE49" s="952"/>
      <c r="IXF49" s="952"/>
      <c r="IXG49" s="952"/>
      <c r="IXH49" s="952"/>
      <c r="IXI49" s="952"/>
      <c r="IXJ49" s="952"/>
      <c r="IXK49" s="952"/>
      <c r="IXL49" s="952"/>
      <c r="IXM49" s="952"/>
      <c r="IXN49" s="952"/>
      <c r="IXO49" s="952"/>
      <c r="IXP49" s="952"/>
      <c r="IXQ49" s="952"/>
      <c r="IXR49" s="952"/>
      <c r="IXS49" s="952"/>
      <c r="IXT49" s="952"/>
      <c r="IXU49" s="952"/>
      <c r="IXV49" s="952"/>
      <c r="IXW49" s="952"/>
      <c r="IXX49" s="952"/>
      <c r="IXY49" s="952"/>
      <c r="IXZ49" s="952"/>
      <c r="IYA49" s="952"/>
      <c r="IYB49" s="952"/>
      <c r="IYC49" s="952"/>
      <c r="IYD49" s="952"/>
      <c r="IYE49" s="952"/>
      <c r="IYF49" s="952"/>
      <c r="IYG49" s="952"/>
      <c r="IYH49" s="952"/>
      <c r="IYI49" s="952"/>
      <c r="IYJ49" s="952"/>
      <c r="IYK49" s="952"/>
      <c r="IYL49" s="952"/>
      <c r="IYM49" s="952"/>
      <c r="IYN49" s="952"/>
      <c r="IYO49" s="952"/>
      <c r="IYP49" s="952"/>
      <c r="IYQ49" s="952"/>
      <c r="IYR49" s="952"/>
      <c r="IYS49" s="952"/>
      <c r="IYT49" s="952"/>
      <c r="IYU49" s="952"/>
      <c r="IYV49" s="952"/>
      <c r="IYW49" s="952"/>
      <c r="IYX49" s="952"/>
      <c r="IYY49" s="952"/>
      <c r="IYZ49" s="952"/>
      <c r="IZA49" s="952"/>
      <c r="IZB49" s="952"/>
      <c r="IZC49" s="952"/>
      <c r="IZD49" s="952"/>
      <c r="IZE49" s="952"/>
      <c r="IZF49" s="952"/>
      <c r="IZG49" s="952"/>
      <c r="IZH49" s="952"/>
      <c r="IZI49" s="952"/>
      <c r="IZJ49" s="952"/>
      <c r="IZK49" s="952"/>
      <c r="IZL49" s="952"/>
      <c r="IZM49" s="952"/>
      <c r="IZN49" s="952"/>
      <c r="IZO49" s="952"/>
      <c r="IZP49" s="952"/>
      <c r="IZQ49" s="952"/>
      <c r="IZR49" s="952"/>
      <c r="IZS49" s="952"/>
      <c r="IZT49" s="952"/>
      <c r="IZU49" s="952"/>
      <c r="IZV49" s="952"/>
      <c r="IZW49" s="952"/>
      <c r="IZX49" s="952"/>
      <c r="IZY49" s="952"/>
      <c r="IZZ49" s="952"/>
      <c r="JAA49" s="952"/>
      <c r="JAB49" s="952"/>
      <c r="JAC49" s="952"/>
      <c r="JAD49" s="952"/>
      <c r="JAE49" s="952"/>
      <c r="JAF49" s="952"/>
      <c r="JAG49" s="952"/>
      <c r="JAH49" s="952"/>
      <c r="JAI49" s="952"/>
      <c r="JAJ49" s="952"/>
      <c r="JAK49" s="952"/>
      <c r="JAL49" s="952"/>
      <c r="JAM49" s="952"/>
      <c r="JAN49" s="952"/>
      <c r="JAO49" s="952"/>
      <c r="JAP49" s="952"/>
      <c r="JAQ49" s="952"/>
      <c r="JAR49" s="952"/>
      <c r="JAS49" s="952"/>
      <c r="JAT49" s="952"/>
      <c r="JAU49" s="952"/>
      <c r="JAV49" s="952"/>
      <c r="JAW49" s="952"/>
      <c r="JAX49" s="952"/>
      <c r="JAY49" s="952"/>
      <c r="JAZ49" s="952"/>
      <c r="JBA49" s="952"/>
      <c r="JBB49" s="952"/>
      <c r="JBC49" s="952"/>
      <c r="JBD49" s="952"/>
      <c r="JBE49" s="952"/>
      <c r="JBF49" s="952"/>
      <c r="JBG49" s="952"/>
      <c r="JBH49" s="952"/>
      <c r="JBI49" s="952"/>
      <c r="JBJ49" s="952"/>
      <c r="JBK49" s="952"/>
      <c r="JBL49" s="952"/>
      <c r="JBM49" s="952"/>
      <c r="JBN49" s="952"/>
      <c r="JBO49" s="952"/>
      <c r="JBP49" s="952"/>
      <c r="JBQ49" s="952"/>
      <c r="JBR49" s="952"/>
      <c r="JBS49" s="952"/>
      <c r="JBT49" s="952"/>
      <c r="JBU49" s="952"/>
      <c r="JBV49" s="952"/>
      <c r="JBW49" s="952"/>
      <c r="JBX49" s="952"/>
      <c r="JBY49" s="952"/>
      <c r="JBZ49" s="952"/>
      <c r="JCA49" s="952"/>
      <c r="JCB49" s="952"/>
      <c r="JCC49" s="952"/>
      <c r="JCD49" s="952"/>
      <c r="JCE49" s="952"/>
      <c r="JCF49" s="952"/>
      <c r="JCG49" s="952"/>
      <c r="JCH49" s="952"/>
      <c r="JCI49" s="952"/>
      <c r="JCJ49" s="952"/>
      <c r="JCK49" s="952"/>
      <c r="JCL49" s="952"/>
      <c r="JCM49" s="952"/>
      <c r="JCN49" s="952"/>
      <c r="JCO49" s="952"/>
      <c r="JCP49" s="952"/>
      <c r="JCQ49" s="952"/>
      <c r="JCR49" s="952"/>
      <c r="JCS49" s="952"/>
      <c r="JCT49" s="952"/>
      <c r="JCU49" s="952"/>
      <c r="JCV49" s="952"/>
      <c r="JCW49" s="952"/>
      <c r="JCX49" s="952"/>
      <c r="JCY49" s="952"/>
      <c r="JCZ49" s="952"/>
      <c r="JDA49" s="952"/>
      <c r="JDB49" s="952"/>
      <c r="JDC49" s="952"/>
      <c r="JDD49" s="952"/>
      <c r="JDE49" s="952"/>
      <c r="JDF49" s="952"/>
      <c r="JDG49" s="952"/>
      <c r="JDH49" s="952"/>
      <c r="JDI49" s="952"/>
      <c r="JDJ49" s="952"/>
      <c r="JDK49" s="952"/>
      <c r="JDL49" s="952"/>
      <c r="JDM49" s="952"/>
      <c r="JDN49" s="952"/>
      <c r="JDO49" s="952"/>
      <c r="JDP49" s="952"/>
      <c r="JDQ49" s="952"/>
      <c r="JDR49" s="952"/>
      <c r="JDS49" s="952"/>
      <c r="JDT49" s="952"/>
      <c r="JDU49" s="952"/>
      <c r="JDV49" s="952"/>
      <c r="JDW49" s="952"/>
      <c r="JDX49" s="952"/>
      <c r="JDY49" s="952"/>
      <c r="JDZ49" s="952"/>
      <c r="JEA49" s="952"/>
      <c r="JEB49" s="952"/>
      <c r="JEC49" s="952"/>
      <c r="JED49" s="952"/>
      <c r="JEE49" s="952"/>
      <c r="JEF49" s="952"/>
      <c r="JEG49" s="952"/>
      <c r="JEH49" s="952"/>
      <c r="JEI49" s="952"/>
      <c r="JEJ49" s="952"/>
      <c r="JEK49" s="952"/>
      <c r="JEL49" s="952"/>
      <c r="JEM49" s="952"/>
      <c r="JEN49" s="952"/>
      <c r="JEO49" s="952"/>
      <c r="JEP49" s="952"/>
      <c r="JEQ49" s="952"/>
      <c r="JER49" s="952"/>
      <c r="JES49" s="952"/>
      <c r="JET49" s="952"/>
      <c r="JEU49" s="952"/>
      <c r="JEV49" s="952"/>
      <c r="JEW49" s="952"/>
      <c r="JEX49" s="952"/>
      <c r="JEY49" s="952"/>
      <c r="JEZ49" s="952"/>
      <c r="JFA49" s="952"/>
      <c r="JFB49" s="952"/>
      <c r="JFC49" s="952"/>
      <c r="JFD49" s="952"/>
      <c r="JFE49" s="952"/>
      <c r="JFF49" s="952"/>
      <c r="JFG49" s="952"/>
      <c r="JFH49" s="952"/>
      <c r="JFI49" s="952"/>
      <c r="JFJ49" s="952"/>
      <c r="JFK49" s="952"/>
      <c r="JFL49" s="952"/>
      <c r="JFM49" s="952"/>
      <c r="JFN49" s="952"/>
      <c r="JFO49" s="952"/>
      <c r="JFP49" s="952"/>
      <c r="JFQ49" s="952"/>
      <c r="JFR49" s="952"/>
      <c r="JFS49" s="952"/>
      <c r="JFT49" s="952"/>
      <c r="JFU49" s="952"/>
      <c r="JFV49" s="952"/>
      <c r="JFW49" s="952"/>
      <c r="JFX49" s="952"/>
      <c r="JFY49" s="952"/>
      <c r="JFZ49" s="952"/>
      <c r="JGA49" s="952"/>
      <c r="JGB49" s="952"/>
      <c r="JGC49" s="952"/>
      <c r="JGD49" s="952"/>
      <c r="JGE49" s="952"/>
      <c r="JGF49" s="952"/>
      <c r="JGG49" s="952"/>
      <c r="JGH49" s="952"/>
      <c r="JGI49" s="952"/>
      <c r="JGJ49" s="952"/>
      <c r="JGK49" s="952"/>
      <c r="JGL49" s="952"/>
      <c r="JGM49" s="952"/>
      <c r="JGN49" s="952"/>
      <c r="JGO49" s="952"/>
      <c r="JGP49" s="952"/>
      <c r="JGQ49" s="952"/>
      <c r="JGR49" s="952"/>
      <c r="JGS49" s="952"/>
      <c r="JGT49" s="952"/>
      <c r="JGU49" s="952"/>
      <c r="JGV49" s="952"/>
      <c r="JGW49" s="952"/>
      <c r="JGX49" s="952"/>
      <c r="JGY49" s="952"/>
      <c r="JGZ49" s="952"/>
      <c r="JHA49" s="952"/>
      <c r="JHB49" s="952"/>
      <c r="JHC49" s="952"/>
      <c r="JHD49" s="952"/>
      <c r="JHE49" s="952"/>
      <c r="JHF49" s="952"/>
      <c r="JHG49" s="952"/>
      <c r="JHH49" s="952"/>
      <c r="JHI49" s="952"/>
      <c r="JHJ49" s="952"/>
      <c r="JHK49" s="952"/>
      <c r="JHL49" s="952"/>
      <c r="JHM49" s="952"/>
      <c r="JHN49" s="952"/>
      <c r="JHO49" s="952"/>
      <c r="JHP49" s="952"/>
      <c r="JHQ49" s="952"/>
      <c r="JHR49" s="952"/>
      <c r="JHS49" s="952"/>
      <c r="JHT49" s="952"/>
      <c r="JHU49" s="952"/>
      <c r="JHV49" s="952"/>
      <c r="JHW49" s="952"/>
      <c r="JHX49" s="952"/>
      <c r="JHY49" s="952"/>
      <c r="JHZ49" s="952"/>
      <c r="JIA49" s="952"/>
      <c r="JIB49" s="952"/>
      <c r="JIC49" s="952"/>
      <c r="JID49" s="952"/>
      <c r="JIE49" s="952"/>
      <c r="JIF49" s="952"/>
      <c r="JIG49" s="952"/>
      <c r="JIH49" s="952"/>
      <c r="JII49" s="952"/>
      <c r="JIJ49" s="952"/>
      <c r="JIK49" s="952"/>
      <c r="JIL49" s="952"/>
      <c r="JIM49" s="952"/>
      <c r="JIN49" s="952"/>
      <c r="JIO49" s="952"/>
      <c r="JIP49" s="952"/>
      <c r="JIQ49" s="952"/>
      <c r="JIR49" s="952"/>
      <c r="JIS49" s="952"/>
      <c r="JIT49" s="952"/>
      <c r="JIU49" s="952"/>
      <c r="JIV49" s="952"/>
      <c r="JIW49" s="952"/>
      <c r="JIX49" s="952"/>
      <c r="JIY49" s="952"/>
      <c r="JIZ49" s="952"/>
      <c r="JJA49" s="952"/>
      <c r="JJB49" s="952"/>
      <c r="JJC49" s="952"/>
      <c r="JJD49" s="952"/>
      <c r="JJE49" s="952"/>
      <c r="JJF49" s="952"/>
      <c r="JJG49" s="952"/>
      <c r="JJH49" s="952"/>
      <c r="JJI49" s="952"/>
      <c r="JJJ49" s="952"/>
      <c r="JJK49" s="952"/>
      <c r="JJL49" s="952"/>
      <c r="JJM49" s="952"/>
      <c r="JJN49" s="952"/>
      <c r="JJO49" s="952"/>
      <c r="JJP49" s="952"/>
      <c r="JJQ49" s="952"/>
      <c r="JJR49" s="952"/>
      <c r="JJS49" s="952"/>
      <c r="JJT49" s="952"/>
      <c r="JJU49" s="952"/>
      <c r="JJV49" s="952"/>
      <c r="JJW49" s="952"/>
      <c r="JJX49" s="952"/>
      <c r="JJY49" s="952"/>
      <c r="JJZ49" s="952"/>
      <c r="JKA49" s="952"/>
      <c r="JKB49" s="952"/>
      <c r="JKC49" s="952"/>
      <c r="JKD49" s="952"/>
      <c r="JKE49" s="952"/>
      <c r="JKF49" s="952"/>
      <c r="JKG49" s="952"/>
      <c r="JKH49" s="952"/>
      <c r="JKI49" s="952"/>
      <c r="JKJ49" s="952"/>
      <c r="JKK49" s="952"/>
      <c r="JKL49" s="952"/>
      <c r="JKM49" s="952"/>
      <c r="JKN49" s="952"/>
      <c r="JKO49" s="952"/>
      <c r="JKP49" s="952"/>
      <c r="JKQ49" s="952"/>
      <c r="JKR49" s="952"/>
      <c r="JKS49" s="952"/>
      <c r="JKT49" s="952"/>
      <c r="JKU49" s="952"/>
      <c r="JKV49" s="952"/>
      <c r="JKW49" s="952"/>
      <c r="JKX49" s="952"/>
      <c r="JKY49" s="952"/>
      <c r="JKZ49" s="952"/>
      <c r="JLA49" s="952"/>
      <c r="JLB49" s="952"/>
      <c r="JLC49" s="952"/>
      <c r="JLD49" s="952"/>
      <c r="JLE49" s="952"/>
      <c r="JLF49" s="952"/>
      <c r="JLG49" s="952"/>
      <c r="JLH49" s="952"/>
      <c r="JLI49" s="952"/>
      <c r="JLJ49" s="952"/>
      <c r="JLK49" s="952"/>
      <c r="JLL49" s="952"/>
      <c r="JLM49" s="952"/>
      <c r="JLN49" s="952"/>
      <c r="JLO49" s="952"/>
      <c r="JLP49" s="952"/>
      <c r="JLQ49" s="952"/>
      <c r="JLR49" s="952"/>
      <c r="JLS49" s="952"/>
      <c r="JLT49" s="952"/>
      <c r="JLU49" s="952"/>
      <c r="JLV49" s="952"/>
      <c r="JLW49" s="952"/>
      <c r="JLX49" s="952"/>
      <c r="JLY49" s="952"/>
      <c r="JLZ49" s="952"/>
      <c r="JMA49" s="952"/>
      <c r="JMB49" s="952"/>
      <c r="JMC49" s="952"/>
      <c r="JMD49" s="952"/>
      <c r="JME49" s="952"/>
      <c r="JMF49" s="952"/>
      <c r="JMG49" s="952"/>
      <c r="JMH49" s="952"/>
      <c r="JMI49" s="952"/>
      <c r="JMJ49" s="952"/>
      <c r="JMK49" s="952"/>
      <c r="JML49" s="952"/>
      <c r="JMM49" s="952"/>
      <c r="JMN49" s="952"/>
      <c r="JMO49" s="952"/>
      <c r="JMP49" s="952"/>
      <c r="JMQ49" s="952"/>
      <c r="JMR49" s="952"/>
      <c r="JMS49" s="952"/>
      <c r="JMT49" s="952"/>
      <c r="JMU49" s="952"/>
      <c r="JMV49" s="952"/>
      <c r="JMW49" s="952"/>
      <c r="JMX49" s="952"/>
      <c r="JMY49" s="952"/>
      <c r="JMZ49" s="952"/>
      <c r="JNA49" s="952"/>
      <c r="JNB49" s="952"/>
      <c r="JNC49" s="952"/>
      <c r="JND49" s="952"/>
      <c r="JNE49" s="952"/>
      <c r="JNF49" s="952"/>
      <c r="JNG49" s="952"/>
      <c r="JNH49" s="952"/>
      <c r="JNI49" s="952"/>
      <c r="JNJ49" s="952"/>
      <c r="JNK49" s="952"/>
      <c r="JNL49" s="952"/>
      <c r="JNM49" s="952"/>
      <c r="JNN49" s="952"/>
      <c r="JNO49" s="952"/>
      <c r="JNP49" s="952"/>
      <c r="JNQ49" s="952"/>
      <c r="JNR49" s="952"/>
      <c r="JNS49" s="952"/>
      <c r="JNT49" s="952"/>
      <c r="JNU49" s="952"/>
      <c r="JNV49" s="952"/>
      <c r="JNW49" s="952"/>
      <c r="JNX49" s="952"/>
      <c r="JNY49" s="952"/>
      <c r="JNZ49" s="952"/>
      <c r="JOA49" s="952"/>
      <c r="JOB49" s="952"/>
      <c r="JOC49" s="952"/>
      <c r="JOD49" s="952"/>
      <c r="JOE49" s="952"/>
      <c r="JOF49" s="952"/>
      <c r="JOG49" s="952"/>
      <c r="JOH49" s="952"/>
      <c r="JOI49" s="952"/>
      <c r="JOJ49" s="952"/>
      <c r="JOK49" s="952"/>
      <c r="JOL49" s="952"/>
      <c r="JOM49" s="952"/>
      <c r="JON49" s="952"/>
      <c r="JOO49" s="952"/>
      <c r="JOP49" s="952"/>
      <c r="JOQ49" s="952"/>
      <c r="JOR49" s="952"/>
      <c r="JOS49" s="952"/>
      <c r="JOT49" s="952"/>
      <c r="JOU49" s="952"/>
      <c r="JOV49" s="952"/>
      <c r="JOW49" s="952"/>
      <c r="JOX49" s="952"/>
      <c r="JOY49" s="952"/>
      <c r="JOZ49" s="952"/>
      <c r="JPA49" s="952"/>
      <c r="JPB49" s="952"/>
      <c r="JPC49" s="952"/>
      <c r="JPD49" s="952"/>
      <c r="JPE49" s="952"/>
      <c r="JPF49" s="952"/>
      <c r="JPG49" s="952"/>
      <c r="JPH49" s="952"/>
      <c r="JPI49" s="952"/>
      <c r="JPJ49" s="952"/>
      <c r="JPK49" s="952"/>
      <c r="JPL49" s="952"/>
      <c r="JPM49" s="952"/>
      <c r="JPN49" s="952"/>
      <c r="JPO49" s="952"/>
      <c r="JPP49" s="952"/>
      <c r="JPQ49" s="952"/>
      <c r="JPR49" s="952"/>
      <c r="JPS49" s="952"/>
      <c r="JPT49" s="952"/>
      <c r="JPU49" s="952"/>
      <c r="JPV49" s="952"/>
      <c r="JPW49" s="952"/>
      <c r="JPX49" s="952"/>
      <c r="JPY49" s="952"/>
      <c r="JPZ49" s="952"/>
      <c r="JQA49" s="952"/>
      <c r="JQB49" s="952"/>
      <c r="JQC49" s="952"/>
      <c r="JQD49" s="952"/>
      <c r="JQE49" s="952"/>
      <c r="JQF49" s="952"/>
      <c r="JQG49" s="952"/>
      <c r="JQH49" s="952"/>
      <c r="JQI49" s="952"/>
      <c r="JQJ49" s="952"/>
      <c r="JQK49" s="952"/>
      <c r="JQL49" s="952"/>
      <c r="JQM49" s="952"/>
      <c r="JQN49" s="952"/>
      <c r="JQO49" s="952"/>
      <c r="JQP49" s="952"/>
      <c r="JQQ49" s="952"/>
      <c r="JQR49" s="952"/>
      <c r="JQS49" s="952"/>
      <c r="JQT49" s="952"/>
      <c r="JQU49" s="952"/>
      <c r="JQV49" s="952"/>
      <c r="JQW49" s="952"/>
      <c r="JQX49" s="952"/>
      <c r="JQY49" s="952"/>
      <c r="JQZ49" s="952"/>
      <c r="JRA49" s="952"/>
      <c r="JRB49" s="952"/>
      <c r="JRC49" s="952"/>
      <c r="JRD49" s="952"/>
      <c r="JRE49" s="952"/>
      <c r="JRF49" s="952"/>
      <c r="JRG49" s="952"/>
      <c r="JRH49" s="952"/>
      <c r="JRI49" s="952"/>
      <c r="JRJ49" s="952"/>
      <c r="JRK49" s="952"/>
      <c r="JRL49" s="952"/>
      <c r="JRM49" s="952"/>
      <c r="JRN49" s="952"/>
      <c r="JRO49" s="952"/>
      <c r="JRP49" s="952"/>
      <c r="JRQ49" s="952"/>
      <c r="JRR49" s="952"/>
      <c r="JRS49" s="952"/>
      <c r="JRT49" s="952"/>
      <c r="JRU49" s="952"/>
      <c r="JRV49" s="952"/>
      <c r="JRW49" s="952"/>
      <c r="JRX49" s="952"/>
      <c r="JRY49" s="952"/>
      <c r="JRZ49" s="952"/>
      <c r="JSA49" s="952"/>
      <c r="JSB49" s="952"/>
      <c r="JSC49" s="952"/>
      <c r="JSD49" s="952"/>
      <c r="JSE49" s="952"/>
      <c r="JSF49" s="952"/>
      <c r="JSG49" s="952"/>
      <c r="JSH49" s="952"/>
      <c r="JSI49" s="952"/>
      <c r="JSJ49" s="952"/>
      <c r="JSK49" s="952"/>
      <c r="JSL49" s="952"/>
      <c r="JSM49" s="952"/>
      <c r="JSN49" s="952"/>
      <c r="JSO49" s="952"/>
      <c r="JSP49" s="952"/>
      <c r="JSQ49" s="952"/>
      <c r="JSR49" s="952"/>
      <c r="JSS49" s="952"/>
      <c r="JST49" s="952"/>
      <c r="JSU49" s="952"/>
      <c r="JSV49" s="952"/>
      <c r="JSW49" s="952"/>
      <c r="JSX49" s="952"/>
      <c r="JSY49" s="952"/>
      <c r="JSZ49" s="952"/>
      <c r="JTA49" s="952"/>
      <c r="JTB49" s="952"/>
      <c r="JTC49" s="952"/>
      <c r="JTD49" s="952"/>
      <c r="JTE49" s="952"/>
      <c r="JTF49" s="952"/>
      <c r="JTG49" s="952"/>
      <c r="JTH49" s="952"/>
      <c r="JTI49" s="952"/>
      <c r="JTJ49" s="952"/>
      <c r="JTK49" s="952"/>
      <c r="JTL49" s="952"/>
      <c r="JTM49" s="952"/>
      <c r="JTN49" s="952"/>
      <c r="JTO49" s="952"/>
      <c r="JTP49" s="952"/>
      <c r="JTQ49" s="952"/>
      <c r="JTR49" s="952"/>
      <c r="JTS49" s="952"/>
      <c r="JTT49" s="952"/>
      <c r="JTU49" s="952"/>
      <c r="JTV49" s="952"/>
      <c r="JTW49" s="952"/>
      <c r="JTX49" s="952"/>
      <c r="JTY49" s="952"/>
      <c r="JTZ49" s="952"/>
      <c r="JUA49" s="952"/>
      <c r="JUB49" s="952"/>
      <c r="JUC49" s="952"/>
      <c r="JUD49" s="952"/>
      <c r="JUE49" s="952"/>
      <c r="JUF49" s="952"/>
      <c r="JUG49" s="952"/>
      <c r="JUH49" s="952"/>
      <c r="JUI49" s="952"/>
      <c r="JUJ49" s="952"/>
      <c r="JUK49" s="952"/>
      <c r="JUL49" s="952"/>
      <c r="JUM49" s="952"/>
      <c r="JUN49" s="952"/>
      <c r="JUO49" s="952"/>
      <c r="JUP49" s="952"/>
      <c r="JUQ49" s="952"/>
      <c r="JUR49" s="952"/>
      <c r="JUS49" s="952"/>
      <c r="JUT49" s="952"/>
      <c r="JUU49" s="952"/>
      <c r="JUV49" s="952"/>
      <c r="JUW49" s="952"/>
      <c r="JUX49" s="952"/>
      <c r="JUY49" s="952"/>
      <c r="JUZ49" s="952"/>
      <c r="JVA49" s="952"/>
      <c r="JVB49" s="952"/>
      <c r="JVC49" s="952"/>
      <c r="JVD49" s="952"/>
      <c r="JVE49" s="952"/>
      <c r="JVF49" s="952"/>
      <c r="JVG49" s="952"/>
      <c r="JVH49" s="952"/>
      <c r="JVI49" s="952"/>
      <c r="JVJ49" s="952"/>
      <c r="JVK49" s="952"/>
      <c r="JVL49" s="952"/>
      <c r="JVM49" s="952"/>
      <c r="JVN49" s="952"/>
      <c r="JVO49" s="952"/>
      <c r="JVP49" s="952"/>
      <c r="JVQ49" s="952"/>
      <c r="JVR49" s="952"/>
      <c r="JVS49" s="952"/>
      <c r="JVT49" s="952"/>
      <c r="JVU49" s="952"/>
      <c r="JVV49" s="952"/>
      <c r="JVW49" s="952"/>
      <c r="JVX49" s="952"/>
      <c r="JVY49" s="952"/>
      <c r="JVZ49" s="952"/>
      <c r="JWA49" s="952"/>
      <c r="JWB49" s="952"/>
      <c r="JWC49" s="952"/>
      <c r="JWD49" s="952"/>
      <c r="JWE49" s="952"/>
      <c r="JWF49" s="952"/>
      <c r="JWG49" s="952"/>
      <c r="JWH49" s="952"/>
      <c r="JWI49" s="952"/>
      <c r="JWJ49" s="952"/>
      <c r="JWK49" s="952"/>
      <c r="JWL49" s="952"/>
      <c r="JWM49" s="952"/>
      <c r="JWN49" s="952"/>
      <c r="JWO49" s="952"/>
      <c r="JWP49" s="952"/>
      <c r="JWQ49" s="952"/>
      <c r="JWR49" s="952"/>
      <c r="JWS49" s="952"/>
      <c r="JWT49" s="952"/>
      <c r="JWU49" s="952"/>
      <c r="JWV49" s="952"/>
      <c r="JWW49" s="952"/>
      <c r="JWX49" s="952"/>
      <c r="JWY49" s="952"/>
      <c r="JWZ49" s="952"/>
      <c r="JXA49" s="952"/>
      <c r="JXB49" s="952"/>
      <c r="JXC49" s="952"/>
      <c r="JXD49" s="952"/>
      <c r="JXE49" s="952"/>
      <c r="JXF49" s="952"/>
      <c r="JXG49" s="952"/>
      <c r="JXH49" s="952"/>
      <c r="JXI49" s="952"/>
      <c r="JXJ49" s="952"/>
      <c r="JXK49" s="952"/>
      <c r="JXL49" s="952"/>
      <c r="JXM49" s="952"/>
      <c r="JXN49" s="952"/>
      <c r="JXO49" s="952"/>
      <c r="JXP49" s="952"/>
      <c r="JXQ49" s="952"/>
      <c r="JXR49" s="952"/>
      <c r="JXS49" s="952"/>
      <c r="JXT49" s="952"/>
      <c r="JXU49" s="952"/>
      <c r="JXV49" s="952"/>
      <c r="JXW49" s="952"/>
      <c r="JXX49" s="952"/>
      <c r="JXY49" s="952"/>
      <c r="JXZ49" s="952"/>
      <c r="JYA49" s="952"/>
      <c r="JYB49" s="952"/>
      <c r="JYC49" s="952"/>
      <c r="JYD49" s="952"/>
      <c r="JYE49" s="952"/>
      <c r="JYF49" s="952"/>
      <c r="JYG49" s="952"/>
      <c r="JYH49" s="952"/>
      <c r="JYI49" s="952"/>
      <c r="JYJ49" s="952"/>
      <c r="JYK49" s="952"/>
      <c r="JYL49" s="952"/>
      <c r="JYM49" s="952"/>
      <c r="JYN49" s="952"/>
      <c r="JYO49" s="952"/>
      <c r="JYP49" s="952"/>
      <c r="JYQ49" s="952"/>
      <c r="JYR49" s="952"/>
      <c r="JYS49" s="952"/>
      <c r="JYT49" s="952"/>
      <c r="JYU49" s="952"/>
      <c r="JYV49" s="952"/>
      <c r="JYW49" s="952"/>
      <c r="JYX49" s="952"/>
      <c r="JYY49" s="952"/>
      <c r="JYZ49" s="952"/>
      <c r="JZA49" s="952"/>
      <c r="JZB49" s="952"/>
      <c r="JZC49" s="952"/>
      <c r="JZD49" s="952"/>
      <c r="JZE49" s="952"/>
      <c r="JZF49" s="952"/>
      <c r="JZG49" s="952"/>
      <c r="JZH49" s="952"/>
      <c r="JZI49" s="952"/>
      <c r="JZJ49" s="952"/>
      <c r="JZK49" s="952"/>
      <c r="JZL49" s="952"/>
      <c r="JZM49" s="952"/>
      <c r="JZN49" s="952"/>
      <c r="JZO49" s="952"/>
      <c r="JZP49" s="952"/>
      <c r="JZQ49" s="952"/>
      <c r="JZR49" s="952"/>
      <c r="JZS49" s="952"/>
      <c r="JZT49" s="952"/>
      <c r="JZU49" s="952"/>
      <c r="JZV49" s="952"/>
      <c r="JZW49" s="952"/>
      <c r="JZX49" s="952"/>
      <c r="JZY49" s="952"/>
      <c r="JZZ49" s="952"/>
      <c r="KAA49" s="952"/>
      <c r="KAB49" s="952"/>
      <c r="KAC49" s="952"/>
      <c r="KAD49" s="952"/>
      <c r="KAE49" s="952"/>
      <c r="KAF49" s="952"/>
      <c r="KAG49" s="952"/>
      <c r="KAH49" s="952"/>
      <c r="KAI49" s="952"/>
      <c r="KAJ49" s="952"/>
      <c r="KAK49" s="952"/>
      <c r="KAL49" s="952"/>
      <c r="KAM49" s="952"/>
      <c r="KAN49" s="952"/>
      <c r="KAO49" s="952"/>
      <c r="KAP49" s="952"/>
      <c r="KAQ49" s="952"/>
      <c r="KAR49" s="952"/>
      <c r="KAS49" s="952"/>
      <c r="KAT49" s="952"/>
      <c r="KAU49" s="952"/>
      <c r="KAV49" s="952"/>
      <c r="KAW49" s="952"/>
      <c r="KAX49" s="952"/>
      <c r="KAY49" s="952"/>
      <c r="KAZ49" s="952"/>
      <c r="KBA49" s="952"/>
      <c r="KBB49" s="952"/>
      <c r="KBC49" s="952"/>
      <c r="KBD49" s="952"/>
      <c r="KBE49" s="952"/>
      <c r="KBF49" s="952"/>
      <c r="KBG49" s="952"/>
      <c r="KBH49" s="952"/>
      <c r="KBI49" s="952"/>
      <c r="KBJ49" s="952"/>
      <c r="KBK49" s="952"/>
      <c r="KBL49" s="952"/>
      <c r="KBM49" s="952"/>
      <c r="KBN49" s="952"/>
      <c r="KBO49" s="952"/>
      <c r="KBP49" s="952"/>
      <c r="KBQ49" s="952"/>
      <c r="KBR49" s="952"/>
      <c r="KBS49" s="952"/>
      <c r="KBT49" s="952"/>
      <c r="KBU49" s="952"/>
      <c r="KBV49" s="952"/>
      <c r="KBW49" s="952"/>
      <c r="KBX49" s="952"/>
      <c r="KBY49" s="952"/>
      <c r="KBZ49" s="952"/>
      <c r="KCA49" s="952"/>
      <c r="KCB49" s="952"/>
      <c r="KCC49" s="952"/>
      <c r="KCD49" s="952"/>
      <c r="KCE49" s="952"/>
      <c r="KCF49" s="952"/>
      <c r="KCG49" s="952"/>
      <c r="KCH49" s="952"/>
      <c r="KCI49" s="952"/>
      <c r="KCJ49" s="952"/>
      <c r="KCK49" s="952"/>
      <c r="KCL49" s="952"/>
      <c r="KCM49" s="952"/>
      <c r="KCN49" s="952"/>
      <c r="KCO49" s="952"/>
      <c r="KCP49" s="952"/>
      <c r="KCQ49" s="952"/>
      <c r="KCR49" s="952"/>
      <c r="KCS49" s="952"/>
      <c r="KCT49" s="952"/>
      <c r="KCU49" s="952"/>
      <c r="KCV49" s="952"/>
      <c r="KCW49" s="952"/>
      <c r="KCX49" s="952"/>
      <c r="KCY49" s="952"/>
      <c r="KCZ49" s="952"/>
      <c r="KDA49" s="952"/>
      <c r="KDB49" s="952"/>
      <c r="KDC49" s="952"/>
      <c r="KDD49" s="952"/>
      <c r="KDE49" s="952"/>
      <c r="KDF49" s="952"/>
      <c r="KDG49" s="952"/>
      <c r="KDH49" s="952"/>
      <c r="KDI49" s="952"/>
      <c r="KDJ49" s="952"/>
      <c r="KDK49" s="952"/>
      <c r="KDL49" s="952"/>
      <c r="KDM49" s="952"/>
      <c r="KDN49" s="952"/>
      <c r="KDO49" s="952"/>
      <c r="KDP49" s="952"/>
      <c r="KDQ49" s="952"/>
      <c r="KDR49" s="952"/>
      <c r="KDS49" s="952"/>
      <c r="KDT49" s="952"/>
      <c r="KDU49" s="952"/>
      <c r="KDV49" s="952"/>
      <c r="KDW49" s="952"/>
      <c r="KDX49" s="952"/>
      <c r="KDY49" s="952"/>
      <c r="KDZ49" s="952"/>
      <c r="KEA49" s="952"/>
      <c r="KEB49" s="952"/>
      <c r="KEC49" s="952"/>
      <c r="KED49" s="952"/>
      <c r="KEE49" s="952"/>
      <c r="KEF49" s="952"/>
      <c r="KEG49" s="952"/>
      <c r="KEH49" s="952"/>
      <c r="KEI49" s="952"/>
      <c r="KEJ49" s="952"/>
      <c r="KEK49" s="952"/>
      <c r="KEL49" s="952"/>
      <c r="KEM49" s="952"/>
      <c r="KEN49" s="952"/>
      <c r="KEO49" s="952"/>
      <c r="KEP49" s="952"/>
      <c r="KEQ49" s="952"/>
      <c r="KER49" s="952"/>
      <c r="KES49" s="952"/>
      <c r="KET49" s="952"/>
      <c r="KEU49" s="952"/>
      <c r="KEV49" s="952"/>
      <c r="KEW49" s="952"/>
      <c r="KEX49" s="952"/>
      <c r="KEY49" s="952"/>
      <c r="KEZ49" s="952"/>
      <c r="KFA49" s="952"/>
      <c r="KFB49" s="952"/>
      <c r="KFC49" s="952"/>
      <c r="KFD49" s="952"/>
      <c r="KFE49" s="952"/>
      <c r="KFF49" s="952"/>
      <c r="KFG49" s="952"/>
      <c r="KFH49" s="952"/>
      <c r="KFI49" s="952"/>
      <c r="KFJ49" s="952"/>
      <c r="KFK49" s="952"/>
      <c r="KFL49" s="952"/>
      <c r="KFM49" s="952"/>
      <c r="KFN49" s="952"/>
      <c r="KFO49" s="952"/>
      <c r="KFP49" s="952"/>
      <c r="KFQ49" s="952"/>
      <c r="KFR49" s="952"/>
      <c r="KFS49" s="952"/>
      <c r="KFT49" s="952"/>
      <c r="KFU49" s="952"/>
      <c r="KFV49" s="952"/>
      <c r="KFW49" s="952"/>
      <c r="KFX49" s="952"/>
      <c r="KFY49" s="952"/>
      <c r="KFZ49" s="952"/>
      <c r="KGA49" s="952"/>
      <c r="KGB49" s="952"/>
      <c r="KGC49" s="952"/>
      <c r="KGD49" s="952"/>
      <c r="KGE49" s="952"/>
      <c r="KGF49" s="952"/>
      <c r="KGG49" s="952"/>
      <c r="KGH49" s="952"/>
      <c r="KGI49" s="952"/>
      <c r="KGJ49" s="952"/>
      <c r="KGK49" s="952"/>
      <c r="KGL49" s="952"/>
      <c r="KGM49" s="952"/>
      <c r="KGN49" s="952"/>
      <c r="KGO49" s="952"/>
      <c r="KGP49" s="952"/>
      <c r="KGQ49" s="952"/>
      <c r="KGR49" s="952"/>
      <c r="KGS49" s="952"/>
      <c r="KGT49" s="952"/>
      <c r="KGU49" s="952"/>
      <c r="KGV49" s="952"/>
      <c r="KGW49" s="952"/>
      <c r="KGX49" s="952"/>
      <c r="KGY49" s="952"/>
      <c r="KGZ49" s="952"/>
      <c r="KHA49" s="952"/>
      <c r="KHB49" s="952"/>
      <c r="KHC49" s="952"/>
      <c r="KHD49" s="952"/>
      <c r="KHE49" s="952"/>
      <c r="KHF49" s="952"/>
      <c r="KHG49" s="952"/>
      <c r="KHH49" s="952"/>
      <c r="KHI49" s="952"/>
      <c r="KHJ49" s="952"/>
      <c r="KHK49" s="952"/>
      <c r="KHL49" s="952"/>
      <c r="KHM49" s="952"/>
      <c r="KHN49" s="952"/>
      <c r="KHO49" s="952"/>
      <c r="KHP49" s="952"/>
      <c r="KHQ49" s="952"/>
      <c r="KHR49" s="952"/>
      <c r="KHS49" s="952"/>
      <c r="KHT49" s="952"/>
      <c r="KHU49" s="952"/>
      <c r="KHV49" s="952"/>
      <c r="KHW49" s="952"/>
      <c r="KHX49" s="952"/>
      <c r="KHY49" s="952"/>
      <c r="KHZ49" s="952"/>
      <c r="KIA49" s="952"/>
      <c r="KIB49" s="952"/>
      <c r="KIC49" s="952"/>
      <c r="KID49" s="952"/>
      <c r="KIE49" s="952"/>
      <c r="KIF49" s="952"/>
      <c r="KIG49" s="952"/>
      <c r="KIH49" s="952"/>
      <c r="KII49" s="952"/>
      <c r="KIJ49" s="952"/>
      <c r="KIK49" s="952"/>
      <c r="KIL49" s="952"/>
      <c r="KIM49" s="952"/>
      <c r="KIN49" s="952"/>
      <c r="KIO49" s="952"/>
      <c r="KIP49" s="952"/>
      <c r="KIQ49" s="952"/>
      <c r="KIR49" s="952"/>
      <c r="KIS49" s="952"/>
      <c r="KIT49" s="952"/>
      <c r="KIU49" s="952"/>
      <c r="KIV49" s="952"/>
      <c r="KIW49" s="952"/>
      <c r="KIX49" s="952"/>
      <c r="KIY49" s="952"/>
      <c r="KIZ49" s="952"/>
      <c r="KJA49" s="952"/>
      <c r="KJB49" s="952"/>
      <c r="KJC49" s="952"/>
      <c r="KJD49" s="952"/>
      <c r="KJE49" s="952"/>
      <c r="KJF49" s="952"/>
      <c r="KJG49" s="952"/>
      <c r="KJH49" s="952"/>
      <c r="KJI49" s="952"/>
      <c r="KJJ49" s="952"/>
      <c r="KJK49" s="952"/>
      <c r="KJL49" s="952"/>
      <c r="KJM49" s="952"/>
      <c r="KJN49" s="952"/>
      <c r="KJO49" s="952"/>
      <c r="KJP49" s="952"/>
      <c r="KJQ49" s="952"/>
      <c r="KJR49" s="952"/>
      <c r="KJS49" s="952"/>
      <c r="KJT49" s="952"/>
      <c r="KJU49" s="952"/>
      <c r="KJV49" s="952"/>
      <c r="KJW49" s="952"/>
      <c r="KJX49" s="952"/>
      <c r="KJY49" s="952"/>
      <c r="KJZ49" s="952"/>
      <c r="KKA49" s="952"/>
      <c r="KKB49" s="952"/>
      <c r="KKC49" s="952"/>
      <c r="KKD49" s="952"/>
      <c r="KKE49" s="952"/>
      <c r="KKF49" s="952"/>
      <c r="KKG49" s="952"/>
      <c r="KKH49" s="952"/>
      <c r="KKI49" s="952"/>
      <c r="KKJ49" s="952"/>
      <c r="KKK49" s="952"/>
      <c r="KKL49" s="952"/>
      <c r="KKM49" s="952"/>
      <c r="KKN49" s="952"/>
      <c r="KKO49" s="952"/>
      <c r="KKP49" s="952"/>
      <c r="KKQ49" s="952"/>
      <c r="KKR49" s="952"/>
      <c r="KKS49" s="952"/>
      <c r="KKT49" s="952"/>
      <c r="KKU49" s="952"/>
      <c r="KKV49" s="952"/>
      <c r="KKW49" s="952"/>
      <c r="KKX49" s="952"/>
      <c r="KKY49" s="952"/>
      <c r="KKZ49" s="952"/>
      <c r="KLA49" s="952"/>
      <c r="KLB49" s="952"/>
      <c r="KLC49" s="952"/>
      <c r="KLD49" s="952"/>
      <c r="KLE49" s="952"/>
      <c r="KLF49" s="952"/>
      <c r="KLG49" s="952"/>
      <c r="KLH49" s="952"/>
      <c r="KLI49" s="952"/>
      <c r="KLJ49" s="952"/>
      <c r="KLK49" s="952"/>
      <c r="KLL49" s="952"/>
      <c r="KLM49" s="952"/>
      <c r="KLN49" s="952"/>
      <c r="KLO49" s="952"/>
      <c r="KLP49" s="952"/>
      <c r="KLQ49" s="952"/>
      <c r="KLR49" s="952"/>
      <c r="KLS49" s="952"/>
      <c r="KLT49" s="952"/>
      <c r="KLU49" s="952"/>
      <c r="KLV49" s="952"/>
      <c r="KLW49" s="952"/>
      <c r="KLX49" s="952"/>
      <c r="KLY49" s="952"/>
      <c r="KLZ49" s="952"/>
      <c r="KMA49" s="952"/>
      <c r="KMB49" s="952"/>
      <c r="KMC49" s="952"/>
      <c r="KMD49" s="952"/>
      <c r="KME49" s="952"/>
      <c r="KMF49" s="952"/>
      <c r="KMG49" s="952"/>
      <c r="KMH49" s="952"/>
      <c r="KMI49" s="952"/>
      <c r="KMJ49" s="952"/>
      <c r="KMK49" s="952"/>
      <c r="KML49" s="952"/>
      <c r="KMM49" s="952"/>
      <c r="KMN49" s="952"/>
      <c r="KMO49" s="952"/>
      <c r="KMP49" s="952"/>
      <c r="KMQ49" s="952"/>
      <c r="KMR49" s="952"/>
      <c r="KMS49" s="952"/>
      <c r="KMT49" s="952"/>
      <c r="KMU49" s="952"/>
      <c r="KMV49" s="952"/>
      <c r="KMW49" s="952"/>
      <c r="KMX49" s="952"/>
      <c r="KMY49" s="952"/>
      <c r="KMZ49" s="952"/>
      <c r="KNA49" s="952"/>
      <c r="KNB49" s="952"/>
      <c r="KNC49" s="952"/>
      <c r="KND49" s="952"/>
      <c r="KNE49" s="952"/>
      <c r="KNF49" s="952"/>
      <c r="KNG49" s="952"/>
      <c r="KNH49" s="952"/>
      <c r="KNI49" s="952"/>
      <c r="KNJ49" s="952"/>
      <c r="KNK49" s="952"/>
      <c r="KNL49" s="952"/>
      <c r="KNM49" s="952"/>
      <c r="KNN49" s="952"/>
      <c r="KNO49" s="952"/>
      <c r="KNP49" s="952"/>
      <c r="KNQ49" s="952"/>
      <c r="KNR49" s="952"/>
      <c r="KNS49" s="952"/>
      <c r="KNT49" s="952"/>
      <c r="KNU49" s="952"/>
      <c r="KNV49" s="952"/>
      <c r="KNW49" s="952"/>
      <c r="KNX49" s="952"/>
      <c r="KNY49" s="952"/>
      <c r="KNZ49" s="952"/>
      <c r="KOA49" s="952"/>
      <c r="KOB49" s="952"/>
      <c r="KOC49" s="952"/>
      <c r="KOD49" s="952"/>
      <c r="KOE49" s="952"/>
      <c r="KOF49" s="952"/>
      <c r="KOG49" s="952"/>
      <c r="KOH49" s="952"/>
      <c r="KOI49" s="952"/>
      <c r="KOJ49" s="952"/>
      <c r="KOK49" s="952"/>
      <c r="KOL49" s="952"/>
      <c r="KOM49" s="952"/>
      <c r="KON49" s="952"/>
      <c r="KOO49" s="952"/>
      <c r="KOP49" s="952"/>
      <c r="KOQ49" s="952"/>
      <c r="KOR49" s="952"/>
      <c r="KOS49" s="952"/>
      <c r="KOT49" s="952"/>
      <c r="KOU49" s="952"/>
      <c r="KOV49" s="952"/>
      <c r="KOW49" s="952"/>
      <c r="KOX49" s="952"/>
      <c r="KOY49" s="952"/>
      <c r="KOZ49" s="952"/>
      <c r="KPA49" s="952"/>
      <c r="KPB49" s="952"/>
      <c r="KPC49" s="952"/>
      <c r="KPD49" s="952"/>
      <c r="KPE49" s="952"/>
      <c r="KPF49" s="952"/>
      <c r="KPG49" s="952"/>
      <c r="KPH49" s="952"/>
      <c r="KPI49" s="952"/>
      <c r="KPJ49" s="952"/>
      <c r="KPK49" s="952"/>
      <c r="KPL49" s="952"/>
      <c r="KPM49" s="952"/>
      <c r="KPN49" s="952"/>
      <c r="KPO49" s="952"/>
      <c r="KPP49" s="952"/>
      <c r="KPQ49" s="952"/>
      <c r="KPR49" s="952"/>
      <c r="KPS49" s="952"/>
      <c r="KPT49" s="952"/>
      <c r="KPU49" s="952"/>
      <c r="KPV49" s="952"/>
      <c r="KPW49" s="952"/>
      <c r="KPX49" s="952"/>
      <c r="KPY49" s="952"/>
      <c r="KPZ49" s="952"/>
      <c r="KQA49" s="952"/>
      <c r="KQB49" s="952"/>
      <c r="KQC49" s="952"/>
      <c r="KQD49" s="952"/>
      <c r="KQE49" s="952"/>
      <c r="KQF49" s="952"/>
      <c r="KQG49" s="952"/>
      <c r="KQH49" s="952"/>
      <c r="KQI49" s="952"/>
      <c r="KQJ49" s="952"/>
      <c r="KQK49" s="952"/>
      <c r="KQL49" s="952"/>
      <c r="KQM49" s="952"/>
      <c r="KQN49" s="952"/>
      <c r="KQO49" s="952"/>
      <c r="KQP49" s="952"/>
      <c r="KQQ49" s="952"/>
      <c r="KQR49" s="952"/>
      <c r="KQS49" s="952"/>
      <c r="KQT49" s="952"/>
      <c r="KQU49" s="952"/>
      <c r="KQV49" s="952"/>
      <c r="KQW49" s="952"/>
      <c r="KQX49" s="952"/>
      <c r="KQY49" s="952"/>
      <c r="KQZ49" s="952"/>
      <c r="KRA49" s="952"/>
      <c r="KRB49" s="952"/>
      <c r="KRC49" s="952"/>
      <c r="KRD49" s="952"/>
      <c r="KRE49" s="952"/>
      <c r="KRF49" s="952"/>
      <c r="KRG49" s="952"/>
      <c r="KRH49" s="952"/>
      <c r="KRI49" s="952"/>
      <c r="KRJ49" s="952"/>
      <c r="KRK49" s="952"/>
      <c r="KRL49" s="952"/>
      <c r="KRM49" s="952"/>
      <c r="KRN49" s="952"/>
      <c r="KRO49" s="952"/>
      <c r="KRP49" s="952"/>
      <c r="KRQ49" s="952"/>
      <c r="KRR49" s="952"/>
      <c r="KRS49" s="952"/>
      <c r="KRT49" s="952"/>
      <c r="KRU49" s="952"/>
      <c r="KRV49" s="952"/>
      <c r="KRW49" s="952"/>
      <c r="KRX49" s="952"/>
      <c r="KRY49" s="952"/>
      <c r="KRZ49" s="952"/>
      <c r="KSA49" s="952"/>
      <c r="KSB49" s="952"/>
      <c r="KSC49" s="952"/>
      <c r="KSD49" s="952"/>
      <c r="KSE49" s="952"/>
      <c r="KSF49" s="952"/>
      <c r="KSG49" s="952"/>
      <c r="KSH49" s="952"/>
      <c r="KSI49" s="952"/>
      <c r="KSJ49" s="952"/>
      <c r="KSK49" s="952"/>
      <c r="KSL49" s="952"/>
      <c r="KSM49" s="952"/>
      <c r="KSN49" s="952"/>
      <c r="KSO49" s="952"/>
      <c r="KSP49" s="952"/>
      <c r="KSQ49" s="952"/>
      <c r="KSR49" s="952"/>
      <c r="KSS49" s="952"/>
      <c r="KST49" s="952"/>
      <c r="KSU49" s="952"/>
      <c r="KSV49" s="952"/>
      <c r="KSW49" s="952"/>
      <c r="KSX49" s="952"/>
      <c r="KSY49" s="952"/>
      <c r="KSZ49" s="952"/>
      <c r="KTA49" s="952"/>
      <c r="KTB49" s="952"/>
      <c r="KTC49" s="952"/>
      <c r="KTD49" s="952"/>
      <c r="KTE49" s="952"/>
      <c r="KTF49" s="952"/>
      <c r="KTG49" s="952"/>
      <c r="KTH49" s="952"/>
      <c r="KTI49" s="952"/>
      <c r="KTJ49" s="952"/>
      <c r="KTK49" s="952"/>
      <c r="KTL49" s="952"/>
      <c r="KTM49" s="952"/>
      <c r="KTN49" s="952"/>
      <c r="KTO49" s="952"/>
      <c r="KTP49" s="952"/>
      <c r="KTQ49" s="952"/>
      <c r="KTR49" s="952"/>
      <c r="KTS49" s="952"/>
      <c r="KTT49" s="952"/>
      <c r="KTU49" s="952"/>
      <c r="KTV49" s="952"/>
      <c r="KTW49" s="952"/>
      <c r="KTX49" s="952"/>
      <c r="KTY49" s="952"/>
      <c r="KTZ49" s="952"/>
      <c r="KUA49" s="952"/>
      <c r="KUB49" s="952"/>
      <c r="KUC49" s="952"/>
      <c r="KUD49" s="952"/>
      <c r="KUE49" s="952"/>
      <c r="KUF49" s="952"/>
      <c r="KUG49" s="952"/>
      <c r="KUH49" s="952"/>
      <c r="KUI49" s="952"/>
      <c r="KUJ49" s="952"/>
      <c r="KUK49" s="952"/>
      <c r="KUL49" s="952"/>
      <c r="KUM49" s="952"/>
      <c r="KUN49" s="952"/>
      <c r="KUO49" s="952"/>
      <c r="KUP49" s="952"/>
      <c r="KUQ49" s="952"/>
      <c r="KUR49" s="952"/>
      <c r="KUS49" s="952"/>
      <c r="KUT49" s="952"/>
      <c r="KUU49" s="952"/>
      <c r="KUV49" s="952"/>
      <c r="KUW49" s="952"/>
      <c r="KUX49" s="952"/>
      <c r="KUY49" s="952"/>
      <c r="KUZ49" s="952"/>
      <c r="KVA49" s="952"/>
      <c r="KVB49" s="952"/>
      <c r="KVC49" s="952"/>
      <c r="KVD49" s="952"/>
      <c r="KVE49" s="952"/>
      <c r="KVF49" s="952"/>
      <c r="KVG49" s="952"/>
      <c r="KVH49" s="952"/>
      <c r="KVI49" s="952"/>
      <c r="KVJ49" s="952"/>
      <c r="KVK49" s="952"/>
      <c r="KVL49" s="952"/>
      <c r="KVM49" s="952"/>
      <c r="KVN49" s="952"/>
      <c r="KVO49" s="952"/>
      <c r="KVP49" s="952"/>
      <c r="KVQ49" s="952"/>
      <c r="KVR49" s="952"/>
      <c r="KVS49" s="952"/>
      <c r="KVT49" s="952"/>
      <c r="KVU49" s="952"/>
      <c r="KVV49" s="952"/>
      <c r="KVW49" s="952"/>
      <c r="KVX49" s="952"/>
      <c r="KVY49" s="952"/>
      <c r="KVZ49" s="952"/>
      <c r="KWA49" s="952"/>
      <c r="KWB49" s="952"/>
      <c r="KWC49" s="952"/>
      <c r="KWD49" s="952"/>
      <c r="KWE49" s="952"/>
      <c r="KWF49" s="952"/>
      <c r="KWG49" s="952"/>
      <c r="KWH49" s="952"/>
      <c r="KWI49" s="952"/>
      <c r="KWJ49" s="952"/>
      <c r="KWK49" s="952"/>
      <c r="KWL49" s="952"/>
      <c r="KWM49" s="952"/>
      <c r="KWN49" s="952"/>
      <c r="KWO49" s="952"/>
      <c r="KWP49" s="952"/>
      <c r="KWQ49" s="952"/>
      <c r="KWR49" s="952"/>
      <c r="KWS49" s="952"/>
      <c r="KWT49" s="952"/>
      <c r="KWU49" s="952"/>
      <c r="KWV49" s="952"/>
      <c r="KWW49" s="952"/>
      <c r="KWX49" s="952"/>
      <c r="KWY49" s="952"/>
      <c r="KWZ49" s="952"/>
      <c r="KXA49" s="952"/>
      <c r="KXB49" s="952"/>
      <c r="KXC49" s="952"/>
      <c r="KXD49" s="952"/>
      <c r="KXE49" s="952"/>
      <c r="KXF49" s="952"/>
      <c r="KXG49" s="952"/>
      <c r="KXH49" s="952"/>
      <c r="KXI49" s="952"/>
      <c r="KXJ49" s="952"/>
      <c r="KXK49" s="952"/>
      <c r="KXL49" s="952"/>
      <c r="KXM49" s="952"/>
      <c r="KXN49" s="952"/>
      <c r="KXO49" s="952"/>
      <c r="KXP49" s="952"/>
      <c r="KXQ49" s="952"/>
      <c r="KXR49" s="952"/>
      <c r="KXS49" s="952"/>
      <c r="KXT49" s="952"/>
      <c r="KXU49" s="952"/>
      <c r="KXV49" s="952"/>
      <c r="KXW49" s="952"/>
      <c r="KXX49" s="952"/>
      <c r="KXY49" s="952"/>
      <c r="KXZ49" s="952"/>
      <c r="KYA49" s="952"/>
      <c r="KYB49" s="952"/>
      <c r="KYC49" s="952"/>
      <c r="KYD49" s="952"/>
      <c r="KYE49" s="952"/>
      <c r="KYF49" s="952"/>
      <c r="KYG49" s="952"/>
      <c r="KYH49" s="952"/>
      <c r="KYI49" s="952"/>
      <c r="KYJ49" s="952"/>
      <c r="KYK49" s="952"/>
      <c r="KYL49" s="952"/>
      <c r="KYM49" s="952"/>
      <c r="KYN49" s="952"/>
      <c r="KYO49" s="952"/>
      <c r="KYP49" s="952"/>
      <c r="KYQ49" s="952"/>
      <c r="KYR49" s="952"/>
      <c r="KYS49" s="952"/>
      <c r="KYT49" s="952"/>
      <c r="KYU49" s="952"/>
      <c r="KYV49" s="952"/>
      <c r="KYW49" s="952"/>
      <c r="KYX49" s="952"/>
      <c r="KYY49" s="952"/>
      <c r="KYZ49" s="952"/>
      <c r="KZA49" s="952"/>
      <c r="KZB49" s="952"/>
      <c r="KZC49" s="952"/>
      <c r="KZD49" s="952"/>
      <c r="KZE49" s="952"/>
      <c r="KZF49" s="952"/>
      <c r="KZG49" s="952"/>
      <c r="KZH49" s="952"/>
      <c r="KZI49" s="952"/>
      <c r="KZJ49" s="952"/>
      <c r="KZK49" s="952"/>
      <c r="KZL49" s="952"/>
      <c r="KZM49" s="952"/>
      <c r="KZN49" s="952"/>
      <c r="KZO49" s="952"/>
      <c r="KZP49" s="952"/>
      <c r="KZQ49" s="952"/>
      <c r="KZR49" s="952"/>
      <c r="KZS49" s="952"/>
      <c r="KZT49" s="952"/>
      <c r="KZU49" s="952"/>
      <c r="KZV49" s="952"/>
      <c r="KZW49" s="952"/>
      <c r="KZX49" s="952"/>
      <c r="KZY49" s="952"/>
      <c r="KZZ49" s="952"/>
      <c r="LAA49" s="952"/>
      <c r="LAB49" s="952"/>
      <c r="LAC49" s="952"/>
      <c r="LAD49" s="952"/>
      <c r="LAE49" s="952"/>
      <c r="LAF49" s="952"/>
      <c r="LAG49" s="952"/>
      <c r="LAH49" s="952"/>
      <c r="LAI49" s="952"/>
      <c r="LAJ49" s="952"/>
      <c r="LAK49" s="952"/>
      <c r="LAL49" s="952"/>
      <c r="LAM49" s="952"/>
      <c r="LAN49" s="952"/>
      <c r="LAO49" s="952"/>
      <c r="LAP49" s="952"/>
      <c r="LAQ49" s="952"/>
      <c r="LAR49" s="952"/>
      <c r="LAS49" s="952"/>
      <c r="LAT49" s="952"/>
      <c r="LAU49" s="952"/>
      <c r="LAV49" s="952"/>
      <c r="LAW49" s="952"/>
      <c r="LAX49" s="952"/>
      <c r="LAY49" s="952"/>
      <c r="LAZ49" s="952"/>
      <c r="LBA49" s="952"/>
      <c r="LBB49" s="952"/>
      <c r="LBC49" s="952"/>
      <c r="LBD49" s="952"/>
      <c r="LBE49" s="952"/>
      <c r="LBF49" s="952"/>
      <c r="LBG49" s="952"/>
      <c r="LBH49" s="952"/>
      <c r="LBI49" s="952"/>
      <c r="LBJ49" s="952"/>
      <c r="LBK49" s="952"/>
      <c r="LBL49" s="952"/>
      <c r="LBM49" s="952"/>
      <c r="LBN49" s="952"/>
      <c r="LBO49" s="952"/>
      <c r="LBP49" s="952"/>
      <c r="LBQ49" s="952"/>
      <c r="LBR49" s="952"/>
      <c r="LBS49" s="952"/>
      <c r="LBT49" s="952"/>
      <c r="LBU49" s="952"/>
      <c r="LBV49" s="952"/>
      <c r="LBW49" s="952"/>
      <c r="LBX49" s="952"/>
      <c r="LBY49" s="952"/>
      <c r="LBZ49" s="952"/>
      <c r="LCA49" s="952"/>
      <c r="LCB49" s="952"/>
      <c r="LCC49" s="952"/>
      <c r="LCD49" s="952"/>
      <c r="LCE49" s="952"/>
      <c r="LCF49" s="952"/>
      <c r="LCG49" s="952"/>
      <c r="LCH49" s="952"/>
      <c r="LCI49" s="952"/>
      <c r="LCJ49" s="952"/>
      <c r="LCK49" s="952"/>
      <c r="LCL49" s="952"/>
      <c r="LCM49" s="952"/>
      <c r="LCN49" s="952"/>
      <c r="LCO49" s="952"/>
      <c r="LCP49" s="952"/>
      <c r="LCQ49" s="952"/>
      <c r="LCR49" s="952"/>
      <c r="LCS49" s="952"/>
      <c r="LCT49" s="952"/>
      <c r="LCU49" s="952"/>
      <c r="LCV49" s="952"/>
      <c r="LCW49" s="952"/>
      <c r="LCX49" s="952"/>
      <c r="LCY49" s="952"/>
      <c r="LCZ49" s="952"/>
      <c r="LDA49" s="952"/>
      <c r="LDB49" s="952"/>
      <c r="LDC49" s="952"/>
      <c r="LDD49" s="952"/>
      <c r="LDE49" s="952"/>
      <c r="LDF49" s="952"/>
      <c r="LDG49" s="952"/>
      <c r="LDH49" s="952"/>
      <c r="LDI49" s="952"/>
      <c r="LDJ49" s="952"/>
      <c r="LDK49" s="952"/>
      <c r="LDL49" s="952"/>
      <c r="LDM49" s="952"/>
      <c r="LDN49" s="952"/>
      <c r="LDO49" s="952"/>
      <c r="LDP49" s="952"/>
      <c r="LDQ49" s="952"/>
      <c r="LDR49" s="952"/>
      <c r="LDS49" s="952"/>
      <c r="LDT49" s="952"/>
      <c r="LDU49" s="952"/>
      <c r="LDV49" s="952"/>
      <c r="LDW49" s="952"/>
      <c r="LDX49" s="952"/>
      <c r="LDY49" s="952"/>
      <c r="LDZ49" s="952"/>
      <c r="LEA49" s="952"/>
      <c r="LEB49" s="952"/>
      <c r="LEC49" s="952"/>
      <c r="LED49" s="952"/>
      <c r="LEE49" s="952"/>
      <c r="LEF49" s="952"/>
      <c r="LEG49" s="952"/>
      <c r="LEH49" s="952"/>
      <c r="LEI49" s="952"/>
      <c r="LEJ49" s="952"/>
      <c r="LEK49" s="952"/>
      <c r="LEL49" s="952"/>
      <c r="LEM49" s="952"/>
      <c r="LEN49" s="952"/>
      <c r="LEO49" s="952"/>
      <c r="LEP49" s="952"/>
      <c r="LEQ49" s="952"/>
      <c r="LER49" s="952"/>
      <c r="LES49" s="952"/>
      <c r="LET49" s="952"/>
      <c r="LEU49" s="952"/>
      <c r="LEV49" s="952"/>
      <c r="LEW49" s="952"/>
      <c r="LEX49" s="952"/>
      <c r="LEY49" s="952"/>
      <c r="LEZ49" s="952"/>
      <c r="LFA49" s="952"/>
      <c r="LFB49" s="952"/>
      <c r="LFC49" s="952"/>
      <c r="LFD49" s="952"/>
      <c r="LFE49" s="952"/>
      <c r="LFF49" s="952"/>
      <c r="LFG49" s="952"/>
      <c r="LFH49" s="952"/>
      <c r="LFI49" s="952"/>
      <c r="LFJ49" s="952"/>
      <c r="LFK49" s="952"/>
      <c r="LFL49" s="952"/>
      <c r="LFM49" s="952"/>
      <c r="LFN49" s="952"/>
      <c r="LFO49" s="952"/>
      <c r="LFP49" s="952"/>
      <c r="LFQ49" s="952"/>
      <c r="LFR49" s="952"/>
      <c r="LFS49" s="952"/>
      <c r="LFT49" s="952"/>
      <c r="LFU49" s="952"/>
      <c r="LFV49" s="952"/>
      <c r="LFW49" s="952"/>
      <c r="LFX49" s="952"/>
      <c r="LFY49" s="952"/>
      <c r="LFZ49" s="952"/>
      <c r="LGA49" s="952"/>
      <c r="LGB49" s="952"/>
      <c r="LGC49" s="952"/>
      <c r="LGD49" s="952"/>
      <c r="LGE49" s="952"/>
      <c r="LGF49" s="952"/>
      <c r="LGG49" s="952"/>
      <c r="LGH49" s="952"/>
      <c r="LGI49" s="952"/>
      <c r="LGJ49" s="952"/>
      <c r="LGK49" s="952"/>
      <c r="LGL49" s="952"/>
      <c r="LGM49" s="952"/>
      <c r="LGN49" s="952"/>
      <c r="LGO49" s="952"/>
      <c r="LGP49" s="952"/>
      <c r="LGQ49" s="952"/>
      <c r="LGR49" s="952"/>
      <c r="LGS49" s="952"/>
      <c r="LGT49" s="952"/>
      <c r="LGU49" s="952"/>
      <c r="LGV49" s="952"/>
      <c r="LGW49" s="952"/>
      <c r="LGX49" s="952"/>
      <c r="LGY49" s="952"/>
      <c r="LGZ49" s="952"/>
      <c r="LHA49" s="952"/>
      <c r="LHB49" s="952"/>
      <c r="LHC49" s="952"/>
      <c r="LHD49" s="952"/>
      <c r="LHE49" s="952"/>
      <c r="LHF49" s="952"/>
      <c r="LHG49" s="952"/>
      <c r="LHH49" s="952"/>
      <c r="LHI49" s="952"/>
      <c r="LHJ49" s="952"/>
      <c r="LHK49" s="952"/>
      <c r="LHL49" s="952"/>
      <c r="LHM49" s="952"/>
      <c r="LHN49" s="952"/>
      <c r="LHO49" s="952"/>
      <c r="LHP49" s="952"/>
      <c r="LHQ49" s="952"/>
      <c r="LHR49" s="952"/>
      <c r="LHS49" s="952"/>
      <c r="LHT49" s="952"/>
      <c r="LHU49" s="952"/>
      <c r="LHV49" s="952"/>
      <c r="LHW49" s="952"/>
      <c r="LHX49" s="952"/>
      <c r="LHY49" s="952"/>
      <c r="LHZ49" s="952"/>
      <c r="LIA49" s="952"/>
      <c r="LIB49" s="952"/>
      <c r="LIC49" s="952"/>
      <c r="LID49" s="952"/>
      <c r="LIE49" s="952"/>
      <c r="LIF49" s="952"/>
      <c r="LIG49" s="952"/>
      <c r="LIH49" s="952"/>
      <c r="LII49" s="952"/>
      <c r="LIJ49" s="952"/>
      <c r="LIK49" s="952"/>
      <c r="LIL49" s="952"/>
      <c r="LIM49" s="952"/>
      <c r="LIN49" s="952"/>
      <c r="LIO49" s="952"/>
      <c r="LIP49" s="952"/>
      <c r="LIQ49" s="952"/>
      <c r="LIR49" s="952"/>
      <c r="LIS49" s="952"/>
      <c r="LIT49" s="952"/>
      <c r="LIU49" s="952"/>
      <c r="LIV49" s="952"/>
      <c r="LIW49" s="952"/>
      <c r="LIX49" s="952"/>
      <c r="LIY49" s="952"/>
      <c r="LIZ49" s="952"/>
      <c r="LJA49" s="952"/>
      <c r="LJB49" s="952"/>
      <c r="LJC49" s="952"/>
      <c r="LJD49" s="952"/>
      <c r="LJE49" s="952"/>
      <c r="LJF49" s="952"/>
      <c r="LJG49" s="952"/>
      <c r="LJH49" s="952"/>
      <c r="LJI49" s="952"/>
      <c r="LJJ49" s="952"/>
      <c r="LJK49" s="952"/>
      <c r="LJL49" s="952"/>
      <c r="LJM49" s="952"/>
      <c r="LJN49" s="952"/>
      <c r="LJO49" s="952"/>
      <c r="LJP49" s="952"/>
      <c r="LJQ49" s="952"/>
      <c r="LJR49" s="952"/>
      <c r="LJS49" s="952"/>
      <c r="LJT49" s="952"/>
      <c r="LJU49" s="952"/>
      <c r="LJV49" s="952"/>
      <c r="LJW49" s="952"/>
      <c r="LJX49" s="952"/>
      <c r="LJY49" s="952"/>
      <c r="LJZ49" s="952"/>
      <c r="LKA49" s="952"/>
      <c r="LKB49" s="952"/>
      <c r="LKC49" s="952"/>
      <c r="LKD49" s="952"/>
      <c r="LKE49" s="952"/>
      <c r="LKF49" s="952"/>
      <c r="LKG49" s="952"/>
      <c r="LKH49" s="952"/>
      <c r="LKI49" s="952"/>
      <c r="LKJ49" s="952"/>
      <c r="LKK49" s="952"/>
      <c r="LKL49" s="952"/>
      <c r="LKM49" s="952"/>
      <c r="LKN49" s="952"/>
      <c r="LKO49" s="952"/>
      <c r="LKP49" s="952"/>
      <c r="LKQ49" s="952"/>
      <c r="LKR49" s="952"/>
      <c r="LKS49" s="952"/>
      <c r="LKT49" s="952"/>
      <c r="LKU49" s="952"/>
      <c r="LKV49" s="952"/>
      <c r="LKW49" s="952"/>
      <c r="LKX49" s="952"/>
      <c r="LKY49" s="952"/>
      <c r="LKZ49" s="952"/>
      <c r="LLA49" s="952"/>
      <c r="LLB49" s="952"/>
      <c r="LLC49" s="952"/>
      <c r="LLD49" s="952"/>
      <c r="LLE49" s="952"/>
      <c r="LLF49" s="952"/>
      <c r="LLG49" s="952"/>
      <c r="LLH49" s="952"/>
      <c r="LLI49" s="952"/>
      <c r="LLJ49" s="952"/>
      <c r="LLK49" s="952"/>
      <c r="LLL49" s="952"/>
      <c r="LLM49" s="952"/>
      <c r="LLN49" s="952"/>
      <c r="LLO49" s="952"/>
      <c r="LLP49" s="952"/>
      <c r="LLQ49" s="952"/>
      <c r="LLR49" s="952"/>
      <c r="LLS49" s="952"/>
      <c r="LLT49" s="952"/>
      <c r="LLU49" s="952"/>
      <c r="LLV49" s="952"/>
      <c r="LLW49" s="952"/>
      <c r="LLX49" s="952"/>
      <c r="LLY49" s="952"/>
      <c r="LLZ49" s="952"/>
      <c r="LMA49" s="952"/>
      <c r="LMB49" s="952"/>
      <c r="LMC49" s="952"/>
      <c r="LMD49" s="952"/>
      <c r="LME49" s="952"/>
      <c r="LMF49" s="952"/>
      <c r="LMG49" s="952"/>
      <c r="LMH49" s="952"/>
      <c r="LMI49" s="952"/>
      <c r="LMJ49" s="952"/>
      <c r="LMK49" s="952"/>
      <c r="LML49" s="952"/>
      <c r="LMM49" s="952"/>
      <c r="LMN49" s="952"/>
      <c r="LMO49" s="952"/>
      <c r="LMP49" s="952"/>
      <c r="LMQ49" s="952"/>
      <c r="LMR49" s="952"/>
      <c r="LMS49" s="952"/>
      <c r="LMT49" s="952"/>
      <c r="LMU49" s="952"/>
      <c r="LMV49" s="952"/>
      <c r="LMW49" s="952"/>
      <c r="LMX49" s="952"/>
      <c r="LMY49" s="952"/>
      <c r="LMZ49" s="952"/>
      <c r="LNA49" s="952"/>
      <c r="LNB49" s="952"/>
      <c r="LNC49" s="952"/>
      <c r="LND49" s="952"/>
      <c r="LNE49" s="952"/>
      <c r="LNF49" s="952"/>
      <c r="LNG49" s="952"/>
      <c r="LNH49" s="952"/>
      <c r="LNI49" s="952"/>
      <c r="LNJ49" s="952"/>
      <c r="LNK49" s="952"/>
      <c r="LNL49" s="952"/>
      <c r="LNM49" s="952"/>
      <c r="LNN49" s="952"/>
      <c r="LNO49" s="952"/>
      <c r="LNP49" s="952"/>
      <c r="LNQ49" s="952"/>
      <c r="LNR49" s="952"/>
      <c r="LNS49" s="952"/>
      <c r="LNT49" s="952"/>
      <c r="LNU49" s="952"/>
      <c r="LNV49" s="952"/>
      <c r="LNW49" s="952"/>
      <c r="LNX49" s="952"/>
      <c r="LNY49" s="952"/>
      <c r="LNZ49" s="952"/>
      <c r="LOA49" s="952"/>
      <c r="LOB49" s="952"/>
      <c r="LOC49" s="952"/>
      <c r="LOD49" s="952"/>
      <c r="LOE49" s="952"/>
      <c r="LOF49" s="952"/>
      <c r="LOG49" s="952"/>
      <c r="LOH49" s="952"/>
      <c r="LOI49" s="952"/>
      <c r="LOJ49" s="952"/>
      <c r="LOK49" s="952"/>
      <c r="LOL49" s="952"/>
      <c r="LOM49" s="952"/>
      <c r="LON49" s="952"/>
      <c r="LOO49" s="952"/>
      <c r="LOP49" s="952"/>
      <c r="LOQ49" s="952"/>
      <c r="LOR49" s="952"/>
      <c r="LOS49" s="952"/>
      <c r="LOT49" s="952"/>
      <c r="LOU49" s="952"/>
      <c r="LOV49" s="952"/>
      <c r="LOW49" s="952"/>
      <c r="LOX49" s="952"/>
      <c r="LOY49" s="952"/>
      <c r="LOZ49" s="952"/>
      <c r="LPA49" s="952"/>
      <c r="LPB49" s="952"/>
      <c r="LPC49" s="952"/>
      <c r="LPD49" s="952"/>
      <c r="LPE49" s="952"/>
      <c r="LPF49" s="952"/>
      <c r="LPG49" s="952"/>
      <c r="LPH49" s="952"/>
      <c r="LPI49" s="952"/>
      <c r="LPJ49" s="952"/>
      <c r="LPK49" s="952"/>
      <c r="LPL49" s="952"/>
      <c r="LPM49" s="952"/>
      <c r="LPN49" s="952"/>
      <c r="LPO49" s="952"/>
      <c r="LPP49" s="952"/>
      <c r="LPQ49" s="952"/>
      <c r="LPR49" s="952"/>
      <c r="LPS49" s="952"/>
      <c r="LPT49" s="952"/>
      <c r="LPU49" s="952"/>
      <c r="LPV49" s="952"/>
      <c r="LPW49" s="952"/>
      <c r="LPX49" s="952"/>
      <c r="LPY49" s="952"/>
      <c r="LPZ49" s="952"/>
      <c r="LQA49" s="952"/>
      <c r="LQB49" s="952"/>
      <c r="LQC49" s="952"/>
      <c r="LQD49" s="952"/>
      <c r="LQE49" s="952"/>
      <c r="LQF49" s="952"/>
      <c r="LQG49" s="952"/>
      <c r="LQH49" s="952"/>
      <c r="LQI49" s="952"/>
      <c r="LQJ49" s="952"/>
      <c r="LQK49" s="952"/>
      <c r="LQL49" s="952"/>
      <c r="LQM49" s="952"/>
      <c r="LQN49" s="952"/>
      <c r="LQO49" s="952"/>
      <c r="LQP49" s="952"/>
      <c r="LQQ49" s="952"/>
      <c r="LQR49" s="952"/>
      <c r="LQS49" s="952"/>
      <c r="LQT49" s="952"/>
      <c r="LQU49" s="952"/>
      <c r="LQV49" s="952"/>
      <c r="LQW49" s="952"/>
      <c r="LQX49" s="952"/>
      <c r="LQY49" s="952"/>
      <c r="LQZ49" s="952"/>
      <c r="LRA49" s="952"/>
      <c r="LRB49" s="952"/>
      <c r="LRC49" s="952"/>
      <c r="LRD49" s="952"/>
      <c r="LRE49" s="952"/>
      <c r="LRF49" s="952"/>
      <c r="LRG49" s="952"/>
      <c r="LRH49" s="952"/>
      <c r="LRI49" s="952"/>
      <c r="LRJ49" s="952"/>
      <c r="LRK49" s="952"/>
      <c r="LRL49" s="952"/>
      <c r="LRM49" s="952"/>
      <c r="LRN49" s="952"/>
      <c r="LRO49" s="952"/>
      <c r="LRP49" s="952"/>
      <c r="LRQ49" s="952"/>
      <c r="LRR49" s="952"/>
      <c r="LRS49" s="952"/>
      <c r="LRT49" s="952"/>
      <c r="LRU49" s="952"/>
      <c r="LRV49" s="952"/>
      <c r="LRW49" s="952"/>
      <c r="LRX49" s="952"/>
      <c r="LRY49" s="952"/>
      <c r="LRZ49" s="952"/>
      <c r="LSA49" s="952"/>
      <c r="LSB49" s="952"/>
      <c r="LSC49" s="952"/>
      <c r="LSD49" s="952"/>
      <c r="LSE49" s="952"/>
      <c r="LSF49" s="952"/>
      <c r="LSG49" s="952"/>
      <c r="LSH49" s="952"/>
      <c r="LSI49" s="952"/>
      <c r="LSJ49" s="952"/>
      <c r="LSK49" s="952"/>
      <c r="LSL49" s="952"/>
      <c r="LSM49" s="952"/>
      <c r="LSN49" s="952"/>
      <c r="LSO49" s="952"/>
      <c r="LSP49" s="952"/>
      <c r="LSQ49" s="952"/>
      <c r="LSR49" s="952"/>
      <c r="LSS49" s="952"/>
      <c r="LST49" s="952"/>
      <c r="LSU49" s="952"/>
      <c r="LSV49" s="952"/>
      <c r="LSW49" s="952"/>
      <c r="LSX49" s="952"/>
      <c r="LSY49" s="952"/>
      <c r="LSZ49" s="952"/>
      <c r="LTA49" s="952"/>
      <c r="LTB49" s="952"/>
      <c r="LTC49" s="952"/>
      <c r="LTD49" s="952"/>
      <c r="LTE49" s="952"/>
      <c r="LTF49" s="952"/>
      <c r="LTG49" s="952"/>
      <c r="LTH49" s="952"/>
      <c r="LTI49" s="952"/>
      <c r="LTJ49" s="952"/>
      <c r="LTK49" s="952"/>
      <c r="LTL49" s="952"/>
      <c r="LTM49" s="952"/>
      <c r="LTN49" s="952"/>
      <c r="LTO49" s="952"/>
      <c r="LTP49" s="952"/>
      <c r="LTQ49" s="952"/>
      <c r="LTR49" s="952"/>
      <c r="LTS49" s="952"/>
      <c r="LTT49" s="952"/>
      <c r="LTU49" s="952"/>
      <c r="LTV49" s="952"/>
      <c r="LTW49" s="952"/>
      <c r="LTX49" s="952"/>
      <c r="LTY49" s="952"/>
      <c r="LTZ49" s="952"/>
      <c r="LUA49" s="952"/>
      <c r="LUB49" s="952"/>
      <c r="LUC49" s="952"/>
      <c r="LUD49" s="952"/>
      <c r="LUE49" s="952"/>
      <c r="LUF49" s="952"/>
      <c r="LUG49" s="952"/>
      <c r="LUH49" s="952"/>
      <c r="LUI49" s="952"/>
      <c r="LUJ49" s="952"/>
      <c r="LUK49" s="952"/>
      <c r="LUL49" s="952"/>
      <c r="LUM49" s="952"/>
      <c r="LUN49" s="952"/>
      <c r="LUO49" s="952"/>
      <c r="LUP49" s="952"/>
      <c r="LUQ49" s="952"/>
      <c r="LUR49" s="952"/>
      <c r="LUS49" s="952"/>
      <c r="LUT49" s="952"/>
      <c r="LUU49" s="952"/>
      <c r="LUV49" s="952"/>
      <c r="LUW49" s="952"/>
      <c r="LUX49" s="952"/>
      <c r="LUY49" s="952"/>
      <c r="LUZ49" s="952"/>
      <c r="LVA49" s="952"/>
      <c r="LVB49" s="952"/>
      <c r="LVC49" s="952"/>
      <c r="LVD49" s="952"/>
      <c r="LVE49" s="952"/>
      <c r="LVF49" s="952"/>
      <c r="LVG49" s="952"/>
      <c r="LVH49" s="952"/>
      <c r="LVI49" s="952"/>
      <c r="LVJ49" s="952"/>
      <c r="LVK49" s="952"/>
      <c r="LVL49" s="952"/>
      <c r="LVM49" s="952"/>
      <c r="LVN49" s="952"/>
      <c r="LVO49" s="952"/>
      <c r="LVP49" s="952"/>
      <c r="LVQ49" s="952"/>
      <c r="LVR49" s="952"/>
      <c r="LVS49" s="952"/>
      <c r="LVT49" s="952"/>
      <c r="LVU49" s="952"/>
      <c r="LVV49" s="952"/>
      <c r="LVW49" s="952"/>
      <c r="LVX49" s="952"/>
      <c r="LVY49" s="952"/>
      <c r="LVZ49" s="952"/>
      <c r="LWA49" s="952"/>
      <c r="LWB49" s="952"/>
      <c r="LWC49" s="952"/>
      <c r="LWD49" s="952"/>
      <c r="LWE49" s="952"/>
      <c r="LWF49" s="952"/>
      <c r="LWG49" s="952"/>
      <c r="LWH49" s="952"/>
      <c r="LWI49" s="952"/>
      <c r="LWJ49" s="952"/>
      <c r="LWK49" s="952"/>
      <c r="LWL49" s="952"/>
      <c r="LWM49" s="952"/>
      <c r="LWN49" s="952"/>
      <c r="LWO49" s="952"/>
      <c r="LWP49" s="952"/>
      <c r="LWQ49" s="952"/>
      <c r="LWR49" s="952"/>
      <c r="LWS49" s="952"/>
      <c r="LWT49" s="952"/>
      <c r="LWU49" s="952"/>
      <c r="LWV49" s="952"/>
      <c r="LWW49" s="952"/>
      <c r="LWX49" s="952"/>
      <c r="LWY49" s="952"/>
      <c r="LWZ49" s="952"/>
      <c r="LXA49" s="952"/>
      <c r="LXB49" s="952"/>
      <c r="LXC49" s="952"/>
      <c r="LXD49" s="952"/>
      <c r="LXE49" s="952"/>
      <c r="LXF49" s="952"/>
      <c r="LXG49" s="952"/>
      <c r="LXH49" s="952"/>
      <c r="LXI49" s="952"/>
      <c r="LXJ49" s="952"/>
      <c r="LXK49" s="952"/>
      <c r="LXL49" s="952"/>
      <c r="LXM49" s="952"/>
      <c r="LXN49" s="952"/>
      <c r="LXO49" s="952"/>
      <c r="LXP49" s="952"/>
      <c r="LXQ49" s="952"/>
      <c r="LXR49" s="952"/>
      <c r="LXS49" s="952"/>
      <c r="LXT49" s="952"/>
      <c r="LXU49" s="952"/>
      <c r="LXV49" s="952"/>
      <c r="LXW49" s="952"/>
      <c r="LXX49" s="952"/>
      <c r="LXY49" s="952"/>
      <c r="LXZ49" s="952"/>
      <c r="LYA49" s="952"/>
      <c r="LYB49" s="952"/>
      <c r="LYC49" s="952"/>
      <c r="LYD49" s="952"/>
      <c r="LYE49" s="952"/>
      <c r="LYF49" s="952"/>
      <c r="LYG49" s="952"/>
      <c r="LYH49" s="952"/>
      <c r="LYI49" s="952"/>
      <c r="LYJ49" s="952"/>
      <c r="LYK49" s="952"/>
      <c r="LYL49" s="952"/>
      <c r="LYM49" s="952"/>
      <c r="LYN49" s="952"/>
      <c r="LYO49" s="952"/>
      <c r="LYP49" s="952"/>
      <c r="LYQ49" s="952"/>
      <c r="LYR49" s="952"/>
      <c r="LYS49" s="952"/>
      <c r="LYT49" s="952"/>
      <c r="LYU49" s="952"/>
      <c r="LYV49" s="952"/>
      <c r="LYW49" s="952"/>
      <c r="LYX49" s="952"/>
      <c r="LYY49" s="952"/>
      <c r="LYZ49" s="952"/>
      <c r="LZA49" s="952"/>
      <c r="LZB49" s="952"/>
      <c r="LZC49" s="952"/>
      <c r="LZD49" s="952"/>
      <c r="LZE49" s="952"/>
      <c r="LZF49" s="952"/>
      <c r="LZG49" s="952"/>
      <c r="LZH49" s="952"/>
      <c r="LZI49" s="952"/>
      <c r="LZJ49" s="952"/>
      <c r="LZK49" s="952"/>
      <c r="LZL49" s="952"/>
      <c r="LZM49" s="952"/>
      <c r="LZN49" s="952"/>
      <c r="LZO49" s="952"/>
      <c r="LZP49" s="952"/>
      <c r="LZQ49" s="952"/>
      <c r="LZR49" s="952"/>
      <c r="LZS49" s="952"/>
      <c r="LZT49" s="952"/>
      <c r="LZU49" s="952"/>
      <c r="LZV49" s="952"/>
      <c r="LZW49" s="952"/>
      <c r="LZX49" s="952"/>
      <c r="LZY49" s="952"/>
      <c r="LZZ49" s="952"/>
      <c r="MAA49" s="952"/>
      <c r="MAB49" s="952"/>
      <c r="MAC49" s="952"/>
      <c r="MAD49" s="952"/>
      <c r="MAE49" s="952"/>
      <c r="MAF49" s="952"/>
      <c r="MAG49" s="952"/>
      <c r="MAH49" s="952"/>
      <c r="MAI49" s="952"/>
      <c r="MAJ49" s="952"/>
      <c r="MAK49" s="952"/>
      <c r="MAL49" s="952"/>
      <c r="MAM49" s="952"/>
      <c r="MAN49" s="952"/>
      <c r="MAO49" s="952"/>
      <c r="MAP49" s="952"/>
      <c r="MAQ49" s="952"/>
      <c r="MAR49" s="952"/>
      <c r="MAS49" s="952"/>
      <c r="MAT49" s="952"/>
      <c r="MAU49" s="952"/>
      <c r="MAV49" s="952"/>
      <c r="MAW49" s="952"/>
      <c r="MAX49" s="952"/>
      <c r="MAY49" s="952"/>
      <c r="MAZ49" s="952"/>
      <c r="MBA49" s="952"/>
      <c r="MBB49" s="952"/>
      <c r="MBC49" s="952"/>
      <c r="MBD49" s="952"/>
      <c r="MBE49" s="952"/>
      <c r="MBF49" s="952"/>
      <c r="MBG49" s="952"/>
      <c r="MBH49" s="952"/>
      <c r="MBI49" s="952"/>
      <c r="MBJ49" s="952"/>
      <c r="MBK49" s="952"/>
      <c r="MBL49" s="952"/>
      <c r="MBM49" s="952"/>
      <c r="MBN49" s="952"/>
      <c r="MBO49" s="952"/>
      <c r="MBP49" s="952"/>
      <c r="MBQ49" s="952"/>
      <c r="MBR49" s="952"/>
      <c r="MBS49" s="952"/>
      <c r="MBT49" s="952"/>
      <c r="MBU49" s="952"/>
      <c r="MBV49" s="952"/>
      <c r="MBW49" s="952"/>
      <c r="MBX49" s="952"/>
      <c r="MBY49" s="952"/>
      <c r="MBZ49" s="952"/>
      <c r="MCA49" s="952"/>
      <c r="MCB49" s="952"/>
      <c r="MCC49" s="952"/>
      <c r="MCD49" s="952"/>
      <c r="MCE49" s="952"/>
      <c r="MCF49" s="952"/>
      <c r="MCG49" s="952"/>
      <c r="MCH49" s="952"/>
      <c r="MCI49" s="952"/>
      <c r="MCJ49" s="952"/>
      <c r="MCK49" s="952"/>
      <c r="MCL49" s="952"/>
      <c r="MCM49" s="952"/>
      <c r="MCN49" s="952"/>
      <c r="MCO49" s="952"/>
      <c r="MCP49" s="952"/>
      <c r="MCQ49" s="952"/>
      <c r="MCR49" s="952"/>
      <c r="MCS49" s="952"/>
      <c r="MCT49" s="952"/>
      <c r="MCU49" s="952"/>
      <c r="MCV49" s="952"/>
      <c r="MCW49" s="952"/>
      <c r="MCX49" s="952"/>
      <c r="MCY49" s="952"/>
      <c r="MCZ49" s="952"/>
      <c r="MDA49" s="952"/>
      <c r="MDB49" s="952"/>
      <c r="MDC49" s="952"/>
      <c r="MDD49" s="952"/>
      <c r="MDE49" s="952"/>
      <c r="MDF49" s="952"/>
      <c r="MDG49" s="952"/>
      <c r="MDH49" s="952"/>
      <c r="MDI49" s="952"/>
      <c r="MDJ49" s="952"/>
      <c r="MDK49" s="952"/>
      <c r="MDL49" s="952"/>
      <c r="MDM49" s="952"/>
      <c r="MDN49" s="952"/>
      <c r="MDO49" s="952"/>
      <c r="MDP49" s="952"/>
      <c r="MDQ49" s="952"/>
      <c r="MDR49" s="952"/>
      <c r="MDS49" s="952"/>
      <c r="MDT49" s="952"/>
      <c r="MDU49" s="952"/>
      <c r="MDV49" s="952"/>
      <c r="MDW49" s="952"/>
      <c r="MDX49" s="952"/>
      <c r="MDY49" s="952"/>
      <c r="MDZ49" s="952"/>
      <c r="MEA49" s="952"/>
      <c r="MEB49" s="952"/>
      <c r="MEC49" s="952"/>
      <c r="MED49" s="952"/>
      <c r="MEE49" s="952"/>
      <c r="MEF49" s="952"/>
      <c r="MEG49" s="952"/>
      <c r="MEH49" s="952"/>
      <c r="MEI49" s="952"/>
      <c r="MEJ49" s="952"/>
      <c r="MEK49" s="952"/>
      <c r="MEL49" s="952"/>
      <c r="MEM49" s="952"/>
      <c r="MEN49" s="952"/>
      <c r="MEO49" s="952"/>
      <c r="MEP49" s="952"/>
      <c r="MEQ49" s="952"/>
      <c r="MER49" s="952"/>
      <c r="MES49" s="952"/>
      <c r="MET49" s="952"/>
      <c r="MEU49" s="952"/>
      <c r="MEV49" s="952"/>
      <c r="MEW49" s="952"/>
      <c r="MEX49" s="952"/>
      <c r="MEY49" s="952"/>
      <c r="MEZ49" s="952"/>
      <c r="MFA49" s="952"/>
      <c r="MFB49" s="952"/>
      <c r="MFC49" s="952"/>
      <c r="MFD49" s="952"/>
      <c r="MFE49" s="952"/>
      <c r="MFF49" s="952"/>
      <c r="MFG49" s="952"/>
      <c r="MFH49" s="952"/>
      <c r="MFI49" s="952"/>
      <c r="MFJ49" s="952"/>
      <c r="MFK49" s="952"/>
      <c r="MFL49" s="952"/>
      <c r="MFM49" s="952"/>
      <c r="MFN49" s="952"/>
      <c r="MFO49" s="952"/>
      <c r="MFP49" s="952"/>
      <c r="MFQ49" s="952"/>
      <c r="MFR49" s="952"/>
      <c r="MFS49" s="952"/>
      <c r="MFT49" s="952"/>
      <c r="MFU49" s="952"/>
      <c r="MFV49" s="952"/>
      <c r="MFW49" s="952"/>
      <c r="MFX49" s="952"/>
      <c r="MFY49" s="952"/>
      <c r="MFZ49" s="952"/>
      <c r="MGA49" s="952"/>
      <c r="MGB49" s="952"/>
      <c r="MGC49" s="952"/>
      <c r="MGD49" s="952"/>
      <c r="MGE49" s="952"/>
      <c r="MGF49" s="952"/>
      <c r="MGG49" s="952"/>
      <c r="MGH49" s="952"/>
      <c r="MGI49" s="952"/>
      <c r="MGJ49" s="952"/>
      <c r="MGK49" s="952"/>
      <c r="MGL49" s="952"/>
      <c r="MGM49" s="952"/>
      <c r="MGN49" s="952"/>
      <c r="MGO49" s="952"/>
      <c r="MGP49" s="952"/>
      <c r="MGQ49" s="952"/>
      <c r="MGR49" s="952"/>
      <c r="MGS49" s="952"/>
      <c r="MGT49" s="952"/>
      <c r="MGU49" s="952"/>
      <c r="MGV49" s="952"/>
      <c r="MGW49" s="952"/>
      <c r="MGX49" s="952"/>
      <c r="MGY49" s="952"/>
      <c r="MGZ49" s="952"/>
      <c r="MHA49" s="952"/>
      <c r="MHB49" s="952"/>
      <c r="MHC49" s="952"/>
      <c r="MHD49" s="952"/>
      <c r="MHE49" s="952"/>
      <c r="MHF49" s="952"/>
      <c r="MHG49" s="952"/>
      <c r="MHH49" s="952"/>
      <c r="MHI49" s="952"/>
      <c r="MHJ49" s="952"/>
      <c r="MHK49" s="952"/>
      <c r="MHL49" s="952"/>
      <c r="MHM49" s="952"/>
      <c r="MHN49" s="952"/>
      <c r="MHO49" s="952"/>
      <c r="MHP49" s="952"/>
      <c r="MHQ49" s="952"/>
      <c r="MHR49" s="952"/>
      <c r="MHS49" s="952"/>
      <c r="MHT49" s="952"/>
      <c r="MHU49" s="952"/>
      <c r="MHV49" s="952"/>
      <c r="MHW49" s="952"/>
      <c r="MHX49" s="952"/>
      <c r="MHY49" s="952"/>
      <c r="MHZ49" s="952"/>
      <c r="MIA49" s="952"/>
      <c r="MIB49" s="952"/>
      <c r="MIC49" s="952"/>
      <c r="MID49" s="952"/>
      <c r="MIE49" s="952"/>
      <c r="MIF49" s="952"/>
      <c r="MIG49" s="952"/>
      <c r="MIH49" s="952"/>
      <c r="MII49" s="952"/>
      <c r="MIJ49" s="952"/>
      <c r="MIK49" s="952"/>
      <c r="MIL49" s="952"/>
      <c r="MIM49" s="952"/>
      <c r="MIN49" s="952"/>
      <c r="MIO49" s="952"/>
      <c r="MIP49" s="952"/>
      <c r="MIQ49" s="952"/>
      <c r="MIR49" s="952"/>
      <c r="MIS49" s="952"/>
      <c r="MIT49" s="952"/>
      <c r="MIU49" s="952"/>
      <c r="MIV49" s="952"/>
      <c r="MIW49" s="952"/>
      <c r="MIX49" s="952"/>
      <c r="MIY49" s="952"/>
      <c r="MIZ49" s="952"/>
      <c r="MJA49" s="952"/>
      <c r="MJB49" s="952"/>
      <c r="MJC49" s="952"/>
      <c r="MJD49" s="952"/>
      <c r="MJE49" s="952"/>
      <c r="MJF49" s="952"/>
      <c r="MJG49" s="952"/>
      <c r="MJH49" s="952"/>
      <c r="MJI49" s="952"/>
      <c r="MJJ49" s="952"/>
      <c r="MJK49" s="952"/>
      <c r="MJL49" s="952"/>
      <c r="MJM49" s="952"/>
      <c r="MJN49" s="952"/>
      <c r="MJO49" s="952"/>
      <c r="MJP49" s="952"/>
      <c r="MJQ49" s="952"/>
      <c r="MJR49" s="952"/>
      <c r="MJS49" s="952"/>
      <c r="MJT49" s="952"/>
      <c r="MJU49" s="952"/>
      <c r="MJV49" s="952"/>
      <c r="MJW49" s="952"/>
      <c r="MJX49" s="952"/>
      <c r="MJY49" s="952"/>
      <c r="MJZ49" s="952"/>
      <c r="MKA49" s="952"/>
      <c r="MKB49" s="952"/>
      <c r="MKC49" s="952"/>
      <c r="MKD49" s="952"/>
      <c r="MKE49" s="952"/>
      <c r="MKF49" s="952"/>
      <c r="MKG49" s="952"/>
      <c r="MKH49" s="952"/>
      <c r="MKI49" s="952"/>
      <c r="MKJ49" s="952"/>
      <c r="MKK49" s="952"/>
      <c r="MKL49" s="952"/>
      <c r="MKM49" s="952"/>
      <c r="MKN49" s="952"/>
      <c r="MKO49" s="952"/>
      <c r="MKP49" s="952"/>
      <c r="MKQ49" s="952"/>
      <c r="MKR49" s="952"/>
      <c r="MKS49" s="952"/>
      <c r="MKT49" s="952"/>
      <c r="MKU49" s="952"/>
      <c r="MKV49" s="952"/>
      <c r="MKW49" s="952"/>
      <c r="MKX49" s="952"/>
      <c r="MKY49" s="952"/>
      <c r="MKZ49" s="952"/>
      <c r="MLA49" s="952"/>
      <c r="MLB49" s="952"/>
      <c r="MLC49" s="952"/>
      <c r="MLD49" s="952"/>
      <c r="MLE49" s="952"/>
      <c r="MLF49" s="952"/>
      <c r="MLG49" s="952"/>
      <c r="MLH49" s="952"/>
      <c r="MLI49" s="952"/>
      <c r="MLJ49" s="952"/>
      <c r="MLK49" s="952"/>
      <c r="MLL49" s="952"/>
      <c r="MLM49" s="952"/>
      <c r="MLN49" s="952"/>
      <c r="MLO49" s="952"/>
      <c r="MLP49" s="952"/>
      <c r="MLQ49" s="952"/>
      <c r="MLR49" s="952"/>
      <c r="MLS49" s="952"/>
      <c r="MLT49" s="952"/>
      <c r="MLU49" s="952"/>
      <c r="MLV49" s="952"/>
      <c r="MLW49" s="952"/>
      <c r="MLX49" s="952"/>
      <c r="MLY49" s="952"/>
      <c r="MLZ49" s="952"/>
      <c r="MMA49" s="952"/>
      <c r="MMB49" s="952"/>
      <c r="MMC49" s="952"/>
      <c r="MMD49" s="952"/>
      <c r="MME49" s="952"/>
      <c r="MMF49" s="952"/>
      <c r="MMG49" s="952"/>
      <c r="MMH49" s="952"/>
      <c r="MMI49" s="952"/>
      <c r="MMJ49" s="952"/>
      <c r="MMK49" s="952"/>
      <c r="MML49" s="952"/>
      <c r="MMM49" s="952"/>
      <c r="MMN49" s="952"/>
      <c r="MMO49" s="952"/>
      <c r="MMP49" s="952"/>
      <c r="MMQ49" s="952"/>
      <c r="MMR49" s="952"/>
      <c r="MMS49" s="952"/>
      <c r="MMT49" s="952"/>
      <c r="MMU49" s="952"/>
      <c r="MMV49" s="952"/>
      <c r="MMW49" s="952"/>
      <c r="MMX49" s="952"/>
      <c r="MMY49" s="952"/>
      <c r="MMZ49" s="952"/>
      <c r="MNA49" s="952"/>
      <c r="MNB49" s="952"/>
      <c r="MNC49" s="952"/>
      <c r="MND49" s="952"/>
      <c r="MNE49" s="952"/>
      <c r="MNF49" s="952"/>
      <c r="MNG49" s="952"/>
      <c r="MNH49" s="952"/>
      <c r="MNI49" s="952"/>
      <c r="MNJ49" s="952"/>
      <c r="MNK49" s="952"/>
      <c r="MNL49" s="952"/>
      <c r="MNM49" s="952"/>
      <c r="MNN49" s="952"/>
      <c r="MNO49" s="952"/>
      <c r="MNP49" s="952"/>
      <c r="MNQ49" s="952"/>
      <c r="MNR49" s="952"/>
      <c r="MNS49" s="952"/>
      <c r="MNT49" s="952"/>
      <c r="MNU49" s="952"/>
      <c r="MNV49" s="952"/>
      <c r="MNW49" s="952"/>
      <c r="MNX49" s="952"/>
      <c r="MNY49" s="952"/>
      <c r="MNZ49" s="952"/>
      <c r="MOA49" s="952"/>
      <c r="MOB49" s="952"/>
      <c r="MOC49" s="952"/>
      <c r="MOD49" s="952"/>
      <c r="MOE49" s="952"/>
      <c r="MOF49" s="952"/>
      <c r="MOG49" s="952"/>
      <c r="MOH49" s="952"/>
      <c r="MOI49" s="952"/>
      <c r="MOJ49" s="952"/>
      <c r="MOK49" s="952"/>
      <c r="MOL49" s="952"/>
      <c r="MOM49" s="952"/>
      <c r="MON49" s="952"/>
      <c r="MOO49" s="952"/>
      <c r="MOP49" s="952"/>
      <c r="MOQ49" s="952"/>
      <c r="MOR49" s="952"/>
      <c r="MOS49" s="952"/>
      <c r="MOT49" s="952"/>
      <c r="MOU49" s="952"/>
      <c r="MOV49" s="952"/>
      <c r="MOW49" s="952"/>
      <c r="MOX49" s="952"/>
      <c r="MOY49" s="952"/>
      <c r="MOZ49" s="952"/>
      <c r="MPA49" s="952"/>
      <c r="MPB49" s="952"/>
      <c r="MPC49" s="952"/>
      <c r="MPD49" s="952"/>
      <c r="MPE49" s="952"/>
      <c r="MPF49" s="952"/>
      <c r="MPG49" s="952"/>
      <c r="MPH49" s="952"/>
      <c r="MPI49" s="952"/>
      <c r="MPJ49" s="952"/>
      <c r="MPK49" s="952"/>
      <c r="MPL49" s="952"/>
      <c r="MPM49" s="952"/>
      <c r="MPN49" s="952"/>
      <c r="MPO49" s="952"/>
      <c r="MPP49" s="952"/>
      <c r="MPQ49" s="952"/>
      <c r="MPR49" s="952"/>
      <c r="MPS49" s="952"/>
      <c r="MPT49" s="952"/>
      <c r="MPU49" s="952"/>
      <c r="MPV49" s="952"/>
      <c r="MPW49" s="952"/>
      <c r="MPX49" s="952"/>
      <c r="MPY49" s="952"/>
      <c r="MPZ49" s="952"/>
      <c r="MQA49" s="952"/>
      <c r="MQB49" s="952"/>
      <c r="MQC49" s="952"/>
      <c r="MQD49" s="952"/>
      <c r="MQE49" s="952"/>
      <c r="MQF49" s="952"/>
      <c r="MQG49" s="952"/>
      <c r="MQH49" s="952"/>
      <c r="MQI49" s="952"/>
      <c r="MQJ49" s="952"/>
      <c r="MQK49" s="952"/>
      <c r="MQL49" s="952"/>
      <c r="MQM49" s="952"/>
      <c r="MQN49" s="952"/>
      <c r="MQO49" s="952"/>
      <c r="MQP49" s="952"/>
      <c r="MQQ49" s="952"/>
      <c r="MQR49" s="952"/>
      <c r="MQS49" s="952"/>
      <c r="MQT49" s="952"/>
      <c r="MQU49" s="952"/>
      <c r="MQV49" s="952"/>
      <c r="MQW49" s="952"/>
      <c r="MQX49" s="952"/>
      <c r="MQY49" s="952"/>
      <c r="MQZ49" s="952"/>
      <c r="MRA49" s="952"/>
      <c r="MRB49" s="952"/>
      <c r="MRC49" s="952"/>
      <c r="MRD49" s="952"/>
      <c r="MRE49" s="952"/>
      <c r="MRF49" s="952"/>
      <c r="MRG49" s="952"/>
      <c r="MRH49" s="952"/>
      <c r="MRI49" s="952"/>
      <c r="MRJ49" s="952"/>
      <c r="MRK49" s="952"/>
      <c r="MRL49" s="952"/>
      <c r="MRM49" s="952"/>
      <c r="MRN49" s="952"/>
      <c r="MRO49" s="952"/>
      <c r="MRP49" s="952"/>
      <c r="MRQ49" s="952"/>
      <c r="MRR49" s="952"/>
      <c r="MRS49" s="952"/>
      <c r="MRT49" s="952"/>
      <c r="MRU49" s="952"/>
      <c r="MRV49" s="952"/>
      <c r="MRW49" s="952"/>
      <c r="MRX49" s="952"/>
      <c r="MRY49" s="952"/>
      <c r="MRZ49" s="952"/>
      <c r="MSA49" s="952"/>
      <c r="MSB49" s="952"/>
      <c r="MSC49" s="952"/>
      <c r="MSD49" s="952"/>
      <c r="MSE49" s="952"/>
      <c r="MSF49" s="952"/>
      <c r="MSG49" s="952"/>
      <c r="MSH49" s="952"/>
      <c r="MSI49" s="952"/>
      <c r="MSJ49" s="952"/>
      <c r="MSK49" s="952"/>
      <c r="MSL49" s="952"/>
      <c r="MSM49" s="952"/>
      <c r="MSN49" s="952"/>
      <c r="MSO49" s="952"/>
      <c r="MSP49" s="952"/>
      <c r="MSQ49" s="952"/>
      <c r="MSR49" s="952"/>
      <c r="MSS49" s="952"/>
      <c r="MST49" s="952"/>
      <c r="MSU49" s="952"/>
      <c r="MSV49" s="952"/>
      <c r="MSW49" s="952"/>
      <c r="MSX49" s="952"/>
      <c r="MSY49" s="952"/>
      <c r="MSZ49" s="952"/>
      <c r="MTA49" s="952"/>
      <c r="MTB49" s="952"/>
      <c r="MTC49" s="952"/>
      <c r="MTD49" s="952"/>
      <c r="MTE49" s="952"/>
      <c r="MTF49" s="952"/>
      <c r="MTG49" s="952"/>
      <c r="MTH49" s="952"/>
      <c r="MTI49" s="952"/>
      <c r="MTJ49" s="952"/>
      <c r="MTK49" s="952"/>
      <c r="MTL49" s="952"/>
      <c r="MTM49" s="952"/>
      <c r="MTN49" s="952"/>
      <c r="MTO49" s="952"/>
      <c r="MTP49" s="952"/>
      <c r="MTQ49" s="952"/>
      <c r="MTR49" s="952"/>
      <c r="MTS49" s="952"/>
      <c r="MTT49" s="952"/>
      <c r="MTU49" s="952"/>
      <c r="MTV49" s="952"/>
      <c r="MTW49" s="952"/>
      <c r="MTX49" s="952"/>
      <c r="MTY49" s="952"/>
      <c r="MTZ49" s="952"/>
      <c r="MUA49" s="952"/>
      <c r="MUB49" s="952"/>
      <c r="MUC49" s="952"/>
      <c r="MUD49" s="952"/>
      <c r="MUE49" s="952"/>
      <c r="MUF49" s="952"/>
      <c r="MUG49" s="952"/>
      <c r="MUH49" s="952"/>
      <c r="MUI49" s="952"/>
      <c r="MUJ49" s="952"/>
      <c r="MUK49" s="952"/>
      <c r="MUL49" s="952"/>
      <c r="MUM49" s="952"/>
      <c r="MUN49" s="952"/>
      <c r="MUO49" s="952"/>
      <c r="MUP49" s="952"/>
      <c r="MUQ49" s="952"/>
      <c r="MUR49" s="952"/>
      <c r="MUS49" s="952"/>
      <c r="MUT49" s="952"/>
      <c r="MUU49" s="952"/>
      <c r="MUV49" s="952"/>
      <c r="MUW49" s="952"/>
      <c r="MUX49" s="952"/>
      <c r="MUY49" s="952"/>
      <c r="MUZ49" s="952"/>
      <c r="MVA49" s="952"/>
      <c r="MVB49" s="952"/>
      <c r="MVC49" s="952"/>
      <c r="MVD49" s="952"/>
      <c r="MVE49" s="952"/>
      <c r="MVF49" s="952"/>
      <c r="MVG49" s="952"/>
      <c r="MVH49" s="952"/>
      <c r="MVI49" s="952"/>
      <c r="MVJ49" s="952"/>
      <c r="MVK49" s="952"/>
      <c r="MVL49" s="952"/>
      <c r="MVM49" s="952"/>
      <c r="MVN49" s="952"/>
      <c r="MVO49" s="952"/>
      <c r="MVP49" s="952"/>
      <c r="MVQ49" s="952"/>
      <c r="MVR49" s="952"/>
      <c r="MVS49" s="952"/>
      <c r="MVT49" s="952"/>
      <c r="MVU49" s="952"/>
      <c r="MVV49" s="952"/>
      <c r="MVW49" s="952"/>
      <c r="MVX49" s="952"/>
      <c r="MVY49" s="952"/>
      <c r="MVZ49" s="952"/>
      <c r="MWA49" s="952"/>
      <c r="MWB49" s="952"/>
      <c r="MWC49" s="952"/>
      <c r="MWD49" s="952"/>
      <c r="MWE49" s="952"/>
      <c r="MWF49" s="952"/>
      <c r="MWG49" s="952"/>
      <c r="MWH49" s="952"/>
      <c r="MWI49" s="952"/>
      <c r="MWJ49" s="952"/>
      <c r="MWK49" s="952"/>
      <c r="MWL49" s="952"/>
      <c r="MWM49" s="952"/>
      <c r="MWN49" s="952"/>
      <c r="MWO49" s="952"/>
      <c r="MWP49" s="952"/>
      <c r="MWQ49" s="952"/>
      <c r="MWR49" s="952"/>
      <c r="MWS49" s="952"/>
      <c r="MWT49" s="952"/>
      <c r="MWU49" s="952"/>
      <c r="MWV49" s="952"/>
      <c r="MWW49" s="952"/>
      <c r="MWX49" s="952"/>
      <c r="MWY49" s="952"/>
      <c r="MWZ49" s="952"/>
      <c r="MXA49" s="952"/>
      <c r="MXB49" s="952"/>
      <c r="MXC49" s="952"/>
      <c r="MXD49" s="952"/>
      <c r="MXE49" s="952"/>
      <c r="MXF49" s="952"/>
      <c r="MXG49" s="952"/>
      <c r="MXH49" s="952"/>
      <c r="MXI49" s="952"/>
      <c r="MXJ49" s="952"/>
      <c r="MXK49" s="952"/>
      <c r="MXL49" s="952"/>
      <c r="MXM49" s="952"/>
      <c r="MXN49" s="952"/>
      <c r="MXO49" s="952"/>
      <c r="MXP49" s="952"/>
      <c r="MXQ49" s="952"/>
      <c r="MXR49" s="952"/>
      <c r="MXS49" s="952"/>
      <c r="MXT49" s="952"/>
      <c r="MXU49" s="952"/>
      <c r="MXV49" s="952"/>
      <c r="MXW49" s="952"/>
      <c r="MXX49" s="952"/>
      <c r="MXY49" s="952"/>
      <c r="MXZ49" s="952"/>
      <c r="MYA49" s="952"/>
      <c r="MYB49" s="952"/>
      <c r="MYC49" s="952"/>
      <c r="MYD49" s="952"/>
      <c r="MYE49" s="952"/>
      <c r="MYF49" s="952"/>
      <c r="MYG49" s="952"/>
      <c r="MYH49" s="952"/>
      <c r="MYI49" s="952"/>
      <c r="MYJ49" s="952"/>
      <c r="MYK49" s="952"/>
      <c r="MYL49" s="952"/>
      <c r="MYM49" s="952"/>
      <c r="MYN49" s="952"/>
      <c r="MYO49" s="952"/>
      <c r="MYP49" s="952"/>
      <c r="MYQ49" s="952"/>
      <c r="MYR49" s="952"/>
      <c r="MYS49" s="952"/>
      <c r="MYT49" s="952"/>
      <c r="MYU49" s="952"/>
      <c r="MYV49" s="952"/>
      <c r="MYW49" s="952"/>
      <c r="MYX49" s="952"/>
      <c r="MYY49" s="952"/>
      <c r="MYZ49" s="952"/>
      <c r="MZA49" s="952"/>
      <c r="MZB49" s="952"/>
      <c r="MZC49" s="952"/>
      <c r="MZD49" s="952"/>
      <c r="MZE49" s="952"/>
      <c r="MZF49" s="952"/>
      <c r="MZG49" s="952"/>
      <c r="MZH49" s="952"/>
      <c r="MZI49" s="952"/>
      <c r="MZJ49" s="952"/>
      <c r="MZK49" s="952"/>
      <c r="MZL49" s="952"/>
      <c r="MZM49" s="952"/>
      <c r="MZN49" s="952"/>
      <c r="MZO49" s="952"/>
      <c r="MZP49" s="952"/>
      <c r="MZQ49" s="952"/>
      <c r="MZR49" s="952"/>
      <c r="MZS49" s="952"/>
      <c r="MZT49" s="952"/>
      <c r="MZU49" s="952"/>
      <c r="MZV49" s="952"/>
      <c r="MZW49" s="952"/>
      <c r="MZX49" s="952"/>
      <c r="MZY49" s="952"/>
      <c r="MZZ49" s="952"/>
      <c r="NAA49" s="952"/>
      <c r="NAB49" s="952"/>
      <c r="NAC49" s="952"/>
      <c r="NAD49" s="952"/>
      <c r="NAE49" s="952"/>
      <c r="NAF49" s="952"/>
      <c r="NAG49" s="952"/>
      <c r="NAH49" s="952"/>
      <c r="NAI49" s="952"/>
      <c r="NAJ49" s="952"/>
      <c r="NAK49" s="952"/>
      <c r="NAL49" s="952"/>
      <c r="NAM49" s="952"/>
      <c r="NAN49" s="952"/>
      <c r="NAO49" s="952"/>
      <c r="NAP49" s="952"/>
      <c r="NAQ49" s="952"/>
      <c r="NAR49" s="952"/>
      <c r="NAS49" s="952"/>
      <c r="NAT49" s="952"/>
      <c r="NAU49" s="952"/>
      <c r="NAV49" s="952"/>
      <c r="NAW49" s="952"/>
      <c r="NAX49" s="952"/>
      <c r="NAY49" s="952"/>
      <c r="NAZ49" s="952"/>
      <c r="NBA49" s="952"/>
      <c r="NBB49" s="952"/>
      <c r="NBC49" s="952"/>
      <c r="NBD49" s="952"/>
      <c r="NBE49" s="952"/>
      <c r="NBF49" s="952"/>
      <c r="NBG49" s="952"/>
      <c r="NBH49" s="952"/>
      <c r="NBI49" s="952"/>
      <c r="NBJ49" s="952"/>
      <c r="NBK49" s="952"/>
      <c r="NBL49" s="952"/>
      <c r="NBM49" s="952"/>
      <c r="NBN49" s="952"/>
      <c r="NBO49" s="952"/>
      <c r="NBP49" s="952"/>
      <c r="NBQ49" s="952"/>
      <c r="NBR49" s="952"/>
      <c r="NBS49" s="952"/>
      <c r="NBT49" s="952"/>
      <c r="NBU49" s="952"/>
      <c r="NBV49" s="952"/>
      <c r="NBW49" s="952"/>
      <c r="NBX49" s="952"/>
      <c r="NBY49" s="952"/>
      <c r="NBZ49" s="952"/>
      <c r="NCA49" s="952"/>
      <c r="NCB49" s="952"/>
      <c r="NCC49" s="952"/>
      <c r="NCD49" s="952"/>
      <c r="NCE49" s="952"/>
      <c r="NCF49" s="952"/>
      <c r="NCG49" s="952"/>
      <c r="NCH49" s="952"/>
      <c r="NCI49" s="952"/>
      <c r="NCJ49" s="952"/>
      <c r="NCK49" s="952"/>
      <c r="NCL49" s="952"/>
      <c r="NCM49" s="952"/>
      <c r="NCN49" s="952"/>
      <c r="NCO49" s="952"/>
      <c r="NCP49" s="952"/>
      <c r="NCQ49" s="952"/>
      <c r="NCR49" s="952"/>
      <c r="NCS49" s="952"/>
      <c r="NCT49" s="952"/>
      <c r="NCU49" s="952"/>
      <c r="NCV49" s="952"/>
      <c r="NCW49" s="952"/>
      <c r="NCX49" s="952"/>
      <c r="NCY49" s="952"/>
      <c r="NCZ49" s="952"/>
      <c r="NDA49" s="952"/>
      <c r="NDB49" s="952"/>
      <c r="NDC49" s="952"/>
      <c r="NDD49" s="952"/>
      <c r="NDE49" s="952"/>
      <c r="NDF49" s="952"/>
      <c r="NDG49" s="952"/>
      <c r="NDH49" s="952"/>
      <c r="NDI49" s="952"/>
      <c r="NDJ49" s="952"/>
      <c r="NDK49" s="952"/>
      <c r="NDL49" s="952"/>
      <c r="NDM49" s="952"/>
      <c r="NDN49" s="952"/>
      <c r="NDO49" s="952"/>
      <c r="NDP49" s="952"/>
      <c r="NDQ49" s="952"/>
      <c r="NDR49" s="952"/>
      <c r="NDS49" s="952"/>
      <c r="NDT49" s="952"/>
      <c r="NDU49" s="952"/>
      <c r="NDV49" s="952"/>
      <c r="NDW49" s="952"/>
      <c r="NDX49" s="952"/>
      <c r="NDY49" s="952"/>
      <c r="NDZ49" s="952"/>
      <c r="NEA49" s="952"/>
      <c r="NEB49" s="952"/>
      <c r="NEC49" s="952"/>
      <c r="NED49" s="952"/>
      <c r="NEE49" s="952"/>
      <c r="NEF49" s="952"/>
      <c r="NEG49" s="952"/>
      <c r="NEH49" s="952"/>
      <c r="NEI49" s="952"/>
      <c r="NEJ49" s="952"/>
      <c r="NEK49" s="952"/>
      <c r="NEL49" s="952"/>
      <c r="NEM49" s="952"/>
      <c r="NEN49" s="952"/>
      <c r="NEO49" s="952"/>
      <c r="NEP49" s="952"/>
      <c r="NEQ49" s="952"/>
      <c r="NER49" s="952"/>
      <c r="NES49" s="952"/>
      <c r="NET49" s="952"/>
      <c r="NEU49" s="952"/>
      <c r="NEV49" s="952"/>
      <c r="NEW49" s="952"/>
      <c r="NEX49" s="952"/>
      <c r="NEY49" s="952"/>
      <c r="NEZ49" s="952"/>
      <c r="NFA49" s="952"/>
      <c r="NFB49" s="952"/>
      <c r="NFC49" s="952"/>
      <c r="NFD49" s="952"/>
      <c r="NFE49" s="952"/>
      <c r="NFF49" s="952"/>
      <c r="NFG49" s="952"/>
      <c r="NFH49" s="952"/>
      <c r="NFI49" s="952"/>
      <c r="NFJ49" s="952"/>
      <c r="NFK49" s="952"/>
      <c r="NFL49" s="952"/>
      <c r="NFM49" s="952"/>
      <c r="NFN49" s="952"/>
      <c r="NFO49" s="952"/>
      <c r="NFP49" s="952"/>
      <c r="NFQ49" s="952"/>
      <c r="NFR49" s="952"/>
      <c r="NFS49" s="952"/>
      <c r="NFT49" s="952"/>
      <c r="NFU49" s="952"/>
      <c r="NFV49" s="952"/>
      <c r="NFW49" s="952"/>
      <c r="NFX49" s="952"/>
      <c r="NFY49" s="952"/>
      <c r="NFZ49" s="952"/>
      <c r="NGA49" s="952"/>
      <c r="NGB49" s="952"/>
      <c r="NGC49" s="952"/>
      <c r="NGD49" s="952"/>
      <c r="NGE49" s="952"/>
      <c r="NGF49" s="952"/>
      <c r="NGG49" s="952"/>
      <c r="NGH49" s="952"/>
      <c r="NGI49" s="952"/>
      <c r="NGJ49" s="952"/>
      <c r="NGK49" s="952"/>
      <c r="NGL49" s="952"/>
      <c r="NGM49" s="952"/>
      <c r="NGN49" s="952"/>
      <c r="NGO49" s="952"/>
      <c r="NGP49" s="952"/>
      <c r="NGQ49" s="952"/>
      <c r="NGR49" s="952"/>
      <c r="NGS49" s="952"/>
      <c r="NGT49" s="952"/>
      <c r="NGU49" s="952"/>
      <c r="NGV49" s="952"/>
      <c r="NGW49" s="952"/>
      <c r="NGX49" s="952"/>
      <c r="NGY49" s="952"/>
      <c r="NGZ49" s="952"/>
      <c r="NHA49" s="952"/>
      <c r="NHB49" s="952"/>
      <c r="NHC49" s="952"/>
      <c r="NHD49" s="952"/>
      <c r="NHE49" s="952"/>
      <c r="NHF49" s="952"/>
      <c r="NHG49" s="952"/>
      <c r="NHH49" s="952"/>
      <c r="NHI49" s="952"/>
      <c r="NHJ49" s="952"/>
      <c r="NHK49" s="952"/>
      <c r="NHL49" s="952"/>
      <c r="NHM49" s="952"/>
      <c r="NHN49" s="952"/>
      <c r="NHO49" s="952"/>
      <c r="NHP49" s="952"/>
      <c r="NHQ49" s="952"/>
      <c r="NHR49" s="952"/>
      <c r="NHS49" s="952"/>
      <c r="NHT49" s="952"/>
      <c r="NHU49" s="952"/>
      <c r="NHV49" s="952"/>
      <c r="NHW49" s="952"/>
      <c r="NHX49" s="952"/>
      <c r="NHY49" s="952"/>
      <c r="NHZ49" s="952"/>
      <c r="NIA49" s="952"/>
      <c r="NIB49" s="952"/>
      <c r="NIC49" s="952"/>
      <c r="NID49" s="952"/>
      <c r="NIE49" s="952"/>
      <c r="NIF49" s="952"/>
      <c r="NIG49" s="952"/>
      <c r="NIH49" s="952"/>
      <c r="NII49" s="952"/>
      <c r="NIJ49" s="952"/>
      <c r="NIK49" s="952"/>
      <c r="NIL49" s="952"/>
      <c r="NIM49" s="952"/>
      <c r="NIN49" s="952"/>
      <c r="NIO49" s="952"/>
      <c r="NIP49" s="952"/>
      <c r="NIQ49" s="952"/>
      <c r="NIR49" s="952"/>
      <c r="NIS49" s="952"/>
      <c r="NIT49" s="952"/>
      <c r="NIU49" s="952"/>
      <c r="NIV49" s="952"/>
      <c r="NIW49" s="952"/>
      <c r="NIX49" s="952"/>
      <c r="NIY49" s="952"/>
      <c r="NIZ49" s="952"/>
      <c r="NJA49" s="952"/>
      <c r="NJB49" s="952"/>
      <c r="NJC49" s="952"/>
      <c r="NJD49" s="952"/>
      <c r="NJE49" s="952"/>
      <c r="NJF49" s="952"/>
      <c r="NJG49" s="952"/>
      <c r="NJH49" s="952"/>
      <c r="NJI49" s="952"/>
      <c r="NJJ49" s="952"/>
      <c r="NJK49" s="952"/>
      <c r="NJL49" s="952"/>
      <c r="NJM49" s="952"/>
      <c r="NJN49" s="952"/>
      <c r="NJO49" s="952"/>
      <c r="NJP49" s="952"/>
      <c r="NJQ49" s="952"/>
      <c r="NJR49" s="952"/>
      <c r="NJS49" s="952"/>
      <c r="NJT49" s="952"/>
      <c r="NJU49" s="952"/>
      <c r="NJV49" s="952"/>
      <c r="NJW49" s="952"/>
      <c r="NJX49" s="952"/>
      <c r="NJY49" s="952"/>
      <c r="NJZ49" s="952"/>
      <c r="NKA49" s="952"/>
      <c r="NKB49" s="952"/>
      <c r="NKC49" s="952"/>
      <c r="NKD49" s="952"/>
      <c r="NKE49" s="952"/>
      <c r="NKF49" s="952"/>
      <c r="NKG49" s="952"/>
      <c r="NKH49" s="952"/>
      <c r="NKI49" s="952"/>
      <c r="NKJ49" s="952"/>
      <c r="NKK49" s="952"/>
      <c r="NKL49" s="952"/>
      <c r="NKM49" s="952"/>
      <c r="NKN49" s="952"/>
      <c r="NKO49" s="952"/>
      <c r="NKP49" s="952"/>
      <c r="NKQ49" s="952"/>
      <c r="NKR49" s="952"/>
      <c r="NKS49" s="952"/>
      <c r="NKT49" s="952"/>
      <c r="NKU49" s="952"/>
      <c r="NKV49" s="952"/>
      <c r="NKW49" s="952"/>
      <c r="NKX49" s="952"/>
      <c r="NKY49" s="952"/>
      <c r="NKZ49" s="952"/>
      <c r="NLA49" s="952"/>
      <c r="NLB49" s="952"/>
      <c r="NLC49" s="952"/>
      <c r="NLD49" s="952"/>
      <c r="NLE49" s="952"/>
      <c r="NLF49" s="952"/>
      <c r="NLG49" s="952"/>
      <c r="NLH49" s="952"/>
      <c r="NLI49" s="952"/>
      <c r="NLJ49" s="952"/>
      <c r="NLK49" s="952"/>
      <c r="NLL49" s="952"/>
      <c r="NLM49" s="952"/>
      <c r="NLN49" s="952"/>
      <c r="NLO49" s="952"/>
      <c r="NLP49" s="952"/>
      <c r="NLQ49" s="952"/>
      <c r="NLR49" s="952"/>
      <c r="NLS49" s="952"/>
      <c r="NLT49" s="952"/>
      <c r="NLU49" s="952"/>
      <c r="NLV49" s="952"/>
      <c r="NLW49" s="952"/>
      <c r="NLX49" s="952"/>
      <c r="NLY49" s="952"/>
      <c r="NLZ49" s="952"/>
      <c r="NMA49" s="952"/>
      <c r="NMB49" s="952"/>
      <c r="NMC49" s="952"/>
      <c r="NMD49" s="952"/>
      <c r="NME49" s="952"/>
      <c r="NMF49" s="952"/>
      <c r="NMG49" s="952"/>
      <c r="NMH49" s="952"/>
      <c r="NMI49" s="952"/>
      <c r="NMJ49" s="952"/>
      <c r="NMK49" s="952"/>
      <c r="NML49" s="952"/>
      <c r="NMM49" s="952"/>
      <c r="NMN49" s="952"/>
      <c r="NMO49" s="952"/>
      <c r="NMP49" s="952"/>
      <c r="NMQ49" s="952"/>
      <c r="NMR49" s="952"/>
      <c r="NMS49" s="952"/>
      <c r="NMT49" s="952"/>
      <c r="NMU49" s="952"/>
      <c r="NMV49" s="952"/>
      <c r="NMW49" s="952"/>
      <c r="NMX49" s="952"/>
      <c r="NMY49" s="952"/>
      <c r="NMZ49" s="952"/>
      <c r="NNA49" s="952"/>
      <c r="NNB49" s="952"/>
      <c r="NNC49" s="952"/>
      <c r="NND49" s="952"/>
      <c r="NNE49" s="952"/>
      <c r="NNF49" s="952"/>
      <c r="NNG49" s="952"/>
      <c r="NNH49" s="952"/>
      <c r="NNI49" s="952"/>
      <c r="NNJ49" s="952"/>
      <c r="NNK49" s="952"/>
      <c r="NNL49" s="952"/>
      <c r="NNM49" s="952"/>
      <c r="NNN49" s="952"/>
      <c r="NNO49" s="952"/>
      <c r="NNP49" s="952"/>
      <c r="NNQ49" s="952"/>
      <c r="NNR49" s="952"/>
      <c r="NNS49" s="952"/>
      <c r="NNT49" s="952"/>
      <c r="NNU49" s="952"/>
      <c r="NNV49" s="952"/>
      <c r="NNW49" s="952"/>
      <c r="NNX49" s="952"/>
      <c r="NNY49" s="952"/>
      <c r="NNZ49" s="952"/>
      <c r="NOA49" s="952"/>
      <c r="NOB49" s="952"/>
      <c r="NOC49" s="952"/>
      <c r="NOD49" s="952"/>
      <c r="NOE49" s="952"/>
      <c r="NOF49" s="952"/>
      <c r="NOG49" s="952"/>
      <c r="NOH49" s="952"/>
      <c r="NOI49" s="952"/>
      <c r="NOJ49" s="952"/>
      <c r="NOK49" s="952"/>
      <c r="NOL49" s="952"/>
      <c r="NOM49" s="952"/>
      <c r="NON49" s="952"/>
      <c r="NOO49" s="952"/>
      <c r="NOP49" s="952"/>
      <c r="NOQ49" s="952"/>
      <c r="NOR49" s="952"/>
      <c r="NOS49" s="952"/>
      <c r="NOT49" s="952"/>
      <c r="NOU49" s="952"/>
      <c r="NOV49" s="952"/>
      <c r="NOW49" s="952"/>
      <c r="NOX49" s="952"/>
      <c r="NOY49" s="952"/>
      <c r="NOZ49" s="952"/>
      <c r="NPA49" s="952"/>
      <c r="NPB49" s="952"/>
      <c r="NPC49" s="952"/>
      <c r="NPD49" s="952"/>
      <c r="NPE49" s="952"/>
      <c r="NPF49" s="952"/>
      <c r="NPG49" s="952"/>
      <c r="NPH49" s="952"/>
      <c r="NPI49" s="952"/>
      <c r="NPJ49" s="952"/>
      <c r="NPK49" s="952"/>
      <c r="NPL49" s="952"/>
      <c r="NPM49" s="952"/>
      <c r="NPN49" s="952"/>
      <c r="NPO49" s="952"/>
      <c r="NPP49" s="952"/>
      <c r="NPQ49" s="952"/>
      <c r="NPR49" s="952"/>
      <c r="NPS49" s="952"/>
      <c r="NPT49" s="952"/>
      <c r="NPU49" s="952"/>
      <c r="NPV49" s="952"/>
      <c r="NPW49" s="952"/>
      <c r="NPX49" s="952"/>
      <c r="NPY49" s="952"/>
      <c r="NPZ49" s="952"/>
      <c r="NQA49" s="952"/>
      <c r="NQB49" s="952"/>
      <c r="NQC49" s="952"/>
      <c r="NQD49" s="952"/>
      <c r="NQE49" s="952"/>
      <c r="NQF49" s="952"/>
      <c r="NQG49" s="952"/>
      <c r="NQH49" s="952"/>
      <c r="NQI49" s="952"/>
      <c r="NQJ49" s="952"/>
      <c r="NQK49" s="952"/>
      <c r="NQL49" s="952"/>
      <c r="NQM49" s="952"/>
      <c r="NQN49" s="952"/>
      <c r="NQO49" s="952"/>
      <c r="NQP49" s="952"/>
      <c r="NQQ49" s="952"/>
      <c r="NQR49" s="952"/>
      <c r="NQS49" s="952"/>
      <c r="NQT49" s="952"/>
      <c r="NQU49" s="952"/>
      <c r="NQV49" s="952"/>
      <c r="NQW49" s="952"/>
      <c r="NQX49" s="952"/>
      <c r="NQY49" s="952"/>
      <c r="NQZ49" s="952"/>
      <c r="NRA49" s="952"/>
      <c r="NRB49" s="952"/>
      <c r="NRC49" s="952"/>
      <c r="NRD49" s="952"/>
      <c r="NRE49" s="952"/>
      <c r="NRF49" s="952"/>
      <c r="NRG49" s="952"/>
      <c r="NRH49" s="952"/>
      <c r="NRI49" s="952"/>
      <c r="NRJ49" s="952"/>
      <c r="NRK49" s="952"/>
      <c r="NRL49" s="952"/>
      <c r="NRM49" s="952"/>
      <c r="NRN49" s="952"/>
      <c r="NRO49" s="952"/>
      <c r="NRP49" s="952"/>
      <c r="NRQ49" s="952"/>
      <c r="NRR49" s="952"/>
      <c r="NRS49" s="952"/>
      <c r="NRT49" s="952"/>
      <c r="NRU49" s="952"/>
      <c r="NRV49" s="952"/>
      <c r="NRW49" s="952"/>
      <c r="NRX49" s="952"/>
      <c r="NRY49" s="952"/>
      <c r="NRZ49" s="952"/>
      <c r="NSA49" s="952"/>
      <c r="NSB49" s="952"/>
      <c r="NSC49" s="952"/>
      <c r="NSD49" s="952"/>
      <c r="NSE49" s="952"/>
      <c r="NSF49" s="952"/>
      <c r="NSG49" s="952"/>
      <c r="NSH49" s="952"/>
      <c r="NSI49" s="952"/>
      <c r="NSJ49" s="952"/>
      <c r="NSK49" s="952"/>
      <c r="NSL49" s="952"/>
      <c r="NSM49" s="952"/>
      <c r="NSN49" s="952"/>
      <c r="NSO49" s="952"/>
      <c r="NSP49" s="952"/>
      <c r="NSQ49" s="952"/>
      <c r="NSR49" s="952"/>
      <c r="NSS49" s="952"/>
      <c r="NST49" s="952"/>
      <c r="NSU49" s="952"/>
      <c r="NSV49" s="952"/>
      <c r="NSW49" s="952"/>
      <c r="NSX49" s="952"/>
      <c r="NSY49" s="952"/>
      <c r="NSZ49" s="952"/>
      <c r="NTA49" s="952"/>
      <c r="NTB49" s="952"/>
      <c r="NTC49" s="952"/>
      <c r="NTD49" s="952"/>
      <c r="NTE49" s="952"/>
      <c r="NTF49" s="952"/>
      <c r="NTG49" s="952"/>
      <c r="NTH49" s="952"/>
      <c r="NTI49" s="952"/>
      <c r="NTJ49" s="952"/>
      <c r="NTK49" s="952"/>
      <c r="NTL49" s="952"/>
      <c r="NTM49" s="952"/>
      <c r="NTN49" s="952"/>
      <c r="NTO49" s="952"/>
      <c r="NTP49" s="952"/>
      <c r="NTQ49" s="952"/>
      <c r="NTR49" s="952"/>
      <c r="NTS49" s="952"/>
      <c r="NTT49" s="952"/>
      <c r="NTU49" s="952"/>
      <c r="NTV49" s="952"/>
      <c r="NTW49" s="952"/>
      <c r="NTX49" s="952"/>
      <c r="NTY49" s="952"/>
      <c r="NTZ49" s="952"/>
      <c r="NUA49" s="952"/>
      <c r="NUB49" s="952"/>
      <c r="NUC49" s="952"/>
      <c r="NUD49" s="952"/>
      <c r="NUE49" s="952"/>
      <c r="NUF49" s="952"/>
      <c r="NUG49" s="952"/>
      <c r="NUH49" s="952"/>
      <c r="NUI49" s="952"/>
      <c r="NUJ49" s="952"/>
      <c r="NUK49" s="952"/>
      <c r="NUL49" s="952"/>
      <c r="NUM49" s="952"/>
      <c r="NUN49" s="952"/>
      <c r="NUO49" s="952"/>
      <c r="NUP49" s="952"/>
      <c r="NUQ49" s="952"/>
      <c r="NUR49" s="952"/>
      <c r="NUS49" s="952"/>
      <c r="NUT49" s="952"/>
      <c r="NUU49" s="952"/>
      <c r="NUV49" s="952"/>
      <c r="NUW49" s="952"/>
      <c r="NUX49" s="952"/>
      <c r="NUY49" s="952"/>
      <c r="NUZ49" s="952"/>
      <c r="NVA49" s="952"/>
      <c r="NVB49" s="952"/>
      <c r="NVC49" s="952"/>
      <c r="NVD49" s="952"/>
      <c r="NVE49" s="952"/>
      <c r="NVF49" s="952"/>
      <c r="NVG49" s="952"/>
      <c r="NVH49" s="952"/>
      <c r="NVI49" s="952"/>
      <c r="NVJ49" s="952"/>
      <c r="NVK49" s="952"/>
      <c r="NVL49" s="952"/>
      <c r="NVM49" s="952"/>
      <c r="NVN49" s="952"/>
      <c r="NVO49" s="952"/>
      <c r="NVP49" s="952"/>
      <c r="NVQ49" s="952"/>
      <c r="NVR49" s="952"/>
      <c r="NVS49" s="952"/>
      <c r="NVT49" s="952"/>
      <c r="NVU49" s="952"/>
      <c r="NVV49" s="952"/>
      <c r="NVW49" s="952"/>
      <c r="NVX49" s="952"/>
      <c r="NVY49" s="952"/>
      <c r="NVZ49" s="952"/>
      <c r="NWA49" s="952"/>
      <c r="NWB49" s="952"/>
      <c r="NWC49" s="952"/>
      <c r="NWD49" s="952"/>
      <c r="NWE49" s="952"/>
      <c r="NWF49" s="952"/>
      <c r="NWG49" s="952"/>
      <c r="NWH49" s="952"/>
      <c r="NWI49" s="952"/>
      <c r="NWJ49" s="952"/>
      <c r="NWK49" s="952"/>
      <c r="NWL49" s="952"/>
      <c r="NWM49" s="952"/>
      <c r="NWN49" s="952"/>
      <c r="NWO49" s="952"/>
      <c r="NWP49" s="952"/>
      <c r="NWQ49" s="952"/>
      <c r="NWR49" s="952"/>
      <c r="NWS49" s="952"/>
      <c r="NWT49" s="952"/>
      <c r="NWU49" s="952"/>
      <c r="NWV49" s="952"/>
      <c r="NWW49" s="952"/>
      <c r="NWX49" s="952"/>
      <c r="NWY49" s="952"/>
      <c r="NWZ49" s="952"/>
      <c r="NXA49" s="952"/>
      <c r="NXB49" s="952"/>
      <c r="NXC49" s="952"/>
      <c r="NXD49" s="952"/>
      <c r="NXE49" s="952"/>
      <c r="NXF49" s="952"/>
      <c r="NXG49" s="952"/>
      <c r="NXH49" s="952"/>
      <c r="NXI49" s="952"/>
      <c r="NXJ49" s="952"/>
      <c r="NXK49" s="952"/>
      <c r="NXL49" s="952"/>
      <c r="NXM49" s="952"/>
      <c r="NXN49" s="952"/>
      <c r="NXO49" s="952"/>
      <c r="NXP49" s="952"/>
      <c r="NXQ49" s="952"/>
      <c r="NXR49" s="952"/>
      <c r="NXS49" s="952"/>
      <c r="NXT49" s="952"/>
      <c r="NXU49" s="952"/>
      <c r="NXV49" s="952"/>
      <c r="NXW49" s="952"/>
      <c r="NXX49" s="952"/>
      <c r="NXY49" s="952"/>
      <c r="NXZ49" s="952"/>
      <c r="NYA49" s="952"/>
      <c r="NYB49" s="952"/>
      <c r="NYC49" s="952"/>
      <c r="NYD49" s="952"/>
      <c r="NYE49" s="952"/>
      <c r="NYF49" s="952"/>
      <c r="NYG49" s="952"/>
      <c r="NYH49" s="952"/>
      <c r="NYI49" s="952"/>
      <c r="NYJ49" s="952"/>
      <c r="NYK49" s="952"/>
      <c r="NYL49" s="952"/>
      <c r="NYM49" s="952"/>
      <c r="NYN49" s="952"/>
      <c r="NYO49" s="952"/>
      <c r="NYP49" s="952"/>
      <c r="NYQ49" s="952"/>
      <c r="NYR49" s="952"/>
      <c r="NYS49" s="952"/>
      <c r="NYT49" s="952"/>
      <c r="NYU49" s="952"/>
      <c r="NYV49" s="952"/>
      <c r="NYW49" s="952"/>
      <c r="NYX49" s="952"/>
      <c r="NYY49" s="952"/>
      <c r="NYZ49" s="952"/>
      <c r="NZA49" s="952"/>
      <c r="NZB49" s="952"/>
      <c r="NZC49" s="952"/>
      <c r="NZD49" s="952"/>
      <c r="NZE49" s="952"/>
      <c r="NZF49" s="952"/>
      <c r="NZG49" s="952"/>
      <c r="NZH49" s="952"/>
      <c r="NZI49" s="952"/>
      <c r="NZJ49" s="952"/>
      <c r="NZK49" s="952"/>
      <c r="NZL49" s="952"/>
      <c r="NZM49" s="952"/>
      <c r="NZN49" s="952"/>
      <c r="NZO49" s="952"/>
      <c r="NZP49" s="952"/>
      <c r="NZQ49" s="952"/>
      <c r="NZR49" s="952"/>
      <c r="NZS49" s="952"/>
      <c r="NZT49" s="952"/>
      <c r="NZU49" s="952"/>
      <c r="NZV49" s="952"/>
      <c r="NZW49" s="952"/>
      <c r="NZX49" s="952"/>
      <c r="NZY49" s="952"/>
      <c r="NZZ49" s="952"/>
      <c r="OAA49" s="952"/>
      <c r="OAB49" s="952"/>
      <c r="OAC49" s="952"/>
      <c r="OAD49" s="952"/>
      <c r="OAE49" s="952"/>
      <c r="OAF49" s="952"/>
      <c r="OAG49" s="952"/>
      <c r="OAH49" s="952"/>
      <c r="OAI49" s="952"/>
      <c r="OAJ49" s="952"/>
      <c r="OAK49" s="952"/>
      <c r="OAL49" s="952"/>
      <c r="OAM49" s="952"/>
      <c r="OAN49" s="952"/>
      <c r="OAO49" s="952"/>
      <c r="OAP49" s="952"/>
      <c r="OAQ49" s="952"/>
      <c r="OAR49" s="952"/>
      <c r="OAS49" s="952"/>
      <c r="OAT49" s="952"/>
      <c r="OAU49" s="952"/>
      <c r="OAV49" s="952"/>
      <c r="OAW49" s="952"/>
      <c r="OAX49" s="952"/>
      <c r="OAY49" s="952"/>
      <c r="OAZ49" s="952"/>
      <c r="OBA49" s="952"/>
      <c r="OBB49" s="952"/>
      <c r="OBC49" s="952"/>
      <c r="OBD49" s="952"/>
      <c r="OBE49" s="952"/>
      <c r="OBF49" s="952"/>
      <c r="OBG49" s="952"/>
      <c r="OBH49" s="952"/>
      <c r="OBI49" s="952"/>
      <c r="OBJ49" s="952"/>
      <c r="OBK49" s="952"/>
      <c r="OBL49" s="952"/>
      <c r="OBM49" s="952"/>
      <c r="OBN49" s="952"/>
      <c r="OBO49" s="952"/>
      <c r="OBP49" s="952"/>
      <c r="OBQ49" s="952"/>
      <c r="OBR49" s="952"/>
      <c r="OBS49" s="952"/>
      <c r="OBT49" s="952"/>
      <c r="OBU49" s="952"/>
      <c r="OBV49" s="952"/>
      <c r="OBW49" s="952"/>
      <c r="OBX49" s="952"/>
      <c r="OBY49" s="952"/>
      <c r="OBZ49" s="952"/>
      <c r="OCA49" s="952"/>
      <c r="OCB49" s="952"/>
      <c r="OCC49" s="952"/>
      <c r="OCD49" s="952"/>
      <c r="OCE49" s="952"/>
      <c r="OCF49" s="952"/>
      <c r="OCG49" s="952"/>
      <c r="OCH49" s="952"/>
      <c r="OCI49" s="952"/>
      <c r="OCJ49" s="952"/>
      <c r="OCK49" s="952"/>
      <c r="OCL49" s="952"/>
      <c r="OCM49" s="952"/>
      <c r="OCN49" s="952"/>
      <c r="OCO49" s="952"/>
      <c r="OCP49" s="952"/>
      <c r="OCQ49" s="952"/>
      <c r="OCR49" s="952"/>
      <c r="OCS49" s="952"/>
      <c r="OCT49" s="952"/>
      <c r="OCU49" s="952"/>
      <c r="OCV49" s="952"/>
      <c r="OCW49" s="952"/>
      <c r="OCX49" s="952"/>
      <c r="OCY49" s="952"/>
      <c r="OCZ49" s="952"/>
      <c r="ODA49" s="952"/>
      <c r="ODB49" s="952"/>
      <c r="ODC49" s="952"/>
      <c r="ODD49" s="952"/>
      <c r="ODE49" s="952"/>
      <c r="ODF49" s="952"/>
      <c r="ODG49" s="952"/>
      <c r="ODH49" s="952"/>
      <c r="ODI49" s="952"/>
      <c r="ODJ49" s="952"/>
      <c r="ODK49" s="952"/>
      <c r="ODL49" s="952"/>
      <c r="ODM49" s="952"/>
      <c r="ODN49" s="952"/>
      <c r="ODO49" s="952"/>
      <c r="ODP49" s="952"/>
      <c r="ODQ49" s="952"/>
      <c r="ODR49" s="952"/>
      <c r="ODS49" s="952"/>
      <c r="ODT49" s="952"/>
      <c r="ODU49" s="952"/>
      <c r="ODV49" s="952"/>
      <c r="ODW49" s="952"/>
      <c r="ODX49" s="952"/>
      <c r="ODY49" s="952"/>
      <c r="ODZ49" s="952"/>
      <c r="OEA49" s="952"/>
      <c r="OEB49" s="952"/>
      <c r="OEC49" s="952"/>
      <c r="OED49" s="952"/>
      <c r="OEE49" s="952"/>
      <c r="OEF49" s="952"/>
      <c r="OEG49" s="952"/>
      <c r="OEH49" s="952"/>
      <c r="OEI49" s="952"/>
      <c r="OEJ49" s="952"/>
      <c r="OEK49" s="952"/>
      <c r="OEL49" s="952"/>
      <c r="OEM49" s="952"/>
      <c r="OEN49" s="952"/>
      <c r="OEO49" s="952"/>
      <c r="OEP49" s="952"/>
      <c r="OEQ49" s="952"/>
      <c r="OER49" s="952"/>
      <c r="OES49" s="952"/>
      <c r="OET49" s="952"/>
      <c r="OEU49" s="952"/>
      <c r="OEV49" s="952"/>
      <c r="OEW49" s="952"/>
      <c r="OEX49" s="952"/>
      <c r="OEY49" s="952"/>
      <c r="OEZ49" s="952"/>
      <c r="OFA49" s="952"/>
      <c r="OFB49" s="952"/>
      <c r="OFC49" s="952"/>
      <c r="OFD49" s="952"/>
      <c r="OFE49" s="952"/>
      <c r="OFF49" s="952"/>
      <c r="OFG49" s="952"/>
      <c r="OFH49" s="952"/>
      <c r="OFI49" s="952"/>
      <c r="OFJ49" s="952"/>
      <c r="OFK49" s="952"/>
      <c r="OFL49" s="952"/>
      <c r="OFM49" s="952"/>
      <c r="OFN49" s="952"/>
      <c r="OFO49" s="952"/>
      <c r="OFP49" s="952"/>
      <c r="OFQ49" s="952"/>
      <c r="OFR49" s="952"/>
      <c r="OFS49" s="952"/>
      <c r="OFT49" s="952"/>
      <c r="OFU49" s="952"/>
      <c r="OFV49" s="952"/>
      <c r="OFW49" s="952"/>
      <c r="OFX49" s="952"/>
      <c r="OFY49" s="952"/>
      <c r="OFZ49" s="952"/>
      <c r="OGA49" s="952"/>
      <c r="OGB49" s="952"/>
      <c r="OGC49" s="952"/>
      <c r="OGD49" s="952"/>
      <c r="OGE49" s="952"/>
      <c r="OGF49" s="952"/>
      <c r="OGG49" s="952"/>
      <c r="OGH49" s="952"/>
      <c r="OGI49" s="952"/>
      <c r="OGJ49" s="952"/>
      <c r="OGK49" s="952"/>
      <c r="OGL49" s="952"/>
      <c r="OGM49" s="952"/>
      <c r="OGN49" s="952"/>
      <c r="OGO49" s="952"/>
      <c r="OGP49" s="952"/>
      <c r="OGQ49" s="952"/>
      <c r="OGR49" s="952"/>
      <c r="OGS49" s="952"/>
      <c r="OGT49" s="952"/>
      <c r="OGU49" s="952"/>
      <c r="OGV49" s="952"/>
      <c r="OGW49" s="952"/>
      <c r="OGX49" s="952"/>
      <c r="OGY49" s="952"/>
      <c r="OGZ49" s="952"/>
      <c r="OHA49" s="952"/>
      <c r="OHB49" s="952"/>
      <c r="OHC49" s="952"/>
      <c r="OHD49" s="952"/>
      <c r="OHE49" s="952"/>
      <c r="OHF49" s="952"/>
      <c r="OHG49" s="952"/>
      <c r="OHH49" s="952"/>
      <c r="OHI49" s="952"/>
      <c r="OHJ49" s="952"/>
      <c r="OHK49" s="952"/>
      <c r="OHL49" s="952"/>
      <c r="OHM49" s="952"/>
      <c r="OHN49" s="952"/>
      <c r="OHO49" s="952"/>
      <c r="OHP49" s="952"/>
      <c r="OHQ49" s="952"/>
      <c r="OHR49" s="952"/>
      <c r="OHS49" s="952"/>
      <c r="OHT49" s="952"/>
      <c r="OHU49" s="952"/>
      <c r="OHV49" s="952"/>
      <c r="OHW49" s="952"/>
      <c r="OHX49" s="952"/>
      <c r="OHY49" s="952"/>
      <c r="OHZ49" s="952"/>
      <c r="OIA49" s="952"/>
      <c r="OIB49" s="952"/>
      <c r="OIC49" s="952"/>
      <c r="OID49" s="952"/>
      <c r="OIE49" s="952"/>
      <c r="OIF49" s="952"/>
      <c r="OIG49" s="952"/>
      <c r="OIH49" s="952"/>
      <c r="OII49" s="952"/>
      <c r="OIJ49" s="952"/>
      <c r="OIK49" s="952"/>
      <c r="OIL49" s="952"/>
      <c r="OIM49" s="952"/>
      <c r="OIN49" s="952"/>
      <c r="OIO49" s="952"/>
      <c r="OIP49" s="952"/>
      <c r="OIQ49" s="952"/>
      <c r="OIR49" s="952"/>
      <c r="OIS49" s="952"/>
      <c r="OIT49" s="952"/>
      <c r="OIU49" s="952"/>
      <c r="OIV49" s="952"/>
      <c r="OIW49" s="952"/>
      <c r="OIX49" s="952"/>
      <c r="OIY49" s="952"/>
      <c r="OIZ49" s="952"/>
      <c r="OJA49" s="952"/>
      <c r="OJB49" s="952"/>
      <c r="OJC49" s="952"/>
      <c r="OJD49" s="952"/>
      <c r="OJE49" s="952"/>
      <c r="OJF49" s="952"/>
      <c r="OJG49" s="952"/>
      <c r="OJH49" s="952"/>
      <c r="OJI49" s="952"/>
      <c r="OJJ49" s="952"/>
      <c r="OJK49" s="952"/>
      <c r="OJL49" s="952"/>
      <c r="OJM49" s="952"/>
      <c r="OJN49" s="952"/>
      <c r="OJO49" s="952"/>
      <c r="OJP49" s="952"/>
      <c r="OJQ49" s="952"/>
      <c r="OJR49" s="952"/>
      <c r="OJS49" s="952"/>
      <c r="OJT49" s="952"/>
      <c r="OJU49" s="952"/>
      <c r="OJV49" s="952"/>
      <c r="OJW49" s="952"/>
      <c r="OJX49" s="952"/>
      <c r="OJY49" s="952"/>
      <c r="OJZ49" s="952"/>
      <c r="OKA49" s="952"/>
      <c r="OKB49" s="952"/>
      <c r="OKC49" s="952"/>
      <c r="OKD49" s="952"/>
      <c r="OKE49" s="952"/>
      <c r="OKF49" s="952"/>
      <c r="OKG49" s="952"/>
      <c r="OKH49" s="952"/>
      <c r="OKI49" s="952"/>
      <c r="OKJ49" s="952"/>
      <c r="OKK49" s="952"/>
      <c r="OKL49" s="952"/>
      <c r="OKM49" s="952"/>
      <c r="OKN49" s="952"/>
      <c r="OKO49" s="952"/>
      <c r="OKP49" s="952"/>
      <c r="OKQ49" s="952"/>
      <c r="OKR49" s="952"/>
      <c r="OKS49" s="952"/>
      <c r="OKT49" s="952"/>
      <c r="OKU49" s="952"/>
      <c r="OKV49" s="952"/>
      <c r="OKW49" s="952"/>
      <c r="OKX49" s="952"/>
      <c r="OKY49" s="952"/>
      <c r="OKZ49" s="952"/>
      <c r="OLA49" s="952"/>
      <c r="OLB49" s="952"/>
      <c r="OLC49" s="952"/>
      <c r="OLD49" s="952"/>
      <c r="OLE49" s="952"/>
      <c r="OLF49" s="952"/>
      <c r="OLG49" s="952"/>
      <c r="OLH49" s="952"/>
      <c r="OLI49" s="952"/>
      <c r="OLJ49" s="952"/>
      <c r="OLK49" s="952"/>
      <c r="OLL49" s="952"/>
      <c r="OLM49" s="952"/>
      <c r="OLN49" s="952"/>
      <c r="OLO49" s="952"/>
      <c r="OLP49" s="952"/>
      <c r="OLQ49" s="952"/>
      <c r="OLR49" s="952"/>
      <c r="OLS49" s="952"/>
      <c r="OLT49" s="952"/>
      <c r="OLU49" s="952"/>
      <c r="OLV49" s="952"/>
      <c r="OLW49" s="952"/>
      <c r="OLX49" s="952"/>
      <c r="OLY49" s="952"/>
      <c r="OLZ49" s="952"/>
      <c r="OMA49" s="952"/>
      <c r="OMB49" s="952"/>
      <c r="OMC49" s="952"/>
      <c r="OMD49" s="952"/>
      <c r="OME49" s="952"/>
      <c r="OMF49" s="952"/>
      <c r="OMG49" s="952"/>
      <c r="OMH49" s="952"/>
      <c r="OMI49" s="952"/>
      <c r="OMJ49" s="952"/>
      <c r="OMK49" s="952"/>
      <c r="OML49" s="952"/>
      <c r="OMM49" s="952"/>
      <c r="OMN49" s="952"/>
      <c r="OMO49" s="952"/>
      <c r="OMP49" s="952"/>
      <c r="OMQ49" s="952"/>
      <c r="OMR49" s="952"/>
      <c r="OMS49" s="952"/>
      <c r="OMT49" s="952"/>
      <c r="OMU49" s="952"/>
      <c r="OMV49" s="952"/>
      <c r="OMW49" s="952"/>
      <c r="OMX49" s="952"/>
      <c r="OMY49" s="952"/>
      <c r="OMZ49" s="952"/>
      <c r="ONA49" s="952"/>
      <c r="ONB49" s="952"/>
      <c r="ONC49" s="952"/>
      <c r="OND49" s="952"/>
      <c r="ONE49" s="952"/>
      <c r="ONF49" s="952"/>
      <c r="ONG49" s="952"/>
      <c r="ONH49" s="952"/>
      <c r="ONI49" s="952"/>
      <c r="ONJ49" s="952"/>
      <c r="ONK49" s="952"/>
      <c r="ONL49" s="952"/>
      <c r="ONM49" s="952"/>
      <c r="ONN49" s="952"/>
      <c r="ONO49" s="952"/>
      <c r="ONP49" s="952"/>
      <c r="ONQ49" s="952"/>
      <c r="ONR49" s="952"/>
      <c r="ONS49" s="952"/>
      <c r="ONT49" s="952"/>
      <c r="ONU49" s="952"/>
      <c r="ONV49" s="952"/>
      <c r="ONW49" s="952"/>
      <c r="ONX49" s="952"/>
      <c r="ONY49" s="952"/>
      <c r="ONZ49" s="952"/>
      <c r="OOA49" s="952"/>
      <c r="OOB49" s="952"/>
      <c r="OOC49" s="952"/>
      <c r="OOD49" s="952"/>
      <c r="OOE49" s="952"/>
      <c r="OOF49" s="952"/>
      <c r="OOG49" s="952"/>
      <c r="OOH49" s="952"/>
      <c r="OOI49" s="952"/>
      <c r="OOJ49" s="952"/>
      <c r="OOK49" s="952"/>
      <c r="OOL49" s="952"/>
      <c r="OOM49" s="952"/>
      <c r="OON49" s="952"/>
      <c r="OOO49" s="952"/>
      <c r="OOP49" s="952"/>
      <c r="OOQ49" s="952"/>
      <c r="OOR49" s="952"/>
      <c r="OOS49" s="952"/>
      <c r="OOT49" s="952"/>
      <c r="OOU49" s="952"/>
      <c r="OOV49" s="952"/>
      <c r="OOW49" s="952"/>
      <c r="OOX49" s="952"/>
      <c r="OOY49" s="952"/>
      <c r="OOZ49" s="952"/>
      <c r="OPA49" s="952"/>
      <c r="OPB49" s="952"/>
      <c r="OPC49" s="952"/>
      <c r="OPD49" s="952"/>
      <c r="OPE49" s="952"/>
      <c r="OPF49" s="952"/>
      <c r="OPG49" s="952"/>
      <c r="OPH49" s="952"/>
      <c r="OPI49" s="952"/>
      <c r="OPJ49" s="952"/>
      <c r="OPK49" s="952"/>
      <c r="OPL49" s="952"/>
      <c r="OPM49" s="952"/>
      <c r="OPN49" s="952"/>
      <c r="OPO49" s="952"/>
      <c r="OPP49" s="952"/>
      <c r="OPQ49" s="952"/>
      <c r="OPR49" s="952"/>
      <c r="OPS49" s="952"/>
      <c r="OPT49" s="952"/>
      <c r="OPU49" s="952"/>
      <c r="OPV49" s="952"/>
      <c r="OPW49" s="952"/>
      <c r="OPX49" s="952"/>
      <c r="OPY49" s="952"/>
      <c r="OPZ49" s="952"/>
      <c r="OQA49" s="952"/>
      <c r="OQB49" s="952"/>
      <c r="OQC49" s="952"/>
      <c r="OQD49" s="952"/>
      <c r="OQE49" s="952"/>
      <c r="OQF49" s="952"/>
      <c r="OQG49" s="952"/>
      <c r="OQH49" s="952"/>
      <c r="OQI49" s="952"/>
      <c r="OQJ49" s="952"/>
      <c r="OQK49" s="952"/>
      <c r="OQL49" s="952"/>
      <c r="OQM49" s="952"/>
      <c r="OQN49" s="952"/>
      <c r="OQO49" s="952"/>
      <c r="OQP49" s="952"/>
      <c r="OQQ49" s="952"/>
      <c r="OQR49" s="952"/>
      <c r="OQS49" s="952"/>
      <c r="OQT49" s="952"/>
      <c r="OQU49" s="952"/>
      <c r="OQV49" s="952"/>
      <c r="OQW49" s="952"/>
      <c r="OQX49" s="952"/>
      <c r="OQY49" s="952"/>
      <c r="OQZ49" s="952"/>
      <c r="ORA49" s="952"/>
      <c r="ORB49" s="952"/>
      <c r="ORC49" s="952"/>
      <c r="ORD49" s="952"/>
      <c r="ORE49" s="952"/>
      <c r="ORF49" s="952"/>
      <c r="ORG49" s="952"/>
      <c r="ORH49" s="952"/>
      <c r="ORI49" s="952"/>
      <c r="ORJ49" s="952"/>
      <c r="ORK49" s="952"/>
      <c r="ORL49" s="952"/>
      <c r="ORM49" s="952"/>
      <c r="ORN49" s="952"/>
      <c r="ORO49" s="952"/>
      <c r="ORP49" s="952"/>
      <c r="ORQ49" s="952"/>
      <c r="ORR49" s="952"/>
      <c r="ORS49" s="952"/>
      <c r="ORT49" s="952"/>
      <c r="ORU49" s="952"/>
      <c r="ORV49" s="952"/>
      <c r="ORW49" s="952"/>
      <c r="ORX49" s="952"/>
      <c r="ORY49" s="952"/>
      <c r="ORZ49" s="952"/>
      <c r="OSA49" s="952"/>
      <c r="OSB49" s="952"/>
      <c r="OSC49" s="952"/>
      <c r="OSD49" s="952"/>
      <c r="OSE49" s="952"/>
      <c r="OSF49" s="952"/>
      <c r="OSG49" s="952"/>
      <c r="OSH49" s="952"/>
      <c r="OSI49" s="952"/>
      <c r="OSJ49" s="952"/>
      <c r="OSK49" s="952"/>
      <c r="OSL49" s="952"/>
      <c r="OSM49" s="952"/>
      <c r="OSN49" s="952"/>
      <c r="OSO49" s="952"/>
      <c r="OSP49" s="952"/>
      <c r="OSQ49" s="952"/>
      <c r="OSR49" s="952"/>
      <c r="OSS49" s="952"/>
      <c r="OST49" s="952"/>
      <c r="OSU49" s="952"/>
      <c r="OSV49" s="952"/>
      <c r="OSW49" s="952"/>
      <c r="OSX49" s="952"/>
      <c r="OSY49" s="952"/>
      <c r="OSZ49" s="952"/>
      <c r="OTA49" s="952"/>
      <c r="OTB49" s="952"/>
      <c r="OTC49" s="952"/>
      <c r="OTD49" s="952"/>
      <c r="OTE49" s="952"/>
      <c r="OTF49" s="952"/>
      <c r="OTG49" s="952"/>
      <c r="OTH49" s="952"/>
      <c r="OTI49" s="952"/>
      <c r="OTJ49" s="952"/>
      <c r="OTK49" s="952"/>
      <c r="OTL49" s="952"/>
      <c r="OTM49" s="952"/>
      <c r="OTN49" s="952"/>
      <c r="OTO49" s="952"/>
      <c r="OTP49" s="952"/>
      <c r="OTQ49" s="952"/>
      <c r="OTR49" s="952"/>
      <c r="OTS49" s="952"/>
      <c r="OTT49" s="952"/>
      <c r="OTU49" s="952"/>
      <c r="OTV49" s="952"/>
      <c r="OTW49" s="952"/>
      <c r="OTX49" s="952"/>
      <c r="OTY49" s="952"/>
      <c r="OTZ49" s="952"/>
      <c r="OUA49" s="952"/>
      <c r="OUB49" s="952"/>
      <c r="OUC49" s="952"/>
      <c r="OUD49" s="952"/>
      <c r="OUE49" s="952"/>
      <c r="OUF49" s="952"/>
      <c r="OUG49" s="952"/>
      <c r="OUH49" s="952"/>
      <c r="OUI49" s="952"/>
      <c r="OUJ49" s="952"/>
      <c r="OUK49" s="952"/>
      <c r="OUL49" s="952"/>
      <c r="OUM49" s="952"/>
      <c r="OUN49" s="952"/>
      <c r="OUO49" s="952"/>
      <c r="OUP49" s="952"/>
      <c r="OUQ49" s="952"/>
      <c r="OUR49" s="952"/>
      <c r="OUS49" s="952"/>
      <c r="OUT49" s="952"/>
      <c r="OUU49" s="952"/>
      <c r="OUV49" s="952"/>
      <c r="OUW49" s="952"/>
      <c r="OUX49" s="952"/>
      <c r="OUY49" s="952"/>
      <c r="OUZ49" s="952"/>
      <c r="OVA49" s="952"/>
      <c r="OVB49" s="952"/>
      <c r="OVC49" s="952"/>
      <c r="OVD49" s="952"/>
      <c r="OVE49" s="952"/>
      <c r="OVF49" s="952"/>
      <c r="OVG49" s="952"/>
      <c r="OVH49" s="952"/>
      <c r="OVI49" s="952"/>
      <c r="OVJ49" s="952"/>
      <c r="OVK49" s="952"/>
      <c r="OVL49" s="952"/>
      <c r="OVM49" s="952"/>
      <c r="OVN49" s="952"/>
      <c r="OVO49" s="952"/>
      <c r="OVP49" s="952"/>
      <c r="OVQ49" s="952"/>
      <c r="OVR49" s="952"/>
      <c r="OVS49" s="952"/>
      <c r="OVT49" s="952"/>
      <c r="OVU49" s="952"/>
      <c r="OVV49" s="952"/>
      <c r="OVW49" s="952"/>
      <c r="OVX49" s="952"/>
      <c r="OVY49" s="952"/>
      <c r="OVZ49" s="952"/>
      <c r="OWA49" s="952"/>
      <c r="OWB49" s="952"/>
      <c r="OWC49" s="952"/>
      <c r="OWD49" s="952"/>
      <c r="OWE49" s="952"/>
      <c r="OWF49" s="952"/>
      <c r="OWG49" s="952"/>
      <c r="OWH49" s="952"/>
      <c r="OWI49" s="952"/>
      <c r="OWJ49" s="952"/>
      <c r="OWK49" s="952"/>
      <c r="OWL49" s="952"/>
      <c r="OWM49" s="952"/>
      <c r="OWN49" s="952"/>
      <c r="OWO49" s="952"/>
      <c r="OWP49" s="952"/>
      <c r="OWQ49" s="952"/>
      <c r="OWR49" s="952"/>
      <c r="OWS49" s="952"/>
      <c r="OWT49" s="952"/>
      <c r="OWU49" s="952"/>
      <c r="OWV49" s="952"/>
      <c r="OWW49" s="952"/>
      <c r="OWX49" s="952"/>
      <c r="OWY49" s="952"/>
      <c r="OWZ49" s="952"/>
      <c r="OXA49" s="952"/>
      <c r="OXB49" s="952"/>
      <c r="OXC49" s="952"/>
      <c r="OXD49" s="952"/>
      <c r="OXE49" s="952"/>
      <c r="OXF49" s="952"/>
      <c r="OXG49" s="952"/>
      <c r="OXH49" s="952"/>
      <c r="OXI49" s="952"/>
      <c r="OXJ49" s="952"/>
      <c r="OXK49" s="952"/>
      <c r="OXL49" s="952"/>
      <c r="OXM49" s="952"/>
      <c r="OXN49" s="952"/>
      <c r="OXO49" s="952"/>
      <c r="OXP49" s="952"/>
      <c r="OXQ49" s="952"/>
      <c r="OXR49" s="952"/>
      <c r="OXS49" s="952"/>
      <c r="OXT49" s="952"/>
      <c r="OXU49" s="952"/>
      <c r="OXV49" s="952"/>
      <c r="OXW49" s="952"/>
      <c r="OXX49" s="952"/>
      <c r="OXY49" s="952"/>
      <c r="OXZ49" s="952"/>
      <c r="OYA49" s="952"/>
      <c r="OYB49" s="952"/>
      <c r="OYC49" s="952"/>
      <c r="OYD49" s="952"/>
      <c r="OYE49" s="952"/>
      <c r="OYF49" s="952"/>
      <c r="OYG49" s="952"/>
      <c r="OYH49" s="952"/>
      <c r="OYI49" s="952"/>
      <c r="OYJ49" s="952"/>
      <c r="OYK49" s="952"/>
      <c r="OYL49" s="952"/>
      <c r="OYM49" s="952"/>
      <c r="OYN49" s="952"/>
      <c r="OYO49" s="952"/>
      <c r="OYP49" s="952"/>
      <c r="OYQ49" s="952"/>
      <c r="OYR49" s="952"/>
      <c r="OYS49" s="952"/>
      <c r="OYT49" s="952"/>
      <c r="OYU49" s="952"/>
      <c r="OYV49" s="952"/>
      <c r="OYW49" s="952"/>
      <c r="OYX49" s="952"/>
      <c r="OYY49" s="952"/>
      <c r="OYZ49" s="952"/>
      <c r="OZA49" s="952"/>
      <c r="OZB49" s="952"/>
      <c r="OZC49" s="952"/>
      <c r="OZD49" s="952"/>
      <c r="OZE49" s="952"/>
      <c r="OZF49" s="952"/>
      <c r="OZG49" s="952"/>
      <c r="OZH49" s="952"/>
      <c r="OZI49" s="952"/>
      <c r="OZJ49" s="952"/>
      <c r="OZK49" s="952"/>
      <c r="OZL49" s="952"/>
      <c r="OZM49" s="952"/>
      <c r="OZN49" s="952"/>
      <c r="OZO49" s="952"/>
      <c r="OZP49" s="952"/>
      <c r="OZQ49" s="952"/>
      <c r="OZR49" s="952"/>
      <c r="OZS49" s="952"/>
      <c r="OZT49" s="952"/>
      <c r="OZU49" s="952"/>
      <c r="OZV49" s="952"/>
      <c r="OZW49" s="952"/>
      <c r="OZX49" s="952"/>
      <c r="OZY49" s="952"/>
      <c r="OZZ49" s="952"/>
      <c r="PAA49" s="952"/>
      <c r="PAB49" s="952"/>
      <c r="PAC49" s="952"/>
      <c r="PAD49" s="952"/>
      <c r="PAE49" s="952"/>
      <c r="PAF49" s="952"/>
      <c r="PAG49" s="952"/>
      <c r="PAH49" s="952"/>
      <c r="PAI49" s="952"/>
      <c r="PAJ49" s="952"/>
      <c r="PAK49" s="952"/>
      <c r="PAL49" s="952"/>
      <c r="PAM49" s="952"/>
      <c r="PAN49" s="952"/>
      <c r="PAO49" s="952"/>
      <c r="PAP49" s="952"/>
      <c r="PAQ49" s="952"/>
      <c r="PAR49" s="952"/>
      <c r="PAS49" s="952"/>
      <c r="PAT49" s="952"/>
      <c r="PAU49" s="952"/>
      <c r="PAV49" s="952"/>
      <c r="PAW49" s="952"/>
      <c r="PAX49" s="952"/>
      <c r="PAY49" s="952"/>
      <c r="PAZ49" s="952"/>
      <c r="PBA49" s="952"/>
      <c r="PBB49" s="952"/>
      <c r="PBC49" s="952"/>
      <c r="PBD49" s="952"/>
      <c r="PBE49" s="952"/>
      <c r="PBF49" s="952"/>
      <c r="PBG49" s="952"/>
      <c r="PBH49" s="952"/>
      <c r="PBI49" s="952"/>
      <c r="PBJ49" s="952"/>
      <c r="PBK49" s="952"/>
      <c r="PBL49" s="952"/>
      <c r="PBM49" s="952"/>
      <c r="PBN49" s="952"/>
      <c r="PBO49" s="952"/>
      <c r="PBP49" s="952"/>
      <c r="PBQ49" s="952"/>
      <c r="PBR49" s="952"/>
      <c r="PBS49" s="952"/>
      <c r="PBT49" s="952"/>
      <c r="PBU49" s="952"/>
      <c r="PBV49" s="952"/>
      <c r="PBW49" s="952"/>
      <c r="PBX49" s="952"/>
      <c r="PBY49" s="952"/>
      <c r="PBZ49" s="952"/>
      <c r="PCA49" s="952"/>
      <c r="PCB49" s="952"/>
      <c r="PCC49" s="952"/>
      <c r="PCD49" s="952"/>
      <c r="PCE49" s="952"/>
      <c r="PCF49" s="952"/>
      <c r="PCG49" s="952"/>
      <c r="PCH49" s="952"/>
      <c r="PCI49" s="952"/>
      <c r="PCJ49" s="952"/>
      <c r="PCK49" s="952"/>
      <c r="PCL49" s="952"/>
      <c r="PCM49" s="952"/>
      <c r="PCN49" s="952"/>
      <c r="PCO49" s="952"/>
      <c r="PCP49" s="952"/>
      <c r="PCQ49" s="952"/>
      <c r="PCR49" s="952"/>
      <c r="PCS49" s="952"/>
      <c r="PCT49" s="952"/>
      <c r="PCU49" s="952"/>
      <c r="PCV49" s="952"/>
      <c r="PCW49" s="952"/>
      <c r="PCX49" s="952"/>
      <c r="PCY49" s="952"/>
      <c r="PCZ49" s="952"/>
      <c r="PDA49" s="952"/>
      <c r="PDB49" s="952"/>
      <c r="PDC49" s="952"/>
      <c r="PDD49" s="952"/>
      <c r="PDE49" s="952"/>
      <c r="PDF49" s="952"/>
      <c r="PDG49" s="952"/>
      <c r="PDH49" s="952"/>
      <c r="PDI49" s="952"/>
      <c r="PDJ49" s="952"/>
      <c r="PDK49" s="952"/>
      <c r="PDL49" s="952"/>
      <c r="PDM49" s="952"/>
      <c r="PDN49" s="952"/>
      <c r="PDO49" s="952"/>
      <c r="PDP49" s="952"/>
      <c r="PDQ49" s="952"/>
      <c r="PDR49" s="952"/>
      <c r="PDS49" s="952"/>
      <c r="PDT49" s="952"/>
      <c r="PDU49" s="952"/>
      <c r="PDV49" s="952"/>
      <c r="PDW49" s="952"/>
      <c r="PDX49" s="952"/>
      <c r="PDY49" s="952"/>
      <c r="PDZ49" s="952"/>
      <c r="PEA49" s="952"/>
      <c r="PEB49" s="952"/>
      <c r="PEC49" s="952"/>
      <c r="PED49" s="952"/>
      <c r="PEE49" s="952"/>
      <c r="PEF49" s="952"/>
      <c r="PEG49" s="952"/>
      <c r="PEH49" s="952"/>
      <c r="PEI49" s="952"/>
      <c r="PEJ49" s="952"/>
      <c r="PEK49" s="952"/>
      <c r="PEL49" s="952"/>
      <c r="PEM49" s="952"/>
      <c r="PEN49" s="952"/>
      <c r="PEO49" s="952"/>
      <c r="PEP49" s="952"/>
      <c r="PEQ49" s="952"/>
      <c r="PER49" s="952"/>
      <c r="PES49" s="952"/>
      <c r="PET49" s="952"/>
      <c r="PEU49" s="952"/>
      <c r="PEV49" s="952"/>
      <c r="PEW49" s="952"/>
      <c r="PEX49" s="952"/>
      <c r="PEY49" s="952"/>
      <c r="PEZ49" s="952"/>
      <c r="PFA49" s="952"/>
      <c r="PFB49" s="952"/>
      <c r="PFC49" s="952"/>
      <c r="PFD49" s="952"/>
      <c r="PFE49" s="952"/>
      <c r="PFF49" s="952"/>
      <c r="PFG49" s="952"/>
      <c r="PFH49" s="952"/>
      <c r="PFI49" s="952"/>
      <c r="PFJ49" s="952"/>
      <c r="PFK49" s="952"/>
      <c r="PFL49" s="952"/>
      <c r="PFM49" s="952"/>
      <c r="PFN49" s="952"/>
      <c r="PFO49" s="952"/>
      <c r="PFP49" s="952"/>
      <c r="PFQ49" s="952"/>
      <c r="PFR49" s="952"/>
      <c r="PFS49" s="952"/>
      <c r="PFT49" s="952"/>
      <c r="PFU49" s="952"/>
      <c r="PFV49" s="952"/>
      <c r="PFW49" s="952"/>
      <c r="PFX49" s="952"/>
      <c r="PFY49" s="952"/>
      <c r="PFZ49" s="952"/>
      <c r="PGA49" s="952"/>
      <c r="PGB49" s="952"/>
      <c r="PGC49" s="952"/>
      <c r="PGD49" s="952"/>
      <c r="PGE49" s="952"/>
      <c r="PGF49" s="952"/>
      <c r="PGG49" s="952"/>
      <c r="PGH49" s="952"/>
      <c r="PGI49" s="952"/>
      <c r="PGJ49" s="952"/>
      <c r="PGK49" s="952"/>
      <c r="PGL49" s="952"/>
      <c r="PGM49" s="952"/>
      <c r="PGN49" s="952"/>
      <c r="PGO49" s="952"/>
      <c r="PGP49" s="952"/>
      <c r="PGQ49" s="952"/>
      <c r="PGR49" s="952"/>
      <c r="PGS49" s="952"/>
      <c r="PGT49" s="952"/>
      <c r="PGU49" s="952"/>
      <c r="PGV49" s="952"/>
      <c r="PGW49" s="952"/>
      <c r="PGX49" s="952"/>
      <c r="PGY49" s="952"/>
      <c r="PGZ49" s="952"/>
      <c r="PHA49" s="952"/>
      <c r="PHB49" s="952"/>
      <c r="PHC49" s="952"/>
      <c r="PHD49" s="952"/>
      <c r="PHE49" s="952"/>
      <c r="PHF49" s="952"/>
      <c r="PHG49" s="952"/>
      <c r="PHH49" s="952"/>
      <c r="PHI49" s="952"/>
      <c r="PHJ49" s="952"/>
      <c r="PHK49" s="952"/>
      <c r="PHL49" s="952"/>
      <c r="PHM49" s="952"/>
      <c r="PHN49" s="952"/>
      <c r="PHO49" s="952"/>
      <c r="PHP49" s="952"/>
      <c r="PHQ49" s="952"/>
      <c r="PHR49" s="952"/>
      <c r="PHS49" s="952"/>
      <c r="PHT49" s="952"/>
      <c r="PHU49" s="952"/>
      <c r="PHV49" s="952"/>
      <c r="PHW49" s="952"/>
      <c r="PHX49" s="952"/>
      <c r="PHY49" s="952"/>
      <c r="PHZ49" s="952"/>
      <c r="PIA49" s="952"/>
      <c r="PIB49" s="952"/>
      <c r="PIC49" s="952"/>
      <c r="PID49" s="952"/>
      <c r="PIE49" s="952"/>
      <c r="PIF49" s="952"/>
      <c r="PIG49" s="952"/>
      <c r="PIH49" s="952"/>
      <c r="PII49" s="952"/>
      <c r="PIJ49" s="952"/>
      <c r="PIK49" s="952"/>
      <c r="PIL49" s="952"/>
      <c r="PIM49" s="952"/>
      <c r="PIN49" s="952"/>
      <c r="PIO49" s="952"/>
      <c r="PIP49" s="952"/>
      <c r="PIQ49" s="952"/>
      <c r="PIR49" s="952"/>
      <c r="PIS49" s="952"/>
      <c r="PIT49" s="952"/>
      <c r="PIU49" s="952"/>
      <c r="PIV49" s="952"/>
      <c r="PIW49" s="952"/>
      <c r="PIX49" s="952"/>
      <c r="PIY49" s="952"/>
      <c r="PIZ49" s="952"/>
      <c r="PJA49" s="952"/>
      <c r="PJB49" s="952"/>
      <c r="PJC49" s="952"/>
      <c r="PJD49" s="952"/>
      <c r="PJE49" s="952"/>
      <c r="PJF49" s="952"/>
      <c r="PJG49" s="952"/>
      <c r="PJH49" s="952"/>
      <c r="PJI49" s="952"/>
      <c r="PJJ49" s="952"/>
      <c r="PJK49" s="952"/>
      <c r="PJL49" s="952"/>
      <c r="PJM49" s="952"/>
      <c r="PJN49" s="952"/>
      <c r="PJO49" s="952"/>
      <c r="PJP49" s="952"/>
      <c r="PJQ49" s="952"/>
      <c r="PJR49" s="952"/>
      <c r="PJS49" s="952"/>
      <c r="PJT49" s="952"/>
      <c r="PJU49" s="952"/>
      <c r="PJV49" s="952"/>
      <c r="PJW49" s="952"/>
      <c r="PJX49" s="952"/>
      <c r="PJY49" s="952"/>
      <c r="PJZ49" s="952"/>
      <c r="PKA49" s="952"/>
      <c r="PKB49" s="952"/>
      <c r="PKC49" s="952"/>
      <c r="PKD49" s="952"/>
      <c r="PKE49" s="952"/>
      <c r="PKF49" s="952"/>
      <c r="PKG49" s="952"/>
      <c r="PKH49" s="952"/>
      <c r="PKI49" s="952"/>
      <c r="PKJ49" s="952"/>
      <c r="PKK49" s="952"/>
      <c r="PKL49" s="952"/>
      <c r="PKM49" s="952"/>
      <c r="PKN49" s="952"/>
      <c r="PKO49" s="952"/>
      <c r="PKP49" s="952"/>
      <c r="PKQ49" s="952"/>
      <c r="PKR49" s="952"/>
      <c r="PKS49" s="952"/>
      <c r="PKT49" s="952"/>
      <c r="PKU49" s="952"/>
      <c r="PKV49" s="952"/>
      <c r="PKW49" s="952"/>
      <c r="PKX49" s="952"/>
      <c r="PKY49" s="952"/>
      <c r="PKZ49" s="952"/>
      <c r="PLA49" s="952"/>
      <c r="PLB49" s="952"/>
      <c r="PLC49" s="952"/>
      <c r="PLD49" s="952"/>
      <c r="PLE49" s="952"/>
      <c r="PLF49" s="952"/>
      <c r="PLG49" s="952"/>
      <c r="PLH49" s="952"/>
      <c r="PLI49" s="952"/>
      <c r="PLJ49" s="952"/>
      <c r="PLK49" s="952"/>
      <c r="PLL49" s="952"/>
      <c r="PLM49" s="952"/>
      <c r="PLN49" s="952"/>
      <c r="PLO49" s="952"/>
      <c r="PLP49" s="952"/>
      <c r="PLQ49" s="952"/>
      <c r="PLR49" s="952"/>
      <c r="PLS49" s="952"/>
      <c r="PLT49" s="952"/>
      <c r="PLU49" s="952"/>
      <c r="PLV49" s="952"/>
      <c r="PLW49" s="952"/>
      <c r="PLX49" s="952"/>
      <c r="PLY49" s="952"/>
      <c r="PLZ49" s="952"/>
      <c r="PMA49" s="952"/>
      <c r="PMB49" s="952"/>
      <c r="PMC49" s="952"/>
      <c r="PMD49" s="952"/>
      <c r="PME49" s="952"/>
      <c r="PMF49" s="952"/>
      <c r="PMG49" s="952"/>
      <c r="PMH49" s="952"/>
      <c r="PMI49" s="952"/>
      <c r="PMJ49" s="952"/>
      <c r="PMK49" s="952"/>
      <c r="PML49" s="952"/>
      <c r="PMM49" s="952"/>
      <c r="PMN49" s="952"/>
      <c r="PMO49" s="952"/>
      <c r="PMP49" s="952"/>
      <c r="PMQ49" s="952"/>
      <c r="PMR49" s="952"/>
      <c r="PMS49" s="952"/>
      <c r="PMT49" s="952"/>
      <c r="PMU49" s="952"/>
      <c r="PMV49" s="952"/>
      <c r="PMW49" s="952"/>
      <c r="PMX49" s="952"/>
      <c r="PMY49" s="952"/>
      <c r="PMZ49" s="952"/>
      <c r="PNA49" s="952"/>
      <c r="PNB49" s="952"/>
      <c r="PNC49" s="952"/>
      <c r="PND49" s="952"/>
      <c r="PNE49" s="952"/>
      <c r="PNF49" s="952"/>
      <c r="PNG49" s="952"/>
      <c r="PNH49" s="952"/>
      <c r="PNI49" s="952"/>
      <c r="PNJ49" s="952"/>
      <c r="PNK49" s="952"/>
      <c r="PNL49" s="952"/>
      <c r="PNM49" s="952"/>
      <c r="PNN49" s="952"/>
      <c r="PNO49" s="952"/>
      <c r="PNP49" s="952"/>
      <c r="PNQ49" s="952"/>
      <c r="PNR49" s="952"/>
      <c r="PNS49" s="952"/>
      <c r="PNT49" s="952"/>
      <c r="PNU49" s="952"/>
      <c r="PNV49" s="952"/>
      <c r="PNW49" s="952"/>
      <c r="PNX49" s="952"/>
      <c r="PNY49" s="952"/>
      <c r="PNZ49" s="952"/>
      <c r="POA49" s="952"/>
      <c r="POB49" s="952"/>
      <c r="POC49" s="952"/>
      <c r="POD49" s="952"/>
      <c r="POE49" s="952"/>
      <c r="POF49" s="952"/>
      <c r="POG49" s="952"/>
      <c r="POH49" s="952"/>
      <c r="POI49" s="952"/>
      <c r="POJ49" s="952"/>
      <c r="POK49" s="952"/>
      <c r="POL49" s="952"/>
      <c r="POM49" s="952"/>
      <c r="PON49" s="952"/>
      <c r="POO49" s="952"/>
      <c r="POP49" s="952"/>
      <c r="POQ49" s="952"/>
      <c r="POR49" s="952"/>
      <c r="POS49" s="952"/>
      <c r="POT49" s="952"/>
      <c r="POU49" s="952"/>
      <c r="POV49" s="952"/>
      <c r="POW49" s="952"/>
      <c r="POX49" s="952"/>
      <c r="POY49" s="952"/>
      <c r="POZ49" s="952"/>
      <c r="PPA49" s="952"/>
      <c r="PPB49" s="952"/>
      <c r="PPC49" s="952"/>
      <c r="PPD49" s="952"/>
      <c r="PPE49" s="952"/>
      <c r="PPF49" s="952"/>
      <c r="PPG49" s="952"/>
      <c r="PPH49" s="952"/>
      <c r="PPI49" s="952"/>
      <c r="PPJ49" s="952"/>
      <c r="PPK49" s="952"/>
      <c r="PPL49" s="952"/>
      <c r="PPM49" s="952"/>
      <c r="PPN49" s="952"/>
      <c r="PPO49" s="952"/>
      <c r="PPP49" s="952"/>
      <c r="PPQ49" s="952"/>
      <c r="PPR49" s="952"/>
      <c r="PPS49" s="952"/>
      <c r="PPT49" s="952"/>
      <c r="PPU49" s="952"/>
      <c r="PPV49" s="952"/>
      <c r="PPW49" s="952"/>
      <c r="PPX49" s="952"/>
      <c r="PPY49" s="952"/>
      <c r="PPZ49" s="952"/>
      <c r="PQA49" s="952"/>
      <c r="PQB49" s="952"/>
      <c r="PQC49" s="952"/>
      <c r="PQD49" s="952"/>
      <c r="PQE49" s="952"/>
      <c r="PQF49" s="952"/>
      <c r="PQG49" s="952"/>
      <c r="PQH49" s="952"/>
      <c r="PQI49" s="952"/>
      <c r="PQJ49" s="952"/>
      <c r="PQK49" s="952"/>
      <c r="PQL49" s="952"/>
      <c r="PQM49" s="952"/>
      <c r="PQN49" s="952"/>
      <c r="PQO49" s="952"/>
      <c r="PQP49" s="952"/>
      <c r="PQQ49" s="952"/>
      <c r="PQR49" s="952"/>
      <c r="PQS49" s="952"/>
      <c r="PQT49" s="952"/>
      <c r="PQU49" s="952"/>
      <c r="PQV49" s="952"/>
      <c r="PQW49" s="952"/>
      <c r="PQX49" s="952"/>
      <c r="PQY49" s="952"/>
      <c r="PQZ49" s="952"/>
      <c r="PRA49" s="952"/>
      <c r="PRB49" s="952"/>
      <c r="PRC49" s="952"/>
      <c r="PRD49" s="952"/>
      <c r="PRE49" s="952"/>
      <c r="PRF49" s="952"/>
      <c r="PRG49" s="952"/>
      <c r="PRH49" s="952"/>
      <c r="PRI49" s="952"/>
      <c r="PRJ49" s="952"/>
      <c r="PRK49" s="952"/>
      <c r="PRL49" s="952"/>
      <c r="PRM49" s="952"/>
      <c r="PRN49" s="952"/>
      <c r="PRO49" s="952"/>
      <c r="PRP49" s="952"/>
      <c r="PRQ49" s="952"/>
      <c r="PRR49" s="952"/>
      <c r="PRS49" s="952"/>
      <c r="PRT49" s="952"/>
      <c r="PRU49" s="952"/>
      <c r="PRV49" s="952"/>
      <c r="PRW49" s="952"/>
      <c r="PRX49" s="952"/>
      <c r="PRY49" s="952"/>
      <c r="PRZ49" s="952"/>
      <c r="PSA49" s="952"/>
      <c r="PSB49" s="952"/>
      <c r="PSC49" s="952"/>
      <c r="PSD49" s="952"/>
      <c r="PSE49" s="952"/>
      <c r="PSF49" s="952"/>
      <c r="PSG49" s="952"/>
      <c r="PSH49" s="952"/>
      <c r="PSI49" s="952"/>
      <c r="PSJ49" s="952"/>
      <c r="PSK49" s="952"/>
      <c r="PSL49" s="952"/>
      <c r="PSM49" s="952"/>
      <c r="PSN49" s="952"/>
      <c r="PSO49" s="952"/>
      <c r="PSP49" s="952"/>
      <c r="PSQ49" s="952"/>
      <c r="PSR49" s="952"/>
      <c r="PSS49" s="952"/>
      <c r="PST49" s="952"/>
      <c r="PSU49" s="952"/>
      <c r="PSV49" s="952"/>
      <c r="PSW49" s="952"/>
      <c r="PSX49" s="952"/>
      <c r="PSY49" s="952"/>
      <c r="PSZ49" s="952"/>
      <c r="PTA49" s="952"/>
      <c r="PTB49" s="952"/>
      <c r="PTC49" s="952"/>
      <c r="PTD49" s="952"/>
      <c r="PTE49" s="952"/>
      <c r="PTF49" s="952"/>
      <c r="PTG49" s="952"/>
      <c r="PTH49" s="952"/>
      <c r="PTI49" s="952"/>
      <c r="PTJ49" s="952"/>
      <c r="PTK49" s="952"/>
      <c r="PTL49" s="952"/>
      <c r="PTM49" s="952"/>
      <c r="PTN49" s="952"/>
      <c r="PTO49" s="952"/>
      <c r="PTP49" s="952"/>
      <c r="PTQ49" s="952"/>
      <c r="PTR49" s="952"/>
      <c r="PTS49" s="952"/>
      <c r="PTT49" s="952"/>
      <c r="PTU49" s="952"/>
      <c r="PTV49" s="952"/>
      <c r="PTW49" s="952"/>
      <c r="PTX49" s="952"/>
      <c r="PTY49" s="952"/>
      <c r="PTZ49" s="952"/>
      <c r="PUA49" s="952"/>
      <c r="PUB49" s="952"/>
      <c r="PUC49" s="952"/>
      <c r="PUD49" s="952"/>
      <c r="PUE49" s="952"/>
      <c r="PUF49" s="952"/>
      <c r="PUG49" s="952"/>
      <c r="PUH49" s="952"/>
      <c r="PUI49" s="952"/>
      <c r="PUJ49" s="952"/>
      <c r="PUK49" s="952"/>
      <c r="PUL49" s="952"/>
      <c r="PUM49" s="952"/>
      <c r="PUN49" s="952"/>
      <c r="PUO49" s="952"/>
      <c r="PUP49" s="952"/>
      <c r="PUQ49" s="952"/>
      <c r="PUR49" s="952"/>
      <c r="PUS49" s="952"/>
      <c r="PUT49" s="952"/>
      <c r="PUU49" s="952"/>
      <c r="PUV49" s="952"/>
      <c r="PUW49" s="952"/>
      <c r="PUX49" s="952"/>
      <c r="PUY49" s="952"/>
      <c r="PUZ49" s="952"/>
      <c r="PVA49" s="952"/>
      <c r="PVB49" s="952"/>
      <c r="PVC49" s="952"/>
      <c r="PVD49" s="952"/>
      <c r="PVE49" s="952"/>
      <c r="PVF49" s="952"/>
      <c r="PVG49" s="952"/>
      <c r="PVH49" s="952"/>
      <c r="PVI49" s="952"/>
      <c r="PVJ49" s="952"/>
      <c r="PVK49" s="952"/>
      <c r="PVL49" s="952"/>
      <c r="PVM49" s="952"/>
      <c r="PVN49" s="952"/>
      <c r="PVO49" s="952"/>
      <c r="PVP49" s="952"/>
      <c r="PVQ49" s="952"/>
      <c r="PVR49" s="952"/>
      <c r="PVS49" s="952"/>
      <c r="PVT49" s="952"/>
      <c r="PVU49" s="952"/>
      <c r="PVV49" s="952"/>
      <c r="PVW49" s="952"/>
      <c r="PVX49" s="952"/>
      <c r="PVY49" s="952"/>
      <c r="PVZ49" s="952"/>
      <c r="PWA49" s="952"/>
      <c r="PWB49" s="952"/>
      <c r="PWC49" s="952"/>
      <c r="PWD49" s="952"/>
      <c r="PWE49" s="952"/>
      <c r="PWF49" s="952"/>
      <c r="PWG49" s="952"/>
      <c r="PWH49" s="952"/>
      <c r="PWI49" s="952"/>
      <c r="PWJ49" s="952"/>
      <c r="PWK49" s="952"/>
      <c r="PWL49" s="952"/>
      <c r="PWM49" s="952"/>
      <c r="PWN49" s="952"/>
      <c r="PWO49" s="952"/>
      <c r="PWP49" s="952"/>
      <c r="PWQ49" s="952"/>
      <c r="PWR49" s="952"/>
      <c r="PWS49" s="952"/>
      <c r="PWT49" s="952"/>
      <c r="PWU49" s="952"/>
      <c r="PWV49" s="952"/>
      <c r="PWW49" s="952"/>
      <c r="PWX49" s="952"/>
      <c r="PWY49" s="952"/>
      <c r="PWZ49" s="952"/>
      <c r="PXA49" s="952"/>
      <c r="PXB49" s="952"/>
      <c r="PXC49" s="952"/>
      <c r="PXD49" s="952"/>
      <c r="PXE49" s="952"/>
      <c r="PXF49" s="952"/>
      <c r="PXG49" s="952"/>
      <c r="PXH49" s="952"/>
      <c r="PXI49" s="952"/>
      <c r="PXJ49" s="952"/>
      <c r="PXK49" s="952"/>
      <c r="PXL49" s="952"/>
      <c r="PXM49" s="952"/>
      <c r="PXN49" s="952"/>
      <c r="PXO49" s="952"/>
      <c r="PXP49" s="952"/>
      <c r="PXQ49" s="952"/>
      <c r="PXR49" s="952"/>
      <c r="PXS49" s="952"/>
      <c r="PXT49" s="952"/>
      <c r="PXU49" s="952"/>
      <c r="PXV49" s="952"/>
      <c r="PXW49" s="952"/>
      <c r="PXX49" s="952"/>
      <c r="PXY49" s="952"/>
      <c r="PXZ49" s="952"/>
      <c r="PYA49" s="952"/>
      <c r="PYB49" s="952"/>
      <c r="PYC49" s="952"/>
      <c r="PYD49" s="952"/>
      <c r="PYE49" s="952"/>
      <c r="PYF49" s="952"/>
      <c r="PYG49" s="952"/>
      <c r="PYH49" s="952"/>
      <c r="PYI49" s="952"/>
      <c r="PYJ49" s="952"/>
      <c r="PYK49" s="952"/>
      <c r="PYL49" s="952"/>
      <c r="PYM49" s="952"/>
      <c r="PYN49" s="952"/>
      <c r="PYO49" s="952"/>
      <c r="PYP49" s="952"/>
      <c r="PYQ49" s="952"/>
      <c r="PYR49" s="952"/>
      <c r="PYS49" s="952"/>
      <c r="PYT49" s="952"/>
      <c r="PYU49" s="952"/>
      <c r="PYV49" s="952"/>
      <c r="PYW49" s="952"/>
      <c r="PYX49" s="952"/>
      <c r="PYY49" s="952"/>
      <c r="PYZ49" s="952"/>
      <c r="PZA49" s="952"/>
      <c r="PZB49" s="952"/>
      <c r="PZC49" s="952"/>
      <c r="PZD49" s="952"/>
      <c r="PZE49" s="952"/>
      <c r="PZF49" s="952"/>
      <c r="PZG49" s="952"/>
      <c r="PZH49" s="952"/>
      <c r="PZI49" s="952"/>
      <c r="PZJ49" s="952"/>
      <c r="PZK49" s="952"/>
      <c r="PZL49" s="952"/>
      <c r="PZM49" s="952"/>
      <c r="PZN49" s="952"/>
      <c r="PZO49" s="952"/>
      <c r="PZP49" s="952"/>
      <c r="PZQ49" s="952"/>
      <c r="PZR49" s="952"/>
      <c r="PZS49" s="952"/>
      <c r="PZT49" s="952"/>
      <c r="PZU49" s="952"/>
      <c r="PZV49" s="952"/>
      <c r="PZW49" s="952"/>
      <c r="PZX49" s="952"/>
      <c r="PZY49" s="952"/>
      <c r="PZZ49" s="952"/>
      <c r="QAA49" s="952"/>
      <c r="QAB49" s="952"/>
      <c r="QAC49" s="952"/>
      <c r="QAD49" s="952"/>
      <c r="QAE49" s="952"/>
      <c r="QAF49" s="952"/>
      <c r="QAG49" s="952"/>
      <c r="QAH49" s="952"/>
      <c r="QAI49" s="952"/>
      <c r="QAJ49" s="952"/>
      <c r="QAK49" s="952"/>
      <c r="QAL49" s="952"/>
      <c r="QAM49" s="952"/>
      <c r="QAN49" s="952"/>
      <c r="QAO49" s="952"/>
      <c r="QAP49" s="952"/>
      <c r="QAQ49" s="952"/>
      <c r="QAR49" s="952"/>
      <c r="QAS49" s="952"/>
      <c r="QAT49" s="952"/>
      <c r="QAU49" s="952"/>
      <c r="QAV49" s="952"/>
      <c r="QAW49" s="952"/>
      <c r="QAX49" s="952"/>
      <c r="QAY49" s="952"/>
      <c r="QAZ49" s="952"/>
      <c r="QBA49" s="952"/>
      <c r="QBB49" s="952"/>
      <c r="QBC49" s="952"/>
      <c r="QBD49" s="952"/>
      <c r="QBE49" s="952"/>
      <c r="QBF49" s="952"/>
      <c r="QBG49" s="952"/>
      <c r="QBH49" s="952"/>
      <c r="QBI49" s="952"/>
      <c r="QBJ49" s="952"/>
      <c r="QBK49" s="952"/>
      <c r="QBL49" s="952"/>
      <c r="QBM49" s="952"/>
      <c r="QBN49" s="952"/>
      <c r="QBO49" s="952"/>
      <c r="QBP49" s="952"/>
      <c r="QBQ49" s="952"/>
      <c r="QBR49" s="952"/>
      <c r="QBS49" s="952"/>
      <c r="QBT49" s="952"/>
      <c r="QBU49" s="952"/>
      <c r="QBV49" s="952"/>
      <c r="QBW49" s="952"/>
      <c r="QBX49" s="952"/>
      <c r="QBY49" s="952"/>
      <c r="QBZ49" s="952"/>
      <c r="QCA49" s="952"/>
      <c r="QCB49" s="952"/>
      <c r="QCC49" s="952"/>
      <c r="QCD49" s="952"/>
      <c r="QCE49" s="952"/>
      <c r="QCF49" s="952"/>
      <c r="QCG49" s="952"/>
      <c r="QCH49" s="952"/>
      <c r="QCI49" s="952"/>
      <c r="QCJ49" s="952"/>
      <c r="QCK49" s="952"/>
      <c r="QCL49" s="952"/>
      <c r="QCM49" s="952"/>
      <c r="QCN49" s="952"/>
      <c r="QCO49" s="952"/>
      <c r="QCP49" s="952"/>
      <c r="QCQ49" s="952"/>
      <c r="QCR49" s="952"/>
      <c r="QCS49" s="952"/>
      <c r="QCT49" s="952"/>
      <c r="QCU49" s="952"/>
      <c r="QCV49" s="952"/>
      <c r="QCW49" s="952"/>
      <c r="QCX49" s="952"/>
      <c r="QCY49" s="952"/>
      <c r="QCZ49" s="952"/>
      <c r="QDA49" s="952"/>
      <c r="QDB49" s="952"/>
      <c r="QDC49" s="952"/>
      <c r="QDD49" s="952"/>
      <c r="QDE49" s="952"/>
      <c r="QDF49" s="952"/>
      <c r="QDG49" s="952"/>
      <c r="QDH49" s="952"/>
      <c r="QDI49" s="952"/>
      <c r="QDJ49" s="952"/>
      <c r="QDK49" s="952"/>
      <c r="QDL49" s="952"/>
      <c r="QDM49" s="952"/>
      <c r="QDN49" s="952"/>
      <c r="QDO49" s="952"/>
      <c r="QDP49" s="952"/>
      <c r="QDQ49" s="952"/>
      <c r="QDR49" s="952"/>
      <c r="QDS49" s="952"/>
      <c r="QDT49" s="952"/>
      <c r="QDU49" s="952"/>
      <c r="QDV49" s="952"/>
      <c r="QDW49" s="952"/>
      <c r="QDX49" s="952"/>
      <c r="QDY49" s="952"/>
      <c r="QDZ49" s="952"/>
      <c r="QEA49" s="952"/>
      <c r="QEB49" s="952"/>
      <c r="QEC49" s="952"/>
      <c r="QED49" s="952"/>
      <c r="QEE49" s="952"/>
      <c r="QEF49" s="952"/>
      <c r="QEG49" s="952"/>
      <c r="QEH49" s="952"/>
      <c r="QEI49" s="952"/>
      <c r="QEJ49" s="952"/>
      <c r="QEK49" s="952"/>
      <c r="QEL49" s="952"/>
      <c r="QEM49" s="952"/>
      <c r="QEN49" s="952"/>
      <c r="QEO49" s="952"/>
      <c r="QEP49" s="952"/>
      <c r="QEQ49" s="952"/>
      <c r="QER49" s="952"/>
      <c r="QES49" s="952"/>
      <c r="QET49" s="952"/>
      <c r="QEU49" s="952"/>
      <c r="QEV49" s="952"/>
      <c r="QEW49" s="952"/>
      <c r="QEX49" s="952"/>
      <c r="QEY49" s="952"/>
      <c r="QEZ49" s="952"/>
      <c r="QFA49" s="952"/>
      <c r="QFB49" s="952"/>
      <c r="QFC49" s="952"/>
      <c r="QFD49" s="952"/>
      <c r="QFE49" s="952"/>
      <c r="QFF49" s="952"/>
      <c r="QFG49" s="952"/>
      <c r="QFH49" s="952"/>
      <c r="QFI49" s="952"/>
      <c r="QFJ49" s="952"/>
      <c r="QFK49" s="952"/>
      <c r="QFL49" s="952"/>
      <c r="QFM49" s="952"/>
      <c r="QFN49" s="952"/>
      <c r="QFO49" s="952"/>
      <c r="QFP49" s="952"/>
      <c r="QFQ49" s="952"/>
      <c r="QFR49" s="952"/>
      <c r="QFS49" s="952"/>
      <c r="QFT49" s="952"/>
      <c r="QFU49" s="952"/>
      <c r="QFV49" s="952"/>
      <c r="QFW49" s="952"/>
      <c r="QFX49" s="952"/>
      <c r="QFY49" s="952"/>
      <c r="QFZ49" s="952"/>
      <c r="QGA49" s="952"/>
      <c r="QGB49" s="952"/>
      <c r="QGC49" s="952"/>
      <c r="QGD49" s="952"/>
      <c r="QGE49" s="952"/>
      <c r="QGF49" s="952"/>
      <c r="QGG49" s="952"/>
      <c r="QGH49" s="952"/>
      <c r="QGI49" s="952"/>
      <c r="QGJ49" s="952"/>
      <c r="QGK49" s="952"/>
      <c r="QGL49" s="952"/>
      <c r="QGM49" s="952"/>
      <c r="QGN49" s="952"/>
      <c r="QGO49" s="952"/>
      <c r="QGP49" s="952"/>
      <c r="QGQ49" s="952"/>
      <c r="QGR49" s="952"/>
      <c r="QGS49" s="952"/>
      <c r="QGT49" s="952"/>
      <c r="QGU49" s="952"/>
      <c r="QGV49" s="952"/>
      <c r="QGW49" s="952"/>
      <c r="QGX49" s="952"/>
      <c r="QGY49" s="952"/>
      <c r="QGZ49" s="952"/>
      <c r="QHA49" s="952"/>
      <c r="QHB49" s="952"/>
      <c r="QHC49" s="952"/>
      <c r="QHD49" s="952"/>
      <c r="QHE49" s="952"/>
      <c r="QHF49" s="952"/>
      <c r="QHG49" s="952"/>
      <c r="QHH49" s="952"/>
      <c r="QHI49" s="952"/>
      <c r="QHJ49" s="952"/>
      <c r="QHK49" s="952"/>
      <c r="QHL49" s="952"/>
      <c r="QHM49" s="952"/>
      <c r="QHN49" s="952"/>
      <c r="QHO49" s="952"/>
      <c r="QHP49" s="952"/>
      <c r="QHQ49" s="952"/>
      <c r="QHR49" s="952"/>
      <c r="QHS49" s="952"/>
      <c r="QHT49" s="952"/>
      <c r="QHU49" s="952"/>
      <c r="QHV49" s="952"/>
      <c r="QHW49" s="952"/>
      <c r="QHX49" s="952"/>
      <c r="QHY49" s="952"/>
      <c r="QHZ49" s="952"/>
      <c r="QIA49" s="952"/>
      <c r="QIB49" s="952"/>
      <c r="QIC49" s="952"/>
      <c r="QID49" s="952"/>
      <c r="QIE49" s="952"/>
      <c r="QIF49" s="952"/>
      <c r="QIG49" s="952"/>
      <c r="QIH49" s="952"/>
      <c r="QII49" s="952"/>
      <c r="QIJ49" s="952"/>
      <c r="QIK49" s="952"/>
      <c r="QIL49" s="952"/>
      <c r="QIM49" s="952"/>
      <c r="QIN49" s="952"/>
      <c r="QIO49" s="952"/>
      <c r="QIP49" s="952"/>
      <c r="QIQ49" s="952"/>
      <c r="QIR49" s="952"/>
      <c r="QIS49" s="952"/>
      <c r="QIT49" s="952"/>
      <c r="QIU49" s="952"/>
      <c r="QIV49" s="952"/>
      <c r="QIW49" s="952"/>
      <c r="QIX49" s="952"/>
      <c r="QIY49" s="952"/>
      <c r="QIZ49" s="952"/>
      <c r="QJA49" s="952"/>
      <c r="QJB49" s="952"/>
      <c r="QJC49" s="952"/>
      <c r="QJD49" s="952"/>
      <c r="QJE49" s="952"/>
      <c r="QJF49" s="952"/>
      <c r="QJG49" s="952"/>
      <c r="QJH49" s="952"/>
      <c r="QJI49" s="952"/>
      <c r="QJJ49" s="952"/>
      <c r="QJK49" s="952"/>
      <c r="QJL49" s="952"/>
      <c r="QJM49" s="952"/>
      <c r="QJN49" s="952"/>
      <c r="QJO49" s="952"/>
      <c r="QJP49" s="952"/>
      <c r="QJQ49" s="952"/>
      <c r="QJR49" s="952"/>
      <c r="QJS49" s="952"/>
      <c r="QJT49" s="952"/>
      <c r="QJU49" s="952"/>
      <c r="QJV49" s="952"/>
      <c r="QJW49" s="952"/>
      <c r="QJX49" s="952"/>
      <c r="QJY49" s="952"/>
      <c r="QJZ49" s="952"/>
      <c r="QKA49" s="952"/>
      <c r="QKB49" s="952"/>
      <c r="QKC49" s="952"/>
      <c r="QKD49" s="952"/>
      <c r="QKE49" s="952"/>
      <c r="QKF49" s="952"/>
      <c r="QKG49" s="952"/>
      <c r="QKH49" s="952"/>
      <c r="QKI49" s="952"/>
      <c r="QKJ49" s="952"/>
      <c r="QKK49" s="952"/>
      <c r="QKL49" s="952"/>
      <c r="QKM49" s="952"/>
      <c r="QKN49" s="952"/>
      <c r="QKO49" s="952"/>
      <c r="QKP49" s="952"/>
      <c r="QKQ49" s="952"/>
      <c r="QKR49" s="952"/>
      <c r="QKS49" s="952"/>
      <c r="QKT49" s="952"/>
      <c r="QKU49" s="952"/>
      <c r="QKV49" s="952"/>
      <c r="QKW49" s="952"/>
      <c r="QKX49" s="952"/>
      <c r="QKY49" s="952"/>
      <c r="QKZ49" s="952"/>
      <c r="QLA49" s="952"/>
      <c r="QLB49" s="952"/>
      <c r="QLC49" s="952"/>
      <c r="QLD49" s="952"/>
      <c r="QLE49" s="952"/>
      <c r="QLF49" s="952"/>
      <c r="QLG49" s="952"/>
      <c r="QLH49" s="952"/>
      <c r="QLI49" s="952"/>
      <c r="QLJ49" s="952"/>
      <c r="QLK49" s="952"/>
      <c r="QLL49" s="952"/>
      <c r="QLM49" s="952"/>
      <c r="QLN49" s="952"/>
      <c r="QLO49" s="952"/>
      <c r="QLP49" s="952"/>
      <c r="QLQ49" s="952"/>
      <c r="QLR49" s="952"/>
      <c r="QLS49" s="952"/>
      <c r="QLT49" s="952"/>
      <c r="QLU49" s="952"/>
      <c r="QLV49" s="952"/>
      <c r="QLW49" s="952"/>
      <c r="QLX49" s="952"/>
      <c r="QLY49" s="952"/>
      <c r="QLZ49" s="952"/>
      <c r="QMA49" s="952"/>
      <c r="QMB49" s="952"/>
      <c r="QMC49" s="952"/>
      <c r="QMD49" s="952"/>
      <c r="QME49" s="952"/>
      <c r="QMF49" s="952"/>
      <c r="QMG49" s="952"/>
      <c r="QMH49" s="952"/>
      <c r="QMI49" s="952"/>
      <c r="QMJ49" s="952"/>
      <c r="QMK49" s="952"/>
      <c r="QML49" s="952"/>
      <c r="QMM49" s="952"/>
      <c r="QMN49" s="952"/>
      <c r="QMO49" s="952"/>
      <c r="QMP49" s="952"/>
      <c r="QMQ49" s="952"/>
      <c r="QMR49" s="952"/>
      <c r="QMS49" s="952"/>
      <c r="QMT49" s="952"/>
      <c r="QMU49" s="952"/>
      <c r="QMV49" s="952"/>
      <c r="QMW49" s="952"/>
      <c r="QMX49" s="952"/>
      <c r="QMY49" s="952"/>
      <c r="QMZ49" s="952"/>
      <c r="QNA49" s="952"/>
      <c r="QNB49" s="952"/>
      <c r="QNC49" s="952"/>
      <c r="QND49" s="952"/>
      <c r="QNE49" s="952"/>
      <c r="QNF49" s="952"/>
      <c r="QNG49" s="952"/>
      <c r="QNH49" s="952"/>
      <c r="QNI49" s="952"/>
      <c r="QNJ49" s="952"/>
      <c r="QNK49" s="952"/>
      <c r="QNL49" s="952"/>
      <c r="QNM49" s="952"/>
      <c r="QNN49" s="952"/>
      <c r="QNO49" s="952"/>
      <c r="QNP49" s="952"/>
      <c r="QNQ49" s="952"/>
      <c r="QNR49" s="952"/>
      <c r="QNS49" s="952"/>
      <c r="QNT49" s="952"/>
      <c r="QNU49" s="952"/>
      <c r="QNV49" s="952"/>
      <c r="QNW49" s="952"/>
      <c r="QNX49" s="952"/>
      <c r="QNY49" s="952"/>
      <c r="QNZ49" s="952"/>
      <c r="QOA49" s="952"/>
      <c r="QOB49" s="952"/>
      <c r="QOC49" s="952"/>
      <c r="QOD49" s="952"/>
      <c r="QOE49" s="952"/>
      <c r="QOF49" s="952"/>
      <c r="QOG49" s="952"/>
      <c r="QOH49" s="952"/>
      <c r="QOI49" s="952"/>
      <c r="QOJ49" s="952"/>
      <c r="QOK49" s="952"/>
      <c r="QOL49" s="952"/>
      <c r="QOM49" s="952"/>
      <c r="QON49" s="952"/>
      <c r="QOO49" s="952"/>
      <c r="QOP49" s="952"/>
      <c r="QOQ49" s="952"/>
      <c r="QOR49" s="952"/>
      <c r="QOS49" s="952"/>
      <c r="QOT49" s="952"/>
      <c r="QOU49" s="952"/>
      <c r="QOV49" s="952"/>
      <c r="QOW49" s="952"/>
      <c r="QOX49" s="952"/>
      <c r="QOY49" s="952"/>
      <c r="QOZ49" s="952"/>
      <c r="QPA49" s="952"/>
      <c r="QPB49" s="952"/>
      <c r="QPC49" s="952"/>
      <c r="QPD49" s="952"/>
      <c r="QPE49" s="952"/>
      <c r="QPF49" s="952"/>
      <c r="QPG49" s="952"/>
      <c r="QPH49" s="952"/>
      <c r="QPI49" s="952"/>
      <c r="QPJ49" s="952"/>
      <c r="QPK49" s="952"/>
      <c r="QPL49" s="952"/>
      <c r="QPM49" s="952"/>
      <c r="QPN49" s="952"/>
      <c r="QPO49" s="952"/>
      <c r="QPP49" s="952"/>
      <c r="QPQ49" s="952"/>
      <c r="QPR49" s="952"/>
      <c r="QPS49" s="952"/>
      <c r="QPT49" s="952"/>
      <c r="QPU49" s="952"/>
      <c r="QPV49" s="952"/>
      <c r="QPW49" s="952"/>
      <c r="QPX49" s="952"/>
      <c r="QPY49" s="952"/>
      <c r="QPZ49" s="952"/>
      <c r="QQA49" s="952"/>
      <c r="QQB49" s="952"/>
      <c r="QQC49" s="952"/>
      <c r="QQD49" s="952"/>
      <c r="QQE49" s="952"/>
      <c r="QQF49" s="952"/>
      <c r="QQG49" s="952"/>
      <c r="QQH49" s="952"/>
      <c r="QQI49" s="952"/>
      <c r="QQJ49" s="952"/>
      <c r="QQK49" s="952"/>
      <c r="QQL49" s="952"/>
      <c r="QQM49" s="952"/>
      <c r="QQN49" s="952"/>
      <c r="QQO49" s="952"/>
      <c r="QQP49" s="952"/>
      <c r="QQQ49" s="952"/>
      <c r="QQR49" s="952"/>
      <c r="QQS49" s="952"/>
      <c r="QQT49" s="952"/>
      <c r="QQU49" s="952"/>
      <c r="QQV49" s="952"/>
      <c r="QQW49" s="952"/>
      <c r="QQX49" s="952"/>
      <c r="QQY49" s="952"/>
      <c r="QQZ49" s="952"/>
      <c r="QRA49" s="952"/>
      <c r="QRB49" s="952"/>
      <c r="QRC49" s="952"/>
      <c r="QRD49" s="952"/>
      <c r="QRE49" s="952"/>
      <c r="QRF49" s="952"/>
      <c r="QRG49" s="952"/>
      <c r="QRH49" s="952"/>
      <c r="QRI49" s="952"/>
      <c r="QRJ49" s="952"/>
      <c r="QRK49" s="952"/>
      <c r="QRL49" s="952"/>
      <c r="QRM49" s="952"/>
      <c r="QRN49" s="952"/>
      <c r="QRO49" s="952"/>
      <c r="QRP49" s="952"/>
      <c r="QRQ49" s="952"/>
      <c r="QRR49" s="952"/>
      <c r="QRS49" s="952"/>
      <c r="QRT49" s="952"/>
      <c r="QRU49" s="952"/>
      <c r="QRV49" s="952"/>
      <c r="QRW49" s="952"/>
      <c r="QRX49" s="952"/>
      <c r="QRY49" s="952"/>
      <c r="QRZ49" s="952"/>
      <c r="QSA49" s="952"/>
      <c r="QSB49" s="952"/>
      <c r="QSC49" s="952"/>
      <c r="QSD49" s="952"/>
      <c r="QSE49" s="952"/>
      <c r="QSF49" s="952"/>
      <c r="QSG49" s="952"/>
      <c r="QSH49" s="952"/>
      <c r="QSI49" s="952"/>
      <c r="QSJ49" s="952"/>
      <c r="QSK49" s="952"/>
      <c r="QSL49" s="952"/>
      <c r="QSM49" s="952"/>
      <c r="QSN49" s="952"/>
      <c r="QSO49" s="952"/>
      <c r="QSP49" s="952"/>
      <c r="QSQ49" s="952"/>
      <c r="QSR49" s="952"/>
      <c r="QSS49" s="952"/>
      <c r="QST49" s="952"/>
      <c r="QSU49" s="952"/>
      <c r="QSV49" s="952"/>
      <c r="QSW49" s="952"/>
      <c r="QSX49" s="952"/>
      <c r="QSY49" s="952"/>
      <c r="QSZ49" s="952"/>
      <c r="QTA49" s="952"/>
      <c r="QTB49" s="952"/>
      <c r="QTC49" s="952"/>
      <c r="QTD49" s="952"/>
      <c r="QTE49" s="952"/>
      <c r="QTF49" s="952"/>
      <c r="QTG49" s="952"/>
      <c r="QTH49" s="952"/>
      <c r="QTI49" s="952"/>
      <c r="QTJ49" s="952"/>
      <c r="QTK49" s="952"/>
      <c r="QTL49" s="952"/>
      <c r="QTM49" s="952"/>
      <c r="QTN49" s="952"/>
      <c r="QTO49" s="952"/>
      <c r="QTP49" s="952"/>
      <c r="QTQ49" s="952"/>
      <c r="QTR49" s="952"/>
      <c r="QTS49" s="952"/>
      <c r="QTT49" s="952"/>
      <c r="QTU49" s="952"/>
      <c r="QTV49" s="952"/>
      <c r="QTW49" s="952"/>
      <c r="QTX49" s="952"/>
      <c r="QTY49" s="952"/>
      <c r="QTZ49" s="952"/>
      <c r="QUA49" s="952"/>
      <c r="QUB49" s="952"/>
      <c r="QUC49" s="952"/>
      <c r="QUD49" s="952"/>
      <c r="QUE49" s="952"/>
      <c r="QUF49" s="952"/>
      <c r="QUG49" s="952"/>
      <c r="QUH49" s="952"/>
      <c r="QUI49" s="952"/>
      <c r="QUJ49" s="952"/>
      <c r="QUK49" s="952"/>
      <c r="QUL49" s="952"/>
      <c r="QUM49" s="952"/>
      <c r="QUN49" s="952"/>
      <c r="QUO49" s="952"/>
      <c r="QUP49" s="952"/>
      <c r="QUQ49" s="952"/>
      <c r="QUR49" s="952"/>
      <c r="QUS49" s="952"/>
      <c r="QUT49" s="952"/>
      <c r="QUU49" s="952"/>
      <c r="QUV49" s="952"/>
      <c r="QUW49" s="952"/>
      <c r="QUX49" s="952"/>
      <c r="QUY49" s="952"/>
      <c r="QUZ49" s="952"/>
      <c r="QVA49" s="952"/>
      <c r="QVB49" s="952"/>
      <c r="QVC49" s="952"/>
      <c r="QVD49" s="952"/>
      <c r="QVE49" s="952"/>
      <c r="QVF49" s="952"/>
      <c r="QVG49" s="952"/>
      <c r="QVH49" s="952"/>
      <c r="QVI49" s="952"/>
      <c r="QVJ49" s="952"/>
      <c r="QVK49" s="952"/>
      <c r="QVL49" s="952"/>
      <c r="QVM49" s="952"/>
      <c r="QVN49" s="952"/>
      <c r="QVO49" s="952"/>
      <c r="QVP49" s="952"/>
      <c r="QVQ49" s="952"/>
      <c r="QVR49" s="952"/>
      <c r="QVS49" s="952"/>
      <c r="QVT49" s="952"/>
      <c r="QVU49" s="952"/>
      <c r="QVV49" s="952"/>
      <c r="QVW49" s="952"/>
      <c r="QVX49" s="952"/>
      <c r="QVY49" s="952"/>
      <c r="QVZ49" s="952"/>
      <c r="QWA49" s="952"/>
      <c r="QWB49" s="952"/>
      <c r="QWC49" s="952"/>
      <c r="QWD49" s="952"/>
      <c r="QWE49" s="952"/>
      <c r="QWF49" s="952"/>
      <c r="QWG49" s="952"/>
      <c r="QWH49" s="952"/>
      <c r="QWI49" s="952"/>
      <c r="QWJ49" s="952"/>
      <c r="QWK49" s="952"/>
      <c r="QWL49" s="952"/>
      <c r="QWM49" s="952"/>
      <c r="QWN49" s="952"/>
      <c r="QWO49" s="952"/>
      <c r="QWP49" s="952"/>
      <c r="QWQ49" s="952"/>
      <c r="QWR49" s="952"/>
      <c r="QWS49" s="952"/>
      <c r="QWT49" s="952"/>
      <c r="QWU49" s="952"/>
      <c r="QWV49" s="952"/>
      <c r="QWW49" s="952"/>
      <c r="QWX49" s="952"/>
      <c r="QWY49" s="952"/>
      <c r="QWZ49" s="952"/>
      <c r="QXA49" s="952"/>
      <c r="QXB49" s="952"/>
      <c r="QXC49" s="952"/>
      <c r="QXD49" s="952"/>
      <c r="QXE49" s="952"/>
      <c r="QXF49" s="952"/>
      <c r="QXG49" s="952"/>
      <c r="QXH49" s="952"/>
      <c r="QXI49" s="952"/>
      <c r="QXJ49" s="952"/>
      <c r="QXK49" s="952"/>
      <c r="QXL49" s="952"/>
      <c r="QXM49" s="952"/>
      <c r="QXN49" s="952"/>
      <c r="QXO49" s="952"/>
      <c r="QXP49" s="952"/>
      <c r="QXQ49" s="952"/>
      <c r="QXR49" s="952"/>
      <c r="QXS49" s="952"/>
      <c r="QXT49" s="952"/>
      <c r="QXU49" s="952"/>
      <c r="QXV49" s="952"/>
      <c r="QXW49" s="952"/>
      <c r="QXX49" s="952"/>
      <c r="QXY49" s="952"/>
      <c r="QXZ49" s="952"/>
      <c r="QYA49" s="952"/>
      <c r="QYB49" s="952"/>
      <c r="QYC49" s="952"/>
      <c r="QYD49" s="952"/>
      <c r="QYE49" s="952"/>
      <c r="QYF49" s="952"/>
      <c r="QYG49" s="952"/>
      <c r="QYH49" s="952"/>
      <c r="QYI49" s="952"/>
      <c r="QYJ49" s="952"/>
      <c r="QYK49" s="952"/>
      <c r="QYL49" s="952"/>
      <c r="QYM49" s="952"/>
      <c r="QYN49" s="952"/>
      <c r="QYO49" s="952"/>
      <c r="QYP49" s="952"/>
      <c r="QYQ49" s="952"/>
      <c r="QYR49" s="952"/>
      <c r="QYS49" s="952"/>
      <c r="QYT49" s="952"/>
      <c r="QYU49" s="952"/>
      <c r="QYV49" s="952"/>
      <c r="QYW49" s="952"/>
      <c r="QYX49" s="952"/>
      <c r="QYY49" s="952"/>
      <c r="QYZ49" s="952"/>
      <c r="QZA49" s="952"/>
      <c r="QZB49" s="952"/>
      <c r="QZC49" s="952"/>
      <c r="QZD49" s="952"/>
      <c r="QZE49" s="952"/>
      <c r="QZF49" s="952"/>
      <c r="QZG49" s="952"/>
      <c r="QZH49" s="952"/>
      <c r="QZI49" s="952"/>
      <c r="QZJ49" s="952"/>
      <c r="QZK49" s="952"/>
      <c r="QZL49" s="952"/>
      <c r="QZM49" s="952"/>
      <c r="QZN49" s="952"/>
      <c r="QZO49" s="952"/>
      <c r="QZP49" s="952"/>
      <c r="QZQ49" s="952"/>
      <c r="QZR49" s="952"/>
      <c r="QZS49" s="952"/>
      <c r="QZT49" s="952"/>
      <c r="QZU49" s="952"/>
      <c r="QZV49" s="952"/>
      <c r="QZW49" s="952"/>
      <c r="QZX49" s="952"/>
      <c r="QZY49" s="952"/>
      <c r="QZZ49" s="952"/>
      <c r="RAA49" s="952"/>
      <c r="RAB49" s="952"/>
      <c r="RAC49" s="952"/>
      <c r="RAD49" s="952"/>
      <c r="RAE49" s="952"/>
      <c r="RAF49" s="952"/>
      <c r="RAG49" s="952"/>
      <c r="RAH49" s="952"/>
      <c r="RAI49" s="952"/>
      <c r="RAJ49" s="952"/>
      <c r="RAK49" s="952"/>
      <c r="RAL49" s="952"/>
      <c r="RAM49" s="952"/>
      <c r="RAN49" s="952"/>
      <c r="RAO49" s="952"/>
      <c r="RAP49" s="952"/>
      <c r="RAQ49" s="952"/>
      <c r="RAR49" s="952"/>
      <c r="RAS49" s="952"/>
      <c r="RAT49" s="952"/>
      <c r="RAU49" s="952"/>
      <c r="RAV49" s="952"/>
      <c r="RAW49" s="952"/>
      <c r="RAX49" s="952"/>
      <c r="RAY49" s="952"/>
      <c r="RAZ49" s="952"/>
      <c r="RBA49" s="952"/>
      <c r="RBB49" s="952"/>
      <c r="RBC49" s="952"/>
      <c r="RBD49" s="952"/>
      <c r="RBE49" s="952"/>
      <c r="RBF49" s="952"/>
      <c r="RBG49" s="952"/>
      <c r="RBH49" s="952"/>
      <c r="RBI49" s="952"/>
      <c r="RBJ49" s="952"/>
      <c r="RBK49" s="952"/>
      <c r="RBL49" s="952"/>
      <c r="RBM49" s="952"/>
      <c r="RBN49" s="952"/>
      <c r="RBO49" s="952"/>
      <c r="RBP49" s="952"/>
      <c r="RBQ49" s="952"/>
      <c r="RBR49" s="952"/>
      <c r="RBS49" s="952"/>
      <c r="RBT49" s="952"/>
      <c r="RBU49" s="952"/>
      <c r="RBV49" s="952"/>
      <c r="RBW49" s="952"/>
      <c r="RBX49" s="952"/>
      <c r="RBY49" s="952"/>
      <c r="RBZ49" s="952"/>
      <c r="RCA49" s="952"/>
      <c r="RCB49" s="952"/>
      <c r="RCC49" s="952"/>
      <c r="RCD49" s="952"/>
      <c r="RCE49" s="952"/>
      <c r="RCF49" s="952"/>
      <c r="RCG49" s="952"/>
      <c r="RCH49" s="952"/>
      <c r="RCI49" s="952"/>
      <c r="RCJ49" s="952"/>
      <c r="RCK49" s="952"/>
      <c r="RCL49" s="952"/>
      <c r="RCM49" s="952"/>
      <c r="RCN49" s="952"/>
      <c r="RCO49" s="952"/>
      <c r="RCP49" s="952"/>
      <c r="RCQ49" s="952"/>
      <c r="RCR49" s="952"/>
      <c r="RCS49" s="952"/>
      <c r="RCT49" s="952"/>
      <c r="RCU49" s="952"/>
      <c r="RCV49" s="952"/>
      <c r="RCW49" s="952"/>
      <c r="RCX49" s="952"/>
      <c r="RCY49" s="952"/>
      <c r="RCZ49" s="952"/>
      <c r="RDA49" s="952"/>
      <c r="RDB49" s="952"/>
      <c r="RDC49" s="952"/>
      <c r="RDD49" s="952"/>
      <c r="RDE49" s="952"/>
      <c r="RDF49" s="952"/>
      <c r="RDG49" s="952"/>
      <c r="RDH49" s="952"/>
      <c r="RDI49" s="952"/>
      <c r="RDJ49" s="952"/>
      <c r="RDK49" s="952"/>
      <c r="RDL49" s="952"/>
      <c r="RDM49" s="952"/>
      <c r="RDN49" s="952"/>
      <c r="RDO49" s="952"/>
      <c r="RDP49" s="952"/>
      <c r="RDQ49" s="952"/>
      <c r="RDR49" s="952"/>
      <c r="RDS49" s="952"/>
      <c r="RDT49" s="952"/>
      <c r="RDU49" s="952"/>
      <c r="RDV49" s="952"/>
      <c r="RDW49" s="952"/>
      <c r="RDX49" s="952"/>
      <c r="RDY49" s="952"/>
      <c r="RDZ49" s="952"/>
      <c r="REA49" s="952"/>
      <c r="REB49" s="952"/>
      <c r="REC49" s="952"/>
      <c r="RED49" s="952"/>
      <c r="REE49" s="952"/>
      <c r="REF49" s="952"/>
      <c r="REG49" s="952"/>
      <c r="REH49" s="952"/>
      <c r="REI49" s="952"/>
      <c r="REJ49" s="952"/>
      <c r="REK49" s="952"/>
      <c r="REL49" s="952"/>
      <c r="REM49" s="952"/>
      <c r="REN49" s="952"/>
      <c r="REO49" s="952"/>
      <c r="REP49" s="952"/>
      <c r="REQ49" s="952"/>
      <c r="RER49" s="952"/>
      <c r="RES49" s="952"/>
      <c r="RET49" s="952"/>
      <c r="REU49" s="952"/>
      <c r="REV49" s="952"/>
      <c r="REW49" s="952"/>
      <c r="REX49" s="952"/>
      <c r="REY49" s="952"/>
      <c r="REZ49" s="952"/>
      <c r="RFA49" s="952"/>
      <c r="RFB49" s="952"/>
      <c r="RFC49" s="952"/>
      <c r="RFD49" s="952"/>
      <c r="RFE49" s="952"/>
      <c r="RFF49" s="952"/>
      <c r="RFG49" s="952"/>
      <c r="RFH49" s="952"/>
      <c r="RFI49" s="952"/>
      <c r="RFJ49" s="952"/>
      <c r="RFK49" s="952"/>
      <c r="RFL49" s="952"/>
      <c r="RFM49" s="952"/>
      <c r="RFN49" s="952"/>
      <c r="RFO49" s="952"/>
      <c r="RFP49" s="952"/>
      <c r="RFQ49" s="952"/>
      <c r="RFR49" s="952"/>
      <c r="RFS49" s="952"/>
      <c r="RFT49" s="952"/>
      <c r="RFU49" s="952"/>
      <c r="RFV49" s="952"/>
      <c r="RFW49" s="952"/>
      <c r="RFX49" s="952"/>
      <c r="RFY49" s="952"/>
      <c r="RFZ49" s="952"/>
      <c r="RGA49" s="952"/>
      <c r="RGB49" s="952"/>
      <c r="RGC49" s="952"/>
      <c r="RGD49" s="952"/>
      <c r="RGE49" s="952"/>
      <c r="RGF49" s="952"/>
      <c r="RGG49" s="952"/>
      <c r="RGH49" s="952"/>
      <c r="RGI49" s="952"/>
      <c r="RGJ49" s="952"/>
      <c r="RGK49" s="952"/>
      <c r="RGL49" s="952"/>
      <c r="RGM49" s="952"/>
      <c r="RGN49" s="952"/>
      <c r="RGO49" s="952"/>
      <c r="RGP49" s="952"/>
      <c r="RGQ49" s="952"/>
      <c r="RGR49" s="952"/>
      <c r="RGS49" s="952"/>
      <c r="RGT49" s="952"/>
      <c r="RGU49" s="952"/>
      <c r="RGV49" s="952"/>
      <c r="RGW49" s="952"/>
      <c r="RGX49" s="952"/>
      <c r="RGY49" s="952"/>
      <c r="RGZ49" s="952"/>
      <c r="RHA49" s="952"/>
      <c r="RHB49" s="952"/>
      <c r="RHC49" s="952"/>
      <c r="RHD49" s="952"/>
      <c r="RHE49" s="952"/>
      <c r="RHF49" s="952"/>
      <c r="RHG49" s="952"/>
      <c r="RHH49" s="952"/>
      <c r="RHI49" s="952"/>
      <c r="RHJ49" s="952"/>
      <c r="RHK49" s="952"/>
      <c r="RHL49" s="952"/>
      <c r="RHM49" s="952"/>
      <c r="RHN49" s="952"/>
      <c r="RHO49" s="952"/>
      <c r="RHP49" s="952"/>
      <c r="RHQ49" s="952"/>
      <c r="RHR49" s="952"/>
      <c r="RHS49" s="952"/>
      <c r="RHT49" s="952"/>
      <c r="RHU49" s="952"/>
      <c r="RHV49" s="952"/>
      <c r="RHW49" s="952"/>
      <c r="RHX49" s="952"/>
      <c r="RHY49" s="952"/>
      <c r="RHZ49" s="952"/>
      <c r="RIA49" s="952"/>
      <c r="RIB49" s="952"/>
      <c r="RIC49" s="952"/>
      <c r="RID49" s="952"/>
      <c r="RIE49" s="952"/>
      <c r="RIF49" s="952"/>
      <c r="RIG49" s="952"/>
      <c r="RIH49" s="952"/>
      <c r="RII49" s="952"/>
      <c r="RIJ49" s="952"/>
      <c r="RIK49" s="952"/>
      <c r="RIL49" s="952"/>
      <c r="RIM49" s="952"/>
      <c r="RIN49" s="952"/>
      <c r="RIO49" s="952"/>
      <c r="RIP49" s="952"/>
      <c r="RIQ49" s="952"/>
      <c r="RIR49" s="952"/>
      <c r="RIS49" s="952"/>
      <c r="RIT49" s="952"/>
      <c r="RIU49" s="952"/>
      <c r="RIV49" s="952"/>
      <c r="RIW49" s="952"/>
      <c r="RIX49" s="952"/>
      <c r="RIY49" s="952"/>
      <c r="RIZ49" s="952"/>
      <c r="RJA49" s="952"/>
      <c r="RJB49" s="952"/>
      <c r="RJC49" s="952"/>
      <c r="RJD49" s="952"/>
      <c r="RJE49" s="952"/>
      <c r="RJF49" s="952"/>
      <c r="RJG49" s="952"/>
      <c r="RJH49" s="952"/>
      <c r="RJI49" s="952"/>
      <c r="RJJ49" s="952"/>
      <c r="RJK49" s="952"/>
      <c r="RJL49" s="952"/>
      <c r="RJM49" s="952"/>
      <c r="RJN49" s="952"/>
      <c r="RJO49" s="952"/>
      <c r="RJP49" s="952"/>
      <c r="RJQ49" s="952"/>
      <c r="RJR49" s="952"/>
      <c r="RJS49" s="952"/>
      <c r="RJT49" s="952"/>
      <c r="RJU49" s="952"/>
      <c r="RJV49" s="952"/>
      <c r="RJW49" s="952"/>
      <c r="RJX49" s="952"/>
      <c r="RJY49" s="952"/>
      <c r="RJZ49" s="952"/>
      <c r="RKA49" s="952"/>
      <c r="RKB49" s="952"/>
      <c r="RKC49" s="952"/>
      <c r="RKD49" s="952"/>
      <c r="RKE49" s="952"/>
      <c r="RKF49" s="952"/>
      <c r="RKG49" s="952"/>
      <c r="RKH49" s="952"/>
      <c r="RKI49" s="952"/>
      <c r="RKJ49" s="952"/>
      <c r="RKK49" s="952"/>
      <c r="RKL49" s="952"/>
      <c r="RKM49" s="952"/>
      <c r="RKN49" s="952"/>
      <c r="RKO49" s="952"/>
      <c r="RKP49" s="952"/>
      <c r="RKQ49" s="952"/>
      <c r="RKR49" s="952"/>
      <c r="RKS49" s="952"/>
      <c r="RKT49" s="952"/>
      <c r="RKU49" s="952"/>
      <c r="RKV49" s="952"/>
      <c r="RKW49" s="952"/>
      <c r="RKX49" s="952"/>
      <c r="RKY49" s="952"/>
      <c r="RKZ49" s="952"/>
      <c r="RLA49" s="952"/>
      <c r="RLB49" s="952"/>
      <c r="RLC49" s="952"/>
      <c r="RLD49" s="952"/>
      <c r="RLE49" s="952"/>
      <c r="RLF49" s="952"/>
      <c r="RLG49" s="952"/>
      <c r="RLH49" s="952"/>
      <c r="RLI49" s="952"/>
      <c r="RLJ49" s="952"/>
      <c r="RLK49" s="952"/>
      <c r="RLL49" s="952"/>
      <c r="RLM49" s="952"/>
      <c r="RLN49" s="952"/>
      <c r="RLO49" s="952"/>
      <c r="RLP49" s="952"/>
      <c r="RLQ49" s="952"/>
      <c r="RLR49" s="952"/>
      <c r="RLS49" s="952"/>
      <c r="RLT49" s="952"/>
      <c r="RLU49" s="952"/>
      <c r="RLV49" s="952"/>
      <c r="RLW49" s="952"/>
      <c r="RLX49" s="952"/>
      <c r="RLY49" s="952"/>
      <c r="RLZ49" s="952"/>
      <c r="RMA49" s="952"/>
      <c r="RMB49" s="952"/>
      <c r="RMC49" s="952"/>
      <c r="RMD49" s="952"/>
      <c r="RME49" s="952"/>
      <c r="RMF49" s="952"/>
      <c r="RMG49" s="952"/>
      <c r="RMH49" s="952"/>
      <c r="RMI49" s="952"/>
      <c r="RMJ49" s="952"/>
      <c r="RMK49" s="952"/>
      <c r="RML49" s="952"/>
      <c r="RMM49" s="952"/>
      <c r="RMN49" s="952"/>
      <c r="RMO49" s="952"/>
      <c r="RMP49" s="952"/>
      <c r="RMQ49" s="952"/>
      <c r="RMR49" s="952"/>
      <c r="RMS49" s="952"/>
      <c r="RMT49" s="952"/>
      <c r="RMU49" s="952"/>
      <c r="RMV49" s="952"/>
      <c r="RMW49" s="952"/>
      <c r="RMX49" s="952"/>
      <c r="RMY49" s="952"/>
      <c r="RMZ49" s="952"/>
      <c r="RNA49" s="952"/>
      <c r="RNB49" s="952"/>
      <c r="RNC49" s="952"/>
      <c r="RND49" s="952"/>
      <c r="RNE49" s="952"/>
      <c r="RNF49" s="952"/>
      <c r="RNG49" s="952"/>
      <c r="RNH49" s="952"/>
      <c r="RNI49" s="952"/>
      <c r="RNJ49" s="952"/>
      <c r="RNK49" s="952"/>
      <c r="RNL49" s="952"/>
      <c r="RNM49" s="952"/>
      <c r="RNN49" s="952"/>
      <c r="RNO49" s="952"/>
      <c r="RNP49" s="952"/>
      <c r="RNQ49" s="952"/>
      <c r="RNR49" s="952"/>
      <c r="RNS49" s="952"/>
      <c r="RNT49" s="952"/>
      <c r="RNU49" s="952"/>
      <c r="RNV49" s="952"/>
      <c r="RNW49" s="952"/>
      <c r="RNX49" s="952"/>
      <c r="RNY49" s="952"/>
      <c r="RNZ49" s="952"/>
      <c r="ROA49" s="952"/>
      <c r="ROB49" s="952"/>
      <c r="ROC49" s="952"/>
      <c r="ROD49" s="952"/>
      <c r="ROE49" s="952"/>
      <c r="ROF49" s="952"/>
      <c r="ROG49" s="952"/>
      <c r="ROH49" s="952"/>
      <c r="ROI49" s="952"/>
      <c r="ROJ49" s="952"/>
      <c r="ROK49" s="952"/>
      <c r="ROL49" s="952"/>
      <c r="ROM49" s="952"/>
      <c r="RON49" s="952"/>
      <c r="ROO49" s="952"/>
      <c r="ROP49" s="952"/>
      <c r="ROQ49" s="952"/>
      <c r="ROR49" s="952"/>
      <c r="ROS49" s="952"/>
      <c r="ROT49" s="952"/>
      <c r="ROU49" s="952"/>
      <c r="ROV49" s="952"/>
      <c r="ROW49" s="952"/>
      <c r="ROX49" s="952"/>
      <c r="ROY49" s="952"/>
      <c r="ROZ49" s="952"/>
      <c r="RPA49" s="952"/>
      <c r="RPB49" s="952"/>
      <c r="RPC49" s="952"/>
      <c r="RPD49" s="952"/>
      <c r="RPE49" s="952"/>
      <c r="RPF49" s="952"/>
      <c r="RPG49" s="952"/>
      <c r="RPH49" s="952"/>
      <c r="RPI49" s="952"/>
      <c r="RPJ49" s="952"/>
      <c r="RPK49" s="952"/>
      <c r="RPL49" s="952"/>
      <c r="RPM49" s="952"/>
      <c r="RPN49" s="952"/>
      <c r="RPO49" s="952"/>
      <c r="RPP49" s="952"/>
      <c r="RPQ49" s="952"/>
      <c r="RPR49" s="952"/>
      <c r="RPS49" s="952"/>
      <c r="RPT49" s="952"/>
      <c r="RPU49" s="952"/>
      <c r="RPV49" s="952"/>
      <c r="RPW49" s="952"/>
      <c r="RPX49" s="952"/>
      <c r="RPY49" s="952"/>
      <c r="RPZ49" s="952"/>
      <c r="RQA49" s="952"/>
      <c r="RQB49" s="952"/>
      <c r="RQC49" s="952"/>
      <c r="RQD49" s="952"/>
      <c r="RQE49" s="952"/>
      <c r="RQF49" s="952"/>
      <c r="RQG49" s="952"/>
      <c r="RQH49" s="952"/>
      <c r="RQI49" s="952"/>
      <c r="RQJ49" s="952"/>
      <c r="RQK49" s="952"/>
      <c r="RQL49" s="952"/>
      <c r="RQM49" s="952"/>
      <c r="RQN49" s="952"/>
      <c r="RQO49" s="952"/>
      <c r="RQP49" s="952"/>
      <c r="RQQ49" s="952"/>
      <c r="RQR49" s="952"/>
      <c r="RQS49" s="952"/>
      <c r="RQT49" s="952"/>
      <c r="RQU49" s="952"/>
      <c r="RQV49" s="952"/>
      <c r="RQW49" s="952"/>
      <c r="RQX49" s="952"/>
      <c r="RQY49" s="952"/>
      <c r="RQZ49" s="952"/>
      <c r="RRA49" s="952"/>
      <c r="RRB49" s="952"/>
      <c r="RRC49" s="952"/>
      <c r="RRD49" s="952"/>
      <c r="RRE49" s="952"/>
      <c r="RRF49" s="952"/>
      <c r="RRG49" s="952"/>
      <c r="RRH49" s="952"/>
      <c r="RRI49" s="952"/>
      <c r="RRJ49" s="952"/>
      <c r="RRK49" s="952"/>
      <c r="RRL49" s="952"/>
      <c r="RRM49" s="952"/>
      <c r="RRN49" s="952"/>
      <c r="RRO49" s="952"/>
      <c r="RRP49" s="952"/>
      <c r="RRQ49" s="952"/>
      <c r="RRR49" s="952"/>
      <c r="RRS49" s="952"/>
      <c r="RRT49" s="952"/>
      <c r="RRU49" s="952"/>
      <c r="RRV49" s="952"/>
      <c r="RRW49" s="952"/>
      <c r="RRX49" s="952"/>
      <c r="RRY49" s="952"/>
      <c r="RRZ49" s="952"/>
      <c r="RSA49" s="952"/>
      <c r="RSB49" s="952"/>
      <c r="RSC49" s="952"/>
      <c r="RSD49" s="952"/>
      <c r="RSE49" s="952"/>
      <c r="RSF49" s="952"/>
      <c r="RSG49" s="952"/>
      <c r="RSH49" s="952"/>
      <c r="RSI49" s="952"/>
      <c r="RSJ49" s="952"/>
      <c r="RSK49" s="952"/>
      <c r="RSL49" s="952"/>
      <c r="RSM49" s="952"/>
      <c r="RSN49" s="952"/>
      <c r="RSO49" s="952"/>
      <c r="RSP49" s="952"/>
      <c r="RSQ49" s="952"/>
      <c r="RSR49" s="952"/>
      <c r="RSS49" s="952"/>
      <c r="RST49" s="952"/>
      <c r="RSU49" s="952"/>
      <c r="RSV49" s="952"/>
      <c r="RSW49" s="952"/>
      <c r="RSX49" s="952"/>
      <c r="RSY49" s="952"/>
      <c r="RSZ49" s="952"/>
      <c r="RTA49" s="952"/>
      <c r="RTB49" s="952"/>
      <c r="RTC49" s="952"/>
      <c r="RTD49" s="952"/>
      <c r="RTE49" s="952"/>
      <c r="RTF49" s="952"/>
      <c r="RTG49" s="952"/>
      <c r="RTH49" s="952"/>
      <c r="RTI49" s="952"/>
      <c r="RTJ49" s="952"/>
      <c r="RTK49" s="952"/>
      <c r="RTL49" s="952"/>
      <c r="RTM49" s="952"/>
      <c r="RTN49" s="952"/>
      <c r="RTO49" s="952"/>
      <c r="RTP49" s="952"/>
      <c r="RTQ49" s="952"/>
      <c r="RTR49" s="952"/>
      <c r="RTS49" s="952"/>
      <c r="RTT49" s="952"/>
      <c r="RTU49" s="952"/>
      <c r="RTV49" s="952"/>
      <c r="RTW49" s="952"/>
      <c r="RTX49" s="952"/>
      <c r="RTY49" s="952"/>
      <c r="RTZ49" s="952"/>
      <c r="RUA49" s="952"/>
      <c r="RUB49" s="952"/>
      <c r="RUC49" s="952"/>
      <c r="RUD49" s="952"/>
      <c r="RUE49" s="952"/>
      <c r="RUF49" s="952"/>
      <c r="RUG49" s="952"/>
      <c r="RUH49" s="952"/>
      <c r="RUI49" s="952"/>
      <c r="RUJ49" s="952"/>
      <c r="RUK49" s="952"/>
      <c r="RUL49" s="952"/>
      <c r="RUM49" s="952"/>
      <c r="RUN49" s="952"/>
      <c r="RUO49" s="952"/>
      <c r="RUP49" s="952"/>
      <c r="RUQ49" s="952"/>
      <c r="RUR49" s="952"/>
      <c r="RUS49" s="952"/>
      <c r="RUT49" s="952"/>
      <c r="RUU49" s="952"/>
      <c r="RUV49" s="952"/>
      <c r="RUW49" s="952"/>
      <c r="RUX49" s="952"/>
      <c r="RUY49" s="952"/>
      <c r="RUZ49" s="952"/>
      <c r="RVA49" s="952"/>
      <c r="RVB49" s="952"/>
      <c r="RVC49" s="952"/>
      <c r="RVD49" s="952"/>
      <c r="RVE49" s="952"/>
      <c r="RVF49" s="952"/>
      <c r="RVG49" s="952"/>
      <c r="RVH49" s="952"/>
      <c r="RVI49" s="952"/>
      <c r="RVJ49" s="952"/>
      <c r="RVK49" s="952"/>
      <c r="RVL49" s="952"/>
      <c r="RVM49" s="952"/>
      <c r="RVN49" s="952"/>
      <c r="RVO49" s="952"/>
      <c r="RVP49" s="952"/>
      <c r="RVQ49" s="952"/>
      <c r="RVR49" s="952"/>
      <c r="RVS49" s="952"/>
      <c r="RVT49" s="952"/>
      <c r="RVU49" s="952"/>
      <c r="RVV49" s="952"/>
      <c r="RVW49" s="952"/>
      <c r="RVX49" s="952"/>
      <c r="RVY49" s="952"/>
      <c r="RVZ49" s="952"/>
      <c r="RWA49" s="952"/>
      <c r="RWB49" s="952"/>
      <c r="RWC49" s="952"/>
      <c r="RWD49" s="952"/>
      <c r="RWE49" s="952"/>
      <c r="RWF49" s="952"/>
      <c r="RWG49" s="952"/>
      <c r="RWH49" s="952"/>
      <c r="RWI49" s="952"/>
      <c r="RWJ49" s="952"/>
      <c r="RWK49" s="952"/>
      <c r="RWL49" s="952"/>
      <c r="RWM49" s="952"/>
      <c r="RWN49" s="952"/>
      <c r="RWO49" s="952"/>
      <c r="RWP49" s="952"/>
      <c r="RWQ49" s="952"/>
      <c r="RWR49" s="952"/>
      <c r="RWS49" s="952"/>
      <c r="RWT49" s="952"/>
      <c r="RWU49" s="952"/>
      <c r="RWV49" s="952"/>
      <c r="RWW49" s="952"/>
      <c r="RWX49" s="952"/>
      <c r="RWY49" s="952"/>
      <c r="RWZ49" s="952"/>
      <c r="RXA49" s="952"/>
      <c r="RXB49" s="952"/>
      <c r="RXC49" s="952"/>
      <c r="RXD49" s="952"/>
      <c r="RXE49" s="952"/>
      <c r="RXF49" s="952"/>
      <c r="RXG49" s="952"/>
      <c r="RXH49" s="952"/>
      <c r="RXI49" s="952"/>
      <c r="RXJ49" s="952"/>
      <c r="RXK49" s="952"/>
      <c r="RXL49" s="952"/>
      <c r="RXM49" s="952"/>
      <c r="RXN49" s="952"/>
      <c r="RXO49" s="952"/>
      <c r="RXP49" s="952"/>
      <c r="RXQ49" s="952"/>
      <c r="RXR49" s="952"/>
      <c r="RXS49" s="952"/>
      <c r="RXT49" s="952"/>
      <c r="RXU49" s="952"/>
      <c r="RXV49" s="952"/>
      <c r="RXW49" s="952"/>
      <c r="RXX49" s="952"/>
      <c r="RXY49" s="952"/>
      <c r="RXZ49" s="952"/>
      <c r="RYA49" s="952"/>
      <c r="RYB49" s="952"/>
      <c r="RYC49" s="952"/>
      <c r="RYD49" s="952"/>
      <c r="RYE49" s="952"/>
      <c r="RYF49" s="952"/>
      <c r="RYG49" s="952"/>
      <c r="RYH49" s="952"/>
      <c r="RYI49" s="952"/>
      <c r="RYJ49" s="952"/>
      <c r="RYK49" s="952"/>
      <c r="RYL49" s="952"/>
      <c r="RYM49" s="952"/>
      <c r="RYN49" s="952"/>
      <c r="RYO49" s="952"/>
      <c r="RYP49" s="952"/>
      <c r="RYQ49" s="952"/>
      <c r="RYR49" s="952"/>
      <c r="RYS49" s="952"/>
      <c r="RYT49" s="952"/>
      <c r="RYU49" s="952"/>
      <c r="RYV49" s="952"/>
      <c r="RYW49" s="952"/>
      <c r="RYX49" s="952"/>
      <c r="RYY49" s="952"/>
      <c r="RYZ49" s="952"/>
      <c r="RZA49" s="952"/>
      <c r="RZB49" s="952"/>
      <c r="RZC49" s="952"/>
      <c r="RZD49" s="952"/>
      <c r="RZE49" s="952"/>
      <c r="RZF49" s="952"/>
      <c r="RZG49" s="952"/>
      <c r="RZH49" s="952"/>
      <c r="RZI49" s="952"/>
      <c r="RZJ49" s="952"/>
      <c r="RZK49" s="952"/>
      <c r="RZL49" s="952"/>
      <c r="RZM49" s="952"/>
      <c r="RZN49" s="952"/>
      <c r="RZO49" s="952"/>
      <c r="RZP49" s="952"/>
      <c r="RZQ49" s="952"/>
      <c r="RZR49" s="952"/>
      <c r="RZS49" s="952"/>
      <c r="RZT49" s="952"/>
      <c r="RZU49" s="952"/>
      <c r="RZV49" s="952"/>
      <c r="RZW49" s="952"/>
      <c r="RZX49" s="952"/>
      <c r="RZY49" s="952"/>
      <c r="RZZ49" s="952"/>
      <c r="SAA49" s="952"/>
      <c r="SAB49" s="952"/>
      <c r="SAC49" s="952"/>
      <c r="SAD49" s="952"/>
      <c r="SAE49" s="952"/>
      <c r="SAF49" s="952"/>
      <c r="SAG49" s="952"/>
      <c r="SAH49" s="952"/>
      <c r="SAI49" s="952"/>
      <c r="SAJ49" s="952"/>
      <c r="SAK49" s="952"/>
      <c r="SAL49" s="952"/>
      <c r="SAM49" s="952"/>
      <c r="SAN49" s="952"/>
      <c r="SAO49" s="952"/>
      <c r="SAP49" s="952"/>
      <c r="SAQ49" s="952"/>
      <c r="SAR49" s="952"/>
      <c r="SAS49" s="952"/>
      <c r="SAT49" s="952"/>
      <c r="SAU49" s="952"/>
      <c r="SAV49" s="952"/>
      <c r="SAW49" s="952"/>
      <c r="SAX49" s="952"/>
      <c r="SAY49" s="952"/>
      <c r="SAZ49" s="952"/>
      <c r="SBA49" s="952"/>
      <c r="SBB49" s="952"/>
      <c r="SBC49" s="952"/>
      <c r="SBD49" s="952"/>
      <c r="SBE49" s="952"/>
      <c r="SBF49" s="952"/>
      <c r="SBG49" s="952"/>
      <c r="SBH49" s="952"/>
      <c r="SBI49" s="952"/>
      <c r="SBJ49" s="952"/>
      <c r="SBK49" s="952"/>
      <c r="SBL49" s="952"/>
      <c r="SBM49" s="952"/>
      <c r="SBN49" s="952"/>
      <c r="SBO49" s="952"/>
      <c r="SBP49" s="952"/>
      <c r="SBQ49" s="952"/>
      <c r="SBR49" s="952"/>
      <c r="SBS49" s="952"/>
      <c r="SBT49" s="952"/>
      <c r="SBU49" s="952"/>
      <c r="SBV49" s="952"/>
      <c r="SBW49" s="952"/>
      <c r="SBX49" s="952"/>
      <c r="SBY49" s="952"/>
      <c r="SBZ49" s="952"/>
      <c r="SCA49" s="952"/>
      <c r="SCB49" s="952"/>
      <c r="SCC49" s="952"/>
      <c r="SCD49" s="952"/>
      <c r="SCE49" s="952"/>
      <c r="SCF49" s="952"/>
      <c r="SCG49" s="952"/>
      <c r="SCH49" s="952"/>
      <c r="SCI49" s="952"/>
      <c r="SCJ49" s="952"/>
      <c r="SCK49" s="952"/>
      <c r="SCL49" s="952"/>
      <c r="SCM49" s="952"/>
      <c r="SCN49" s="952"/>
      <c r="SCO49" s="952"/>
      <c r="SCP49" s="952"/>
      <c r="SCQ49" s="952"/>
      <c r="SCR49" s="952"/>
      <c r="SCS49" s="952"/>
      <c r="SCT49" s="952"/>
      <c r="SCU49" s="952"/>
      <c r="SCV49" s="952"/>
      <c r="SCW49" s="952"/>
      <c r="SCX49" s="952"/>
      <c r="SCY49" s="952"/>
      <c r="SCZ49" s="952"/>
      <c r="SDA49" s="952"/>
      <c r="SDB49" s="952"/>
      <c r="SDC49" s="952"/>
      <c r="SDD49" s="952"/>
      <c r="SDE49" s="952"/>
      <c r="SDF49" s="952"/>
      <c r="SDG49" s="952"/>
      <c r="SDH49" s="952"/>
      <c r="SDI49" s="952"/>
      <c r="SDJ49" s="952"/>
      <c r="SDK49" s="952"/>
      <c r="SDL49" s="952"/>
      <c r="SDM49" s="952"/>
      <c r="SDN49" s="952"/>
      <c r="SDO49" s="952"/>
      <c r="SDP49" s="952"/>
      <c r="SDQ49" s="952"/>
      <c r="SDR49" s="952"/>
      <c r="SDS49" s="952"/>
      <c r="SDT49" s="952"/>
      <c r="SDU49" s="952"/>
      <c r="SDV49" s="952"/>
      <c r="SDW49" s="952"/>
      <c r="SDX49" s="952"/>
      <c r="SDY49" s="952"/>
      <c r="SDZ49" s="952"/>
      <c r="SEA49" s="952"/>
      <c r="SEB49" s="952"/>
      <c r="SEC49" s="952"/>
      <c r="SED49" s="952"/>
      <c r="SEE49" s="952"/>
      <c r="SEF49" s="952"/>
      <c r="SEG49" s="952"/>
      <c r="SEH49" s="952"/>
      <c r="SEI49" s="952"/>
      <c r="SEJ49" s="952"/>
      <c r="SEK49" s="952"/>
      <c r="SEL49" s="952"/>
      <c r="SEM49" s="952"/>
      <c r="SEN49" s="952"/>
      <c r="SEO49" s="952"/>
      <c r="SEP49" s="952"/>
      <c r="SEQ49" s="952"/>
      <c r="SER49" s="952"/>
      <c r="SES49" s="952"/>
      <c r="SET49" s="952"/>
      <c r="SEU49" s="952"/>
      <c r="SEV49" s="952"/>
      <c r="SEW49" s="952"/>
      <c r="SEX49" s="952"/>
      <c r="SEY49" s="952"/>
      <c r="SEZ49" s="952"/>
      <c r="SFA49" s="952"/>
      <c r="SFB49" s="952"/>
      <c r="SFC49" s="952"/>
      <c r="SFD49" s="952"/>
      <c r="SFE49" s="952"/>
      <c r="SFF49" s="952"/>
      <c r="SFG49" s="952"/>
      <c r="SFH49" s="952"/>
      <c r="SFI49" s="952"/>
      <c r="SFJ49" s="952"/>
      <c r="SFK49" s="952"/>
      <c r="SFL49" s="952"/>
      <c r="SFM49" s="952"/>
      <c r="SFN49" s="952"/>
      <c r="SFO49" s="952"/>
      <c r="SFP49" s="952"/>
      <c r="SFQ49" s="952"/>
      <c r="SFR49" s="952"/>
      <c r="SFS49" s="952"/>
      <c r="SFT49" s="952"/>
      <c r="SFU49" s="952"/>
      <c r="SFV49" s="952"/>
      <c r="SFW49" s="952"/>
      <c r="SFX49" s="952"/>
      <c r="SFY49" s="952"/>
      <c r="SFZ49" s="952"/>
      <c r="SGA49" s="952"/>
      <c r="SGB49" s="952"/>
      <c r="SGC49" s="952"/>
      <c r="SGD49" s="952"/>
      <c r="SGE49" s="952"/>
      <c r="SGF49" s="952"/>
      <c r="SGG49" s="952"/>
      <c r="SGH49" s="952"/>
      <c r="SGI49" s="952"/>
      <c r="SGJ49" s="952"/>
      <c r="SGK49" s="952"/>
      <c r="SGL49" s="952"/>
      <c r="SGM49" s="952"/>
      <c r="SGN49" s="952"/>
      <c r="SGO49" s="952"/>
      <c r="SGP49" s="952"/>
      <c r="SGQ49" s="952"/>
      <c r="SGR49" s="952"/>
      <c r="SGS49" s="952"/>
      <c r="SGT49" s="952"/>
      <c r="SGU49" s="952"/>
      <c r="SGV49" s="952"/>
      <c r="SGW49" s="952"/>
      <c r="SGX49" s="952"/>
      <c r="SGY49" s="952"/>
      <c r="SGZ49" s="952"/>
      <c r="SHA49" s="952"/>
      <c r="SHB49" s="952"/>
      <c r="SHC49" s="952"/>
      <c r="SHD49" s="952"/>
      <c r="SHE49" s="952"/>
      <c r="SHF49" s="952"/>
      <c r="SHG49" s="952"/>
      <c r="SHH49" s="952"/>
      <c r="SHI49" s="952"/>
      <c r="SHJ49" s="952"/>
      <c r="SHK49" s="952"/>
      <c r="SHL49" s="952"/>
      <c r="SHM49" s="952"/>
      <c r="SHN49" s="952"/>
      <c r="SHO49" s="952"/>
      <c r="SHP49" s="952"/>
      <c r="SHQ49" s="952"/>
      <c r="SHR49" s="952"/>
      <c r="SHS49" s="952"/>
      <c r="SHT49" s="952"/>
      <c r="SHU49" s="952"/>
      <c r="SHV49" s="952"/>
      <c r="SHW49" s="952"/>
      <c r="SHX49" s="952"/>
      <c r="SHY49" s="952"/>
      <c r="SHZ49" s="952"/>
      <c r="SIA49" s="952"/>
      <c r="SIB49" s="952"/>
      <c r="SIC49" s="952"/>
      <c r="SID49" s="952"/>
      <c r="SIE49" s="952"/>
      <c r="SIF49" s="952"/>
      <c r="SIG49" s="952"/>
      <c r="SIH49" s="952"/>
      <c r="SII49" s="952"/>
      <c r="SIJ49" s="952"/>
      <c r="SIK49" s="952"/>
      <c r="SIL49" s="952"/>
      <c r="SIM49" s="952"/>
      <c r="SIN49" s="952"/>
      <c r="SIO49" s="952"/>
      <c r="SIP49" s="952"/>
      <c r="SIQ49" s="952"/>
      <c r="SIR49" s="952"/>
      <c r="SIS49" s="952"/>
      <c r="SIT49" s="952"/>
      <c r="SIU49" s="952"/>
      <c r="SIV49" s="952"/>
      <c r="SIW49" s="952"/>
      <c r="SIX49" s="952"/>
      <c r="SIY49" s="952"/>
      <c r="SIZ49" s="952"/>
      <c r="SJA49" s="952"/>
      <c r="SJB49" s="952"/>
      <c r="SJC49" s="952"/>
      <c r="SJD49" s="952"/>
      <c r="SJE49" s="952"/>
      <c r="SJF49" s="952"/>
      <c r="SJG49" s="952"/>
      <c r="SJH49" s="952"/>
      <c r="SJI49" s="952"/>
      <c r="SJJ49" s="952"/>
      <c r="SJK49" s="952"/>
      <c r="SJL49" s="952"/>
      <c r="SJM49" s="952"/>
      <c r="SJN49" s="952"/>
      <c r="SJO49" s="952"/>
      <c r="SJP49" s="952"/>
      <c r="SJQ49" s="952"/>
      <c r="SJR49" s="952"/>
      <c r="SJS49" s="952"/>
      <c r="SJT49" s="952"/>
      <c r="SJU49" s="952"/>
      <c r="SJV49" s="952"/>
      <c r="SJW49" s="952"/>
      <c r="SJX49" s="952"/>
      <c r="SJY49" s="952"/>
      <c r="SJZ49" s="952"/>
      <c r="SKA49" s="952"/>
      <c r="SKB49" s="952"/>
      <c r="SKC49" s="952"/>
      <c r="SKD49" s="952"/>
      <c r="SKE49" s="952"/>
      <c r="SKF49" s="952"/>
      <c r="SKG49" s="952"/>
      <c r="SKH49" s="952"/>
      <c r="SKI49" s="952"/>
      <c r="SKJ49" s="952"/>
      <c r="SKK49" s="952"/>
      <c r="SKL49" s="952"/>
      <c r="SKM49" s="952"/>
      <c r="SKN49" s="952"/>
      <c r="SKO49" s="952"/>
      <c r="SKP49" s="952"/>
      <c r="SKQ49" s="952"/>
      <c r="SKR49" s="952"/>
      <c r="SKS49" s="952"/>
      <c r="SKT49" s="952"/>
      <c r="SKU49" s="952"/>
      <c r="SKV49" s="952"/>
      <c r="SKW49" s="952"/>
      <c r="SKX49" s="952"/>
      <c r="SKY49" s="952"/>
      <c r="SKZ49" s="952"/>
      <c r="SLA49" s="952"/>
      <c r="SLB49" s="952"/>
      <c r="SLC49" s="952"/>
      <c r="SLD49" s="952"/>
      <c r="SLE49" s="952"/>
      <c r="SLF49" s="952"/>
      <c r="SLG49" s="952"/>
      <c r="SLH49" s="952"/>
      <c r="SLI49" s="952"/>
      <c r="SLJ49" s="952"/>
      <c r="SLK49" s="952"/>
      <c r="SLL49" s="952"/>
      <c r="SLM49" s="952"/>
      <c r="SLN49" s="952"/>
      <c r="SLO49" s="952"/>
      <c r="SLP49" s="952"/>
      <c r="SLQ49" s="952"/>
      <c r="SLR49" s="952"/>
      <c r="SLS49" s="952"/>
      <c r="SLT49" s="952"/>
      <c r="SLU49" s="952"/>
      <c r="SLV49" s="952"/>
      <c r="SLW49" s="952"/>
      <c r="SLX49" s="952"/>
      <c r="SLY49" s="952"/>
      <c r="SLZ49" s="952"/>
      <c r="SMA49" s="952"/>
      <c r="SMB49" s="952"/>
      <c r="SMC49" s="952"/>
      <c r="SMD49" s="952"/>
      <c r="SME49" s="952"/>
      <c r="SMF49" s="952"/>
      <c r="SMG49" s="952"/>
      <c r="SMH49" s="952"/>
      <c r="SMI49" s="952"/>
      <c r="SMJ49" s="952"/>
      <c r="SMK49" s="952"/>
      <c r="SML49" s="952"/>
      <c r="SMM49" s="952"/>
      <c r="SMN49" s="952"/>
      <c r="SMO49" s="952"/>
      <c r="SMP49" s="952"/>
      <c r="SMQ49" s="952"/>
      <c r="SMR49" s="952"/>
      <c r="SMS49" s="952"/>
      <c r="SMT49" s="952"/>
      <c r="SMU49" s="952"/>
      <c r="SMV49" s="952"/>
      <c r="SMW49" s="952"/>
      <c r="SMX49" s="952"/>
      <c r="SMY49" s="952"/>
      <c r="SMZ49" s="952"/>
      <c r="SNA49" s="952"/>
      <c r="SNB49" s="952"/>
      <c r="SNC49" s="952"/>
      <c r="SND49" s="952"/>
      <c r="SNE49" s="952"/>
      <c r="SNF49" s="952"/>
      <c r="SNG49" s="952"/>
      <c r="SNH49" s="952"/>
      <c r="SNI49" s="952"/>
      <c r="SNJ49" s="952"/>
      <c r="SNK49" s="952"/>
      <c r="SNL49" s="952"/>
      <c r="SNM49" s="952"/>
      <c r="SNN49" s="952"/>
      <c r="SNO49" s="952"/>
      <c r="SNP49" s="952"/>
      <c r="SNQ49" s="952"/>
      <c r="SNR49" s="952"/>
      <c r="SNS49" s="952"/>
      <c r="SNT49" s="952"/>
      <c r="SNU49" s="952"/>
      <c r="SNV49" s="952"/>
      <c r="SNW49" s="952"/>
      <c r="SNX49" s="952"/>
      <c r="SNY49" s="952"/>
      <c r="SNZ49" s="952"/>
      <c r="SOA49" s="952"/>
      <c r="SOB49" s="952"/>
      <c r="SOC49" s="952"/>
      <c r="SOD49" s="952"/>
      <c r="SOE49" s="952"/>
      <c r="SOF49" s="952"/>
      <c r="SOG49" s="952"/>
      <c r="SOH49" s="952"/>
      <c r="SOI49" s="952"/>
      <c r="SOJ49" s="952"/>
      <c r="SOK49" s="952"/>
      <c r="SOL49" s="952"/>
      <c r="SOM49" s="952"/>
      <c r="SON49" s="952"/>
      <c r="SOO49" s="952"/>
      <c r="SOP49" s="952"/>
      <c r="SOQ49" s="952"/>
      <c r="SOR49" s="952"/>
      <c r="SOS49" s="952"/>
      <c r="SOT49" s="952"/>
      <c r="SOU49" s="952"/>
      <c r="SOV49" s="952"/>
      <c r="SOW49" s="952"/>
      <c r="SOX49" s="952"/>
      <c r="SOY49" s="952"/>
      <c r="SOZ49" s="952"/>
      <c r="SPA49" s="952"/>
      <c r="SPB49" s="952"/>
      <c r="SPC49" s="952"/>
      <c r="SPD49" s="952"/>
      <c r="SPE49" s="952"/>
      <c r="SPF49" s="952"/>
      <c r="SPG49" s="952"/>
      <c r="SPH49" s="952"/>
      <c r="SPI49" s="952"/>
      <c r="SPJ49" s="952"/>
      <c r="SPK49" s="952"/>
      <c r="SPL49" s="952"/>
      <c r="SPM49" s="952"/>
      <c r="SPN49" s="952"/>
      <c r="SPO49" s="952"/>
      <c r="SPP49" s="952"/>
      <c r="SPQ49" s="952"/>
      <c r="SPR49" s="952"/>
      <c r="SPS49" s="952"/>
      <c r="SPT49" s="952"/>
      <c r="SPU49" s="952"/>
      <c r="SPV49" s="952"/>
      <c r="SPW49" s="952"/>
      <c r="SPX49" s="952"/>
      <c r="SPY49" s="952"/>
      <c r="SPZ49" s="952"/>
      <c r="SQA49" s="952"/>
      <c r="SQB49" s="952"/>
      <c r="SQC49" s="952"/>
      <c r="SQD49" s="952"/>
      <c r="SQE49" s="952"/>
      <c r="SQF49" s="952"/>
      <c r="SQG49" s="952"/>
      <c r="SQH49" s="952"/>
      <c r="SQI49" s="952"/>
      <c r="SQJ49" s="952"/>
      <c r="SQK49" s="952"/>
      <c r="SQL49" s="952"/>
      <c r="SQM49" s="952"/>
      <c r="SQN49" s="952"/>
      <c r="SQO49" s="952"/>
      <c r="SQP49" s="952"/>
      <c r="SQQ49" s="952"/>
      <c r="SQR49" s="952"/>
      <c r="SQS49" s="952"/>
      <c r="SQT49" s="952"/>
      <c r="SQU49" s="952"/>
      <c r="SQV49" s="952"/>
      <c r="SQW49" s="952"/>
      <c r="SQX49" s="952"/>
      <c r="SQY49" s="952"/>
      <c r="SQZ49" s="952"/>
      <c r="SRA49" s="952"/>
      <c r="SRB49" s="952"/>
      <c r="SRC49" s="952"/>
      <c r="SRD49" s="952"/>
      <c r="SRE49" s="952"/>
      <c r="SRF49" s="952"/>
      <c r="SRG49" s="952"/>
      <c r="SRH49" s="952"/>
      <c r="SRI49" s="952"/>
      <c r="SRJ49" s="952"/>
      <c r="SRK49" s="952"/>
      <c r="SRL49" s="952"/>
      <c r="SRM49" s="952"/>
      <c r="SRN49" s="952"/>
      <c r="SRO49" s="952"/>
      <c r="SRP49" s="952"/>
      <c r="SRQ49" s="952"/>
      <c r="SRR49" s="952"/>
      <c r="SRS49" s="952"/>
      <c r="SRT49" s="952"/>
      <c r="SRU49" s="952"/>
      <c r="SRV49" s="952"/>
      <c r="SRW49" s="952"/>
      <c r="SRX49" s="952"/>
      <c r="SRY49" s="952"/>
      <c r="SRZ49" s="952"/>
      <c r="SSA49" s="952"/>
      <c r="SSB49" s="952"/>
      <c r="SSC49" s="952"/>
      <c r="SSD49" s="952"/>
      <c r="SSE49" s="952"/>
      <c r="SSF49" s="952"/>
      <c r="SSG49" s="952"/>
      <c r="SSH49" s="952"/>
      <c r="SSI49" s="952"/>
      <c r="SSJ49" s="952"/>
      <c r="SSK49" s="952"/>
      <c r="SSL49" s="952"/>
      <c r="SSM49" s="952"/>
      <c r="SSN49" s="952"/>
      <c r="SSO49" s="952"/>
      <c r="SSP49" s="952"/>
      <c r="SSQ49" s="952"/>
      <c r="SSR49" s="952"/>
      <c r="SSS49" s="952"/>
      <c r="SST49" s="952"/>
      <c r="SSU49" s="952"/>
      <c r="SSV49" s="952"/>
      <c r="SSW49" s="952"/>
      <c r="SSX49" s="952"/>
      <c r="SSY49" s="952"/>
      <c r="SSZ49" s="952"/>
      <c r="STA49" s="952"/>
      <c r="STB49" s="952"/>
      <c r="STC49" s="952"/>
      <c r="STD49" s="952"/>
      <c r="STE49" s="952"/>
      <c r="STF49" s="952"/>
      <c r="STG49" s="952"/>
      <c r="STH49" s="952"/>
      <c r="STI49" s="952"/>
      <c r="STJ49" s="952"/>
      <c r="STK49" s="952"/>
      <c r="STL49" s="952"/>
      <c r="STM49" s="952"/>
      <c r="STN49" s="952"/>
      <c r="STO49" s="952"/>
      <c r="STP49" s="952"/>
      <c r="STQ49" s="952"/>
      <c r="STR49" s="952"/>
      <c r="STS49" s="952"/>
      <c r="STT49" s="952"/>
      <c r="STU49" s="952"/>
      <c r="STV49" s="952"/>
      <c r="STW49" s="952"/>
      <c r="STX49" s="952"/>
      <c r="STY49" s="952"/>
      <c r="STZ49" s="952"/>
      <c r="SUA49" s="952"/>
      <c r="SUB49" s="952"/>
      <c r="SUC49" s="952"/>
      <c r="SUD49" s="952"/>
      <c r="SUE49" s="952"/>
      <c r="SUF49" s="952"/>
      <c r="SUG49" s="952"/>
      <c r="SUH49" s="952"/>
      <c r="SUI49" s="952"/>
      <c r="SUJ49" s="952"/>
      <c r="SUK49" s="952"/>
      <c r="SUL49" s="952"/>
      <c r="SUM49" s="952"/>
      <c r="SUN49" s="952"/>
      <c r="SUO49" s="952"/>
      <c r="SUP49" s="952"/>
      <c r="SUQ49" s="952"/>
      <c r="SUR49" s="952"/>
      <c r="SUS49" s="952"/>
      <c r="SUT49" s="952"/>
      <c r="SUU49" s="952"/>
      <c r="SUV49" s="952"/>
      <c r="SUW49" s="952"/>
      <c r="SUX49" s="952"/>
      <c r="SUY49" s="952"/>
      <c r="SUZ49" s="952"/>
      <c r="SVA49" s="952"/>
      <c r="SVB49" s="952"/>
      <c r="SVC49" s="952"/>
      <c r="SVD49" s="952"/>
      <c r="SVE49" s="952"/>
      <c r="SVF49" s="952"/>
      <c r="SVG49" s="952"/>
      <c r="SVH49" s="952"/>
      <c r="SVI49" s="952"/>
      <c r="SVJ49" s="952"/>
      <c r="SVK49" s="952"/>
      <c r="SVL49" s="952"/>
      <c r="SVM49" s="952"/>
      <c r="SVN49" s="952"/>
      <c r="SVO49" s="952"/>
      <c r="SVP49" s="952"/>
      <c r="SVQ49" s="952"/>
      <c r="SVR49" s="952"/>
      <c r="SVS49" s="952"/>
      <c r="SVT49" s="952"/>
      <c r="SVU49" s="952"/>
      <c r="SVV49" s="952"/>
      <c r="SVW49" s="952"/>
      <c r="SVX49" s="952"/>
      <c r="SVY49" s="952"/>
      <c r="SVZ49" s="952"/>
      <c r="SWA49" s="952"/>
      <c r="SWB49" s="952"/>
      <c r="SWC49" s="952"/>
      <c r="SWD49" s="952"/>
      <c r="SWE49" s="952"/>
      <c r="SWF49" s="952"/>
      <c r="SWG49" s="952"/>
      <c r="SWH49" s="952"/>
      <c r="SWI49" s="952"/>
      <c r="SWJ49" s="952"/>
      <c r="SWK49" s="952"/>
      <c r="SWL49" s="952"/>
      <c r="SWM49" s="952"/>
      <c r="SWN49" s="952"/>
      <c r="SWO49" s="952"/>
      <c r="SWP49" s="952"/>
      <c r="SWQ49" s="952"/>
      <c r="SWR49" s="952"/>
      <c r="SWS49" s="952"/>
      <c r="SWT49" s="952"/>
      <c r="SWU49" s="952"/>
      <c r="SWV49" s="952"/>
      <c r="SWW49" s="952"/>
      <c r="SWX49" s="952"/>
      <c r="SWY49" s="952"/>
      <c r="SWZ49" s="952"/>
      <c r="SXA49" s="952"/>
      <c r="SXB49" s="952"/>
      <c r="SXC49" s="952"/>
      <c r="SXD49" s="952"/>
      <c r="SXE49" s="952"/>
      <c r="SXF49" s="952"/>
      <c r="SXG49" s="952"/>
      <c r="SXH49" s="952"/>
      <c r="SXI49" s="952"/>
      <c r="SXJ49" s="952"/>
      <c r="SXK49" s="952"/>
      <c r="SXL49" s="952"/>
      <c r="SXM49" s="952"/>
      <c r="SXN49" s="952"/>
      <c r="SXO49" s="952"/>
      <c r="SXP49" s="952"/>
      <c r="SXQ49" s="952"/>
      <c r="SXR49" s="952"/>
      <c r="SXS49" s="952"/>
      <c r="SXT49" s="952"/>
      <c r="SXU49" s="952"/>
      <c r="SXV49" s="952"/>
      <c r="SXW49" s="952"/>
      <c r="SXX49" s="952"/>
      <c r="SXY49" s="952"/>
      <c r="SXZ49" s="952"/>
      <c r="SYA49" s="952"/>
      <c r="SYB49" s="952"/>
      <c r="SYC49" s="952"/>
      <c r="SYD49" s="952"/>
      <c r="SYE49" s="952"/>
      <c r="SYF49" s="952"/>
      <c r="SYG49" s="952"/>
      <c r="SYH49" s="952"/>
      <c r="SYI49" s="952"/>
      <c r="SYJ49" s="952"/>
      <c r="SYK49" s="952"/>
      <c r="SYL49" s="952"/>
      <c r="SYM49" s="952"/>
      <c r="SYN49" s="952"/>
      <c r="SYO49" s="952"/>
      <c r="SYP49" s="952"/>
      <c r="SYQ49" s="952"/>
      <c r="SYR49" s="952"/>
      <c r="SYS49" s="952"/>
      <c r="SYT49" s="952"/>
      <c r="SYU49" s="952"/>
      <c r="SYV49" s="952"/>
      <c r="SYW49" s="952"/>
      <c r="SYX49" s="952"/>
      <c r="SYY49" s="952"/>
      <c r="SYZ49" s="952"/>
      <c r="SZA49" s="952"/>
      <c r="SZB49" s="952"/>
      <c r="SZC49" s="952"/>
      <c r="SZD49" s="952"/>
      <c r="SZE49" s="952"/>
      <c r="SZF49" s="952"/>
      <c r="SZG49" s="952"/>
      <c r="SZH49" s="952"/>
      <c r="SZI49" s="952"/>
      <c r="SZJ49" s="952"/>
      <c r="SZK49" s="952"/>
      <c r="SZL49" s="952"/>
      <c r="SZM49" s="952"/>
      <c r="SZN49" s="952"/>
      <c r="SZO49" s="952"/>
      <c r="SZP49" s="952"/>
      <c r="SZQ49" s="952"/>
      <c r="SZR49" s="952"/>
      <c r="SZS49" s="952"/>
      <c r="SZT49" s="952"/>
      <c r="SZU49" s="952"/>
      <c r="SZV49" s="952"/>
      <c r="SZW49" s="952"/>
      <c r="SZX49" s="952"/>
      <c r="SZY49" s="952"/>
      <c r="SZZ49" s="952"/>
      <c r="TAA49" s="952"/>
      <c r="TAB49" s="952"/>
      <c r="TAC49" s="952"/>
      <c r="TAD49" s="952"/>
      <c r="TAE49" s="952"/>
      <c r="TAF49" s="952"/>
      <c r="TAG49" s="952"/>
      <c r="TAH49" s="952"/>
      <c r="TAI49" s="952"/>
      <c r="TAJ49" s="952"/>
      <c r="TAK49" s="952"/>
      <c r="TAL49" s="952"/>
      <c r="TAM49" s="952"/>
      <c r="TAN49" s="952"/>
      <c r="TAO49" s="952"/>
      <c r="TAP49" s="952"/>
      <c r="TAQ49" s="952"/>
      <c r="TAR49" s="952"/>
      <c r="TAS49" s="952"/>
      <c r="TAT49" s="952"/>
      <c r="TAU49" s="952"/>
      <c r="TAV49" s="952"/>
      <c r="TAW49" s="952"/>
      <c r="TAX49" s="952"/>
      <c r="TAY49" s="952"/>
      <c r="TAZ49" s="952"/>
      <c r="TBA49" s="952"/>
      <c r="TBB49" s="952"/>
      <c r="TBC49" s="952"/>
      <c r="TBD49" s="952"/>
      <c r="TBE49" s="952"/>
      <c r="TBF49" s="952"/>
      <c r="TBG49" s="952"/>
      <c r="TBH49" s="952"/>
      <c r="TBI49" s="952"/>
      <c r="TBJ49" s="952"/>
      <c r="TBK49" s="952"/>
      <c r="TBL49" s="952"/>
      <c r="TBM49" s="952"/>
      <c r="TBN49" s="952"/>
      <c r="TBO49" s="952"/>
      <c r="TBP49" s="952"/>
      <c r="TBQ49" s="952"/>
      <c r="TBR49" s="952"/>
      <c r="TBS49" s="952"/>
      <c r="TBT49" s="952"/>
      <c r="TBU49" s="952"/>
      <c r="TBV49" s="952"/>
      <c r="TBW49" s="952"/>
      <c r="TBX49" s="952"/>
      <c r="TBY49" s="952"/>
      <c r="TBZ49" s="952"/>
      <c r="TCA49" s="952"/>
      <c r="TCB49" s="952"/>
      <c r="TCC49" s="952"/>
      <c r="TCD49" s="952"/>
      <c r="TCE49" s="952"/>
      <c r="TCF49" s="952"/>
      <c r="TCG49" s="952"/>
      <c r="TCH49" s="952"/>
      <c r="TCI49" s="952"/>
      <c r="TCJ49" s="952"/>
      <c r="TCK49" s="952"/>
      <c r="TCL49" s="952"/>
      <c r="TCM49" s="952"/>
      <c r="TCN49" s="952"/>
      <c r="TCO49" s="952"/>
      <c r="TCP49" s="952"/>
      <c r="TCQ49" s="952"/>
      <c r="TCR49" s="952"/>
      <c r="TCS49" s="952"/>
      <c r="TCT49" s="952"/>
      <c r="TCU49" s="952"/>
      <c r="TCV49" s="952"/>
      <c r="TCW49" s="952"/>
      <c r="TCX49" s="952"/>
      <c r="TCY49" s="952"/>
      <c r="TCZ49" s="952"/>
      <c r="TDA49" s="952"/>
      <c r="TDB49" s="952"/>
      <c r="TDC49" s="952"/>
      <c r="TDD49" s="952"/>
      <c r="TDE49" s="952"/>
      <c r="TDF49" s="952"/>
      <c r="TDG49" s="952"/>
      <c r="TDH49" s="952"/>
      <c r="TDI49" s="952"/>
      <c r="TDJ49" s="952"/>
      <c r="TDK49" s="952"/>
      <c r="TDL49" s="952"/>
      <c r="TDM49" s="952"/>
      <c r="TDN49" s="952"/>
      <c r="TDO49" s="952"/>
      <c r="TDP49" s="952"/>
      <c r="TDQ49" s="952"/>
      <c r="TDR49" s="952"/>
      <c r="TDS49" s="952"/>
      <c r="TDT49" s="952"/>
      <c r="TDU49" s="952"/>
      <c r="TDV49" s="952"/>
      <c r="TDW49" s="952"/>
      <c r="TDX49" s="952"/>
      <c r="TDY49" s="952"/>
      <c r="TDZ49" s="952"/>
      <c r="TEA49" s="952"/>
      <c r="TEB49" s="952"/>
      <c r="TEC49" s="952"/>
      <c r="TED49" s="952"/>
      <c r="TEE49" s="952"/>
      <c r="TEF49" s="952"/>
      <c r="TEG49" s="952"/>
      <c r="TEH49" s="952"/>
      <c r="TEI49" s="952"/>
      <c r="TEJ49" s="952"/>
      <c r="TEK49" s="952"/>
      <c r="TEL49" s="952"/>
      <c r="TEM49" s="952"/>
      <c r="TEN49" s="952"/>
      <c r="TEO49" s="952"/>
      <c r="TEP49" s="952"/>
      <c r="TEQ49" s="952"/>
      <c r="TER49" s="952"/>
      <c r="TES49" s="952"/>
      <c r="TET49" s="952"/>
      <c r="TEU49" s="952"/>
      <c r="TEV49" s="952"/>
      <c r="TEW49" s="952"/>
      <c r="TEX49" s="952"/>
      <c r="TEY49" s="952"/>
      <c r="TEZ49" s="952"/>
      <c r="TFA49" s="952"/>
      <c r="TFB49" s="952"/>
      <c r="TFC49" s="952"/>
      <c r="TFD49" s="952"/>
      <c r="TFE49" s="952"/>
      <c r="TFF49" s="952"/>
      <c r="TFG49" s="952"/>
      <c r="TFH49" s="952"/>
      <c r="TFI49" s="952"/>
      <c r="TFJ49" s="952"/>
      <c r="TFK49" s="952"/>
      <c r="TFL49" s="952"/>
      <c r="TFM49" s="952"/>
      <c r="TFN49" s="952"/>
      <c r="TFO49" s="952"/>
      <c r="TFP49" s="952"/>
      <c r="TFQ49" s="952"/>
      <c r="TFR49" s="952"/>
      <c r="TFS49" s="952"/>
      <c r="TFT49" s="952"/>
      <c r="TFU49" s="952"/>
      <c r="TFV49" s="952"/>
      <c r="TFW49" s="952"/>
      <c r="TFX49" s="952"/>
      <c r="TFY49" s="952"/>
      <c r="TFZ49" s="952"/>
      <c r="TGA49" s="952"/>
      <c r="TGB49" s="952"/>
      <c r="TGC49" s="952"/>
      <c r="TGD49" s="952"/>
      <c r="TGE49" s="952"/>
      <c r="TGF49" s="952"/>
      <c r="TGG49" s="952"/>
      <c r="TGH49" s="952"/>
      <c r="TGI49" s="952"/>
      <c r="TGJ49" s="952"/>
      <c r="TGK49" s="952"/>
      <c r="TGL49" s="952"/>
      <c r="TGM49" s="952"/>
      <c r="TGN49" s="952"/>
      <c r="TGO49" s="952"/>
      <c r="TGP49" s="952"/>
      <c r="TGQ49" s="952"/>
      <c r="TGR49" s="952"/>
      <c r="TGS49" s="952"/>
      <c r="TGT49" s="952"/>
      <c r="TGU49" s="952"/>
      <c r="TGV49" s="952"/>
      <c r="TGW49" s="952"/>
      <c r="TGX49" s="952"/>
      <c r="TGY49" s="952"/>
      <c r="TGZ49" s="952"/>
      <c r="THA49" s="952"/>
      <c r="THB49" s="952"/>
      <c r="THC49" s="952"/>
      <c r="THD49" s="952"/>
      <c r="THE49" s="952"/>
      <c r="THF49" s="952"/>
      <c r="THG49" s="952"/>
      <c r="THH49" s="952"/>
      <c r="THI49" s="952"/>
      <c r="THJ49" s="952"/>
      <c r="THK49" s="952"/>
      <c r="THL49" s="952"/>
      <c r="THM49" s="952"/>
      <c r="THN49" s="952"/>
      <c r="THO49" s="952"/>
      <c r="THP49" s="952"/>
      <c r="THQ49" s="952"/>
      <c r="THR49" s="952"/>
      <c r="THS49" s="952"/>
      <c r="THT49" s="952"/>
      <c r="THU49" s="952"/>
      <c r="THV49" s="952"/>
      <c r="THW49" s="952"/>
      <c r="THX49" s="952"/>
      <c r="THY49" s="952"/>
      <c r="THZ49" s="952"/>
      <c r="TIA49" s="952"/>
      <c r="TIB49" s="952"/>
      <c r="TIC49" s="952"/>
      <c r="TID49" s="952"/>
      <c r="TIE49" s="952"/>
      <c r="TIF49" s="952"/>
      <c r="TIG49" s="952"/>
      <c r="TIH49" s="952"/>
      <c r="TII49" s="952"/>
      <c r="TIJ49" s="952"/>
      <c r="TIK49" s="952"/>
      <c r="TIL49" s="952"/>
      <c r="TIM49" s="952"/>
      <c r="TIN49" s="952"/>
      <c r="TIO49" s="952"/>
      <c r="TIP49" s="952"/>
      <c r="TIQ49" s="952"/>
      <c r="TIR49" s="952"/>
      <c r="TIS49" s="952"/>
      <c r="TIT49" s="952"/>
      <c r="TIU49" s="952"/>
      <c r="TIV49" s="952"/>
      <c r="TIW49" s="952"/>
      <c r="TIX49" s="952"/>
      <c r="TIY49" s="952"/>
      <c r="TIZ49" s="952"/>
      <c r="TJA49" s="952"/>
      <c r="TJB49" s="952"/>
      <c r="TJC49" s="952"/>
      <c r="TJD49" s="952"/>
      <c r="TJE49" s="952"/>
      <c r="TJF49" s="952"/>
      <c r="TJG49" s="952"/>
      <c r="TJH49" s="952"/>
      <c r="TJI49" s="952"/>
      <c r="TJJ49" s="952"/>
      <c r="TJK49" s="952"/>
      <c r="TJL49" s="952"/>
      <c r="TJM49" s="952"/>
      <c r="TJN49" s="952"/>
      <c r="TJO49" s="952"/>
      <c r="TJP49" s="952"/>
      <c r="TJQ49" s="952"/>
      <c r="TJR49" s="952"/>
      <c r="TJS49" s="952"/>
      <c r="TJT49" s="952"/>
      <c r="TJU49" s="952"/>
      <c r="TJV49" s="952"/>
      <c r="TJW49" s="952"/>
      <c r="TJX49" s="952"/>
      <c r="TJY49" s="952"/>
      <c r="TJZ49" s="952"/>
      <c r="TKA49" s="952"/>
      <c r="TKB49" s="952"/>
      <c r="TKC49" s="952"/>
      <c r="TKD49" s="952"/>
      <c r="TKE49" s="952"/>
      <c r="TKF49" s="952"/>
      <c r="TKG49" s="952"/>
      <c r="TKH49" s="952"/>
      <c r="TKI49" s="952"/>
      <c r="TKJ49" s="952"/>
      <c r="TKK49" s="952"/>
      <c r="TKL49" s="952"/>
      <c r="TKM49" s="952"/>
      <c r="TKN49" s="952"/>
      <c r="TKO49" s="952"/>
      <c r="TKP49" s="952"/>
      <c r="TKQ49" s="952"/>
      <c r="TKR49" s="952"/>
      <c r="TKS49" s="952"/>
      <c r="TKT49" s="952"/>
      <c r="TKU49" s="952"/>
      <c r="TKV49" s="952"/>
      <c r="TKW49" s="952"/>
      <c r="TKX49" s="952"/>
      <c r="TKY49" s="952"/>
      <c r="TKZ49" s="952"/>
      <c r="TLA49" s="952"/>
      <c r="TLB49" s="952"/>
      <c r="TLC49" s="952"/>
      <c r="TLD49" s="952"/>
      <c r="TLE49" s="952"/>
      <c r="TLF49" s="952"/>
      <c r="TLG49" s="952"/>
      <c r="TLH49" s="952"/>
      <c r="TLI49" s="952"/>
      <c r="TLJ49" s="952"/>
      <c r="TLK49" s="952"/>
      <c r="TLL49" s="952"/>
      <c r="TLM49" s="952"/>
      <c r="TLN49" s="952"/>
      <c r="TLO49" s="952"/>
      <c r="TLP49" s="952"/>
      <c r="TLQ49" s="952"/>
      <c r="TLR49" s="952"/>
      <c r="TLS49" s="952"/>
      <c r="TLT49" s="952"/>
      <c r="TLU49" s="952"/>
      <c r="TLV49" s="952"/>
      <c r="TLW49" s="952"/>
      <c r="TLX49" s="952"/>
      <c r="TLY49" s="952"/>
      <c r="TLZ49" s="952"/>
      <c r="TMA49" s="952"/>
      <c r="TMB49" s="952"/>
      <c r="TMC49" s="952"/>
      <c r="TMD49" s="952"/>
      <c r="TME49" s="952"/>
      <c r="TMF49" s="952"/>
      <c r="TMG49" s="952"/>
      <c r="TMH49" s="952"/>
      <c r="TMI49" s="952"/>
      <c r="TMJ49" s="952"/>
      <c r="TMK49" s="952"/>
      <c r="TML49" s="952"/>
      <c r="TMM49" s="952"/>
      <c r="TMN49" s="952"/>
      <c r="TMO49" s="952"/>
      <c r="TMP49" s="952"/>
      <c r="TMQ49" s="952"/>
      <c r="TMR49" s="952"/>
      <c r="TMS49" s="952"/>
      <c r="TMT49" s="952"/>
      <c r="TMU49" s="952"/>
      <c r="TMV49" s="952"/>
      <c r="TMW49" s="952"/>
      <c r="TMX49" s="952"/>
      <c r="TMY49" s="952"/>
      <c r="TMZ49" s="952"/>
      <c r="TNA49" s="952"/>
      <c r="TNB49" s="952"/>
      <c r="TNC49" s="952"/>
      <c r="TND49" s="952"/>
      <c r="TNE49" s="952"/>
      <c r="TNF49" s="952"/>
      <c r="TNG49" s="952"/>
      <c r="TNH49" s="952"/>
      <c r="TNI49" s="952"/>
      <c r="TNJ49" s="952"/>
      <c r="TNK49" s="952"/>
      <c r="TNL49" s="952"/>
      <c r="TNM49" s="952"/>
      <c r="TNN49" s="952"/>
      <c r="TNO49" s="952"/>
      <c r="TNP49" s="952"/>
      <c r="TNQ49" s="952"/>
      <c r="TNR49" s="952"/>
      <c r="TNS49" s="952"/>
      <c r="TNT49" s="952"/>
      <c r="TNU49" s="952"/>
      <c r="TNV49" s="952"/>
      <c r="TNW49" s="952"/>
      <c r="TNX49" s="952"/>
      <c r="TNY49" s="952"/>
      <c r="TNZ49" s="952"/>
      <c r="TOA49" s="952"/>
      <c r="TOB49" s="952"/>
      <c r="TOC49" s="952"/>
      <c r="TOD49" s="952"/>
      <c r="TOE49" s="952"/>
      <c r="TOF49" s="952"/>
      <c r="TOG49" s="952"/>
      <c r="TOH49" s="952"/>
      <c r="TOI49" s="952"/>
      <c r="TOJ49" s="952"/>
      <c r="TOK49" s="952"/>
      <c r="TOL49" s="952"/>
      <c r="TOM49" s="952"/>
      <c r="TON49" s="952"/>
      <c r="TOO49" s="952"/>
      <c r="TOP49" s="952"/>
      <c r="TOQ49" s="952"/>
      <c r="TOR49" s="952"/>
      <c r="TOS49" s="952"/>
      <c r="TOT49" s="952"/>
      <c r="TOU49" s="952"/>
      <c r="TOV49" s="952"/>
      <c r="TOW49" s="952"/>
      <c r="TOX49" s="952"/>
      <c r="TOY49" s="952"/>
      <c r="TOZ49" s="952"/>
      <c r="TPA49" s="952"/>
      <c r="TPB49" s="952"/>
      <c r="TPC49" s="952"/>
      <c r="TPD49" s="952"/>
      <c r="TPE49" s="952"/>
      <c r="TPF49" s="952"/>
      <c r="TPG49" s="952"/>
      <c r="TPH49" s="952"/>
      <c r="TPI49" s="952"/>
      <c r="TPJ49" s="952"/>
      <c r="TPK49" s="952"/>
      <c r="TPL49" s="952"/>
      <c r="TPM49" s="952"/>
      <c r="TPN49" s="952"/>
      <c r="TPO49" s="952"/>
      <c r="TPP49" s="952"/>
      <c r="TPQ49" s="952"/>
      <c r="TPR49" s="952"/>
      <c r="TPS49" s="952"/>
      <c r="TPT49" s="952"/>
      <c r="TPU49" s="952"/>
      <c r="TPV49" s="952"/>
      <c r="TPW49" s="952"/>
      <c r="TPX49" s="952"/>
      <c r="TPY49" s="952"/>
      <c r="TPZ49" s="952"/>
      <c r="TQA49" s="952"/>
      <c r="TQB49" s="952"/>
      <c r="TQC49" s="952"/>
      <c r="TQD49" s="952"/>
      <c r="TQE49" s="952"/>
      <c r="TQF49" s="952"/>
      <c r="TQG49" s="952"/>
      <c r="TQH49" s="952"/>
      <c r="TQI49" s="952"/>
      <c r="TQJ49" s="952"/>
      <c r="TQK49" s="952"/>
      <c r="TQL49" s="952"/>
      <c r="TQM49" s="952"/>
      <c r="TQN49" s="952"/>
      <c r="TQO49" s="952"/>
      <c r="TQP49" s="952"/>
      <c r="TQQ49" s="952"/>
      <c r="TQR49" s="952"/>
      <c r="TQS49" s="952"/>
      <c r="TQT49" s="952"/>
      <c r="TQU49" s="952"/>
      <c r="TQV49" s="952"/>
      <c r="TQW49" s="952"/>
      <c r="TQX49" s="952"/>
      <c r="TQY49" s="952"/>
      <c r="TQZ49" s="952"/>
      <c r="TRA49" s="952"/>
      <c r="TRB49" s="952"/>
      <c r="TRC49" s="952"/>
      <c r="TRD49" s="952"/>
      <c r="TRE49" s="952"/>
      <c r="TRF49" s="952"/>
      <c r="TRG49" s="952"/>
      <c r="TRH49" s="952"/>
      <c r="TRI49" s="952"/>
      <c r="TRJ49" s="952"/>
      <c r="TRK49" s="952"/>
      <c r="TRL49" s="952"/>
      <c r="TRM49" s="952"/>
      <c r="TRN49" s="952"/>
      <c r="TRO49" s="952"/>
      <c r="TRP49" s="952"/>
      <c r="TRQ49" s="952"/>
      <c r="TRR49" s="952"/>
      <c r="TRS49" s="952"/>
      <c r="TRT49" s="952"/>
      <c r="TRU49" s="952"/>
      <c r="TRV49" s="952"/>
      <c r="TRW49" s="952"/>
      <c r="TRX49" s="952"/>
      <c r="TRY49" s="952"/>
      <c r="TRZ49" s="952"/>
      <c r="TSA49" s="952"/>
      <c r="TSB49" s="952"/>
      <c r="TSC49" s="952"/>
      <c r="TSD49" s="952"/>
      <c r="TSE49" s="952"/>
      <c r="TSF49" s="952"/>
      <c r="TSG49" s="952"/>
      <c r="TSH49" s="952"/>
      <c r="TSI49" s="952"/>
      <c r="TSJ49" s="952"/>
      <c r="TSK49" s="952"/>
      <c r="TSL49" s="952"/>
      <c r="TSM49" s="952"/>
      <c r="TSN49" s="952"/>
      <c r="TSO49" s="952"/>
      <c r="TSP49" s="952"/>
      <c r="TSQ49" s="952"/>
      <c r="TSR49" s="952"/>
      <c r="TSS49" s="952"/>
      <c r="TST49" s="952"/>
      <c r="TSU49" s="952"/>
      <c r="TSV49" s="952"/>
      <c r="TSW49" s="952"/>
      <c r="TSX49" s="952"/>
      <c r="TSY49" s="952"/>
      <c r="TSZ49" s="952"/>
      <c r="TTA49" s="952"/>
      <c r="TTB49" s="952"/>
      <c r="TTC49" s="952"/>
      <c r="TTD49" s="952"/>
      <c r="TTE49" s="952"/>
      <c r="TTF49" s="952"/>
      <c r="TTG49" s="952"/>
      <c r="TTH49" s="952"/>
      <c r="TTI49" s="952"/>
      <c r="TTJ49" s="952"/>
      <c r="TTK49" s="952"/>
      <c r="TTL49" s="952"/>
      <c r="TTM49" s="952"/>
      <c r="TTN49" s="952"/>
      <c r="TTO49" s="952"/>
      <c r="TTP49" s="952"/>
      <c r="TTQ49" s="952"/>
      <c r="TTR49" s="952"/>
      <c r="TTS49" s="952"/>
      <c r="TTT49" s="952"/>
      <c r="TTU49" s="952"/>
      <c r="TTV49" s="952"/>
      <c r="TTW49" s="952"/>
      <c r="TTX49" s="952"/>
      <c r="TTY49" s="952"/>
      <c r="TTZ49" s="952"/>
      <c r="TUA49" s="952"/>
      <c r="TUB49" s="952"/>
      <c r="TUC49" s="952"/>
      <c r="TUD49" s="952"/>
      <c r="TUE49" s="952"/>
      <c r="TUF49" s="952"/>
      <c r="TUG49" s="952"/>
      <c r="TUH49" s="952"/>
      <c r="TUI49" s="952"/>
      <c r="TUJ49" s="952"/>
      <c r="TUK49" s="952"/>
      <c r="TUL49" s="952"/>
      <c r="TUM49" s="952"/>
      <c r="TUN49" s="952"/>
      <c r="TUO49" s="952"/>
      <c r="TUP49" s="952"/>
      <c r="TUQ49" s="952"/>
      <c r="TUR49" s="952"/>
      <c r="TUS49" s="952"/>
      <c r="TUT49" s="952"/>
      <c r="TUU49" s="952"/>
      <c r="TUV49" s="952"/>
      <c r="TUW49" s="952"/>
      <c r="TUX49" s="952"/>
      <c r="TUY49" s="952"/>
      <c r="TUZ49" s="952"/>
      <c r="TVA49" s="952"/>
      <c r="TVB49" s="952"/>
      <c r="TVC49" s="952"/>
      <c r="TVD49" s="952"/>
      <c r="TVE49" s="952"/>
      <c r="TVF49" s="952"/>
      <c r="TVG49" s="952"/>
      <c r="TVH49" s="952"/>
      <c r="TVI49" s="952"/>
      <c r="TVJ49" s="952"/>
      <c r="TVK49" s="952"/>
      <c r="TVL49" s="952"/>
      <c r="TVM49" s="952"/>
      <c r="TVN49" s="952"/>
      <c r="TVO49" s="952"/>
      <c r="TVP49" s="952"/>
      <c r="TVQ49" s="952"/>
      <c r="TVR49" s="952"/>
      <c r="TVS49" s="952"/>
      <c r="TVT49" s="952"/>
      <c r="TVU49" s="952"/>
      <c r="TVV49" s="952"/>
      <c r="TVW49" s="952"/>
      <c r="TVX49" s="952"/>
      <c r="TVY49" s="952"/>
      <c r="TVZ49" s="952"/>
      <c r="TWA49" s="952"/>
      <c r="TWB49" s="952"/>
      <c r="TWC49" s="952"/>
      <c r="TWD49" s="952"/>
      <c r="TWE49" s="952"/>
      <c r="TWF49" s="952"/>
      <c r="TWG49" s="952"/>
      <c r="TWH49" s="952"/>
      <c r="TWI49" s="952"/>
      <c r="TWJ49" s="952"/>
      <c r="TWK49" s="952"/>
      <c r="TWL49" s="952"/>
      <c r="TWM49" s="952"/>
      <c r="TWN49" s="952"/>
      <c r="TWO49" s="952"/>
      <c r="TWP49" s="952"/>
      <c r="TWQ49" s="952"/>
      <c r="TWR49" s="952"/>
      <c r="TWS49" s="952"/>
      <c r="TWT49" s="952"/>
      <c r="TWU49" s="952"/>
      <c r="TWV49" s="952"/>
      <c r="TWW49" s="952"/>
      <c r="TWX49" s="952"/>
      <c r="TWY49" s="952"/>
      <c r="TWZ49" s="952"/>
      <c r="TXA49" s="952"/>
      <c r="TXB49" s="952"/>
      <c r="TXC49" s="952"/>
      <c r="TXD49" s="952"/>
      <c r="TXE49" s="952"/>
      <c r="TXF49" s="952"/>
      <c r="TXG49" s="952"/>
      <c r="TXH49" s="952"/>
      <c r="TXI49" s="952"/>
      <c r="TXJ49" s="952"/>
      <c r="TXK49" s="952"/>
      <c r="TXL49" s="952"/>
      <c r="TXM49" s="952"/>
      <c r="TXN49" s="952"/>
      <c r="TXO49" s="952"/>
      <c r="TXP49" s="952"/>
      <c r="TXQ49" s="952"/>
      <c r="TXR49" s="952"/>
      <c r="TXS49" s="952"/>
      <c r="TXT49" s="952"/>
      <c r="TXU49" s="952"/>
      <c r="TXV49" s="952"/>
      <c r="TXW49" s="952"/>
      <c r="TXX49" s="952"/>
      <c r="TXY49" s="952"/>
      <c r="TXZ49" s="952"/>
      <c r="TYA49" s="952"/>
      <c r="TYB49" s="952"/>
      <c r="TYC49" s="952"/>
      <c r="TYD49" s="952"/>
      <c r="TYE49" s="952"/>
      <c r="TYF49" s="952"/>
      <c r="TYG49" s="952"/>
      <c r="TYH49" s="952"/>
      <c r="TYI49" s="952"/>
      <c r="TYJ49" s="952"/>
      <c r="TYK49" s="952"/>
      <c r="TYL49" s="952"/>
      <c r="TYM49" s="952"/>
      <c r="TYN49" s="952"/>
      <c r="TYO49" s="952"/>
      <c r="TYP49" s="952"/>
      <c r="TYQ49" s="952"/>
      <c r="TYR49" s="952"/>
      <c r="TYS49" s="952"/>
      <c r="TYT49" s="952"/>
      <c r="TYU49" s="952"/>
      <c r="TYV49" s="952"/>
      <c r="TYW49" s="952"/>
      <c r="TYX49" s="952"/>
      <c r="TYY49" s="952"/>
      <c r="TYZ49" s="952"/>
      <c r="TZA49" s="952"/>
      <c r="TZB49" s="952"/>
      <c r="TZC49" s="952"/>
      <c r="TZD49" s="952"/>
      <c r="TZE49" s="952"/>
      <c r="TZF49" s="952"/>
      <c r="TZG49" s="952"/>
      <c r="TZH49" s="952"/>
      <c r="TZI49" s="952"/>
      <c r="TZJ49" s="952"/>
      <c r="TZK49" s="952"/>
      <c r="TZL49" s="952"/>
      <c r="TZM49" s="952"/>
      <c r="TZN49" s="952"/>
      <c r="TZO49" s="952"/>
      <c r="TZP49" s="952"/>
      <c r="TZQ49" s="952"/>
      <c r="TZR49" s="952"/>
      <c r="TZS49" s="952"/>
      <c r="TZT49" s="952"/>
      <c r="TZU49" s="952"/>
      <c r="TZV49" s="952"/>
      <c r="TZW49" s="952"/>
      <c r="TZX49" s="952"/>
      <c r="TZY49" s="952"/>
      <c r="TZZ49" s="952"/>
      <c r="UAA49" s="952"/>
      <c r="UAB49" s="952"/>
      <c r="UAC49" s="952"/>
      <c r="UAD49" s="952"/>
      <c r="UAE49" s="952"/>
      <c r="UAF49" s="952"/>
      <c r="UAG49" s="952"/>
      <c r="UAH49" s="952"/>
      <c r="UAI49" s="952"/>
      <c r="UAJ49" s="952"/>
      <c r="UAK49" s="952"/>
      <c r="UAL49" s="952"/>
      <c r="UAM49" s="952"/>
      <c r="UAN49" s="952"/>
      <c r="UAO49" s="952"/>
      <c r="UAP49" s="952"/>
      <c r="UAQ49" s="952"/>
      <c r="UAR49" s="952"/>
      <c r="UAS49" s="952"/>
      <c r="UAT49" s="952"/>
      <c r="UAU49" s="952"/>
      <c r="UAV49" s="952"/>
      <c r="UAW49" s="952"/>
      <c r="UAX49" s="952"/>
      <c r="UAY49" s="952"/>
      <c r="UAZ49" s="952"/>
      <c r="UBA49" s="952"/>
      <c r="UBB49" s="952"/>
      <c r="UBC49" s="952"/>
      <c r="UBD49" s="952"/>
      <c r="UBE49" s="952"/>
      <c r="UBF49" s="952"/>
      <c r="UBG49" s="952"/>
      <c r="UBH49" s="952"/>
      <c r="UBI49" s="952"/>
      <c r="UBJ49" s="952"/>
      <c r="UBK49" s="952"/>
      <c r="UBL49" s="952"/>
      <c r="UBM49" s="952"/>
      <c r="UBN49" s="952"/>
      <c r="UBO49" s="952"/>
      <c r="UBP49" s="952"/>
      <c r="UBQ49" s="952"/>
      <c r="UBR49" s="952"/>
      <c r="UBS49" s="952"/>
      <c r="UBT49" s="952"/>
      <c r="UBU49" s="952"/>
      <c r="UBV49" s="952"/>
      <c r="UBW49" s="952"/>
      <c r="UBX49" s="952"/>
      <c r="UBY49" s="952"/>
      <c r="UBZ49" s="952"/>
      <c r="UCA49" s="952"/>
      <c r="UCB49" s="952"/>
      <c r="UCC49" s="952"/>
      <c r="UCD49" s="952"/>
      <c r="UCE49" s="952"/>
      <c r="UCF49" s="952"/>
      <c r="UCG49" s="952"/>
      <c r="UCH49" s="952"/>
      <c r="UCI49" s="952"/>
      <c r="UCJ49" s="952"/>
      <c r="UCK49" s="952"/>
      <c r="UCL49" s="952"/>
      <c r="UCM49" s="952"/>
      <c r="UCN49" s="952"/>
      <c r="UCO49" s="952"/>
      <c r="UCP49" s="952"/>
      <c r="UCQ49" s="952"/>
      <c r="UCR49" s="952"/>
      <c r="UCS49" s="952"/>
      <c r="UCT49" s="952"/>
      <c r="UCU49" s="952"/>
      <c r="UCV49" s="952"/>
      <c r="UCW49" s="952"/>
      <c r="UCX49" s="952"/>
      <c r="UCY49" s="952"/>
      <c r="UCZ49" s="952"/>
      <c r="UDA49" s="952"/>
      <c r="UDB49" s="952"/>
      <c r="UDC49" s="952"/>
      <c r="UDD49" s="952"/>
      <c r="UDE49" s="952"/>
      <c r="UDF49" s="952"/>
      <c r="UDG49" s="952"/>
      <c r="UDH49" s="952"/>
      <c r="UDI49" s="952"/>
      <c r="UDJ49" s="952"/>
      <c r="UDK49" s="952"/>
      <c r="UDL49" s="952"/>
      <c r="UDM49" s="952"/>
      <c r="UDN49" s="952"/>
      <c r="UDO49" s="952"/>
      <c r="UDP49" s="952"/>
      <c r="UDQ49" s="952"/>
      <c r="UDR49" s="952"/>
      <c r="UDS49" s="952"/>
      <c r="UDT49" s="952"/>
      <c r="UDU49" s="952"/>
      <c r="UDV49" s="952"/>
      <c r="UDW49" s="952"/>
      <c r="UDX49" s="952"/>
      <c r="UDY49" s="952"/>
      <c r="UDZ49" s="952"/>
      <c r="UEA49" s="952"/>
      <c r="UEB49" s="952"/>
      <c r="UEC49" s="952"/>
      <c r="UED49" s="952"/>
      <c r="UEE49" s="952"/>
      <c r="UEF49" s="952"/>
      <c r="UEG49" s="952"/>
      <c r="UEH49" s="952"/>
      <c r="UEI49" s="952"/>
      <c r="UEJ49" s="952"/>
      <c r="UEK49" s="952"/>
      <c r="UEL49" s="952"/>
      <c r="UEM49" s="952"/>
      <c r="UEN49" s="952"/>
      <c r="UEO49" s="952"/>
      <c r="UEP49" s="952"/>
      <c r="UEQ49" s="952"/>
      <c r="UER49" s="952"/>
      <c r="UES49" s="952"/>
      <c r="UET49" s="952"/>
      <c r="UEU49" s="952"/>
      <c r="UEV49" s="952"/>
      <c r="UEW49" s="952"/>
      <c r="UEX49" s="952"/>
      <c r="UEY49" s="952"/>
      <c r="UEZ49" s="952"/>
      <c r="UFA49" s="952"/>
      <c r="UFB49" s="952"/>
      <c r="UFC49" s="952"/>
      <c r="UFD49" s="952"/>
      <c r="UFE49" s="952"/>
      <c r="UFF49" s="952"/>
      <c r="UFG49" s="952"/>
      <c r="UFH49" s="952"/>
      <c r="UFI49" s="952"/>
      <c r="UFJ49" s="952"/>
      <c r="UFK49" s="952"/>
      <c r="UFL49" s="952"/>
      <c r="UFM49" s="952"/>
      <c r="UFN49" s="952"/>
      <c r="UFO49" s="952"/>
      <c r="UFP49" s="952"/>
      <c r="UFQ49" s="952"/>
      <c r="UFR49" s="952"/>
      <c r="UFS49" s="952"/>
      <c r="UFT49" s="952"/>
      <c r="UFU49" s="952"/>
      <c r="UFV49" s="952"/>
      <c r="UFW49" s="952"/>
      <c r="UFX49" s="952"/>
      <c r="UFY49" s="952"/>
      <c r="UFZ49" s="952"/>
      <c r="UGA49" s="952"/>
      <c r="UGB49" s="952"/>
      <c r="UGC49" s="952"/>
      <c r="UGD49" s="952"/>
      <c r="UGE49" s="952"/>
      <c r="UGF49" s="952"/>
      <c r="UGG49" s="952"/>
      <c r="UGH49" s="952"/>
      <c r="UGI49" s="952"/>
      <c r="UGJ49" s="952"/>
      <c r="UGK49" s="952"/>
      <c r="UGL49" s="952"/>
      <c r="UGM49" s="952"/>
      <c r="UGN49" s="952"/>
      <c r="UGO49" s="952"/>
      <c r="UGP49" s="952"/>
      <c r="UGQ49" s="952"/>
      <c r="UGR49" s="952"/>
      <c r="UGS49" s="952"/>
      <c r="UGT49" s="952"/>
      <c r="UGU49" s="952"/>
      <c r="UGV49" s="952"/>
      <c r="UGW49" s="952"/>
      <c r="UGX49" s="952"/>
      <c r="UGY49" s="952"/>
      <c r="UGZ49" s="952"/>
      <c r="UHA49" s="952"/>
      <c r="UHB49" s="952"/>
      <c r="UHC49" s="952"/>
      <c r="UHD49" s="952"/>
      <c r="UHE49" s="952"/>
      <c r="UHF49" s="952"/>
      <c r="UHG49" s="952"/>
      <c r="UHH49" s="952"/>
      <c r="UHI49" s="952"/>
      <c r="UHJ49" s="952"/>
      <c r="UHK49" s="952"/>
      <c r="UHL49" s="952"/>
      <c r="UHM49" s="952"/>
      <c r="UHN49" s="952"/>
      <c r="UHO49" s="952"/>
      <c r="UHP49" s="952"/>
      <c r="UHQ49" s="952"/>
      <c r="UHR49" s="952"/>
      <c r="UHS49" s="952"/>
      <c r="UHT49" s="952"/>
      <c r="UHU49" s="952"/>
      <c r="UHV49" s="952"/>
      <c r="UHW49" s="952"/>
      <c r="UHX49" s="952"/>
      <c r="UHY49" s="952"/>
      <c r="UHZ49" s="952"/>
      <c r="UIA49" s="952"/>
      <c r="UIB49" s="952"/>
      <c r="UIC49" s="952"/>
      <c r="UID49" s="952"/>
      <c r="UIE49" s="952"/>
      <c r="UIF49" s="952"/>
      <c r="UIG49" s="952"/>
      <c r="UIH49" s="952"/>
      <c r="UII49" s="952"/>
      <c r="UIJ49" s="952"/>
      <c r="UIK49" s="952"/>
      <c r="UIL49" s="952"/>
      <c r="UIM49" s="952"/>
      <c r="UIN49" s="952"/>
      <c r="UIO49" s="952"/>
      <c r="UIP49" s="952"/>
      <c r="UIQ49" s="952"/>
      <c r="UIR49" s="952"/>
      <c r="UIS49" s="952"/>
      <c r="UIT49" s="952"/>
      <c r="UIU49" s="952"/>
      <c r="UIV49" s="952"/>
      <c r="UIW49" s="952"/>
      <c r="UIX49" s="952"/>
      <c r="UIY49" s="952"/>
      <c r="UIZ49" s="952"/>
      <c r="UJA49" s="952"/>
      <c r="UJB49" s="952"/>
      <c r="UJC49" s="952"/>
      <c r="UJD49" s="952"/>
      <c r="UJE49" s="952"/>
      <c r="UJF49" s="952"/>
      <c r="UJG49" s="952"/>
      <c r="UJH49" s="952"/>
      <c r="UJI49" s="952"/>
      <c r="UJJ49" s="952"/>
      <c r="UJK49" s="952"/>
      <c r="UJL49" s="952"/>
      <c r="UJM49" s="952"/>
      <c r="UJN49" s="952"/>
      <c r="UJO49" s="952"/>
      <c r="UJP49" s="952"/>
      <c r="UJQ49" s="952"/>
      <c r="UJR49" s="952"/>
      <c r="UJS49" s="952"/>
      <c r="UJT49" s="952"/>
      <c r="UJU49" s="952"/>
      <c r="UJV49" s="952"/>
      <c r="UJW49" s="952"/>
      <c r="UJX49" s="952"/>
      <c r="UJY49" s="952"/>
      <c r="UJZ49" s="952"/>
      <c r="UKA49" s="952"/>
      <c r="UKB49" s="952"/>
      <c r="UKC49" s="952"/>
      <c r="UKD49" s="952"/>
      <c r="UKE49" s="952"/>
      <c r="UKF49" s="952"/>
      <c r="UKG49" s="952"/>
      <c r="UKH49" s="952"/>
      <c r="UKI49" s="952"/>
      <c r="UKJ49" s="952"/>
      <c r="UKK49" s="952"/>
      <c r="UKL49" s="952"/>
      <c r="UKM49" s="952"/>
      <c r="UKN49" s="952"/>
      <c r="UKO49" s="952"/>
      <c r="UKP49" s="952"/>
      <c r="UKQ49" s="952"/>
      <c r="UKR49" s="952"/>
      <c r="UKS49" s="952"/>
      <c r="UKT49" s="952"/>
      <c r="UKU49" s="952"/>
      <c r="UKV49" s="952"/>
      <c r="UKW49" s="952"/>
      <c r="UKX49" s="952"/>
      <c r="UKY49" s="952"/>
      <c r="UKZ49" s="952"/>
      <c r="ULA49" s="952"/>
      <c r="ULB49" s="952"/>
      <c r="ULC49" s="952"/>
      <c r="ULD49" s="952"/>
      <c r="ULE49" s="952"/>
      <c r="ULF49" s="952"/>
      <c r="ULG49" s="952"/>
      <c r="ULH49" s="952"/>
      <c r="ULI49" s="952"/>
      <c r="ULJ49" s="952"/>
      <c r="ULK49" s="952"/>
      <c r="ULL49" s="952"/>
      <c r="ULM49" s="952"/>
      <c r="ULN49" s="952"/>
      <c r="ULO49" s="952"/>
      <c r="ULP49" s="952"/>
      <c r="ULQ49" s="952"/>
      <c r="ULR49" s="952"/>
      <c r="ULS49" s="952"/>
      <c r="ULT49" s="952"/>
      <c r="ULU49" s="952"/>
      <c r="ULV49" s="952"/>
      <c r="ULW49" s="952"/>
      <c r="ULX49" s="952"/>
      <c r="ULY49" s="952"/>
      <c r="ULZ49" s="952"/>
      <c r="UMA49" s="952"/>
      <c r="UMB49" s="952"/>
      <c r="UMC49" s="952"/>
      <c r="UMD49" s="952"/>
      <c r="UME49" s="952"/>
      <c r="UMF49" s="952"/>
      <c r="UMG49" s="952"/>
      <c r="UMH49" s="952"/>
      <c r="UMI49" s="952"/>
      <c r="UMJ49" s="952"/>
      <c r="UMK49" s="952"/>
      <c r="UML49" s="952"/>
      <c r="UMM49" s="952"/>
      <c r="UMN49" s="952"/>
      <c r="UMO49" s="952"/>
      <c r="UMP49" s="952"/>
      <c r="UMQ49" s="952"/>
      <c r="UMR49" s="952"/>
      <c r="UMS49" s="952"/>
      <c r="UMT49" s="952"/>
      <c r="UMU49" s="952"/>
      <c r="UMV49" s="952"/>
      <c r="UMW49" s="952"/>
      <c r="UMX49" s="952"/>
      <c r="UMY49" s="952"/>
      <c r="UMZ49" s="952"/>
      <c r="UNA49" s="952"/>
      <c r="UNB49" s="952"/>
      <c r="UNC49" s="952"/>
      <c r="UND49" s="952"/>
      <c r="UNE49" s="952"/>
      <c r="UNF49" s="952"/>
      <c r="UNG49" s="952"/>
      <c r="UNH49" s="952"/>
      <c r="UNI49" s="952"/>
      <c r="UNJ49" s="952"/>
      <c r="UNK49" s="952"/>
      <c r="UNL49" s="952"/>
      <c r="UNM49" s="952"/>
      <c r="UNN49" s="952"/>
      <c r="UNO49" s="952"/>
      <c r="UNP49" s="952"/>
      <c r="UNQ49" s="952"/>
      <c r="UNR49" s="952"/>
      <c r="UNS49" s="952"/>
      <c r="UNT49" s="952"/>
      <c r="UNU49" s="952"/>
      <c r="UNV49" s="952"/>
      <c r="UNW49" s="952"/>
      <c r="UNX49" s="952"/>
      <c r="UNY49" s="952"/>
      <c r="UNZ49" s="952"/>
      <c r="UOA49" s="952"/>
      <c r="UOB49" s="952"/>
      <c r="UOC49" s="952"/>
      <c r="UOD49" s="952"/>
      <c r="UOE49" s="952"/>
      <c r="UOF49" s="952"/>
      <c r="UOG49" s="952"/>
      <c r="UOH49" s="952"/>
      <c r="UOI49" s="952"/>
      <c r="UOJ49" s="952"/>
      <c r="UOK49" s="952"/>
      <c r="UOL49" s="952"/>
      <c r="UOM49" s="952"/>
      <c r="UON49" s="952"/>
      <c r="UOO49" s="952"/>
      <c r="UOP49" s="952"/>
      <c r="UOQ49" s="952"/>
      <c r="UOR49" s="952"/>
      <c r="UOS49" s="952"/>
      <c r="UOT49" s="952"/>
      <c r="UOU49" s="952"/>
      <c r="UOV49" s="952"/>
      <c r="UOW49" s="952"/>
      <c r="UOX49" s="952"/>
      <c r="UOY49" s="952"/>
      <c r="UOZ49" s="952"/>
      <c r="UPA49" s="952"/>
      <c r="UPB49" s="952"/>
      <c r="UPC49" s="952"/>
      <c r="UPD49" s="952"/>
      <c r="UPE49" s="952"/>
      <c r="UPF49" s="952"/>
      <c r="UPG49" s="952"/>
      <c r="UPH49" s="952"/>
      <c r="UPI49" s="952"/>
      <c r="UPJ49" s="952"/>
      <c r="UPK49" s="952"/>
      <c r="UPL49" s="952"/>
      <c r="UPM49" s="952"/>
      <c r="UPN49" s="952"/>
      <c r="UPO49" s="952"/>
      <c r="UPP49" s="952"/>
      <c r="UPQ49" s="952"/>
      <c r="UPR49" s="952"/>
      <c r="UPS49" s="952"/>
      <c r="UPT49" s="952"/>
      <c r="UPU49" s="952"/>
      <c r="UPV49" s="952"/>
      <c r="UPW49" s="952"/>
      <c r="UPX49" s="952"/>
      <c r="UPY49" s="952"/>
      <c r="UPZ49" s="952"/>
      <c r="UQA49" s="952"/>
      <c r="UQB49" s="952"/>
      <c r="UQC49" s="952"/>
      <c r="UQD49" s="952"/>
      <c r="UQE49" s="952"/>
      <c r="UQF49" s="952"/>
      <c r="UQG49" s="952"/>
      <c r="UQH49" s="952"/>
      <c r="UQI49" s="952"/>
      <c r="UQJ49" s="952"/>
      <c r="UQK49" s="952"/>
      <c r="UQL49" s="952"/>
      <c r="UQM49" s="952"/>
      <c r="UQN49" s="952"/>
      <c r="UQO49" s="952"/>
      <c r="UQP49" s="952"/>
      <c r="UQQ49" s="952"/>
      <c r="UQR49" s="952"/>
      <c r="UQS49" s="952"/>
      <c r="UQT49" s="952"/>
      <c r="UQU49" s="952"/>
      <c r="UQV49" s="952"/>
      <c r="UQW49" s="952"/>
      <c r="UQX49" s="952"/>
      <c r="UQY49" s="952"/>
      <c r="UQZ49" s="952"/>
      <c r="URA49" s="952"/>
      <c r="URB49" s="952"/>
      <c r="URC49" s="952"/>
      <c r="URD49" s="952"/>
      <c r="URE49" s="952"/>
      <c r="URF49" s="952"/>
      <c r="URG49" s="952"/>
      <c r="URH49" s="952"/>
      <c r="URI49" s="952"/>
      <c r="URJ49" s="952"/>
      <c r="URK49" s="952"/>
      <c r="URL49" s="952"/>
      <c r="URM49" s="952"/>
      <c r="URN49" s="952"/>
      <c r="URO49" s="952"/>
      <c r="URP49" s="952"/>
      <c r="URQ49" s="952"/>
      <c r="URR49" s="952"/>
      <c r="URS49" s="952"/>
      <c r="URT49" s="952"/>
      <c r="URU49" s="952"/>
      <c r="URV49" s="952"/>
      <c r="URW49" s="952"/>
      <c r="URX49" s="952"/>
      <c r="URY49" s="952"/>
      <c r="URZ49" s="952"/>
      <c r="USA49" s="952"/>
      <c r="USB49" s="952"/>
      <c r="USC49" s="952"/>
      <c r="USD49" s="952"/>
      <c r="USE49" s="952"/>
      <c r="USF49" s="952"/>
      <c r="USG49" s="952"/>
      <c r="USH49" s="952"/>
      <c r="USI49" s="952"/>
      <c r="USJ49" s="952"/>
      <c r="USK49" s="952"/>
      <c r="USL49" s="952"/>
      <c r="USM49" s="952"/>
      <c r="USN49" s="952"/>
      <c r="USO49" s="952"/>
      <c r="USP49" s="952"/>
      <c r="USQ49" s="952"/>
      <c r="USR49" s="952"/>
      <c r="USS49" s="952"/>
      <c r="UST49" s="952"/>
      <c r="USU49" s="952"/>
      <c r="USV49" s="952"/>
      <c r="USW49" s="952"/>
      <c r="USX49" s="952"/>
      <c r="USY49" s="952"/>
      <c r="USZ49" s="952"/>
      <c r="UTA49" s="952"/>
      <c r="UTB49" s="952"/>
      <c r="UTC49" s="952"/>
      <c r="UTD49" s="952"/>
      <c r="UTE49" s="952"/>
      <c r="UTF49" s="952"/>
      <c r="UTG49" s="952"/>
      <c r="UTH49" s="952"/>
      <c r="UTI49" s="952"/>
      <c r="UTJ49" s="952"/>
      <c r="UTK49" s="952"/>
      <c r="UTL49" s="952"/>
      <c r="UTM49" s="952"/>
      <c r="UTN49" s="952"/>
      <c r="UTO49" s="952"/>
      <c r="UTP49" s="952"/>
      <c r="UTQ49" s="952"/>
      <c r="UTR49" s="952"/>
      <c r="UTS49" s="952"/>
      <c r="UTT49" s="952"/>
      <c r="UTU49" s="952"/>
      <c r="UTV49" s="952"/>
      <c r="UTW49" s="952"/>
      <c r="UTX49" s="952"/>
      <c r="UTY49" s="952"/>
      <c r="UTZ49" s="952"/>
      <c r="UUA49" s="952"/>
      <c r="UUB49" s="952"/>
      <c r="UUC49" s="952"/>
      <c r="UUD49" s="952"/>
      <c r="UUE49" s="952"/>
      <c r="UUF49" s="952"/>
      <c r="UUG49" s="952"/>
      <c r="UUH49" s="952"/>
      <c r="UUI49" s="952"/>
      <c r="UUJ49" s="952"/>
      <c r="UUK49" s="952"/>
      <c r="UUL49" s="952"/>
      <c r="UUM49" s="952"/>
      <c r="UUN49" s="952"/>
      <c r="UUO49" s="952"/>
      <c r="UUP49" s="952"/>
      <c r="UUQ49" s="952"/>
      <c r="UUR49" s="952"/>
      <c r="UUS49" s="952"/>
      <c r="UUT49" s="952"/>
      <c r="UUU49" s="952"/>
      <c r="UUV49" s="952"/>
      <c r="UUW49" s="952"/>
      <c r="UUX49" s="952"/>
      <c r="UUY49" s="952"/>
      <c r="UUZ49" s="952"/>
      <c r="UVA49" s="952"/>
      <c r="UVB49" s="952"/>
      <c r="UVC49" s="952"/>
      <c r="UVD49" s="952"/>
      <c r="UVE49" s="952"/>
      <c r="UVF49" s="952"/>
      <c r="UVG49" s="952"/>
      <c r="UVH49" s="952"/>
      <c r="UVI49" s="952"/>
      <c r="UVJ49" s="952"/>
      <c r="UVK49" s="952"/>
      <c r="UVL49" s="952"/>
      <c r="UVM49" s="952"/>
      <c r="UVN49" s="952"/>
      <c r="UVO49" s="952"/>
      <c r="UVP49" s="952"/>
      <c r="UVQ49" s="952"/>
      <c r="UVR49" s="952"/>
      <c r="UVS49" s="952"/>
      <c r="UVT49" s="952"/>
      <c r="UVU49" s="952"/>
      <c r="UVV49" s="952"/>
      <c r="UVW49" s="952"/>
      <c r="UVX49" s="952"/>
      <c r="UVY49" s="952"/>
      <c r="UVZ49" s="952"/>
      <c r="UWA49" s="952"/>
      <c r="UWB49" s="952"/>
      <c r="UWC49" s="952"/>
      <c r="UWD49" s="952"/>
      <c r="UWE49" s="952"/>
      <c r="UWF49" s="952"/>
      <c r="UWG49" s="952"/>
      <c r="UWH49" s="952"/>
      <c r="UWI49" s="952"/>
      <c r="UWJ49" s="952"/>
      <c r="UWK49" s="952"/>
      <c r="UWL49" s="952"/>
      <c r="UWM49" s="952"/>
      <c r="UWN49" s="952"/>
      <c r="UWO49" s="952"/>
      <c r="UWP49" s="952"/>
      <c r="UWQ49" s="952"/>
      <c r="UWR49" s="952"/>
      <c r="UWS49" s="952"/>
      <c r="UWT49" s="952"/>
      <c r="UWU49" s="952"/>
      <c r="UWV49" s="952"/>
      <c r="UWW49" s="952"/>
      <c r="UWX49" s="952"/>
      <c r="UWY49" s="952"/>
      <c r="UWZ49" s="952"/>
      <c r="UXA49" s="952"/>
      <c r="UXB49" s="952"/>
      <c r="UXC49" s="952"/>
      <c r="UXD49" s="952"/>
      <c r="UXE49" s="952"/>
      <c r="UXF49" s="952"/>
      <c r="UXG49" s="952"/>
      <c r="UXH49" s="952"/>
      <c r="UXI49" s="952"/>
      <c r="UXJ49" s="952"/>
      <c r="UXK49" s="952"/>
      <c r="UXL49" s="952"/>
      <c r="UXM49" s="952"/>
      <c r="UXN49" s="952"/>
      <c r="UXO49" s="952"/>
      <c r="UXP49" s="952"/>
      <c r="UXQ49" s="952"/>
      <c r="UXR49" s="952"/>
      <c r="UXS49" s="952"/>
      <c r="UXT49" s="952"/>
      <c r="UXU49" s="952"/>
      <c r="UXV49" s="952"/>
      <c r="UXW49" s="952"/>
      <c r="UXX49" s="952"/>
      <c r="UXY49" s="952"/>
      <c r="UXZ49" s="952"/>
      <c r="UYA49" s="952"/>
      <c r="UYB49" s="952"/>
      <c r="UYC49" s="952"/>
      <c r="UYD49" s="952"/>
      <c r="UYE49" s="952"/>
      <c r="UYF49" s="952"/>
      <c r="UYG49" s="952"/>
      <c r="UYH49" s="952"/>
      <c r="UYI49" s="952"/>
      <c r="UYJ49" s="952"/>
      <c r="UYK49" s="952"/>
      <c r="UYL49" s="952"/>
      <c r="UYM49" s="952"/>
      <c r="UYN49" s="952"/>
      <c r="UYO49" s="952"/>
      <c r="UYP49" s="952"/>
      <c r="UYQ49" s="952"/>
      <c r="UYR49" s="952"/>
      <c r="UYS49" s="952"/>
      <c r="UYT49" s="952"/>
      <c r="UYU49" s="952"/>
      <c r="UYV49" s="952"/>
      <c r="UYW49" s="952"/>
      <c r="UYX49" s="952"/>
      <c r="UYY49" s="952"/>
      <c r="UYZ49" s="952"/>
      <c r="UZA49" s="952"/>
      <c r="UZB49" s="952"/>
      <c r="UZC49" s="952"/>
      <c r="UZD49" s="952"/>
      <c r="UZE49" s="952"/>
      <c r="UZF49" s="952"/>
      <c r="UZG49" s="952"/>
      <c r="UZH49" s="952"/>
      <c r="UZI49" s="952"/>
      <c r="UZJ49" s="952"/>
      <c r="UZK49" s="952"/>
      <c r="UZL49" s="952"/>
      <c r="UZM49" s="952"/>
      <c r="UZN49" s="952"/>
      <c r="UZO49" s="952"/>
      <c r="UZP49" s="952"/>
      <c r="UZQ49" s="952"/>
      <c r="UZR49" s="952"/>
      <c r="UZS49" s="952"/>
      <c r="UZT49" s="952"/>
      <c r="UZU49" s="952"/>
      <c r="UZV49" s="952"/>
      <c r="UZW49" s="952"/>
      <c r="UZX49" s="952"/>
      <c r="UZY49" s="952"/>
      <c r="UZZ49" s="952"/>
      <c r="VAA49" s="952"/>
      <c r="VAB49" s="952"/>
      <c r="VAC49" s="952"/>
      <c r="VAD49" s="952"/>
      <c r="VAE49" s="952"/>
      <c r="VAF49" s="952"/>
      <c r="VAG49" s="952"/>
      <c r="VAH49" s="952"/>
      <c r="VAI49" s="952"/>
      <c r="VAJ49" s="952"/>
      <c r="VAK49" s="952"/>
      <c r="VAL49" s="952"/>
      <c r="VAM49" s="952"/>
      <c r="VAN49" s="952"/>
      <c r="VAO49" s="952"/>
      <c r="VAP49" s="952"/>
      <c r="VAQ49" s="952"/>
      <c r="VAR49" s="952"/>
      <c r="VAS49" s="952"/>
      <c r="VAT49" s="952"/>
      <c r="VAU49" s="952"/>
      <c r="VAV49" s="952"/>
      <c r="VAW49" s="952"/>
      <c r="VAX49" s="952"/>
      <c r="VAY49" s="952"/>
      <c r="VAZ49" s="952"/>
      <c r="VBA49" s="952"/>
      <c r="VBB49" s="952"/>
      <c r="VBC49" s="952"/>
      <c r="VBD49" s="952"/>
      <c r="VBE49" s="952"/>
      <c r="VBF49" s="952"/>
      <c r="VBG49" s="952"/>
      <c r="VBH49" s="952"/>
      <c r="VBI49" s="952"/>
      <c r="VBJ49" s="952"/>
      <c r="VBK49" s="952"/>
      <c r="VBL49" s="952"/>
      <c r="VBM49" s="952"/>
      <c r="VBN49" s="952"/>
      <c r="VBO49" s="952"/>
      <c r="VBP49" s="952"/>
      <c r="VBQ49" s="952"/>
      <c r="VBR49" s="952"/>
      <c r="VBS49" s="952"/>
      <c r="VBT49" s="952"/>
      <c r="VBU49" s="952"/>
      <c r="VBV49" s="952"/>
      <c r="VBW49" s="952"/>
      <c r="VBX49" s="952"/>
      <c r="VBY49" s="952"/>
      <c r="VBZ49" s="952"/>
      <c r="VCA49" s="952"/>
      <c r="VCB49" s="952"/>
      <c r="VCC49" s="952"/>
      <c r="VCD49" s="952"/>
      <c r="VCE49" s="952"/>
      <c r="VCF49" s="952"/>
      <c r="VCG49" s="952"/>
      <c r="VCH49" s="952"/>
      <c r="VCI49" s="952"/>
      <c r="VCJ49" s="952"/>
      <c r="VCK49" s="952"/>
      <c r="VCL49" s="952"/>
      <c r="VCM49" s="952"/>
      <c r="VCN49" s="952"/>
      <c r="VCO49" s="952"/>
      <c r="VCP49" s="952"/>
      <c r="VCQ49" s="952"/>
      <c r="VCR49" s="952"/>
      <c r="VCS49" s="952"/>
      <c r="VCT49" s="952"/>
      <c r="VCU49" s="952"/>
      <c r="VCV49" s="952"/>
      <c r="VCW49" s="952"/>
      <c r="VCX49" s="952"/>
      <c r="VCY49" s="952"/>
      <c r="VCZ49" s="952"/>
      <c r="VDA49" s="952"/>
      <c r="VDB49" s="952"/>
      <c r="VDC49" s="952"/>
      <c r="VDD49" s="952"/>
      <c r="VDE49" s="952"/>
      <c r="VDF49" s="952"/>
      <c r="VDG49" s="952"/>
      <c r="VDH49" s="952"/>
      <c r="VDI49" s="952"/>
      <c r="VDJ49" s="952"/>
      <c r="VDK49" s="952"/>
      <c r="VDL49" s="952"/>
      <c r="VDM49" s="952"/>
      <c r="VDN49" s="952"/>
      <c r="VDO49" s="952"/>
      <c r="VDP49" s="952"/>
      <c r="VDQ49" s="952"/>
      <c r="VDR49" s="952"/>
      <c r="VDS49" s="952"/>
      <c r="VDT49" s="952"/>
      <c r="VDU49" s="952"/>
      <c r="VDV49" s="952"/>
      <c r="VDW49" s="952"/>
      <c r="VDX49" s="952"/>
      <c r="VDY49" s="952"/>
      <c r="VDZ49" s="952"/>
      <c r="VEA49" s="952"/>
      <c r="VEB49" s="952"/>
      <c r="VEC49" s="952"/>
      <c r="VED49" s="952"/>
      <c r="VEE49" s="952"/>
      <c r="VEF49" s="952"/>
      <c r="VEG49" s="952"/>
      <c r="VEH49" s="952"/>
      <c r="VEI49" s="952"/>
      <c r="VEJ49" s="952"/>
      <c r="VEK49" s="952"/>
      <c r="VEL49" s="952"/>
      <c r="VEM49" s="952"/>
      <c r="VEN49" s="952"/>
      <c r="VEO49" s="952"/>
      <c r="VEP49" s="952"/>
      <c r="VEQ49" s="952"/>
      <c r="VER49" s="952"/>
      <c r="VES49" s="952"/>
      <c r="VET49" s="952"/>
      <c r="VEU49" s="952"/>
      <c r="VEV49" s="952"/>
      <c r="VEW49" s="952"/>
      <c r="VEX49" s="952"/>
      <c r="VEY49" s="952"/>
      <c r="VEZ49" s="952"/>
      <c r="VFA49" s="952"/>
      <c r="VFB49" s="952"/>
      <c r="VFC49" s="952"/>
      <c r="VFD49" s="952"/>
      <c r="VFE49" s="952"/>
      <c r="VFF49" s="952"/>
      <c r="VFG49" s="952"/>
      <c r="VFH49" s="952"/>
      <c r="VFI49" s="952"/>
      <c r="VFJ49" s="952"/>
      <c r="VFK49" s="952"/>
      <c r="VFL49" s="952"/>
      <c r="VFM49" s="952"/>
      <c r="VFN49" s="952"/>
      <c r="VFO49" s="952"/>
      <c r="VFP49" s="952"/>
      <c r="VFQ49" s="952"/>
      <c r="VFR49" s="952"/>
      <c r="VFS49" s="952"/>
      <c r="VFT49" s="952"/>
      <c r="VFU49" s="952"/>
      <c r="VFV49" s="952"/>
      <c r="VFW49" s="952"/>
      <c r="VFX49" s="952"/>
      <c r="VFY49" s="952"/>
      <c r="VFZ49" s="952"/>
      <c r="VGA49" s="952"/>
      <c r="VGB49" s="952"/>
      <c r="VGC49" s="952"/>
      <c r="VGD49" s="952"/>
      <c r="VGE49" s="952"/>
      <c r="VGF49" s="952"/>
      <c r="VGG49" s="952"/>
      <c r="VGH49" s="952"/>
      <c r="VGI49" s="952"/>
      <c r="VGJ49" s="952"/>
      <c r="VGK49" s="952"/>
      <c r="VGL49" s="952"/>
      <c r="VGM49" s="952"/>
      <c r="VGN49" s="952"/>
      <c r="VGO49" s="952"/>
      <c r="VGP49" s="952"/>
      <c r="VGQ49" s="952"/>
      <c r="VGR49" s="952"/>
      <c r="VGS49" s="952"/>
      <c r="VGT49" s="952"/>
      <c r="VGU49" s="952"/>
      <c r="VGV49" s="952"/>
      <c r="VGW49" s="952"/>
      <c r="VGX49" s="952"/>
      <c r="VGY49" s="952"/>
      <c r="VGZ49" s="952"/>
      <c r="VHA49" s="952"/>
      <c r="VHB49" s="952"/>
      <c r="VHC49" s="952"/>
      <c r="VHD49" s="952"/>
      <c r="VHE49" s="952"/>
      <c r="VHF49" s="952"/>
      <c r="VHG49" s="952"/>
      <c r="VHH49" s="952"/>
      <c r="VHI49" s="952"/>
      <c r="VHJ49" s="952"/>
      <c r="VHK49" s="952"/>
      <c r="VHL49" s="952"/>
      <c r="VHM49" s="952"/>
      <c r="VHN49" s="952"/>
      <c r="VHO49" s="952"/>
      <c r="VHP49" s="952"/>
      <c r="VHQ49" s="952"/>
      <c r="VHR49" s="952"/>
      <c r="VHS49" s="952"/>
      <c r="VHT49" s="952"/>
      <c r="VHU49" s="952"/>
      <c r="VHV49" s="952"/>
      <c r="VHW49" s="952"/>
      <c r="VHX49" s="952"/>
      <c r="VHY49" s="952"/>
      <c r="VHZ49" s="952"/>
      <c r="VIA49" s="952"/>
      <c r="VIB49" s="952"/>
      <c r="VIC49" s="952"/>
      <c r="VID49" s="952"/>
      <c r="VIE49" s="952"/>
      <c r="VIF49" s="952"/>
      <c r="VIG49" s="952"/>
      <c r="VIH49" s="952"/>
      <c r="VII49" s="952"/>
      <c r="VIJ49" s="952"/>
      <c r="VIK49" s="952"/>
      <c r="VIL49" s="952"/>
      <c r="VIM49" s="952"/>
      <c r="VIN49" s="952"/>
      <c r="VIO49" s="952"/>
      <c r="VIP49" s="952"/>
      <c r="VIQ49" s="952"/>
      <c r="VIR49" s="952"/>
      <c r="VIS49" s="952"/>
      <c r="VIT49" s="952"/>
      <c r="VIU49" s="952"/>
      <c r="VIV49" s="952"/>
      <c r="VIW49" s="952"/>
      <c r="VIX49" s="952"/>
      <c r="VIY49" s="952"/>
      <c r="VIZ49" s="952"/>
      <c r="VJA49" s="952"/>
      <c r="VJB49" s="952"/>
      <c r="VJC49" s="952"/>
      <c r="VJD49" s="952"/>
      <c r="VJE49" s="952"/>
      <c r="VJF49" s="952"/>
      <c r="VJG49" s="952"/>
      <c r="VJH49" s="952"/>
      <c r="VJI49" s="952"/>
      <c r="VJJ49" s="952"/>
      <c r="VJK49" s="952"/>
      <c r="VJL49" s="952"/>
      <c r="VJM49" s="952"/>
      <c r="VJN49" s="952"/>
      <c r="VJO49" s="952"/>
      <c r="VJP49" s="952"/>
      <c r="VJQ49" s="952"/>
      <c r="VJR49" s="952"/>
      <c r="VJS49" s="952"/>
      <c r="VJT49" s="952"/>
      <c r="VJU49" s="952"/>
      <c r="VJV49" s="952"/>
      <c r="VJW49" s="952"/>
      <c r="VJX49" s="952"/>
      <c r="VJY49" s="952"/>
      <c r="VJZ49" s="952"/>
      <c r="VKA49" s="952"/>
      <c r="VKB49" s="952"/>
      <c r="VKC49" s="952"/>
      <c r="VKD49" s="952"/>
      <c r="VKE49" s="952"/>
      <c r="VKF49" s="952"/>
      <c r="VKG49" s="952"/>
      <c r="VKH49" s="952"/>
      <c r="VKI49" s="952"/>
      <c r="VKJ49" s="952"/>
      <c r="VKK49" s="952"/>
      <c r="VKL49" s="952"/>
      <c r="VKM49" s="952"/>
      <c r="VKN49" s="952"/>
      <c r="VKO49" s="952"/>
      <c r="VKP49" s="952"/>
      <c r="VKQ49" s="952"/>
      <c r="VKR49" s="952"/>
      <c r="VKS49" s="952"/>
      <c r="VKT49" s="952"/>
      <c r="VKU49" s="952"/>
      <c r="VKV49" s="952"/>
      <c r="VKW49" s="952"/>
      <c r="VKX49" s="952"/>
      <c r="VKY49" s="952"/>
      <c r="VKZ49" s="952"/>
      <c r="VLA49" s="952"/>
      <c r="VLB49" s="952"/>
      <c r="VLC49" s="952"/>
      <c r="VLD49" s="952"/>
      <c r="VLE49" s="952"/>
      <c r="VLF49" s="952"/>
      <c r="VLG49" s="952"/>
      <c r="VLH49" s="952"/>
      <c r="VLI49" s="952"/>
      <c r="VLJ49" s="952"/>
      <c r="VLK49" s="952"/>
      <c r="VLL49" s="952"/>
      <c r="VLM49" s="952"/>
      <c r="VLN49" s="952"/>
      <c r="VLO49" s="952"/>
      <c r="VLP49" s="952"/>
      <c r="VLQ49" s="952"/>
      <c r="VLR49" s="952"/>
      <c r="VLS49" s="952"/>
      <c r="VLT49" s="952"/>
      <c r="VLU49" s="952"/>
      <c r="VLV49" s="952"/>
      <c r="VLW49" s="952"/>
      <c r="VLX49" s="952"/>
      <c r="VLY49" s="952"/>
      <c r="VLZ49" s="952"/>
      <c r="VMA49" s="952"/>
      <c r="VMB49" s="952"/>
      <c r="VMC49" s="952"/>
      <c r="VMD49" s="952"/>
      <c r="VME49" s="952"/>
      <c r="VMF49" s="952"/>
      <c r="VMG49" s="952"/>
      <c r="VMH49" s="952"/>
      <c r="VMI49" s="952"/>
      <c r="VMJ49" s="952"/>
      <c r="VMK49" s="952"/>
      <c r="VML49" s="952"/>
      <c r="VMM49" s="952"/>
      <c r="VMN49" s="952"/>
      <c r="VMO49" s="952"/>
      <c r="VMP49" s="952"/>
      <c r="VMQ49" s="952"/>
      <c r="VMR49" s="952"/>
      <c r="VMS49" s="952"/>
      <c r="VMT49" s="952"/>
      <c r="VMU49" s="952"/>
      <c r="VMV49" s="952"/>
      <c r="VMW49" s="952"/>
      <c r="VMX49" s="952"/>
      <c r="VMY49" s="952"/>
      <c r="VMZ49" s="952"/>
      <c r="VNA49" s="952"/>
      <c r="VNB49" s="952"/>
      <c r="VNC49" s="952"/>
      <c r="VND49" s="952"/>
      <c r="VNE49" s="952"/>
      <c r="VNF49" s="952"/>
      <c r="VNG49" s="952"/>
      <c r="VNH49" s="952"/>
      <c r="VNI49" s="952"/>
      <c r="VNJ49" s="952"/>
      <c r="VNK49" s="952"/>
      <c r="VNL49" s="952"/>
      <c r="VNM49" s="952"/>
      <c r="VNN49" s="952"/>
      <c r="VNO49" s="952"/>
      <c r="VNP49" s="952"/>
      <c r="VNQ49" s="952"/>
      <c r="VNR49" s="952"/>
      <c r="VNS49" s="952"/>
      <c r="VNT49" s="952"/>
      <c r="VNU49" s="952"/>
      <c r="VNV49" s="952"/>
      <c r="VNW49" s="952"/>
      <c r="VNX49" s="952"/>
      <c r="VNY49" s="952"/>
      <c r="VNZ49" s="952"/>
      <c r="VOA49" s="952"/>
      <c r="VOB49" s="952"/>
      <c r="VOC49" s="952"/>
      <c r="VOD49" s="952"/>
      <c r="VOE49" s="952"/>
      <c r="VOF49" s="952"/>
      <c r="VOG49" s="952"/>
      <c r="VOH49" s="952"/>
      <c r="VOI49" s="952"/>
      <c r="VOJ49" s="952"/>
      <c r="VOK49" s="952"/>
      <c r="VOL49" s="952"/>
      <c r="VOM49" s="952"/>
      <c r="VON49" s="952"/>
      <c r="VOO49" s="952"/>
      <c r="VOP49" s="952"/>
      <c r="VOQ49" s="952"/>
      <c r="VOR49" s="952"/>
      <c r="VOS49" s="952"/>
      <c r="VOT49" s="952"/>
      <c r="VOU49" s="952"/>
      <c r="VOV49" s="952"/>
      <c r="VOW49" s="952"/>
      <c r="VOX49" s="952"/>
      <c r="VOY49" s="952"/>
      <c r="VOZ49" s="952"/>
      <c r="VPA49" s="952"/>
      <c r="VPB49" s="952"/>
      <c r="VPC49" s="952"/>
      <c r="VPD49" s="952"/>
      <c r="VPE49" s="952"/>
      <c r="VPF49" s="952"/>
      <c r="VPG49" s="952"/>
      <c r="VPH49" s="952"/>
      <c r="VPI49" s="952"/>
      <c r="VPJ49" s="952"/>
      <c r="VPK49" s="952"/>
      <c r="VPL49" s="952"/>
      <c r="VPM49" s="952"/>
      <c r="VPN49" s="952"/>
      <c r="VPO49" s="952"/>
      <c r="VPP49" s="952"/>
      <c r="VPQ49" s="952"/>
      <c r="VPR49" s="952"/>
      <c r="VPS49" s="952"/>
      <c r="VPT49" s="952"/>
      <c r="VPU49" s="952"/>
      <c r="VPV49" s="952"/>
      <c r="VPW49" s="952"/>
      <c r="VPX49" s="952"/>
      <c r="VPY49" s="952"/>
      <c r="VPZ49" s="952"/>
      <c r="VQA49" s="952"/>
      <c r="VQB49" s="952"/>
      <c r="VQC49" s="952"/>
      <c r="VQD49" s="952"/>
      <c r="VQE49" s="952"/>
      <c r="VQF49" s="952"/>
      <c r="VQG49" s="952"/>
      <c r="VQH49" s="952"/>
      <c r="VQI49" s="952"/>
      <c r="VQJ49" s="952"/>
      <c r="VQK49" s="952"/>
      <c r="VQL49" s="952"/>
      <c r="VQM49" s="952"/>
      <c r="VQN49" s="952"/>
      <c r="VQO49" s="952"/>
      <c r="VQP49" s="952"/>
      <c r="VQQ49" s="952"/>
      <c r="VQR49" s="952"/>
      <c r="VQS49" s="952"/>
      <c r="VQT49" s="952"/>
      <c r="VQU49" s="952"/>
      <c r="VQV49" s="952"/>
      <c r="VQW49" s="952"/>
      <c r="VQX49" s="952"/>
      <c r="VQY49" s="952"/>
      <c r="VQZ49" s="952"/>
      <c r="VRA49" s="952"/>
      <c r="VRB49" s="952"/>
      <c r="VRC49" s="952"/>
      <c r="VRD49" s="952"/>
      <c r="VRE49" s="952"/>
      <c r="VRF49" s="952"/>
      <c r="VRG49" s="952"/>
      <c r="VRH49" s="952"/>
      <c r="VRI49" s="952"/>
      <c r="VRJ49" s="952"/>
      <c r="VRK49" s="952"/>
      <c r="VRL49" s="952"/>
      <c r="VRM49" s="952"/>
      <c r="VRN49" s="952"/>
      <c r="VRO49" s="952"/>
      <c r="VRP49" s="952"/>
      <c r="VRQ49" s="952"/>
      <c r="VRR49" s="952"/>
      <c r="VRS49" s="952"/>
      <c r="VRT49" s="952"/>
      <c r="VRU49" s="952"/>
      <c r="VRV49" s="952"/>
      <c r="VRW49" s="952"/>
      <c r="VRX49" s="952"/>
      <c r="VRY49" s="952"/>
      <c r="VRZ49" s="952"/>
      <c r="VSA49" s="952"/>
      <c r="VSB49" s="952"/>
      <c r="VSC49" s="952"/>
      <c r="VSD49" s="952"/>
      <c r="VSE49" s="952"/>
      <c r="VSF49" s="952"/>
      <c r="VSG49" s="952"/>
      <c r="VSH49" s="952"/>
      <c r="VSI49" s="952"/>
      <c r="VSJ49" s="952"/>
      <c r="VSK49" s="952"/>
      <c r="VSL49" s="952"/>
      <c r="VSM49" s="952"/>
      <c r="VSN49" s="952"/>
      <c r="VSO49" s="952"/>
      <c r="VSP49" s="952"/>
      <c r="VSQ49" s="952"/>
      <c r="VSR49" s="952"/>
      <c r="VSS49" s="952"/>
      <c r="VST49" s="952"/>
      <c r="VSU49" s="952"/>
      <c r="VSV49" s="952"/>
      <c r="VSW49" s="952"/>
      <c r="VSX49" s="952"/>
      <c r="VSY49" s="952"/>
      <c r="VSZ49" s="952"/>
      <c r="VTA49" s="952"/>
      <c r="VTB49" s="952"/>
      <c r="VTC49" s="952"/>
      <c r="VTD49" s="952"/>
      <c r="VTE49" s="952"/>
      <c r="VTF49" s="952"/>
      <c r="VTG49" s="952"/>
      <c r="VTH49" s="952"/>
      <c r="VTI49" s="952"/>
      <c r="VTJ49" s="952"/>
      <c r="VTK49" s="952"/>
      <c r="VTL49" s="952"/>
      <c r="VTM49" s="952"/>
      <c r="VTN49" s="952"/>
      <c r="VTO49" s="952"/>
      <c r="VTP49" s="952"/>
      <c r="VTQ49" s="952"/>
      <c r="VTR49" s="952"/>
      <c r="VTS49" s="952"/>
      <c r="VTT49" s="952"/>
      <c r="VTU49" s="952"/>
      <c r="VTV49" s="952"/>
      <c r="VTW49" s="952"/>
      <c r="VTX49" s="952"/>
      <c r="VTY49" s="952"/>
      <c r="VTZ49" s="952"/>
      <c r="VUA49" s="952"/>
      <c r="VUB49" s="952"/>
      <c r="VUC49" s="952"/>
      <c r="VUD49" s="952"/>
      <c r="VUE49" s="952"/>
      <c r="VUF49" s="952"/>
      <c r="VUG49" s="952"/>
      <c r="VUH49" s="952"/>
      <c r="VUI49" s="952"/>
      <c r="VUJ49" s="952"/>
      <c r="VUK49" s="952"/>
      <c r="VUL49" s="952"/>
      <c r="VUM49" s="952"/>
      <c r="VUN49" s="952"/>
      <c r="VUO49" s="952"/>
      <c r="VUP49" s="952"/>
      <c r="VUQ49" s="952"/>
      <c r="VUR49" s="952"/>
      <c r="VUS49" s="952"/>
      <c r="VUT49" s="952"/>
      <c r="VUU49" s="952"/>
      <c r="VUV49" s="952"/>
      <c r="VUW49" s="952"/>
      <c r="VUX49" s="952"/>
      <c r="VUY49" s="952"/>
      <c r="VUZ49" s="952"/>
      <c r="VVA49" s="952"/>
      <c r="VVB49" s="952"/>
      <c r="VVC49" s="952"/>
      <c r="VVD49" s="952"/>
      <c r="VVE49" s="952"/>
      <c r="VVF49" s="952"/>
      <c r="VVG49" s="952"/>
      <c r="VVH49" s="952"/>
      <c r="VVI49" s="952"/>
      <c r="VVJ49" s="952"/>
      <c r="VVK49" s="952"/>
      <c r="VVL49" s="952"/>
      <c r="VVM49" s="952"/>
      <c r="VVN49" s="952"/>
      <c r="VVO49" s="952"/>
      <c r="VVP49" s="952"/>
      <c r="VVQ49" s="952"/>
      <c r="VVR49" s="952"/>
      <c r="VVS49" s="952"/>
      <c r="VVT49" s="952"/>
      <c r="VVU49" s="952"/>
      <c r="VVV49" s="952"/>
      <c r="VVW49" s="952"/>
      <c r="VVX49" s="952"/>
      <c r="VVY49" s="952"/>
      <c r="VVZ49" s="952"/>
      <c r="VWA49" s="952"/>
      <c r="VWB49" s="952"/>
      <c r="VWC49" s="952"/>
      <c r="VWD49" s="952"/>
      <c r="VWE49" s="952"/>
      <c r="VWF49" s="952"/>
      <c r="VWG49" s="952"/>
      <c r="VWH49" s="952"/>
      <c r="VWI49" s="952"/>
      <c r="VWJ49" s="952"/>
      <c r="VWK49" s="952"/>
      <c r="VWL49" s="952"/>
      <c r="VWM49" s="952"/>
      <c r="VWN49" s="952"/>
      <c r="VWO49" s="952"/>
      <c r="VWP49" s="952"/>
      <c r="VWQ49" s="952"/>
      <c r="VWR49" s="952"/>
      <c r="VWS49" s="952"/>
      <c r="VWT49" s="952"/>
      <c r="VWU49" s="952"/>
      <c r="VWV49" s="952"/>
      <c r="VWW49" s="952"/>
      <c r="VWX49" s="952"/>
      <c r="VWY49" s="952"/>
      <c r="VWZ49" s="952"/>
      <c r="VXA49" s="952"/>
      <c r="VXB49" s="952"/>
      <c r="VXC49" s="952"/>
      <c r="VXD49" s="952"/>
      <c r="VXE49" s="952"/>
      <c r="VXF49" s="952"/>
      <c r="VXG49" s="952"/>
      <c r="VXH49" s="952"/>
      <c r="VXI49" s="952"/>
      <c r="VXJ49" s="952"/>
      <c r="VXK49" s="952"/>
      <c r="VXL49" s="952"/>
      <c r="VXM49" s="952"/>
      <c r="VXN49" s="952"/>
      <c r="VXO49" s="952"/>
      <c r="VXP49" s="952"/>
      <c r="VXQ49" s="952"/>
      <c r="VXR49" s="952"/>
      <c r="VXS49" s="952"/>
      <c r="VXT49" s="952"/>
      <c r="VXU49" s="952"/>
      <c r="VXV49" s="952"/>
      <c r="VXW49" s="952"/>
      <c r="VXX49" s="952"/>
      <c r="VXY49" s="952"/>
      <c r="VXZ49" s="952"/>
      <c r="VYA49" s="952"/>
      <c r="VYB49" s="952"/>
      <c r="VYC49" s="952"/>
      <c r="VYD49" s="952"/>
      <c r="VYE49" s="952"/>
      <c r="VYF49" s="952"/>
      <c r="VYG49" s="952"/>
      <c r="VYH49" s="952"/>
      <c r="VYI49" s="952"/>
      <c r="VYJ49" s="952"/>
      <c r="VYK49" s="952"/>
      <c r="VYL49" s="952"/>
      <c r="VYM49" s="952"/>
      <c r="VYN49" s="952"/>
      <c r="VYO49" s="952"/>
      <c r="VYP49" s="952"/>
      <c r="VYQ49" s="952"/>
      <c r="VYR49" s="952"/>
      <c r="VYS49" s="952"/>
      <c r="VYT49" s="952"/>
      <c r="VYU49" s="952"/>
      <c r="VYV49" s="952"/>
      <c r="VYW49" s="952"/>
      <c r="VYX49" s="952"/>
      <c r="VYY49" s="952"/>
      <c r="VYZ49" s="952"/>
      <c r="VZA49" s="952"/>
      <c r="VZB49" s="952"/>
      <c r="VZC49" s="952"/>
      <c r="VZD49" s="952"/>
      <c r="VZE49" s="952"/>
      <c r="VZF49" s="952"/>
      <c r="VZG49" s="952"/>
      <c r="VZH49" s="952"/>
      <c r="VZI49" s="952"/>
      <c r="VZJ49" s="952"/>
      <c r="VZK49" s="952"/>
      <c r="VZL49" s="952"/>
      <c r="VZM49" s="952"/>
      <c r="VZN49" s="952"/>
      <c r="VZO49" s="952"/>
      <c r="VZP49" s="952"/>
      <c r="VZQ49" s="952"/>
      <c r="VZR49" s="952"/>
      <c r="VZS49" s="952"/>
      <c r="VZT49" s="952"/>
      <c r="VZU49" s="952"/>
      <c r="VZV49" s="952"/>
      <c r="VZW49" s="952"/>
      <c r="VZX49" s="952"/>
      <c r="VZY49" s="952"/>
      <c r="VZZ49" s="952"/>
      <c r="WAA49" s="952"/>
      <c r="WAB49" s="952"/>
      <c r="WAC49" s="952"/>
      <c r="WAD49" s="952"/>
      <c r="WAE49" s="952"/>
      <c r="WAF49" s="952"/>
      <c r="WAG49" s="952"/>
      <c r="WAH49" s="952"/>
      <c r="WAI49" s="952"/>
      <c r="WAJ49" s="952"/>
      <c r="WAK49" s="952"/>
      <c r="WAL49" s="952"/>
      <c r="WAM49" s="952"/>
      <c r="WAN49" s="952"/>
      <c r="WAO49" s="952"/>
      <c r="WAP49" s="952"/>
      <c r="WAQ49" s="952"/>
      <c r="WAR49" s="952"/>
      <c r="WAS49" s="952"/>
      <c r="WAT49" s="952"/>
      <c r="WAU49" s="952"/>
      <c r="WAV49" s="952"/>
      <c r="WAW49" s="952"/>
      <c r="WAX49" s="952"/>
      <c r="WAY49" s="952"/>
      <c r="WAZ49" s="952"/>
      <c r="WBA49" s="952"/>
      <c r="WBB49" s="952"/>
      <c r="WBC49" s="952"/>
      <c r="WBD49" s="952"/>
      <c r="WBE49" s="952"/>
      <c r="WBF49" s="952"/>
      <c r="WBG49" s="952"/>
      <c r="WBH49" s="952"/>
      <c r="WBI49" s="952"/>
      <c r="WBJ49" s="952"/>
      <c r="WBK49" s="952"/>
      <c r="WBL49" s="952"/>
      <c r="WBM49" s="952"/>
      <c r="WBN49" s="952"/>
      <c r="WBO49" s="952"/>
      <c r="WBP49" s="952"/>
      <c r="WBQ49" s="952"/>
      <c r="WBR49" s="952"/>
      <c r="WBS49" s="952"/>
      <c r="WBT49" s="952"/>
      <c r="WBU49" s="952"/>
      <c r="WBV49" s="952"/>
      <c r="WBW49" s="952"/>
      <c r="WBX49" s="952"/>
      <c r="WBY49" s="952"/>
      <c r="WBZ49" s="952"/>
      <c r="WCA49" s="952"/>
      <c r="WCB49" s="952"/>
      <c r="WCC49" s="952"/>
      <c r="WCD49" s="952"/>
      <c r="WCE49" s="952"/>
      <c r="WCF49" s="952"/>
      <c r="WCG49" s="952"/>
      <c r="WCH49" s="952"/>
      <c r="WCI49" s="952"/>
      <c r="WCJ49" s="952"/>
      <c r="WCK49" s="952"/>
      <c r="WCL49" s="952"/>
      <c r="WCM49" s="952"/>
      <c r="WCN49" s="952"/>
      <c r="WCO49" s="952"/>
      <c r="WCP49" s="952"/>
      <c r="WCQ49" s="952"/>
      <c r="WCR49" s="952"/>
      <c r="WCS49" s="952"/>
      <c r="WCT49" s="952"/>
      <c r="WCU49" s="952"/>
      <c r="WCV49" s="952"/>
      <c r="WCW49" s="952"/>
      <c r="WCX49" s="952"/>
      <c r="WCY49" s="952"/>
      <c r="WCZ49" s="952"/>
      <c r="WDA49" s="952"/>
      <c r="WDB49" s="952"/>
      <c r="WDC49" s="952"/>
      <c r="WDD49" s="952"/>
      <c r="WDE49" s="952"/>
      <c r="WDF49" s="952"/>
      <c r="WDG49" s="952"/>
      <c r="WDH49" s="952"/>
      <c r="WDI49" s="952"/>
      <c r="WDJ49" s="952"/>
      <c r="WDK49" s="952"/>
      <c r="WDL49" s="952"/>
      <c r="WDM49" s="952"/>
      <c r="WDN49" s="952"/>
      <c r="WDO49" s="952"/>
      <c r="WDP49" s="952"/>
      <c r="WDQ49" s="952"/>
      <c r="WDR49" s="952"/>
      <c r="WDS49" s="952"/>
      <c r="WDT49" s="952"/>
      <c r="WDU49" s="952"/>
      <c r="WDV49" s="952"/>
      <c r="WDW49" s="952"/>
      <c r="WDX49" s="952"/>
      <c r="WDY49" s="952"/>
      <c r="WDZ49" s="952"/>
      <c r="WEA49" s="952"/>
      <c r="WEB49" s="952"/>
      <c r="WEC49" s="952"/>
      <c r="WED49" s="952"/>
      <c r="WEE49" s="952"/>
      <c r="WEF49" s="952"/>
      <c r="WEG49" s="952"/>
      <c r="WEH49" s="952"/>
      <c r="WEI49" s="952"/>
      <c r="WEJ49" s="952"/>
      <c r="WEK49" s="952"/>
      <c r="WEL49" s="952"/>
      <c r="WEM49" s="952"/>
      <c r="WEN49" s="952"/>
      <c r="WEO49" s="952"/>
      <c r="WEP49" s="952"/>
      <c r="WEQ49" s="952"/>
      <c r="WER49" s="952"/>
      <c r="WES49" s="952"/>
      <c r="WET49" s="952"/>
      <c r="WEU49" s="952"/>
      <c r="WEV49" s="952"/>
      <c r="WEW49" s="952"/>
      <c r="WEX49" s="952"/>
      <c r="WEY49" s="952"/>
      <c r="WEZ49" s="952"/>
      <c r="WFA49" s="952"/>
      <c r="WFB49" s="952"/>
      <c r="WFC49" s="952"/>
      <c r="WFD49" s="952"/>
      <c r="WFE49" s="952"/>
      <c r="WFF49" s="952"/>
      <c r="WFG49" s="952"/>
      <c r="WFH49" s="952"/>
      <c r="WFI49" s="952"/>
      <c r="WFJ49" s="952"/>
      <c r="WFK49" s="952"/>
      <c r="WFL49" s="952"/>
      <c r="WFM49" s="952"/>
      <c r="WFN49" s="952"/>
      <c r="WFO49" s="952"/>
      <c r="WFP49" s="952"/>
      <c r="WFQ49" s="952"/>
      <c r="WFR49" s="952"/>
      <c r="WFS49" s="952"/>
      <c r="WFT49" s="952"/>
      <c r="WFU49" s="952"/>
      <c r="WFV49" s="952"/>
      <c r="WFW49" s="952"/>
      <c r="WFX49" s="952"/>
      <c r="WFY49" s="952"/>
      <c r="WFZ49" s="952"/>
      <c r="WGA49" s="952"/>
      <c r="WGB49" s="952"/>
      <c r="WGC49" s="952"/>
      <c r="WGD49" s="952"/>
      <c r="WGE49" s="952"/>
      <c r="WGF49" s="952"/>
      <c r="WGG49" s="952"/>
      <c r="WGH49" s="952"/>
      <c r="WGI49" s="952"/>
      <c r="WGJ49" s="952"/>
      <c r="WGK49" s="952"/>
      <c r="WGL49" s="952"/>
      <c r="WGM49" s="952"/>
      <c r="WGN49" s="952"/>
      <c r="WGO49" s="952"/>
      <c r="WGP49" s="952"/>
      <c r="WGQ49" s="952"/>
      <c r="WGR49" s="952"/>
      <c r="WGS49" s="952"/>
      <c r="WGT49" s="952"/>
      <c r="WGU49" s="952"/>
      <c r="WGV49" s="952"/>
      <c r="WGW49" s="952"/>
      <c r="WGX49" s="952"/>
      <c r="WGY49" s="952"/>
      <c r="WGZ49" s="952"/>
      <c r="WHA49" s="952"/>
      <c r="WHB49" s="952"/>
      <c r="WHC49" s="952"/>
      <c r="WHD49" s="952"/>
      <c r="WHE49" s="952"/>
      <c r="WHF49" s="952"/>
      <c r="WHG49" s="952"/>
      <c r="WHH49" s="952"/>
      <c r="WHI49" s="952"/>
      <c r="WHJ49" s="952"/>
      <c r="WHK49" s="952"/>
      <c r="WHL49" s="952"/>
      <c r="WHM49" s="952"/>
      <c r="WHN49" s="952"/>
      <c r="WHO49" s="952"/>
      <c r="WHP49" s="952"/>
      <c r="WHQ49" s="952"/>
      <c r="WHR49" s="952"/>
      <c r="WHS49" s="952"/>
      <c r="WHT49" s="952"/>
      <c r="WHU49" s="952"/>
      <c r="WHV49" s="952"/>
      <c r="WHW49" s="952"/>
      <c r="WHX49" s="952"/>
      <c r="WHY49" s="952"/>
      <c r="WHZ49" s="952"/>
      <c r="WIA49" s="952"/>
      <c r="WIB49" s="952"/>
      <c r="WIC49" s="952"/>
      <c r="WID49" s="952"/>
      <c r="WIE49" s="952"/>
      <c r="WIF49" s="952"/>
      <c r="WIG49" s="952"/>
      <c r="WIH49" s="952"/>
      <c r="WII49" s="952"/>
      <c r="WIJ49" s="952"/>
      <c r="WIK49" s="952"/>
      <c r="WIL49" s="952"/>
      <c r="WIM49" s="952"/>
      <c r="WIN49" s="952"/>
      <c r="WIO49" s="952"/>
      <c r="WIP49" s="952"/>
      <c r="WIQ49" s="952"/>
      <c r="WIR49" s="952"/>
      <c r="WIS49" s="952"/>
      <c r="WIT49" s="952"/>
      <c r="WIU49" s="952"/>
      <c r="WIV49" s="952"/>
      <c r="WIW49" s="952"/>
      <c r="WIX49" s="952"/>
      <c r="WIY49" s="952"/>
      <c r="WIZ49" s="952"/>
      <c r="WJA49" s="952"/>
      <c r="WJB49" s="952"/>
      <c r="WJC49" s="952"/>
      <c r="WJD49" s="952"/>
      <c r="WJE49" s="952"/>
      <c r="WJF49" s="952"/>
      <c r="WJG49" s="952"/>
      <c r="WJH49" s="952"/>
      <c r="WJI49" s="952"/>
      <c r="WJJ49" s="952"/>
      <c r="WJK49" s="952"/>
      <c r="WJL49" s="952"/>
      <c r="WJM49" s="952"/>
      <c r="WJN49" s="952"/>
      <c r="WJO49" s="952"/>
      <c r="WJP49" s="952"/>
      <c r="WJQ49" s="952"/>
      <c r="WJR49" s="952"/>
      <c r="WJS49" s="952"/>
      <c r="WJT49" s="952"/>
      <c r="WJU49" s="952"/>
      <c r="WJV49" s="952"/>
      <c r="WJW49" s="952"/>
      <c r="WJX49" s="952"/>
      <c r="WJY49" s="952"/>
      <c r="WJZ49" s="952"/>
      <c r="WKA49" s="952"/>
      <c r="WKB49" s="952"/>
      <c r="WKC49" s="952"/>
      <c r="WKD49" s="952"/>
      <c r="WKE49" s="952"/>
      <c r="WKF49" s="952"/>
      <c r="WKG49" s="952"/>
      <c r="WKH49" s="952"/>
      <c r="WKI49" s="952"/>
      <c r="WKJ49" s="952"/>
      <c r="WKK49" s="952"/>
      <c r="WKL49" s="952"/>
      <c r="WKM49" s="952"/>
      <c r="WKN49" s="952"/>
      <c r="WKO49" s="952"/>
      <c r="WKP49" s="952"/>
      <c r="WKQ49" s="952"/>
      <c r="WKR49" s="952"/>
      <c r="WKS49" s="952"/>
      <c r="WKT49" s="952"/>
      <c r="WKU49" s="952"/>
      <c r="WKV49" s="952"/>
      <c r="WKW49" s="952"/>
      <c r="WKX49" s="952"/>
      <c r="WKY49" s="952"/>
      <c r="WKZ49" s="952"/>
      <c r="WLA49" s="952"/>
      <c r="WLB49" s="952"/>
      <c r="WLC49" s="952"/>
      <c r="WLD49" s="952"/>
      <c r="WLE49" s="952"/>
      <c r="WLF49" s="952"/>
      <c r="WLG49" s="952"/>
      <c r="WLH49" s="952"/>
      <c r="WLI49" s="952"/>
      <c r="WLJ49" s="952"/>
      <c r="WLK49" s="952"/>
      <c r="WLL49" s="952"/>
      <c r="WLM49" s="952"/>
      <c r="WLN49" s="952"/>
      <c r="WLO49" s="952"/>
      <c r="WLP49" s="952"/>
      <c r="WLQ49" s="952"/>
      <c r="WLR49" s="952"/>
      <c r="WLS49" s="952"/>
      <c r="WLT49" s="952"/>
      <c r="WLU49" s="952"/>
      <c r="WLV49" s="952"/>
      <c r="WLW49" s="952"/>
      <c r="WLX49" s="952"/>
      <c r="WLY49" s="952"/>
      <c r="WLZ49" s="952"/>
      <c r="WMA49" s="952"/>
      <c r="WMB49" s="952"/>
      <c r="WMC49" s="952"/>
      <c r="WMD49" s="952"/>
      <c r="WME49" s="952"/>
      <c r="WMF49" s="952"/>
      <c r="WMG49" s="952"/>
      <c r="WMH49" s="952"/>
      <c r="WMI49" s="952"/>
      <c r="WMJ49" s="952"/>
      <c r="WMK49" s="952"/>
      <c r="WML49" s="952"/>
      <c r="WMM49" s="952"/>
      <c r="WMN49" s="952"/>
      <c r="WMO49" s="952"/>
      <c r="WMP49" s="952"/>
      <c r="WMQ49" s="952"/>
      <c r="WMR49" s="952"/>
      <c r="WMS49" s="952"/>
      <c r="WMT49" s="952"/>
      <c r="WMU49" s="952"/>
      <c r="WMV49" s="952"/>
      <c r="WMW49" s="952"/>
      <c r="WMX49" s="952"/>
      <c r="WMY49" s="952"/>
      <c r="WMZ49" s="952"/>
      <c r="WNA49" s="952"/>
      <c r="WNB49" s="952"/>
      <c r="WNC49" s="952"/>
      <c r="WND49" s="952"/>
      <c r="WNE49" s="952"/>
      <c r="WNF49" s="952"/>
      <c r="WNG49" s="952"/>
      <c r="WNH49" s="952"/>
      <c r="WNI49" s="952"/>
      <c r="WNJ49" s="952"/>
      <c r="WNK49" s="952"/>
      <c r="WNL49" s="952"/>
      <c r="WNM49" s="952"/>
      <c r="WNN49" s="952"/>
      <c r="WNO49" s="952"/>
      <c r="WNP49" s="952"/>
      <c r="WNQ49" s="952"/>
      <c r="WNR49" s="952"/>
      <c r="WNS49" s="952"/>
      <c r="WNT49" s="952"/>
      <c r="WNU49" s="952"/>
      <c r="WNV49" s="952"/>
      <c r="WNW49" s="952"/>
      <c r="WNX49" s="952"/>
      <c r="WNY49" s="952"/>
      <c r="WNZ49" s="952"/>
      <c r="WOA49" s="952"/>
      <c r="WOB49" s="952"/>
      <c r="WOC49" s="952"/>
      <c r="WOD49" s="952"/>
      <c r="WOE49" s="952"/>
      <c r="WOF49" s="952"/>
      <c r="WOG49" s="952"/>
      <c r="WOH49" s="952"/>
      <c r="WOI49" s="952"/>
      <c r="WOJ49" s="952"/>
      <c r="WOK49" s="952"/>
      <c r="WOL49" s="952"/>
      <c r="WOM49" s="952"/>
      <c r="WON49" s="952"/>
      <c r="WOO49" s="952"/>
      <c r="WOP49" s="952"/>
      <c r="WOQ49" s="952"/>
      <c r="WOR49" s="952"/>
      <c r="WOS49" s="952"/>
      <c r="WOT49" s="952"/>
      <c r="WOU49" s="952"/>
      <c r="WOV49" s="952"/>
      <c r="WOW49" s="952"/>
      <c r="WOX49" s="952"/>
      <c r="WOY49" s="952"/>
      <c r="WOZ49" s="952"/>
      <c r="WPA49" s="952"/>
      <c r="WPB49" s="952"/>
      <c r="WPC49" s="952"/>
      <c r="WPD49" s="952"/>
      <c r="WPE49" s="952"/>
      <c r="WPF49" s="952"/>
      <c r="WPG49" s="952"/>
      <c r="WPH49" s="952"/>
      <c r="WPI49" s="952"/>
      <c r="WPJ49" s="952"/>
      <c r="WPK49" s="952"/>
      <c r="WPL49" s="952"/>
      <c r="WPM49" s="952"/>
      <c r="WPN49" s="952"/>
      <c r="WPO49" s="952"/>
      <c r="WPP49" s="952"/>
      <c r="WPQ49" s="952"/>
      <c r="WPR49" s="952"/>
      <c r="WPS49" s="952"/>
      <c r="WPT49" s="952"/>
      <c r="WPU49" s="952"/>
      <c r="WPV49" s="952"/>
      <c r="WPW49" s="952"/>
      <c r="WPX49" s="952"/>
      <c r="WPY49" s="952"/>
      <c r="WPZ49" s="952"/>
      <c r="WQA49" s="952"/>
      <c r="WQB49" s="952"/>
      <c r="WQC49" s="952"/>
      <c r="WQD49" s="952"/>
      <c r="WQE49" s="952"/>
      <c r="WQF49" s="952"/>
      <c r="WQG49" s="952"/>
      <c r="WQH49" s="952"/>
      <c r="WQI49" s="952"/>
      <c r="WQJ49" s="952"/>
      <c r="WQK49" s="952"/>
      <c r="WQL49" s="952"/>
      <c r="WQM49" s="952"/>
      <c r="WQN49" s="952"/>
      <c r="WQO49" s="952"/>
      <c r="WQP49" s="952"/>
      <c r="WQQ49" s="952"/>
      <c r="WQR49" s="952"/>
      <c r="WQS49" s="952"/>
      <c r="WQT49" s="952"/>
      <c r="WQU49" s="952"/>
      <c r="WQV49" s="952"/>
      <c r="WQW49" s="952"/>
      <c r="WQX49" s="952"/>
      <c r="WQY49" s="952"/>
      <c r="WQZ49" s="952"/>
      <c r="WRA49" s="952"/>
      <c r="WRB49" s="952"/>
      <c r="WRC49" s="952"/>
      <c r="WRD49" s="952"/>
      <c r="WRE49" s="952"/>
      <c r="WRF49" s="952"/>
      <c r="WRG49" s="952"/>
      <c r="WRH49" s="952"/>
      <c r="WRI49" s="952"/>
      <c r="WRJ49" s="952"/>
      <c r="WRK49" s="952"/>
      <c r="WRL49" s="952"/>
      <c r="WRM49" s="952"/>
      <c r="WRN49" s="952"/>
      <c r="WRO49" s="952"/>
      <c r="WRP49" s="952"/>
      <c r="WRQ49" s="952"/>
      <c r="WRR49" s="952"/>
      <c r="WRS49" s="952"/>
      <c r="WRT49" s="952"/>
      <c r="WRU49" s="952"/>
      <c r="WRV49" s="952"/>
      <c r="WRW49" s="952"/>
      <c r="WRX49" s="952"/>
      <c r="WRY49" s="952"/>
      <c r="WRZ49" s="952"/>
      <c r="WSA49" s="952"/>
      <c r="WSB49" s="952"/>
      <c r="WSC49" s="952"/>
      <c r="WSD49" s="952"/>
      <c r="WSE49" s="952"/>
      <c r="WSF49" s="952"/>
      <c r="WSG49" s="952"/>
      <c r="WSH49" s="952"/>
      <c r="WSI49" s="952"/>
      <c r="WSJ49" s="952"/>
      <c r="WSK49" s="952"/>
      <c r="WSL49" s="952"/>
      <c r="WSM49" s="952"/>
      <c r="WSN49" s="952"/>
      <c r="WSO49" s="952"/>
      <c r="WSP49" s="952"/>
      <c r="WSQ49" s="952"/>
      <c r="WSR49" s="952"/>
      <c r="WSS49" s="952"/>
      <c r="WST49" s="952"/>
      <c r="WSU49" s="952"/>
      <c r="WSV49" s="952"/>
      <c r="WSW49" s="952"/>
      <c r="WSX49" s="952"/>
      <c r="WSY49" s="952"/>
      <c r="WSZ49" s="952"/>
      <c r="WTA49" s="952"/>
      <c r="WTB49" s="952"/>
      <c r="WTC49" s="952"/>
      <c r="WTD49" s="952"/>
      <c r="WTE49" s="952"/>
      <c r="WTF49" s="952"/>
      <c r="WTG49" s="952"/>
      <c r="WTH49" s="952"/>
      <c r="WTI49" s="952"/>
      <c r="WTJ49" s="952"/>
      <c r="WTK49" s="952"/>
      <c r="WTL49" s="952"/>
      <c r="WTM49" s="952"/>
      <c r="WTN49" s="952"/>
      <c r="WTO49" s="952"/>
      <c r="WTP49" s="952"/>
      <c r="WTQ49" s="952"/>
      <c r="WTR49" s="952"/>
      <c r="WTS49" s="952"/>
      <c r="WTT49" s="952"/>
      <c r="WTU49" s="952"/>
      <c r="WTV49" s="952"/>
      <c r="WTW49" s="952"/>
      <c r="WTX49" s="952"/>
      <c r="WTY49" s="952"/>
      <c r="WTZ49" s="952"/>
      <c r="WUA49" s="952"/>
      <c r="WUB49" s="952"/>
      <c r="WUC49" s="952"/>
      <c r="WUD49" s="952"/>
      <c r="WUE49" s="952"/>
      <c r="WUF49" s="952"/>
      <c r="WUG49" s="952"/>
      <c r="WUH49" s="952"/>
      <c r="WUI49" s="952"/>
      <c r="WUJ49" s="952"/>
      <c r="WUK49" s="952"/>
      <c r="WUL49" s="952"/>
      <c r="WUM49" s="952"/>
      <c r="WUN49" s="952"/>
      <c r="WUO49" s="952"/>
      <c r="WUP49" s="952"/>
      <c r="WUQ49" s="952"/>
      <c r="WUR49" s="952"/>
      <c r="WUS49" s="952"/>
      <c r="WUT49" s="952"/>
      <c r="WUU49" s="952"/>
      <c r="WUV49" s="952"/>
      <c r="WUW49" s="952"/>
      <c r="WUX49" s="952"/>
      <c r="WUY49" s="952"/>
      <c r="WUZ49" s="952"/>
      <c r="WVA49" s="952"/>
      <c r="WVB49" s="952"/>
      <c r="WVC49" s="952"/>
      <c r="WVD49" s="952"/>
      <c r="WVE49" s="952"/>
      <c r="WVF49" s="952"/>
      <c r="WVG49" s="952"/>
      <c r="WVH49" s="952"/>
      <c r="WVI49" s="952"/>
      <c r="WVJ49" s="952"/>
      <c r="WVK49" s="952"/>
      <c r="WVL49" s="952"/>
      <c r="WVM49" s="952"/>
      <c r="WVN49" s="952"/>
      <c r="WVO49" s="952"/>
      <c r="WVP49" s="952"/>
      <c r="WVQ49" s="952"/>
      <c r="WVR49" s="952"/>
      <c r="WVS49" s="952"/>
      <c r="WVT49" s="952"/>
      <c r="WVU49" s="952"/>
      <c r="WVV49" s="952"/>
      <c r="WVW49" s="952"/>
      <c r="WVX49" s="952"/>
      <c r="WVY49" s="952"/>
      <c r="WVZ49" s="952"/>
      <c r="WWA49" s="952"/>
      <c r="WWB49" s="952"/>
      <c r="WWC49" s="952"/>
      <c r="WWD49" s="952"/>
      <c r="WWE49" s="952"/>
      <c r="WWF49" s="952"/>
      <c r="WWG49" s="952"/>
      <c r="WWH49" s="952"/>
      <c r="WWI49" s="952"/>
      <c r="WWJ49" s="952"/>
      <c r="WWK49" s="952"/>
      <c r="WWL49" s="952"/>
      <c r="WWM49" s="952"/>
      <c r="WWN49" s="952"/>
      <c r="WWO49" s="952"/>
      <c r="WWP49" s="952"/>
      <c r="WWQ49" s="952"/>
      <c r="WWR49" s="952"/>
      <c r="WWS49" s="952"/>
      <c r="WWT49" s="952"/>
      <c r="WWU49" s="952"/>
      <c r="WWV49" s="952"/>
      <c r="WWW49" s="952"/>
      <c r="WWX49" s="952"/>
      <c r="WWY49" s="952"/>
      <c r="WWZ49" s="952"/>
      <c r="WXA49" s="952"/>
      <c r="WXB49" s="952"/>
      <c r="WXC49" s="952"/>
      <c r="WXD49" s="952"/>
      <c r="WXE49" s="952"/>
      <c r="WXF49" s="952"/>
      <c r="WXG49" s="952"/>
      <c r="WXH49" s="952"/>
      <c r="WXI49" s="952"/>
      <c r="WXJ49" s="952"/>
      <c r="WXK49" s="952"/>
      <c r="WXL49" s="952"/>
      <c r="WXM49" s="952"/>
      <c r="WXN49" s="952"/>
      <c r="WXO49" s="952"/>
      <c r="WXP49" s="952"/>
      <c r="WXQ49" s="952"/>
      <c r="WXR49" s="952"/>
      <c r="WXS49" s="952"/>
      <c r="WXT49" s="952"/>
      <c r="WXU49" s="952"/>
      <c r="WXV49" s="952"/>
      <c r="WXW49" s="952"/>
      <c r="WXX49" s="952"/>
      <c r="WXY49" s="952"/>
      <c r="WXZ49" s="952"/>
      <c r="WYA49" s="952"/>
      <c r="WYB49" s="952"/>
      <c r="WYC49" s="952"/>
      <c r="WYD49" s="952"/>
      <c r="WYE49" s="952"/>
      <c r="WYF49" s="952"/>
      <c r="WYG49" s="952"/>
      <c r="WYH49" s="952"/>
      <c r="WYI49" s="952"/>
      <c r="WYJ49" s="952"/>
      <c r="WYK49" s="952"/>
      <c r="WYL49" s="952"/>
      <c r="WYM49" s="952"/>
      <c r="WYN49" s="952"/>
      <c r="WYO49" s="952"/>
      <c r="WYP49" s="952"/>
      <c r="WYQ49" s="952"/>
      <c r="WYR49" s="952"/>
      <c r="WYS49" s="952"/>
      <c r="WYT49" s="952"/>
      <c r="WYU49" s="952"/>
      <c r="WYV49" s="952"/>
      <c r="WYW49" s="952"/>
      <c r="WYX49" s="952"/>
      <c r="WYY49" s="952"/>
      <c r="WYZ49" s="952"/>
      <c r="WZA49" s="952"/>
      <c r="WZB49" s="952"/>
      <c r="WZC49" s="952"/>
      <c r="WZD49" s="952"/>
      <c r="WZE49" s="952"/>
      <c r="WZF49" s="952"/>
      <c r="WZG49" s="952"/>
      <c r="WZH49" s="952"/>
      <c r="WZI49" s="952"/>
      <c r="WZJ49" s="952"/>
      <c r="WZK49" s="952"/>
      <c r="WZL49" s="952"/>
      <c r="WZM49" s="952"/>
      <c r="WZN49" s="952"/>
      <c r="WZO49" s="952"/>
      <c r="WZP49" s="952"/>
      <c r="WZQ49" s="952"/>
      <c r="WZR49" s="952"/>
      <c r="WZS49" s="952"/>
      <c r="WZT49" s="952"/>
      <c r="WZU49" s="952"/>
      <c r="WZV49" s="952"/>
      <c r="WZW49" s="952"/>
      <c r="WZX49" s="952"/>
      <c r="WZY49" s="952"/>
      <c r="WZZ49" s="952"/>
      <c r="XAA49" s="952"/>
      <c r="XAB49" s="952"/>
      <c r="XAC49" s="952"/>
      <c r="XAD49" s="952"/>
      <c r="XAE49" s="952"/>
      <c r="XAF49" s="952"/>
      <c r="XAG49" s="952"/>
      <c r="XAH49" s="952"/>
      <c r="XAI49" s="952"/>
      <c r="XAJ49" s="952"/>
      <c r="XAK49" s="952"/>
      <c r="XAL49" s="952"/>
      <c r="XAM49" s="952"/>
      <c r="XAN49" s="952"/>
      <c r="XAO49" s="952"/>
      <c r="XAP49" s="952"/>
      <c r="XAQ49" s="952"/>
      <c r="XAR49" s="952"/>
      <c r="XAS49" s="952"/>
      <c r="XAT49" s="952"/>
      <c r="XAU49" s="952"/>
      <c r="XAV49" s="952"/>
      <c r="XAW49" s="952"/>
      <c r="XAX49" s="952"/>
      <c r="XAY49" s="952"/>
      <c r="XAZ49" s="952"/>
      <c r="XBA49" s="952"/>
      <c r="XBB49" s="952"/>
      <c r="XBC49" s="952"/>
      <c r="XBD49" s="952"/>
      <c r="XBE49" s="952"/>
      <c r="XBF49" s="952"/>
      <c r="XBG49" s="952"/>
      <c r="XBH49" s="952"/>
      <c r="XBI49" s="952"/>
      <c r="XBJ49" s="952"/>
      <c r="XBK49" s="952"/>
      <c r="XBL49" s="952"/>
      <c r="XBM49" s="952"/>
      <c r="XBN49" s="952"/>
      <c r="XBO49" s="952"/>
      <c r="XBP49" s="952"/>
      <c r="XBQ49" s="952"/>
      <c r="XBR49" s="952"/>
      <c r="XBS49" s="952"/>
      <c r="XBT49" s="952"/>
      <c r="XBU49" s="952"/>
      <c r="XBV49" s="952"/>
      <c r="XBW49" s="952"/>
      <c r="XBX49" s="952"/>
      <c r="XBY49" s="952"/>
      <c r="XBZ49" s="952"/>
      <c r="XCA49" s="952"/>
      <c r="XCB49" s="952"/>
      <c r="XCC49" s="952"/>
      <c r="XCD49" s="952"/>
      <c r="XCE49" s="952"/>
      <c r="XCF49" s="952"/>
      <c r="XCG49" s="952"/>
      <c r="XCH49" s="952"/>
      <c r="XCI49" s="952"/>
      <c r="XCJ49" s="952"/>
      <c r="XCK49" s="952"/>
      <c r="XCL49" s="952"/>
      <c r="XCM49" s="952"/>
      <c r="XCN49" s="952"/>
      <c r="XCO49" s="952"/>
      <c r="XCP49" s="952"/>
      <c r="XCQ49" s="952"/>
      <c r="XCR49" s="952"/>
      <c r="XCS49" s="952"/>
      <c r="XCT49" s="952"/>
      <c r="XCU49" s="952"/>
      <c r="XCV49" s="952"/>
      <c r="XCW49" s="952"/>
      <c r="XCX49" s="952"/>
      <c r="XCY49" s="952"/>
      <c r="XCZ49" s="952"/>
      <c r="XDA49" s="952"/>
      <c r="XDB49" s="952"/>
      <c r="XDC49" s="952"/>
      <c r="XDD49" s="952"/>
      <c r="XDE49" s="952"/>
      <c r="XDF49" s="952"/>
      <c r="XDG49" s="952"/>
      <c r="XDH49" s="952"/>
      <c r="XDI49" s="952"/>
      <c r="XDJ49" s="952"/>
      <c r="XDK49" s="952"/>
      <c r="XDL49" s="952"/>
      <c r="XDM49" s="952"/>
      <c r="XDN49" s="952"/>
      <c r="XDO49" s="952"/>
      <c r="XDP49" s="952"/>
      <c r="XDQ49" s="952"/>
      <c r="XDR49" s="952"/>
      <c r="XDS49" s="952"/>
      <c r="XDT49" s="952"/>
      <c r="XDU49" s="952"/>
      <c r="XDV49" s="952"/>
      <c r="XDW49" s="952"/>
      <c r="XDX49" s="952"/>
      <c r="XDY49" s="952"/>
      <c r="XDZ49" s="952"/>
      <c r="XEA49" s="952"/>
      <c r="XEB49" s="952"/>
      <c r="XEC49" s="952"/>
    </row>
    <row r="50" spans="1:16357" ht="57.75" customHeight="1">
      <c r="A50" s="97" t="s">
        <v>102</v>
      </c>
      <c r="B50" s="102" t="s">
        <v>103</v>
      </c>
      <c r="C50" s="98"/>
      <c r="D50" s="98"/>
      <c r="E50" s="98"/>
      <c r="F50" s="98"/>
      <c r="G50" s="98"/>
      <c r="H50" s="98"/>
      <c r="I50" s="99"/>
      <c r="J50" s="98"/>
      <c r="K50" s="98"/>
      <c r="L50" s="98"/>
      <c r="M50" s="98"/>
      <c r="N50" s="98"/>
      <c r="O50" s="97"/>
      <c r="P50" s="97"/>
      <c r="Q50" s="97"/>
      <c r="R50" s="97"/>
      <c r="S50" s="952"/>
      <c r="T50" s="952"/>
      <c r="U50" s="952"/>
      <c r="V50" s="952"/>
      <c r="W50" s="952"/>
      <c r="X50" s="952"/>
      <c r="Y50" s="952"/>
      <c r="Z50" s="952"/>
      <c r="AA50" s="952"/>
      <c r="AB50" s="952"/>
      <c r="AC50" s="952"/>
      <c r="AD50" s="952"/>
      <c r="AE50" s="952"/>
      <c r="AF50" s="952"/>
      <c r="AG50" s="952"/>
      <c r="AH50" s="6"/>
      <c r="AI50" s="38"/>
      <c r="AJ50" s="6"/>
      <c r="AK50" s="89"/>
      <c r="AL50" s="5"/>
      <c r="AM50" s="168"/>
      <c r="AN50" s="168"/>
      <c r="AO50" s="168"/>
      <c r="AP50" s="168"/>
      <c r="AQ50" s="168"/>
      <c r="AR50" s="168"/>
      <c r="AS50" s="168"/>
      <c r="AT50" s="168"/>
      <c r="AU50" s="168"/>
      <c r="AV50" s="168"/>
      <c r="AW50" s="168"/>
      <c r="AX50" s="952"/>
      <c r="AY50" s="952"/>
      <c r="AZ50" s="952"/>
      <c r="BA50" s="952"/>
      <c r="BB50" s="952"/>
      <c r="BC50" s="952"/>
      <c r="BD50" s="952"/>
      <c r="BE50" s="952"/>
      <c r="BF50" s="952"/>
      <c r="BG50" s="952"/>
      <c r="BH50" s="952"/>
      <c r="BI50" s="952"/>
      <c r="BJ50" s="952"/>
      <c r="BK50" s="952"/>
      <c r="BL50" s="952"/>
      <c r="BM50" s="952"/>
      <c r="BN50" s="952"/>
      <c r="BO50" s="952"/>
      <c r="BP50" s="952"/>
      <c r="BQ50" s="952"/>
      <c r="BR50" s="952"/>
      <c r="BS50" s="952"/>
      <c r="BT50" s="952"/>
      <c r="BU50" s="952"/>
      <c r="BV50" s="168"/>
      <c r="BW50" s="168"/>
      <c r="BX50" s="168"/>
      <c r="BY50" s="952"/>
      <c r="BZ50" s="952"/>
      <c r="CA50" s="952"/>
      <c r="CB50" s="952"/>
      <c r="CC50" s="952"/>
      <c r="CD50" s="952"/>
      <c r="CE50" s="952"/>
      <c r="CF50" s="952"/>
      <c r="CG50" s="952"/>
      <c r="CH50" s="952"/>
      <c r="CI50" s="952"/>
      <c r="CJ50" s="952"/>
      <c r="CK50" s="952"/>
      <c r="CL50" s="952"/>
      <c r="CM50" s="952"/>
      <c r="CN50" s="952"/>
      <c r="CO50" s="952"/>
      <c r="CP50" s="952"/>
      <c r="CQ50" s="952"/>
      <c r="CR50" s="952"/>
      <c r="CS50" s="952"/>
      <c r="CT50" s="952"/>
      <c r="CU50" s="952"/>
      <c r="CV50" s="952"/>
      <c r="CW50" s="952"/>
      <c r="CX50" s="952"/>
      <c r="CY50" s="952"/>
      <c r="CZ50" s="952"/>
      <c r="DA50" s="952"/>
      <c r="DB50" s="952"/>
      <c r="DC50" s="952"/>
      <c r="DD50" s="952"/>
      <c r="DE50" s="952"/>
      <c r="DF50" s="952"/>
      <c r="DG50" s="952"/>
      <c r="DH50" s="952"/>
      <c r="DI50" s="952"/>
      <c r="DJ50" s="952"/>
      <c r="DK50" s="952"/>
      <c r="DL50" s="952"/>
      <c r="DM50" s="952"/>
      <c r="DN50" s="952"/>
      <c r="DO50" s="952"/>
      <c r="DP50" s="952"/>
      <c r="DQ50" s="952"/>
      <c r="DR50" s="952"/>
      <c r="DS50" s="952"/>
      <c r="DT50" s="952"/>
      <c r="DU50" s="952"/>
      <c r="DV50" s="952"/>
      <c r="DW50" s="952"/>
      <c r="DX50" s="952"/>
      <c r="DY50" s="952"/>
      <c r="DZ50" s="952"/>
      <c r="EA50" s="952"/>
      <c r="EB50" s="952"/>
      <c r="EC50" s="952"/>
      <c r="ED50" s="952"/>
      <c r="EE50" s="952"/>
      <c r="EF50" s="952"/>
      <c r="EG50" s="952"/>
      <c r="EH50" s="952"/>
      <c r="EI50" s="952"/>
      <c r="EJ50" s="952"/>
      <c r="EK50" s="952"/>
      <c r="EL50" s="952"/>
      <c r="EM50" s="952"/>
      <c r="EN50" s="952"/>
      <c r="EO50" s="952"/>
      <c r="EP50" s="952"/>
      <c r="EQ50" s="952"/>
      <c r="ER50" s="952"/>
      <c r="ES50" s="952"/>
      <c r="ET50" s="952"/>
      <c r="EU50" s="952"/>
      <c r="EV50" s="952"/>
      <c r="EW50" s="952"/>
      <c r="EX50" s="952"/>
      <c r="EY50" s="952"/>
      <c r="EZ50" s="952"/>
      <c r="FA50" s="952"/>
      <c r="FB50" s="952"/>
      <c r="FC50" s="952"/>
      <c r="FD50" s="952"/>
      <c r="FE50" s="952"/>
      <c r="FF50" s="952"/>
      <c r="FG50" s="952"/>
      <c r="FH50" s="952"/>
      <c r="FI50" s="952"/>
      <c r="FJ50" s="952"/>
      <c r="FK50" s="952"/>
      <c r="FL50" s="952"/>
      <c r="FM50" s="952"/>
      <c r="FN50" s="952"/>
      <c r="FO50" s="952"/>
      <c r="FP50" s="952"/>
      <c r="FQ50" s="952"/>
      <c r="FR50" s="952"/>
      <c r="FS50" s="952"/>
      <c r="FT50" s="952"/>
      <c r="FU50" s="952"/>
      <c r="FV50" s="952"/>
      <c r="FW50" s="952"/>
      <c r="FX50" s="952"/>
      <c r="FY50" s="952"/>
      <c r="FZ50" s="952"/>
      <c r="GA50" s="952"/>
      <c r="GB50" s="952"/>
      <c r="GC50" s="952"/>
      <c r="GD50" s="952"/>
      <c r="GE50" s="952"/>
      <c r="GF50" s="952"/>
      <c r="GG50" s="952"/>
      <c r="GH50" s="952"/>
      <c r="GI50" s="952"/>
      <c r="GJ50" s="952"/>
      <c r="GK50" s="952"/>
      <c r="GL50" s="952"/>
      <c r="GM50" s="952"/>
      <c r="GN50" s="952"/>
      <c r="GO50" s="952"/>
      <c r="GP50" s="952"/>
      <c r="GQ50" s="952"/>
      <c r="GR50" s="952"/>
      <c r="GS50" s="952"/>
      <c r="GT50" s="952"/>
      <c r="GU50" s="952"/>
      <c r="GV50" s="952"/>
      <c r="GW50" s="952"/>
      <c r="GX50" s="952"/>
      <c r="GY50" s="952"/>
      <c r="GZ50" s="952"/>
      <c r="HA50" s="952"/>
      <c r="HB50" s="952"/>
      <c r="HC50" s="952"/>
      <c r="HD50" s="952"/>
      <c r="HE50" s="952"/>
      <c r="HF50" s="952"/>
      <c r="HG50" s="952"/>
      <c r="HH50" s="952"/>
      <c r="HI50" s="952"/>
      <c r="HJ50" s="952"/>
      <c r="HK50" s="952"/>
      <c r="HL50" s="952"/>
      <c r="HM50" s="952"/>
      <c r="HN50" s="952"/>
      <c r="HO50" s="952"/>
      <c r="HP50" s="952"/>
      <c r="HQ50" s="952"/>
      <c r="HR50" s="952"/>
      <c r="HS50" s="952"/>
      <c r="HT50" s="952"/>
      <c r="HU50" s="952"/>
      <c r="HV50" s="952"/>
      <c r="HW50" s="952"/>
      <c r="HX50" s="952"/>
      <c r="HY50" s="952"/>
      <c r="HZ50" s="952"/>
      <c r="IA50" s="952"/>
      <c r="IB50" s="952"/>
      <c r="IC50" s="952"/>
      <c r="ID50" s="952"/>
      <c r="IE50" s="952"/>
      <c r="IF50" s="952"/>
      <c r="IG50" s="952"/>
      <c r="IH50" s="952"/>
      <c r="II50" s="952"/>
      <c r="IJ50" s="952"/>
      <c r="IK50" s="952"/>
      <c r="IL50" s="952"/>
      <c r="IM50" s="952"/>
      <c r="IN50" s="952"/>
      <c r="IO50" s="952"/>
      <c r="IP50" s="952"/>
      <c r="IQ50" s="952"/>
      <c r="IR50" s="952"/>
      <c r="IS50" s="952"/>
      <c r="IT50" s="952"/>
      <c r="IU50" s="952"/>
      <c r="IV50" s="952"/>
      <c r="IW50" s="952"/>
      <c r="IX50" s="952"/>
      <c r="IY50" s="952"/>
      <c r="IZ50" s="952"/>
      <c r="JA50" s="952"/>
      <c r="JB50" s="952"/>
      <c r="JC50" s="952"/>
      <c r="JD50" s="952"/>
      <c r="JE50" s="952"/>
      <c r="JF50" s="952"/>
      <c r="JG50" s="952"/>
      <c r="JH50" s="952"/>
      <c r="JI50" s="952"/>
      <c r="JJ50" s="952"/>
      <c r="JK50" s="952"/>
      <c r="JL50" s="952"/>
      <c r="JM50" s="952"/>
      <c r="JN50" s="952"/>
      <c r="JO50" s="952"/>
      <c r="JP50" s="952"/>
      <c r="JQ50" s="952"/>
      <c r="JR50" s="952"/>
      <c r="JS50" s="952"/>
      <c r="JT50" s="952"/>
      <c r="JU50" s="952"/>
      <c r="JV50" s="952"/>
      <c r="JW50" s="952"/>
      <c r="JX50" s="952"/>
      <c r="JY50" s="952"/>
      <c r="JZ50" s="952"/>
      <c r="KA50" s="952"/>
      <c r="KB50" s="952"/>
      <c r="KC50" s="952"/>
      <c r="KD50" s="952"/>
      <c r="KE50" s="952"/>
      <c r="KF50" s="952"/>
      <c r="KG50" s="952"/>
      <c r="KH50" s="952"/>
      <c r="KI50" s="952"/>
      <c r="KJ50" s="952"/>
      <c r="KK50" s="952"/>
      <c r="KL50" s="952"/>
      <c r="KM50" s="952"/>
      <c r="KN50" s="952"/>
      <c r="KO50" s="952"/>
      <c r="KP50" s="952"/>
      <c r="KQ50" s="952"/>
      <c r="KR50" s="952"/>
      <c r="KS50" s="952"/>
      <c r="KT50" s="952"/>
      <c r="KU50" s="952"/>
      <c r="KV50" s="952"/>
      <c r="KW50" s="952"/>
      <c r="KX50" s="952"/>
      <c r="KY50" s="952"/>
      <c r="KZ50" s="952"/>
      <c r="LA50" s="952"/>
      <c r="LB50" s="952"/>
      <c r="LC50" s="952"/>
      <c r="LD50" s="952"/>
      <c r="LE50" s="952"/>
      <c r="LF50" s="952"/>
      <c r="LG50" s="952"/>
      <c r="LH50" s="952"/>
      <c r="LI50" s="952"/>
      <c r="LJ50" s="952"/>
      <c r="LK50" s="952"/>
      <c r="LL50" s="952"/>
      <c r="LM50" s="952"/>
      <c r="LN50" s="952"/>
      <c r="LO50" s="952"/>
      <c r="LP50" s="952"/>
      <c r="LQ50" s="952"/>
      <c r="LR50" s="952"/>
      <c r="LS50" s="952"/>
      <c r="LT50" s="952"/>
      <c r="LU50" s="952"/>
      <c r="LV50" s="952"/>
      <c r="LW50" s="952"/>
      <c r="LX50" s="952"/>
      <c r="LY50" s="952"/>
      <c r="LZ50" s="952"/>
      <c r="MA50" s="952"/>
      <c r="MB50" s="952"/>
      <c r="MC50" s="952"/>
      <c r="MD50" s="952"/>
      <c r="ME50" s="952"/>
      <c r="MF50" s="952"/>
      <c r="MG50" s="952"/>
      <c r="MH50" s="952"/>
      <c r="MI50" s="952"/>
      <c r="MJ50" s="952"/>
      <c r="MK50" s="952"/>
      <c r="ML50" s="952"/>
      <c r="MM50" s="952"/>
      <c r="MN50" s="952"/>
      <c r="MO50" s="952"/>
      <c r="MP50" s="952"/>
      <c r="MQ50" s="952"/>
      <c r="MR50" s="952"/>
      <c r="MS50" s="952"/>
      <c r="MT50" s="952"/>
      <c r="MU50" s="952"/>
      <c r="MV50" s="952"/>
      <c r="MW50" s="952"/>
      <c r="MX50" s="952"/>
      <c r="MY50" s="952"/>
      <c r="MZ50" s="952"/>
      <c r="NA50" s="952"/>
      <c r="NB50" s="952"/>
      <c r="NC50" s="952"/>
      <c r="ND50" s="952"/>
      <c r="NE50" s="952"/>
      <c r="NF50" s="952"/>
      <c r="NG50" s="952"/>
      <c r="NH50" s="952"/>
      <c r="NI50" s="952"/>
      <c r="NJ50" s="952"/>
      <c r="NK50" s="952"/>
      <c r="NL50" s="952"/>
      <c r="NM50" s="952"/>
      <c r="NN50" s="952"/>
      <c r="NO50" s="952"/>
      <c r="NP50" s="952"/>
      <c r="NQ50" s="952"/>
      <c r="NR50" s="952"/>
      <c r="NS50" s="952"/>
      <c r="NT50" s="952"/>
      <c r="NU50" s="952"/>
      <c r="NV50" s="952"/>
      <c r="NW50" s="952"/>
      <c r="NX50" s="952"/>
      <c r="NY50" s="952"/>
      <c r="NZ50" s="952"/>
      <c r="OA50" s="952"/>
      <c r="OB50" s="952"/>
      <c r="OC50" s="952"/>
      <c r="OD50" s="952"/>
      <c r="OE50" s="952"/>
      <c r="OF50" s="952"/>
      <c r="OG50" s="952"/>
      <c r="OH50" s="952"/>
      <c r="OI50" s="952"/>
      <c r="OJ50" s="952"/>
      <c r="OK50" s="952"/>
      <c r="OL50" s="952"/>
      <c r="OM50" s="952"/>
      <c r="ON50" s="952"/>
      <c r="OO50" s="952"/>
      <c r="OP50" s="952"/>
      <c r="OQ50" s="952"/>
      <c r="OR50" s="952"/>
      <c r="OS50" s="952"/>
      <c r="OT50" s="952"/>
      <c r="OU50" s="952"/>
      <c r="OV50" s="952"/>
      <c r="OW50" s="952"/>
      <c r="OX50" s="952"/>
      <c r="OY50" s="952"/>
      <c r="OZ50" s="952"/>
      <c r="PA50" s="952"/>
      <c r="PB50" s="952"/>
      <c r="PC50" s="952"/>
      <c r="PD50" s="952"/>
      <c r="PE50" s="952"/>
      <c r="PF50" s="952"/>
      <c r="PG50" s="952"/>
      <c r="PH50" s="952"/>
      <c r="PI50" s="952"/>
      <c r="PJ50" s="952"/>
      <c r="PK50" s="952"/>
      <c r="PL50" s="952"/>
      <c r="PM50" s="952"/>
      <c r="PN50" s="952"/>
      <c r="PO50" s="952"/>
      <c r="PP50" s="952"/>
      <c r="PQ50" s="952"/>
      <c r="PR50" s="952"/>
      <c r="PS50" s="952"/>
      <c r="PT50" s="952"/>
      <c r="PU50" s="952"/>
      <c r="PV50" s="952"/>
      <c r="PW50" s="952"/>
      <c r="PX50" s="952"/>
      <c r="PY50" s="952"/>
      <c r="PZ50" s="952"/>
      <c r="QA50" s="952"/>
      <c r="QB50" s="952"/>
      <c r="QC50" s="952"/>
      <c r="QD50" s="952"/>
      <c r="QE50" s="952"/>
      <c r="QF50" s="952"/>
      <c r="QG50" s="952"/>
      <c r="QH50" s="952"/>
      <c r="QI50" s="952"/>
      <c r="QJ50" s="952"/>
      <c r="QK50" s="952"/>
      <c r="QL50" s="952"/>
      <c r="QM50" s="952"/>
      <c r="QN50" s="952"/>
      <c r="QO50" s="952"/>
      <c r="QP50" s="952"/>
      <c r="QQ50" s="952"/>
      <c r="QR50" s="952"/>
      <c r="QS50" s="952"/>
      <c r="QT50" s="952"/>
      <c r="QU50" s="952"/>
      <c r="QV50" s="952"/>
      <c r="QW50" s="952"/>
      <c r="QX50" s="952"/>
      <c r="QY50" s="952"/>
      <c r="QZ50" s="952"/>
      <c r="RA50" s="952"/>
      <c r="RB50" s="952"/>
      <c r="RC50" s="952"/>
      <c r="RD50" s="952"/>
      <c r="RE50" s="952"/>
      <c r="RF50" s="952"/>
      <c r="RG50" s="952"/>
      <c r="RH50" s="952"/>
      <c r="RI50" s="952"/>
      <c r="RJ50" s="952"/>
      <c r="RK50" s="952"/>
      <c r="RL50" s="952"/>
      <c r="RM50" s="952"/>
      <c r="RN50" s="952"/>
      <c r="RO50" s="952"/>
      <c r="RP50" s="952"/>
      <c r="RQ50" s="952"/>
      <c r="RR50" s="952"/>
      <c r="RS50" s="952"/>
      <c r="RT50" s="952"/>
      <c r="RU50" s="952"/>
      <c r="RV50" s="952"/>
      <c r="RW50" s="952"/>
      <c r="RX50" s="952"/>
      <c r="RY50" s="952"/>
      <c r="RZ50" s="952"/>
      <c r="SA50" s="952"/>
      <c r="SB50" s="952"/>
      <c r="SC50" s="952"/>
      <c r="SD50" s="952"/>
      <c r="SE50" s="952"/>
      <c r="SF50" s="952"/>
      <c r="SG50" s="952"/>
      <c r="SH50" s="952"/>
      <c r="SI50" s="952"/>
      <c r="SJ50" s="952"/>
      <c r="SK50" s="952"/>
      <c r="SL50" s="952"/>
      <c r="SM50" s="952"/>
      <c r="SN50" s="952"/>
      <c r="SO50" s="952"/>
      <c r="SP50" s="952"/>
      <c r="SQ50" s="952"/>
      <c r="SR50" s="952"/>
      <c r="SS50" s="952"/>
      <c r="ST50" s="952"/>
      <c r="SU50" s="952"/>
      <c r="SV50" s="952"/>
      <c r="SW50" s="952"/>
      <c r="SX50" s="952"/>
      <c r="SY50" s="952"/>
      <c r="SZ50" s="952"/>
      <c r="TA50" s="952"/>
      <c r="TB50" s="952"/>
      <c r="TC50" s="952"/>
      <c r="TD50" s="952"/>
      <c r="TE50" s="952"/>
      <c r="TF50" s="952"/>
      <c r="TG50" s="952"/>
      <c r="TH50" s="952"/>
      <c r="TI50" s="952"/>
      <c r="TJ50" s="952"/>
      <c r="TK50" s="952"/>
      <c r="TL50" s="952"/>
      <c r="TM50" s="952"/>
      <c r="TN50" s="952"/>
      <c r="TO50" s="952"/>
      <c r="TP50" s="952"/>
      <c r="TQ50" s="952"/>
      <c r="TR50" s="952"/>
      <c r="TS50" s="952"/>
      <c r="TT50" s="952"/>
      <c r="TU50" s="952"/>
      <c r="TV50" s="952"/>
      <c r="TW50" s="952"/>
      <c r="TX50" s="952"/>
      <c r="TY50" s="952"/>
      <c r="TZ50" s="952"/>
      <c r="UA50" s="952"/>
      <c r="UB50" s="952"/>
      <c r="UC50" s="952"/>
      <c r="UD50" s="952"/>
      <c r="UE50" s="952"/>
      <c r="UF50" s="952"/>
      <c r="UG50" s="952"/>
      <c r="UH50" s="952"/>
      <c r="UI50" s="952"/>
      <c r="UJ50" s="952"/>
      <c r="UK50" s="952"/>
      <c r="UL50" s="952"/>
      <c r="UM50" s="952"/>
      <c r="UN50" s="952"/>
      <c r="UO50" s="952"/>
      <c r="UP50" s="952"/>
      <c r="UQ50" s="952"/>
      <c r="UR50" s="952"/>
      <c r="US50" s="952"/>
      <c r="UT50" s="952"/>
      <c r="UU50" s="952"/>
      <c r="UV50" s="952"/>
      <c r="UW50" s="952"/>
      <c r="UX50" s="952"/>
      <c r="UY50" s="952"/>
      <c r="UZ50" s="952"/>
      <c r="VA50" s="952"/>
      <c r="VB50" s="952"/>
      <c r="VC50" s="952"/>
      <c r="VD50" s="952"/>
      <c r="VE50" s="952"/>
      <c r="VF50" s="952"/>
      <c r="VG50" s="952"/>
      <c r="VH50" s="952"/>
      <c r="VI50" s="952"/>
      <c r="VJ50" s="952"/>
      <c r="VK50" s="952"/>
      <c r="VL50" s="952"/>
      <c r="VM50" s="952"/>
      <c r="VN50" s="952"/>
      <c r="VO50" s="952"/>
      <c r="VP50" s="952"/>
      <c r="VQ50" s="952"/>
      <c r="VR50" s="952"/>
      <c r="VS50" s="952"/>
      <c r="VT50" s="952"/>
      <c r="VU50" s="952"/>
      <c r="VV50" s="952"/>
      <c r="VW50" s="952"/>
      <c r="VX50" s="952"/>
      <c r="VY50" s="952"/>
      <c r="VZ50" s="952"/>
      <c r="WA50" s="952"/>
      <c r="WB50" s="952"/>
      <c r="WC50" s="952"/>
      <c r="WD50" s="952"/>
      <c r="WE50" s="952"/>
      <c r="WF50" s="952"/>
      <c r="WG50" s="952"/>
      <c r="WH50" s="952"/>
      <c r="WI50" s="952"/>
      <c r="WJ50" s="952"/>
      <c r="WK50" s="952"/>
      <c r="WL50" s="952"/>
      <c r="WM50" s="952"/>
      <c r="WN50" s="952"/>
      <c r="WO50" s="952"/>
      <c r="WP50" s="952"/>
      <c r="WQ50" s="952"/>
      <c r="WR50" s="952"/>
      <c r="WS50" s="952"/>
      <c r="WT50" s="952"/>
      <c r="WU50" s="952"/>
      <c r="WV50" s="952"/>
      <c r="WW50" s="952"/>
      <c r="WX50" s="952"/>
      <c r="WY50" s="952"/>
      <c r="WZ50" s="952"/>
      <c r="XA50" s="952"/>
      <c r="XB50" s="952"/>
      <c r="XC50" s="952"/>
      <c r="XD50" s="952"/>
      <c r="XE50" s="952"/>
      <c r="XF50" s="952"/>
      <c r="XG50" s="952"/>
      <c r="XH50" s="952"/>
      <c r="XI50" s="952"/>
      <c r="XJ50" s="952"/>
      <c r="XK50" s="952"/>
      <c r="XL50" s="952"/>
      <c r="XM50" s="952"/>
      <c r="XN50" s="952"/>
      <c r="XO50" s="952"/>
      <c r="XP50" s="952"/>
      <c r="XQ50" s="952"/>
      <c r="XR50" s="952"/>
      <c r="XS50" s="952"/>
      <c r="XT50" s="952"/>
      <c r="XU50" s="952"/>
      <c r="XV50" s="952"/>
      <c r="XW50" s="952"/>
      <c r="XX50" s="952"/>
      <c r="XY50" s="952"/>
      <c r="XZ50" s="952"/>
      <c r="YA50" s="952"/>
      <c r="YB50" s="952"/>
      <c r="YC50" s="952"/>
      <c r="YD50" s="952"/>
      <c r="YE50" s="952"/>
      <c r="YF50" s="952"/>
      <c r="YG50" s="952"/>
      <c r="YH50" s="952"/>
      <c r="YI50" s="952"/>
      <c r="YJ50" s="952"/>
      <c r="YK50" s="952"/>
      <c r="YL50" s="952"/>
      <c r="YM50" s="952"/>
      <c r="YN50" s="952"/>
      <c r="YO50" s="952"/>
      <c r="YP50" s="952"/>
      <c r="YQ50" s="952"/>
      <c r="YR50" s="952"/>
      <c r="YS50" s="952"/>
      <c r="YT50" s="952"/>
      <c r="YU50" s="952"/>
      <c r="YV50" s="952"/>
      <c r="YW50" s="952"/>
      <c r="YX50" s="952"/>
      <c r="YY50" s="952"/>
      <c r="YZ50" s="952"/>
      <c r="ZA50" s="952"/>
      <c r="ZB50" s="952"/>
      <c r="ZC50" s="952"/>
      <c r="ZD50" s="952"/>
      <c r="ZE50" s="952"/>
      <c r="ZF50" s="952"/>
      <c r="ZG50" s="952"/>
      <c r="ZH50" s="952"/>
      <c r="ZI50" s="952"/>
      <c r="ZJ50" s="952"/>
      <c r="ZK50" s="952"/>
      <c r="ZL50" s="952"/>
      <c r="ZM50" s="952"/>
      <c r="ZN50" s="952"/>
      <c r="ZO50" s="952"/>
      <c r="ZP50" s="952"/>
      <c r="ZQ50" s="952"/>
      <c r="ZR50" s="952"/>
      <c r="ZS50" s="952"/>
      <c r="ZT50" s="952"/>
      <c r="ZU50" s="952"/>
      <c r="ZV50" s="952"/>
      <c r="ZW50" s="952"/>
      <c r="ZX50" s="952"/>
      <c r="ZY50" s="952"/>
      <c r="ZZ50" s="952"/>
      <c r="AAA50" s="952"/>
      <c r="AAB50" s="952"/>
      <c r="AAC50" s="952"/>
      <c r="AAD50" s="952"/>
      <c r="AAE50" s="952"/>
      <c r="AAF50" s="952"/>
      <c r="AAG50" s="952"/>
      <c r="AAH50" s="952"/>
      <c r="AAI50" s="952"/>
      <c r="AAJ50" s="952"/>
      <c r="AAK50" s="952"/>
      <c r="AAL50" s="952"/>
      <c r="AAM50" s="952"/>
      <c r="AAN50" s="952"/>
      <c r="AAO50" s="952"/>
      <c r="AAP50" s="952"/>
      <c r="AAQ50" s="952"/>
      <c r="AAR50" s="952"/>
      <c r="AAS50" s="952"/>
      <c r="AAT50" s="952"/>
      <c r="AAU50" s="952"/>
      <c r="AAV50" s="952"/>
      <c r="AAW50" s="952"/>
      <c r="AAX50" s="952"/>
      <c r="AAY50" s="952"/>
      <c r="AAZ50" s="952"/>
      <c r="ABA50" s="952"/>
      <c r="ABB50" s="952"/>
      <c r="ABC50" s="952"/>
      <c r="ABD50" s="952"/>
      <c r="ABE50" s="952"/>
      <c r="ABF50" s="952"/>
      <c r="ABG50" s="952"/>
      <c r="ABH50" s="952"/>
      <c r="ABI50" s="952"/>
      <c r="ABJ50" s="952"/>
      <c r="ABK50" s="952"/>
      <c r="ABL50" s="952"/>
      <c r="ABM50" s="952"/>
      <c r="ABN50" s="952"/>
      <c r="ABO50" s="952"/>
      <c r="ABP50" s="952"/>
      <c r="ABQ50" s="952"/>
      <c r="ABR50" s="952"/>
      <c r="ABS50" s="952"/>
      <c r="ABT50" s="952"/>
      <c r="ABU50" s="952"/>
      <c r="ABV50" s="952"/>
      <c r="ABW50" s="952"/>
      <c r="ABX50" s="952"/>
      <c r="ABY50" s="952"/>
      <c r="ABZ50" s="952"/>
      <c r="ACA50" s="952"/>
      <c r="ACB50" s="952"/>
      <c r="ACC50" s="952"/>
      <c r="ACD50" s="952"/>
      <c r="ACE50" s="952"/>
      <c r="ACF50" s="952"/>
      <c r="ACG50" s="952"/>
      <c r="ACH50" s="952"/>
      <c r="ACI50" s="952"/>
      <c r="ACJ50" s="952"/>
      <c r="ACK50" s="952"/>
      <c r="ACL50" s="952"/>
      <c r="ACM50" s="952"/>
      <c r="ACN50" s="952"/>
      <c r="ACO50" s="952"/>
      <c r="ACP50" s="952"/>
      <c r="ACQ50" s="952"/>
      <c r="ACR50" s="952"/>
      <c r="ACS50" s="952"/>
      <c r="ACT50" s="952"/>
      <c r="ACU50" s="952"/>
      <c r="ACV50" s="952"/>
      <c r="ACW50" s="952"/>
      <c r="ACX50" s="952"/>
      <c r="ACY50" s="952"/>
      <c r="ACZ50" s="952"/>
      <c r="ADA50" s="952"/>
      <c r="ADB50" s="952"/>
      <c r="ADC50" s="952"/>
      <c r="ADD50" s="952"/>
      <c r="ADE50" s="952"/>
      <c r="ADF50" s="952"/>
      <c r="ADG50" s="952"/>
      <c r="ADH50" s="952"/>
      <c r="ADI50" s="952"/>
      <c r="ADJ50" s="952"/>
      <c r="ADK50" s="952"/>
      <c r="ADL50" s="952"/>
      <c r="ADM50" s="952"/>
      <c r="ADN50" s="952"/>
      <c r="ADO50" s="952"/>
      <c r="ADP50" s="952"/>
      <c r="ADQ50" s="952"/>
      <c r="ADR50" s="952"/>
      <c r="ADS50" s="952"/>
      <c r="ADT50" s="952"/>
      <c r="ADU50" s="952"/>
      <c r="ADV50" s="952"/>
      <c r="ADW50" s="952"/>
      <c r="ADX50" s="952"/>
      <c r="ADY50" s="952"/>
      <c r="ADZ50" s="952"/>
      <c r="AEA50" s="952"/>
      <c r="AEB50" s="952"/>
      <c r="AEC50" s="952"/>
      <c r="AED50" s="952"/>
      <c r="AEE50" s="952"/>
      <c r="AEF50" s="952"/>
      <c r="AEG50" s="952"/>
      <c r="AEH50" s="952"/>
      <c r="AEI50" s="952"/>
      <c r="AEJ50" s="952"/>
      <c r="AEK50" s="952"/>
      <c r="AEL50" s="952"/>
      <c r="AEM50" s="952"/>
      <c r="AEN50" s="952"/>
      <c r="AEO50" s="952"/>
      <c r="AEP50" s="952"/>
      <c r="AEQ50" s="952"/>
      <c r="AER50" s="952"/>
      <c r="AES50" s="952"/>
      <c r="AET50" s="952"/>
      <c r="AEU50" s="952"/>
      <c r="AEV50" s="952"/>
      <c r="AEW50" s="952"/>
      <c r="AEX50" s="952"/>
      <c r="AEY50" s="952"/>
      <c r="AEZ50" s="952"/>
      <c r="AFA50" s="952"/>
      <c r="AFB50" s="952"/>
      <c r="AFC50" s="952"/>
      <c r="AFD50" s="952"/>
      <c r="AFE50" s="952"/>
      <c r="AFF50" s="952"/>
      <c r="AFG50" s="952"/>
      <c r="AFH50" s="952"/>
      <c r="AFI50" s="952"/>
      <c r="AFJ50" s="952"/>
      <c r="AFK50" s="952"/>
      <c r="AFL50" s="952"/>
      <c r="AFM50" s="952"/>
      <c r="AFN50" s="952"/>
      <c r="AFO50" s="952"/>
      <c r="AFP50" s="952"/>
      <c r="AFQ50" s="952"/>
      <c r="AFR50" s="952"/>
      <c r="AFS50" s="952"/>
      <c r="AFT50" s="952"/>
      <c r="AFU50" s="952"/>
      <c r="AFV50" s="952"/>
      <c r="AFW50" s="952"/>
      <c r="AFX50" s="952"/>
      <c r="AFY50" s="952"/>
      <c r="AFZ50" s="952"/>
      <c r="AGA50" s="952"/>
      <c r="AGB50" s="952"/>
      <c r="AGC50" s="952"/>
      <c r="AGD50" s="952"/>
      <c r="AGE50" s="952"/>
      <c r="AGF50" s="952"/>
      <c r="AGG50" s="952"/>
      <c r="AGH50" s="952"/>
      <c r="AGI50" s="952"/>
      <c r="AGJ50" s="952"/>
      <c r="AGK50" s="952"/>
      <c r="AGL50" s="952"/>
      <c r="AGM50" s="952"/>
      <c r="AGN50" s="952"/>
      <c r="AGO50" s="952"/>
      <c r="AGP50" s="952"/>
      <c r="AGQ50" s="952"/>
      <c r="AGR50" s="952"/>
      <c r="AGS50" s="952"/>
      <c r="AGT50" s="952"/>
      <c r="AGU50" s="952"/>
      <c r="AGV50" s="952"/>
      <c r="AGW50" s="952"/>
      <c r="AGX50" s="952"/>
      <c r="AGY50" s="952"/>
      <c r="AGZ50" s="952"/>
      <c r="AHA50" s="952"/>
      <c r="AHB50" s="952"/>
      <c r="AHC50" s="952"/>
      <c r="AHD50" s="952"/>
      <c r="AHE50" s="952"/>
      <c r="AHF50" s="952"/>
      <c r="AHG50" s="952"/>
      <c r="AHH50" s="952"/>
      <c r="AHI50" s="952"/>
      <c r="AHJ50" s="952"/>
      <c r="AHK50" s="952"/>
      <c r="AHL50" s="952"/>
      <c r="AHM50" s="952"/>
      <c r="AHN50" s="952"/>
      <c r="AHO50" s="952"/>
      <c r="AHP50" s="952"/>
      <c r="AHQ50" s="952"/>
      <c r="AHR50" s="952"/>
      <c r="AHS50" s="952"/>
      <c r="AHT50" s="952"/>
      <c r="AHU50" s="952"/>
      <c r="AHV50" s="952"/>
      <c r="AHW50" s="952"/>
      <c r="AHX50" s="952"/>
      <c r="AHY50" s="952"/>
      <c r="AHZ50" s="952"/>
      <c r="AIA50" s="952"/>
      <c r="AIB50" s="952"/>
      <c r="AIC50" s="952"/>
      <c r="AID50" s="952"/>
      <c r="AIE50" s="952"/>
      <c r="AIF50" s="952"/>
      <c r="AIG50" s="952"/>
      <c r="AIH50" s="952"/>
      <c r="AII50" s="952"/>
      <c r="AIJ50" s="952"/>
      <c r="AIK50" s="952"/>
      <c r="AIL50" s="952"/>
      <c r="AIM50" s="952"/>
      <c r="AIN50" s="952"/>
      <c r="AIO50" s="952"/>
      <c r="AIP50" s="952"/>
      <c r="AIQ50" s="952"/>
      <c r="AIR50" s="952"/>
      <c r="AIS50" s="952"/>
      <c r="AIT50" s="952"/>
      <c r="AIU50" s="952"/>
      <c r="AIV50" s="952"/>
      <c r="AIW50" s="952"/>
      <c r="AIX50" s="952"/>
      <c r="AIY50" s="952"/>
      <c r="AIZ50" s="952"/>
      <c r="AJA50" s="952"/>
      <c r="AJB50" s="952"/>
      <c r="AJC50" s="952"/>
      <c r="AJD50" s="952"/>
      <c r="AJE50" s="952"/>
      <c r="AJF50" s="952"/>
      <c r="AJG50" s="952"/>
      <c r="AJH50" s="952"/>
      <c r="AJI50" s="952"/>
      <c r="AJJ50" s="952"/>
      <c r="AJK50" s="952"/>
      <c r="AJL50" s="952"/>
      <c r="AJM50" s="952"/>
      <c r="AJN50" s="952"/>
      <c r="AJO50" s="952"/>
      <c r="AJP50" s="952"/>
      <c r="AJQ50" s="952"/>
      <c r="AJR50" s="952"/>
      <c r="AJS50" s="952"/>
      <c r="AJT50" s="952"/>
      <c r="AJU50" s="952"/>
      <c r="AJV50" s="952"/>
      <c r="AJW50" s="952"/>
      <c r="AJX50" s="952"/>
      <c r="AJY50" s="952"/>
      <c r="AJZ50" s="952"/>
      <c r="AKA50" s="952"/>
      <c r="AKB50" s="952"/>
      <c r="AKC50" s="952"/>
      <c r="AKD50" s="952"/>
      <c r="AKE50" s="952"/>
      <c r="AKF50" s="952"/>
      <c r="AKG50" s="952"/>
      <c r="AKH50" s="952"/>
      <c r="AKI50" s="952"/>
      <c r="AKJ50" s="952"/>
      <c r="AKK50" s="952"/>
      <c r="AKL50" s="952"/>
      <c r="AKM50" s="952"/>
      <c r="AKN50" s="952"/>
      <c r="AKO50" s="952"/>
      <c r="AKP50" s="952"/>
      <c r="AKQ50" s="952"/>
      <c r="AKR50" s="952"/>
      <c r="AKS50" s="952"/>
      <c r="AKT50" s="952"/>
      <c r="AKU50" s="952"/>
      <c r="AKV50" s="952"/>
      <c r="AKW50" s="952"/>
      <c r="AKX50" s="952"/>
      <c r="AKY50" s="952"/>
      <c r="AKZ50" s="952"/>
      <c r="ALA50" s="952"/>
      <c r="ALB50" s="952"/>
      <c r="ALC50" s="952"/>
      <c r="ALD50" s="952"/>
      <c r="ALE50" s="952"/>
      <c r="ALF50" s="952"/>
      <c r="ALG50" s="952"/>
      <c r="ALH50" s="952"/>
      <c r="ALI50" s="952"/>
      <c r="ALJ50" s="952"/>
      <c r="ALK50" s="952"/>
      <c r="ALL50" s="952"/>
      <c r="ALM50" s="952"/>
      <c r="ALN50" s="952"/>
      <c r="ALO50" s="952"/>
      <c r="ALP50" s="952"/>
      <c r="ALQ50" s="952"/>
      <c r="ALR50" s="952"/>
      <c r="ALS50" s="952"/>
      <c r="ALT50" s="952"/>
      <c r="ALU50" s="952"/>
      <c r="ALV50" s="952"/>
      <c r="ALW50" s="952"/>
      <c r="ALX50" s="952"/>
      <c r="ALY50" s="952"/>
      <c r="ALZ50" s="952"/>
      <c r="AMA50" s="952"/>
      <c r="AMB50" s="952"/>
      <c r="AMC50" s="952"/>
      <c r="AMD50" s="952"/>
      <c r="AME50" s="952"/>
      <c r="AMF50" s="952"/>
      <c r="AMG50" s="952"/>
      <c r="AMH50" s="952"/>
      <c r="AMI50" s="952"/>
      <c r="AMJ50" s="952"/>
      <c r="AMK50" s="952"/>
      <c r="AML50" s="952"/>
      <c r="AMM50" s="952"/>
      <c r="AMN50" s="952"/>
      <c r="AMO50" s="952"/>
      <c r="AMP50" s="952"/>
      <c r="AMQ50" s="952"/>
      <c r="AMR50" s="952"/>
      <c r="AMS50" s="952"/>
      <c r="AMT50" s="952"/>
      <c r="AMU50" s="952"/>
      <c r="AMV50" s="952"/>
      <c r="AMW50" s="952"/>
      <c r="AMX50" s="952"/>
      <c r="AMY50" s="952"/>
      <c r="AMZ50" s="952"/>
      <c r="ANA50" s="952"/>
      <c r="ANB50" s="952"/>
      <c r="ANC50" s="952"/>
      <c r="AND50" s="952"/>
      <c r="ANE50" s="952"/>
      <c r="ANF50" s="952"/>
      <c r="ANG50" s="952"/>
      <c r="ANH50" s="952"/>
      <c r="ANI50" s="952"/>
      <c r="ANJ50" s="952"/>
      <c r="ANK50" s="952"/>
      <c r="ANL50" s="952"/>
      <c r="ANM50" s="952"/>
      <c r="ANN50" s="952"/>
      <c r="ANO50" s="952"/>
      <c r="ANP50" s="952"/>
      <c r="ANQ50" s="952"/>
      <c r="ANR50" s="952"/>
      <c r="ANS50" s="952"/>
      <c r="ANT50" s="952"/>
      <c r="ANU50" s="952"/>
      <c r="ANV50" s="952"/>
      <c r="ANW50" s="952"/>
      <c r="ANX50" s="952"/>
      <c r="ANY50" s="952"/>
      <c r="ANZ50" s="952"/>
      <c r="AOA50" s="952"/>
      <c r="AOB50" s="952"/>
      <c r="AOC50" s="952"/>
      <c r="AOD50" s="952"/>
      <c r="AOE50" s="952"/>
      <c r="AOF50" s="952"/>
      <c r="AOG50" s="952"/>
      <c r="AOH50" s="952"/>
      <c r="AOI50" s="952"/>
      <c r="AOJ50" s="952"/>
      <c r="AOK50" s="952"/>
      <c r="AOL50" s="952"/>
      <c r="AOM50" s="952"/>
      <c r="AON50" s="952"/>
      <c r="AOO50" s="952"/>
      <c r="AOP50" s="952"/>
      <c r="AOQ50" s="952"/>
      <c r="AOR50" s="952"/>
      <c r="AOS50" s="952"/>
      <c r="AOT50" s="952"/>
      <c r="AOU50" s="952"/>
      <c r="AOV50" s="952"/>
      <c r="AOW50" s="952"/>
      <c r="AOX50" s="952"/>
      <c r="AOY50" s="952"/>
      <c r="AOZ50" s="952"/>
      <c r="APA50" s="952"/>
      <c r="APB50" s="952"/>
      <c r="APC50" s="952"/>
      <c r="APD50" s="952"/>
      <c r="APE50" s="952"/>
      <c r="APF50" s="952"/>
      <c r="APG50" s="952"/>
      <c r="APH50" s="952"/>
      <c r="API50" s="952"/>
      <c r="APJ50" s="952"/>
      <c r="APK50" s="952"/>
      <c r="APL50" s="952"/>
      <c r="APM50" s="952"/>
      <c r="APN50" s="952"/>
      <c r="APO50" s="952"/>
      <c r="APP50" s="952"/>
      <c r="APQ50" s="952"/>
      <c r="APR50" s="952"/>
      <c r="APS50" s="952"/>
      <c r="APT50" s="952"/>
      <c r="APU50" s="952"/>
      <c r="APV50" s="952"/>
      <c r="APW50" s="952"/>
      <c r="APX50" s="952"/>
      <c r="APY50" s="952"/>
      <c r="APZ50" s="952"/>
      <c r="AQA50" s="952"/>
      <c r="AQB50" s="952"/>
      <c r="AQC50" s="952"/>
      <c r="AQD50" s="952"/>
      <c r="AQE50" s="952"/>
      <c r="AQF50" s="952"/>
      <c r="AQG50" s="952"/>
      <c r="AQH50" s="952"/>
      <c r="AQI50" s="952"/>
      <c r="AQJ50" s="952"/>
      <c r="AQK50" s="952"/>
      <c r="AQL50" s="952"/>
      <c r="AQM50" s="952"/>
      <c r="AQN50" s="952"/>
      <c r="AQO50" s="952"/>
      <c r="AQP50" s="952"/>
      <c r="AQQ50" s="952"/>
      <c r="AQR50" s="952"/>
      <c r="AQS50" s="952"/>
      <c r="AQT50" s="952"/>
      <c r="AQU50" s="952"/>
      <c r="AQV50" s="952"/>
      <c r="AQW50" s="952"/>
      <c r="AQX50" s="952"/>
      <c r="AQY50" s="952"/>
      <c r="AQZ50" s="952"/>
      <c r="ARA50" s="952"/>
      <c r="ARB50" s="952"/>
      <c r="ARC50" s="952"/>
      <c r="ARD50" s="952"/>
      <c r="ARE50" s="952"/>
      <c r="ARF50" s="952"/>
      <c r="ARG50" s="952"/>
      <c r="ARH50" s="952"/>
      <c r="ARI50" s="952"/>
      <c r="ARJ50" s="952"/>
      <c r="ARK50" s="952"/>
      <c r="ARL50" s="952"/>
      <c r="ARM50" s="952"/>
      <c r="ARN50" s="952"/>
      <c r="ARO50" s="952"/>
      <c r="ARP50" s="952"/>
      <c r="ARQ50" s="952"/>
      <c r="ARR50" s="952"/>
      <c r="ARS50" s="952"/>
      <c r="ART50" s="952"/>
      <c r="ARU50" s="952"/>
      <c r="ARV50" s="952"/>
      <c r="ARW50" s="952"/>
      <c r="ARX50" s="952"/>
      <c r="ARY50" s="952"/>
      <c r="ARZ50" s="952"/>
      <c r="ASA50" s="952"/>
      <c r="ASB50" s="952"/>
      <c r="ASC50" s="952"/>
      <c r="ASD50" s="952"/>
      <c r="ASE50" s="952"/>
      <c r="ASF50" s="952"/>
      <c r="ASG50" s="952"/>
      <c r="ASH50" s="952"/>
      <c r="ASI50" s="952"/>
      <c r="ASJ50" s="952"/>
      <c r="ASK50" s="952"/>
      <c r="ASL50" s="952"/>
      <c r="ASM50" s="952"/>
      <c r="ASN50" s="952"/>
      <c r="ASO50" s="952"/>
      <c r="ASP50" s="952"/>
      <c r="ASQ50" s="952"/>
      <c r="ASR50" s="952"/>
      <c r="ASS50" s="952"/>
      <c r="AST50" s="952"/>
      <c r="ASU50" s="952"/>
      <c r="ASV50" s="952"/>
      <c r="ASW50" s="952"/>
      <c r="ASX50" s="952"/>
      <c r="ASY50" s="952"/>
      <c r="ASZ50" s="952"/>
      <c r="ATA50" s="952"/>
      <c r="ATB50" s="952"/>
      <c r="ATC50" s="952"/>
      <c r="ATD50" s="952"/>
      <c r="ATE50" s="952"/>
      <c r="ATF50" s="952"/>
      <c r="ATG50" s="952"/>
      <c r="ATH50" s="952"/>
      <c r="ATI50" s="952"/>
      <c r="ATJ50" s="952"/>
      <c r="ATK50" s="952"/>
      <c r="ATL50" s="952"/>
      <c r="ATM50" s="952"/>
      <c r="ATN50" s="952"/>
      <c r="ATO50" s="952"/>
      <c r="ATP50" s="952"/>
      <c r="ATQ50" s="952"/>
      <c r="ATR50" s="952"/>
      <c r="ATS50" s="952"/>
      <c r="ATT50" s="952"/>
      <c r="ATU50" s="952"/>
      <c r="ATV50" s="952"/>
      <c r="ATW50" s="952"/>
      <c r="ATX50" s="952"/>
      <c r="ATY50" s="952"/>
      <c r="ATZ50" s="952"/>
      <c r="AUA50" s="952"/>
      <c r="AUB50" s="952"/>
      <c r="AUC50" s="952"/>
      <c r="AUD50" s="952"/>
      <c r="AUE50" s="952"/>
      <c r="AUF50" s="952"/>
      <c r="AUG50" s="952"/>
      <c r="AUH50" s="952"/>
      <c r="AUI50" s="952"/>
      <c r="AUJ50" s="952"/>
      <c r="AUK50" s="952"/>
      <c r="AUL50" s="952"/>
      <c r="AUM50" s="952"/>
      <c r="AUN50" s="952"/>
      <c r="AUO50" s="952"/>
      <c r="AUP50" s="952"/>
      <c r="AUQ50" s="952"/>
      <c r="AUR50" s="952"/>
      <c r="AUS50" s="952"/>
      <c r="AUT50" s="952"/>
      <c r="AUU50" s="952"/>
      <c r="AUV50" s="952"/>
      <c r="AUW50" s="952"/>
      <c r="AUX50" s="952"/>
      <c r="AUY50" s="952"/>
      <c r="AUZ50" s="952"/>
      <c r="AVA50" s="952"/>
      <c r="AVB50" s="952"/>
      <c r="AVC50" s="952"/>
      <c r="AVD50" s="952"/>
      <c r="AVE50" s="952"/>
      <c r="AVF50" s="952"/>
      <c r="AVG50" s="952"/>
      <c r="AVH50" s="952"/>
      <c r="AVI50" s="952"/>
      <c r="AVJ50" s="952"/>
      <c r="AVK50" s="952"/>
      <c r="AVL50" s="952"/>
      <c r="AVM50" s="952"/>
      <c r="AVN50" s="952"/>
      <c r="AVO50" s="952"/>
      <c r="AVP50" s="952"/>
      <c r="AVQ50" s="952"/>
      <c r="AVR50" s="952"/>
      <c r="AVS50" s="952"/>
      <c r="AVT50" s="952"/>
      <c r="AVU50" s="952"/>
      <c r="AVV50" s="952"/>
      <c r="AVW50" s="952"/>
      <c r="AVX50" s="952"/>
      <c r="AVY50" s="952"/>
      <c r="AVZ50" s="952"/>
      <c r="AWA50" s="952"/>
      <c r="AWB50" s="952"/>
      <c r="AWC50" s="952"/>
      <c r="AWD50" s="952"/>
      <c r="AWE50" s="952"/>
      <c r="AWF50" s="952"/>
      <c r="AWG50" s="952"/>
      <c r="AWH50" s="952"/>
      <c r="AWI50" s="952"/>
      <c r="AWJ50" s="952"/>
      <c r="AWK50" s="952"/>
      <c r="AWL50" s="952"/>
      <c r="AWM50" s="952"/>
      <c r="AWN50" s="952"/>
      <c r="AWO50" s="952"/>
      <c r="AWP50" s="952"/>
      <c r="AWQ50" s="952"/>
      <c r="AWR50" s="952"/>
      <c r="AWS50" s="952"/>
      <c r="AWT50" s="952"/>
      <c r="AWU50" s="952"/>
      <c r="AWV50" s="952"/>
      <c r="AWW50" s="952"/>
      <c r="AWX50" s="952"/>
      <c r="AWY50" s="952"/>
      <c r="AWZ50" s="952"/>
      <c r="AXA50" s="952"/>
      <c r="AXB50" s="952"/>
      <c r="AXC50" s="952"/>
      <c r="AXD50" s="952"/>
      <c r="AXE50" s="952"/>
      <c r="AXF50" s="952"/>
      <c r="AXG50" s="952"/>
      <c r="AXH50" s="952"/>
      <c r="AXI50" s="952"/>
      <c r="AXJ50" s="952"/>
      <c r="AXK50" s="952"/>
      <c r="AXL50" s="952"/>
      <c r="AXM50" s="952"/>
      <c r="AXN50" s="952"/>
      <c r="AXO50" s="952"/>
      <c r="AXP50" s="952"/>
      <c r="AXQ50" s="952"/>
      <c r="AXR50" s="952"/>
      <c r="AXS50" s="952"/>
      <c r="AXT50" s="952"/>
      <c r="AXU50" s="952"/>
      <c r="AXV50" s="952"/>
      <c r="AXW50" s="952"/>
      <c r="AXX50" s="952"/>
      <c r="AXY50" s="952"/>
      <c r="AXZ50" s="952"/>
      <c r="AYA50" s="952"/>
      <c r="AYB50" s="952"/>
      <c r="AYC50" s="952"/>
      <c r="AYD50" s="952"/>
      <c r="AYE50" s="952"/>
      <c r="AYF50" s="952"/>
      <c r="AYG50" s="952"/>
      <c r="AYH50" s="952"/>
      <c r="AYI50" s="952"/>
      <c r="AYJ50" s="952"/>
      <c r="AYK50" s="952"/>
      <c r="AYL50" s="952"/>
      <c r="AYM50" s="952"/>
      <c r="AYN50" s="952"/>
      <c r="AYO50" s="952"/>
      <c r="AYP50" s="952"/>
      <c r="AYQ50" s="952"/>
      <c r="AYR50" s="952"/>
      <c r="AYS50" s="952"/>
      <c r="AYT50" s="952"/>
      <c r="AYU50" s="952"/>
      <c r="AYV50" s="952"/>
      <c r="AYW50" s="952"/>
      <c r="AYX50" s="952"/>
      <c r="AYY50" s="952"/>
      <c r="AYZ50" s="952"/>
      <c r="AZA50" s="952"/>
      <c r="AZB50" s="952"/>
      <c r="AZC50" s="952"/>
      <c r="AZD50" s="952"/>
      <c r="AZE50" s="952"/>
      <c r="AZF50" s="952"/>
      <c r="AZG50" s="952"/>
      <c r="AZH50" s="952"/>
      <c r="AZI50" s="952"/>
      <c r="AZJ50" s="952"/>
      <c r="AZK50" s="952"/>
      <c r="AZL50" s="952"/>
      <c r="AZM50" s="952"/>
      <c r="AZN50" s="952"/>
      <c r="AZO50" s="952"/>
      <c r="AZP50" s="952"/>
      <c r="AZQ50" s="952"/>
      <c r="AZR50" s="952"/>
      <c r="AZS50" s="952"/>
      <c r="AZT50" s="952"/>
      <c r="AZU50" s="952"/>
      <c r="AZV50" s="952"/>
      <c r="AZW50" s="952"/>
      <c r="AZX50" s="952"/>
      <c r="AZY50" s="952"/>
      <c r="AZZ50" s="952"/>
      <c r="BAA50" s="952"/>
      <c r="BAB50" s="952"/>
      <c r="BAC50" s="952"/>
      <c r="BAD50" s="952"/>
      <c r="BAE50" s="952"/>
      <c r="BAF50" s="952"/>
      <c r="BAG50" s="952"/>
      <c r="BAH50" s="952"/>
      <c r="BAI50" s="952"/>
      <c r="BAJ50" s="952"/>
      <c r="BAK50" s="952"/>
      <c r="BAL50" s="952"/>
      <c r="BAM50" s="952"/>
      <c r="BAN50" s="952"/>
      <c r="BAO50" s="952"/>
      <c r="BAP50" s="952"/>
      <c r="BAQ50" s="952"/>
      <c r="BAR50" s="952"/>
      <c r="BAS50" s="952"/>
      <c r="BAT50" s="952"/>
      <c r="BAU50" s="952"/>
      <c r="BAV50" s="952"/>
      <c r="BAW50" s="952"/>
      <c r="BAX50" s="952"/>
      <c r="BAY50" s="952"/>
      <c r="BAZ50" s="952"/>
      <c r="BBA50" s="952"/>
      <c r="BBB50" s="952"/>
      <c r="BBC50" s="952"/>
      <c r="BBD50" s="952"/>
      <c r="BBE50" s="952"/>
      <c r="BBF50" s="952"/>
      <c r="BBG50" s="952"/>
      <c r="BBH50" s="952"/>
      <c r="BBI50" s="952"/>
      <c r="BBJ50" s="952"/>
      <c r="BBK50" s="952"/>
      <c r="BBL50" s="952"/>
      <c r="BBM50" s="952"/>
      <c r="BBN50" s="952"/>
      <c r="BBO50" s="952"/>
      <c r="BBP50" s="952"/>
      <c r="BBQ50" s="952"/>
      <c r="BBR50" s="952"/>
      <c r="BBS50" s="952"/>
      <c r="BBT50" s="952"/>
      <c r="BBU50" s="952"/>
      <c r="BBV50" s="952"/>
      <c r="BBW50" s="952"/>
      <c r="BBX50" s="952"/>
      <c r="BBY50" s="952"/>
      <c r="BBZ50" s="952"/>
      <c r="BCA50" s="952"/>
      <c r="BCB50" s="952"/>
      <c r="BCC50" s="952"/>
      <c r="BCD50" s="952"/>
      <c r="BCE50" s="952"/>
      <c r="BCF50" s="952"/>
      <c r="BCG50" s="952"/>
      <c r="BCH50" s="952"/>
      <c r="BCI50" s="952"/>
      <c r="BCJ50" s="952"/>
      <c r="BCK50" s="952"/>
      <c r="BCL50" s="952"/>
      <c r="BCM50" s="952"/>
      <c r="BCN50" s="952"/>
      <c r="BCO50" s="952"/>
      <c r="BCP50" s="952"/>
      <c r="BCQ50" s="952"/>
      <c r="BCR50" s="952"/>
      <c r="BCS50" s="952"/>
      <c r="BCT50" s="952"/>
      <c r="BCU50" s="952"/>
      <c r="BCV50" s="952"/>
      <c r="BCW50" s="952"/>
      <c r="BCX50" s="952"/>
      <c r="BCY50" s="952"/>
      <c r="BCZ50" s="952"/>
      <c r="BDA50" s="952"/>
      <c r="BDB50" s="952"/>
      <c r="BDC50" s="952"/>
      <c r="BDD50" s="952"/>
      <c r="BDE50" s="952"/>
      <c r="BDF50" s="952"/>
      <c r="BDG50" s="952"/>
      <c r="BDH50" s="952"/>
      <c r="BDI50" s="952"/>
      <c r="BDJ50" s="952"/>
      <c r="BDK50" s="952"/>
      <c r="BDL50" s="952"/>
      <c r="BDM50" s="952"/>
      <c r="BDN50" s="952"/>
      <c r="BDO50" s="952"/>
      <c r="BDP50" s="952"/>
      <c r="BDQ50" s="952"/>
      <c r="BDR50" s="952"/>
      <c r="BDS50" s="952"/>
      <c r="BDT50" s="952"/>
      <c r="BDU50" s="952"/>
      <c r="BDV50" s="952"/>
      <c r="BDW50" s="952"/>
      <c r="BDX50" s="952"/>
      <c r="BDY50" s="952"/>
      <c r="BDZ50" s="952"/>
      <c r="BEA50" s="952"/>
      <c r="BEB50" s="952"/>
      <c r="BEC50" s="952"/>
      <c r="BED50" s="952"/>
      <c r="BEE50" s="952"/>
      <c r="BEF50" s="952"/>
      <c r="BEG50" s="952"/>
      <c r="BEH50" s="952"/>
      <c r="BEI50" s="952"/>
      <c r="BEJ50" s="952"/>
      <c r="BEK50" s="952"/>
      <c r="BEL50" s="952"/>
      <c r="BEM50" s="952"/>
      <c r="BEN50" s="952"/>
      <c r="BEO50" s="952"/>
      <c r="BEP50" s="952"/>
      <c r="BEQ50" s="952"/>
      <c r="BER50" s="952"/>
      <c r="BES50" s="952"/>
      <c r="BET50" s="952"/>
      <c r="BEU50" s="952"/>
      <c r="BEV50" s="952"/>
      <c r="BEW50" s="952"/>
      <c r="BEX50" s="952"/>
      <c r="BEY50" s="952"/>
      <c r="BEZ50" s="952"/>
      <c r="BFA50" s="952"/>
      <c r="BFB50" s="952"/>
      <c r="BFC50" s="952"/>
      <c r="BFD50" s="952"/>
      <c r="BFE50" s="952"/>
      <c r="BFF50" s="952"/>
      <c r="BFG50" s="952"/>
      <c r="BFH50" s="952"/>
      <c r="BFI50" s="952"/>
      <c r="BFJ50" s="952"/>
      <c r="BFK50" s="952"/>
      <c r="BFL50" s="952"/>
      <c r="BFM50" s="952"/>
      <c r="BFN50" s="952"/>
      <c r="BFO50" s="952"/>
      <c r="BFP50" s="952"/>
      <c r="BFQ50" s="952"/>
      <c r="BFR50" s="952"/>
      <c r="BFS50" s="952"/>
      <c r="BFT50" s="952"/>
      <c r="BFU50" s="952"/>
      <c r="BFV50" s="952"/>
      <c r="BFW50" s="952"/>
      <c r="BFX50" s="952"/>
      <c r="BFY50" s="952"/>
      <c r="BFZ50" s="952"/>
      <c r="BGA50" s="952"/>
      <c r="BGB50" s="952"/>
      <c r="BGC50" s="952"/>
      <c r="BGD50" s="952"/>
      <c r="BGE50" s="952"/>
      <c r="BGF50" s="952"/>
      <c r="BGG50" s="952"/>
      <c r="BGH50" s="952"/>
      <c r="BGI50" s="952"/>
      <c r="BGJ50" s="952"/>
      <c r="BGK50" s="952"/>
      <c r="BGL50" s="952"/>
      <c r="BGM50" s="952"/>
      <c r="BGN50" s="952"/>
      <c r="BGO50" s="952"/>
      <c r="BGP50" s="952"/>
      <c r="BGQ50" s="952"/>
      <c r="BGR50" s="952"/>
      <c r="BGS50" s="952"/>
      <c r="BGT50" s="952"/>
      <c r="BGU50" s="952"/>
      <c r="BGV50" s="952"/>
      <c r="BGW50" s="952"/>
      <c r="BGX50" s="952"/>
      <c r="BGY50" s="952"/>
      <c r="BGZ50" s="952"/>
      <c r="BHA50" s="952"/>
      <c r="BHB50" s="952"/>
      <c r="BHC50" s="952"/>
      <c r="BHD50" s="952"/>
      <c r="BHE50" s="952"/>
      <c r="BHF50" s="952"/>
      <c r="BHG50" s="952"/>
      <c r="BHH50" s="952"/>
      <c r="BHI50" s="952"/>
      <c r="BHJ50" s="952"/>
      <c r="BHK50" s="952"/>
      <c r="BHL50" s="952"/>
      <c r="BHM50" s="952"/>
      <c r="BHN50" s="952"/>
      <c r="BHO50" s="952"/>
      <c r="BHP50" s="952"/>
      <c r="BHQ50" s="952"/>
      <c r="BHR50" s="952"/>
      <c r="BHS50" s="952"/>
      <c r="BHT50" s="952"/>
      <c r="BHU50" s="952"/>
      <c r="BHV50" s="952"/>
      <c r="BHW50" s="952"/>
      <c r="BHX50" s="952"/>
      <c r="BHY50" s="952"/>
      <c r="BHZ50" s="952"/>
      <c r="BIA50" s="952"/>
      <c r="BIB50" s="952"/>
      <c r="BIC50" s="952"/>
      <c r="BID50" s="952"/>
      <c r="BIE50" s="952"/>
      <c r="BIF50" s="952"/>
      <c r="BIG50" s="952"/>
      <c r="BIH50" s="952"/>
      <c r="BII50" s="952"/>
      <c r="BIJ50" s="952"/>
      <c r="BIK50" s="952"/>
      <c r="BIL50" s="952"/>
      <c r="BIM50" s="952"/>
      <c r="BIN50" s="952"/>
      <c r="BIO50" s="952"/>
      <c r="BIP50" s="952"/>
      <c r="BIQ50" s="952"/>
      <c r="BIR50" s="952"/>
      <c r="BIS50" s="952"/>
      <c r="BIT50" s="952"/>
      <c r="BIU50" s="952"/>
      <c r="BIV50" s="952"/>
      <c r="BIW50" s="952"/>
      <c r="BIX50" s="952"/>
      <c r="BIY50" s="952"/>
      <c r="BIZ50" s="952"/>
      <c r="BJA50" s="952"/>
      <c r="BJB50" s="952"/>
      <c r="BJC50" s="952"/>
      <c r="BJD50" s="952"/>
      <c r="BJE50" s="952"/>
      <c r="BJF50" s="952"/>
      <c r="BJG50" s="952"/>
      <c r="BJH50" s="952"/>
      <c r="BJI50" s="952"/>
      <c r="BJJ50" s="952"/>
      <c r="BJK50" s="952"/>
      <c r="BJL50" s="952"/>
      <c r="BJM50" s="952"/>
      <c r="BJN50" s="952"/>
      <c r="BJO50" s="952"/>
      <c r="BJP50" s="952"/>
      <c r="BJQ50" s="952"/>
      <c r="BJR50" s="952"/>
      <c r="BJS50" s="952"/>
      <c r="BJT50" s="952"/>
      <c r="BJU50" s="952"/>
      <c r="BJV50" s="952"/>
      <c r="BJW50" s="952"/>
      <c r="BJX50" s="952"/>
      <c r="BJY50" s="952"/>
      <c r="BJZ50" s="952"/>
      <c r="BKA50" s="952"/>
      <c r="BKB50" s="952"/>
      <c r="BKC50" s="952"/>
      <c r="BKD50" s="952"/>
      <c r="BKE50" s="952"/>
      <c r="BKF50" s="952"/>
      <c r="BKG50" s="952"/>
      <c r="BKH50" s="952"/>
      <c r="BKI50" s="952"/>
      <c r="BKJ50" s="952"/>
      <c r="BKK50" s="952"/>
      <c r="BKL50" s="952"/>
      <c r="BKM50" s="952"/>
      <c r="BKN50" s="952"/>
      <c r="BKO50" s="952"/>
      <c r="BKP50" s="952"/>
      <c r="BKQ50" s="952"/>
      <c r="BKR50" s="952"/>
      <c r="BKS50" s="952"/>
      <c r="BKT50" s="952"/>
      <c r="BKU50" s="952"/>
      <c r="BKV50" s="952"/>
      <c r="BKW50" s="952"/>
      <c r="BKX50" s="952"/>
      <c r="BKY50" s="952"/>
      <c r="BKZ50" s="952"/>
      <c r="BLA50" s="952"/>
      <c r="BLB50" s="952"/>
      <c r="BLC50" s="952"/>
      <c r="BLD50" s="952"/>
      <c r="BLE50" s="952"/>
      <c r="BLF50" s="952"/>
      <c r="BLG50" s="952"/>
      <c r="BLH50" s="952"/>
      <c r="BLI50" s="952"/>
      <c r="BLJ50" s="952"/>
      <c r="BLK50" s="952"/>
      <c r="BLL50" s="952"/>
      <c r="BLM50" s="952"/>
      <c r="BLN50" s="952"/>
      <c r="BLO50" s="952"/>
      <c r="BLP50" s="952"/>
      <c r="BLQ50" s="952"/>
      <c r="BLR50" s="952"/>
      <c r="BLS50" s="952"/>
      <c r="BLT50" s="952"/>
      <c r="BLU50" s="952"/>
      <c r="BLV50" s="952"/>
      <c r="BLW50" s="952"/>
      <c r="BLX50" s="952"/>
      <c r="BLY50" s="952"/>
      <c r="BLZ50" s="952"/>
      <c r="BMA50" s="952"/>
      <c r="BMB50" s="952"/>
      <c r="BMC50" s="952"/>
      <c r="BMD50" s="952"/>
      <c r="BME50" s="952"/>
      <c r="BMF50" s="952"/>
      <c r="BMG50" s="952"/>
      <c r="BMH50" s="952"/>
      <c r="BMI50" s="952"/>
      <c r="BMJ50" s="952"/>
      <c r="BMK50" s="952"/>
      <c r="BML50" s="952"/>
      <c r="BMM50" s="952"/>
      <c r="BMN50" s="952"/>
      <c r="BMO50" s="952"/>
      <c r="BMP50" s="952"/>
      <c r="BMQ50" s="952"/>
      <c r="BMR50" s="952"/>
      <c r="BMS50" s="952"/>
      <c r="BMT50" s="952"/>
      <c r="BMU50" s="952"/>
      <c r="BMV50" s="952"/>
      <c r="BMW50" s="952"/>
      <c r="BMX50" s="952"/>
      <c r="BMY50" s="952"/>
      <c r="BMZ50" s="952"/>
      <c r="BNA50" s="952"/>
      <c r="BNB50" s="952"/>
      <c r="BNC50" s="952"/>
      <c r="BND50" s="952"/>
      <c r="BNE50" s="952"/>
      <c r="BNF50" s="952"/>
      <c r="BNG50" s="952"/>
      <c r="BNH50" s="952"/>
      <c r="BNI50" s="952"/>
      <c r="BNJ50" s="952"/>
      <c r="BNK50" s="952"/>
      <c r="BNL50" s="952"/>
      <c r="BNM50" s="952"/>
      <c r="BNN50" s="952"/>
      <c r="BNO50" s="952"/>
      <c r="BNP50" s="952"/>
      <c r="BNQ50" s="952"/>
      <c r="BNR50" s="952"/>
      <c r="BNS50" s="952"/>
      <c r="BNT50" s="952"/>
      <c r="BNU50" s="952"/>
      <c r="BNV50" s="952"/>
      <c r="BNW50" s="952"/>
      <c r="BNX50" s="952"/>
      <c r="BNY50" s="952"/>
      <c r="BNZ50" s="952"/>
      <c r="BOA50" s="952"/>
      <c r="BOB50" s="952"/>
      <c r="BOC50" s="952"/>
      <c r="BOD50" s="952"/>
      <c r="BOE50" s="952"/>
      <c r="BOF50" s="952"/>
      <c r="BOG50" s="952"/>
      <c r="BOH50" s="952"/>
      <c r="BOI50" s="952"/>
      <c r="BOJ50" s="952"/>
      <c r="BOK50" s="952"/>
      <c r="BOL50" s="952"/>
      <c r="BOM50" s="952"/>
      <c r="BON50" s="952"/>
      <c r="BOO50" s="952"/>
      <c r="BOP50" s="952"/>
      <c r="BOQ50" s="952"/>
      <c r="BOR50" s="952"/>
      <c r="BOS50" s="952"/>
      <c r="BOT50" s="952"/>
      <c r="BOU50" s="952"/>
      <c r="BOV50" s="952"/>
      <c r="BOW50" s="952"/>
      <c r="BOX50" s="952"/>
      <c r="BOY50" s="952"/>
      <c r="BOZ50" s="952"/>
      <c r="BPA50" s="952"/>
      <c r="BPB50" s="952"/>
      <c r="BPC50" s="952"/>
      <c r="BPD50" s="952"/>
      <c r="BPE50" s="952"/>
      <c r="BPF50" s="952"/>
      <c r="BPG50" s="952"/>
      <c r="BPH50" s="952"/>
      <c r="BPI50" s="952"/>
      <c r="BPJ50" s="952"/>
      <c r="BPK50" s="952"/>
      <c r="BPL50" s="952"/>
      <c r="BPM50" s="952"/>
      <c r="BPN50" s="952"/>
      <c r="BPO50" s="952"/>
      <c r="BPP50" s="952"/>
      <c r="BPQ50" s="952"/>
      <c r="BPR50" s="952"/>
      <c r="BPS50" s="952"/>
      <c r="BPT50" s="952"/>
      <c r="BPU50" s="952"/>
      <c r="BPV50" s="952"/>
      <c r="BPW50" s="952"/>
      <c r="BPX50" s="952"/>
      <c r="BPY50" s="952"/>
      <c r="BPZ50" s="952"/>
      <c r="BQA50" s="952"/>
      <c r="BQB50" s="952"/>
      <c r="BQC50" s="952"/>
      <c r="BQD50" s="952"/>
      <c r="BQE50" s="952"/>
      <c r="BQF50" s="952"/>
      <c r="BQG50" s="952"/>
      <c r="BQH50" s="952"/>
      <c r="BQI50" s="952"/>
      <c r="BQJ50" s="952"/>
      <c r="BQK50" s="952"/>
      <c r="BQL50" s="952"/>
      <c r="BQM50" s="952"/>
      <c r="BQN50" s="952"/>
      <c r="BQO50" s="952"/>
      <c r="BQP50" s="952"/>
      <c r="BQQ50" s="952"/>
      <c r="BQR50" s="952"/>
      <c r="BQS50" s="952"/>
      <c r="BQT50" s="952"/>
      <c r="BQU50" s="952"/>
      <c r="BQV50" s="952"/>
      <c r="BQW50" s="952"/>
      <c r="BQX50" s="952"/>
      <c r="BQY50" s="952"/>
      <c r="BQZ50" s="952"/>
      <c r="BRA50" s="952"/>
      <c r="BRB50" s="952"/>
      <c r="BRC50" s="952"/>
      <c r="BRD50" s="952"/>
      <c r="BRE50" s="952"/>
      <c r="BRF50" s="952"/>
      <c r="BRG50" s="952"/>
      <c r="BRH50" s="952"/>
      <c r="BRI50" s="952"/>
      <c r="BRJ50" s="952"/>
      <c r="BRK50" s="952"/>
      <c r="BRL50" s="952"/>
      <c r="BRM50" s="952"/>
      <c r="BRN50" s="952"/>
      <c r="BRO50" s="952"/>
      <c r="BRP50" s="952"/>
      <c r="BRQ50" s="952"/>
      <c r="BRR50" s="952"/>
      <c r="BRS50" s="952"/>
      <c r="BRT50" s="952"/>
      <c r="BRU50" s="952"/>
      <c r="BRV50" s="952"/>
      <c r="BRW50" s="952"/>
      <c r="BRX50" s="952"/>
      <c r="BRY50" s="952"/>
      <c r="BRZ50" s="952"/>
      <c r="BSA50" s="952"/>
      <c r="BSB50" s="952"/>
      <c r="BSC50" s="952"/>
      <c r="BSD50" s="952"/>
      <c r="BSE50" s="952"/>
      <c r="BSF50" s="952"/>
      <c r="BSG50" s="952"/>
      <c r="BSH50" s="952"/>
      <c r="BSI50" s="952"/>
      <c r="BSJ50" s="952"/>
      <c r="BSK50" s="952"/>
      <c r="BSL50" s="952"/>
      <c r="BSM50" s="952"/>
      <c r="BSN50" s="952"/>
      <c r="BSO50" s="952"/>
      <c r="BSP50" s="952"/>
      <c r="BSQ50" s="952"/>
      <c r="BSR50" s="952"/>
      <c r="BSS50" s="952"/>
      <c r="BST50" s="952"/>
      <c r="BSU50" s="952"/>
      <c r="BSV50" s="952"/>
      <c r="BSW50" s="952"/>
      <c r="BSX50" s="952"/>
      <c r="BSY50" s="952"/>
      <c r="BSZ50" s="952"/>
      <c r="BTA50" s="952"/>
      <c r="BTB50" s="952"/>
      <c r="BTC50" s="952"/>
      <c r="BTD50" s="952"/>
      <c r="BTE50" s="952"/>
      <c r="BTF50" s="952"/>
      <c r="BTG50" s="952"/>
      <c r="BTH50" s="952"/>
      <c r="BTI50" s="952"/>
      <c r="BTJ50" s="952"/>
      <c r="BTK50" s="952"/>
      <c r="BTL50" s="952"/>
      <c r="BTM50" s="952"/>
      <c r="BTN50" s="952"/>
      <c r="BTO50" s="952"/>
      <c r="BTP50" s="952"/>
      <c r="BTQ50" s="952"/>
      <c r="BTR50" s="952"/>
      <c r="BTS50" s="952"/>
      <c r="BTT50" s="952"/>
      <c r="BTU50" s="952"/>
      <c r="BTV50" s="952"/>
      <c r="BTW50" s="952"/>
      <c r="BTX50" s="952"/>
      <c r="BTY50" s="952"/>
      <c r="BTZ50" s="952"/>
      <c r="BUA50" s="952"/>
      <c r="BUB50" s="952"/>
      <c r="BUC50" s="952"/>
      <c r="BUD50" s="952"/>
      <c r="BUE50" s="952"/>
      <c r="BUF50" s="952"/>
      <c r="BUG50" s="952"/>
      <c r="BUH50" s="952"/>
      <c r="BUI50" s="952"/>
      <c r="BUJ50" s="952"/>
      <c r="BUK50" s="952"/>
      <c r="BUL50" s="952"/>
      <c r="BUM50" s="952"/>
      <c r="BUN50" s="952"/>
      <c r="BUO50" s="952"/>
      <c r="BUP50" s="952"/>
      <c r="BUQ50" s="952"/>
      <c r="BUR50" s="952"/>
      <c r="BUS50" s="952"/>
      <c r="BUT50" s="952"/>
      <c r="BUU50" s="952"/>
      <c r="BUV50" s="952"/>
      <c r="BUW50" s="952"/>
      <c r="BUX50" s="952"/>
      <c r="BUY50" s="952"/>
      <c r="BUZ50" s="952"/>
      <c r="BVA50" s="952"/>
      <c r="BVB50" s="952"/>
      <c r="BVC50" s="952"/>
      <c r="BVD50" s="952"/>
      <c r="BVE50" s="952"/>
      <c r="BVF50" s="952"/>
      <c r="BVG50" s="952"/>
      <c r="BVH50" s="952"/>
      <c r="BVI50" s="952"/>
      <c r="BVJ50" s="952"/>
      <c r="BVK50" s="952"/>
      <c r="BVL50" s="952"/>
      <c r="BVM50" s="952"/>
      <c r="BVN50" s="952"/>
      <c r="BVO50" s="952"/>
      <c r="BVP50" s="952"/>
      <c r="BVQ50" s="952"/>
      <c r="BVR50" s="952"/>
      <c r="BVS50" s="952"/>
      <c r="BVT50" s="952"/>
      <c r="BVU50" s="952"/>
      <c r="BVV50" s="952"/>
      <c r="BVW50" s="952"/>
      <c r="BVX50" s="952"/>
      <c r="BVY50" s="952"/>
      <c r="BVZ50" s="952"/>
      <c r="BWA50" s="952"/>
      <c r="BWB50" s="952"/>
      <c r="BWC50" s="952"/>
      <c r="BWD50" s="952"/>
      <c r="BWE50" s="952"/>
      <c r="BWF50" s="952"/>
      <c r="BWG50" s="952"/>
      <c r="BWH50" s="952"/>
      <c r="BWI50" s="952"/>
      <c r="BWJ50" s="952"/>
      <c r="BWK50" s="952"/>
      <c r="BWL50" s="952"/>
      <c r="BWM50" s="952"/>
      <c r="BWN50" s="952"/>
      <c r="BWO50" s="952"/>
      <c r="BWP50" s="952"/>
      <c r="BWQ50" s="952"/>
      <c r="BWR50" s="952"/>
      <c r="BWS50" s="952"/>
      <c r="BWT50" s="952"/>
      <c r="BWU50" s="952"/>
      <c r="BWV50" s="952"/>
      <c r="BWW50" s="952"/>
      <c r="BWX50" s="952"/>
      <c r="BWY50" s="952"/>
      <c r="BWZ50" s="952"/>
      <c r="BXA50" s="952"/>
      <c r="BXB50" s="952"/>
      <c r="BXC50" s="952"/>
      <c r="BXD50" s="952"/>
      <c r="BXE50" s="952"/>
      <c r="BXF50" s="952"/>
      <c r="BXG50" s="952"/>
      <c r="BXH50" s="952"/>
      <c r="BXI50" s="952"/>
      <c r="BXJ50" s="952"/>
      <c r="BXK50" s="952"/>
      <c r="BXL50" s="952"/>
      <c r="BXM50" s="952"/>
      <c r="BXN50" s="952"/>
      <c r="BXO50" s="952"/>
      <c r="BXP50" s="952"/>
      <c r="BXQ50" s="952"/>
      <c r="BXR50" s="952"/>
      <c r="BXS50" s="952"/>
      <c r="BXT50" s="952"/>
      <c r="BXU50" s="952"/>
      <c r="BXV50" s="952"/>
      <c r="BXW50" s="952"/>
      <c r="BXX50" s="952"/>
      <c r="BXY50" s="952"/>
      <c r="BXZ50" s="952"/>
      <c r="BYA50" s="952"/>
      <c r="BYB50" s="952"/>
      <c r="BYC50" s="952"/>
      <c r="BYD50" s="952"/>
      <c r="BYE50" s="952"/>
      <c r="BYF50" s="952"/>
      <c r="BYG50" s="952"/>
      <c r="BYH50" s="952"/>
      <c r="BYI50" s="952"/>
      <c r="BYJ50" s="952"/>
      <c r="BYK50" s="952"/>
      <c r="BYL50" s="952"/>
      <c r="BYM50" s="952"/>
      <c r="BYN50" s="952"/>
      <c r="BYO50" s="952"/>
      <c r="BYP50" s="952"/>
      <c r="BYQ50" s="952"/>
      <c r="BYR50" s="952"/>
      <c r="BYS50" s="952"/>
      <c r="BYT50" s="952"/>
      <c r="BYU50" s="952"/>
      <c r="BYV50" s="952"/>
      <c r="BYW50" s="952"/>
      <c r="BYX50" s="952"/>
      <c r="BYY50" s="952"/>
      <c r="BYZ50" s="952"/>
      <c r="BZA50" s="952"/>
      <c r="BZB50" s="952"/>
      <c r="BZC50" s="952"/>
      <c r="BZD50" s="952"/>
      <c r="BZE50" s="952"/>
      <c r="BZF50" s="952"/>
      <c r="BZG50" s="952"/>
      <c r="BZH50" s="952"/>
      <c r="BZI50" s="952"/>
      <c r="BZJ50" s="952"/>
      <c r="BZK50" s="952"/>
      <c r="BZL50" s="952"/>
      <c r="BZM50" s="952"/>
      <c r="BZN50" s="952"/>
      <c r="BZO50" s="952"/>
      <c r="BZP50" s="952"/>
      <c r="BZQ50" s="952"/>
      <c r="BZR50" s="952"/>
      <c r="BZS50" s="952"/>
      <c r="BZT50" s="952"/>
      <c r="BZU50" s="952"/>
      <c r="BZV50" s="952"/>
      <c r="BZW50" s="952"/>
      <c r="BZX50" s="952"/>
      <c r="BZY50" s="952"/>
      <c r="BZZ50" s="952"/>
      <c r="CAA50" s="952"/>
      <c r="CAB50" s="952"/>
      <c r="CAC50" s="952"/>
      <c r="CAD50" s="952"/>
      <c r="CAE50" s="952"/>
      <c r="CAF50" s="952"/>
      <c r="CAG50" s="952"/>
      <c r="CAH50" s="952"/>
      <c r="CAI50" s="952"/>
      <c r="CAJ50" s="952"/>
      <c r="CAK50" s="952"/>
      <c r="CAL50" s="952"/>
      <c r="CAM50" s="952"/>
      <c r="CAN50" s="952"/>
      <c r="CAO50" s="952"/>
      <c r="CAP50" s="952"/>
      <c r="CAQ50" s="952"/>
      <c r="CAR50" s="952"/>
      <c r="CAS50" s="952"/>
      <c r="CAT50" s="952"/>
      <c r="CAU50" s="952"/>
      <c r="CAV50" s="952"/>
      <c r="CAW50" s="952"/>
      <c r="CAX50" s="952"/>
      <c r="CAY50" s="952"/>
      <c r="CAZ50" s="952"/>
      <c r="CBA50" s="952"/>
      <c r="CBB50" s="952"/>
      <c r="CBC50" s="952"/>
      <c r="CBD50" s="952"/>
      <c r="CBE50" s="952"/>
      <c r="CBF50" s="952"/>
      <c r="CBG50" s="952"/>
      <c r="CBH50" s="952"/>
      <c r="CBI50" s="952"/>
      <c r="CBJ50" s="952"/>
      <c r="CBK50" s="952"/>
      <c r="CBL50" s="952"/>
      <c r="CBM50" s="952"/>
      <c r="CBN50" s="952"/>
      <c r="CBO50" s="952"/>
      <c r="CBP50" s="952"/>
      <c r="CBQ50" s="952"/>
      <c r="CBR50" s="952"/>
      <c r="CBS50" s="952"/>
      <c r="CBT50" s="952"/>
      <c r="CBU50" s="952"/>
      <c r="CBV50" s="952"/>
      <c r="CBW50" s="952"/>
      <c r="CBX50" s="952"/>
      <c r="CBY50" s="952"/>
      <c r="CBZ50" s="952"/>
      <c r="CCA50" s="952"/>
      <c r="CCB50" s="952"/>
      <c r="CCC50" s="952"/>
      <c r="CCD50" s="952"/>
      <c r="CCE50" s="952"/>
      <c r="CCF50" s="952"/>
      <c r="CCG50" s="952"/>
      <c r="CCH50" s="952"/>
      <c r="CCI50" s="952"/>
      <c r="CCJ50" s="952"/>
      <c r="CCK50" s="952"/>
      <c r="CCL50" s="952"/>
      <c r="CCM50" s="952"/>
      <c r="CCN50" s="952"/>
      <c r="CCO50" s="952"/>
      <c r="CCP50" s="952"/>
      <c r="CCQ50" s="952"/>
      <c r="CCR50" s="952"/>
      <c r="CCS50" s="952"/>
      <c r="CCT50" s="952"/>
      <c r="CCU50" s="952"/>
      <c r="CCV50" s="952"/>
      <c r="CCW50" s="952"/>
      <c r="CCX50" s="952"/>
      <c r="CCY50" s="952"/>
      <c r="CCZ50" s="952"/>
      <c r="CDA50" s="952"/>
      <c r="CDB50" s="952"/>
      <c r="CDC50" s="952"/>
      <c r="CDD50" s="952"/>
      <c r="CDE50" s="952"/>
      <c r="CDF50" s="952"/>
      <c r="CDG50" s="952"/>
      <c r="CDH50" s="952"/>
      <c r="CDI50" s="952"/>
      <c r="CDJ50" s="952"/>
      <c r="CDK50" s="952"/>
      <c r="CDL50" s="952"/>
      <c r="CDM50" s="952"/>
      <c r="CDN50" s="952"/>
      <c r="CDO50" s="952"/>
      <c r="CDP50" s="952"/>
      <c r="CDQ50" s="952"/>
      <c r="CDR50" s="952"/>
      <c r="CDS50" s="952"/>
      <c r="CDT50" s="952"/>
      <c r="CDU50" s="952"/>
      <c r="CDV50" s="952"/>
      <c r="CDW50" s="952"/>
      <c r="CDX50" s="952"/>
      <c r="CDY50" s="952"/>
      <c r="CDZ50" s="952"/>
      <c r="CEA50" s="952"/>
      <c r="CEB50" s="952"/>
      <c r="CEC50" s="952"/>
      <c r="CED50" s="952"/>
      <c r="CEE50" s="952"/>
      <c r="CEF50" s="952"/>
      <c r="CEG50" s="952"/>
      <c r="CEH50" s="952"/>
      <c r="CEI50" s="952"/>
      <c r="CEJ50" s="952"/>
      <c r="CEK50" s="952"/>
      <c r="CEL50" s="952"/>
      <c r="CEM50" s="952"/>
      <c r="CEN50" s="952"/>
      <c r="CEO50" s="952"/>
      <c r="CEP50" s="952"/>
      <c r="CEQ50" s="952"/>
      <c r="CER50" s="952"/>
      <c r="CES50" s="952"/>
      <c r="CET50" s="952"/>
      <c r="CEU50" s="952"/>
      <c r="CEV50" s="952"/>
      <c r="CEW50" s="952"/>
      <c r="CEX50" s="952"/>
      <c r="CEY50" s="952"/>
      <c r="CEZ50" s="952"/>
      <c r="CFA50" s="952"/>
      <c r="CFB50" s="952"/>
      <c r="CFC50" s="952"/>
      <c r="CFD50" s="952"/>
      <c r="CFE50" s="952"/>
      <c r="CFF50" s="952"/>
      <c r="CFG50" s="952"/>
      <c r="CFH50" s="952"/>
      <c r="CFI50" s="952"/>
      <c r="CFJ50" s="952"/>
      <c r="CFK50" s="952"/>
      <c r="CFL50" s="952"/>
      <c r="CFM50" s="952"/>
      <c r="CFN50" s="952"/>
      <c r="CFO50" s="952"/>
      <c r="CFP50" s="952"/>
      <c r="CFQ50" s="952"/>
      <c r="CFR50" s="952"/>
      <c r="CFS50" s="952"/>
      <c r="CFT50" s="952"/>
      <c r="CFU50" s="952"/>
      <c r="CFV50" s="952"/>
      <c r="CFW50" s="952"/>
      <c r="CFX50" s="952"/>
      <c r="CFY50" s="952"/>
      <c r="CFZ50" s="952"/>
      <c r="CGA50" s="952"/>
      <c r="CGB50" s="952"/>
      <c r="CGC50" s="952"/>
      <c r="CGD50" s="952"/>
      <c r="CGE50" s="952"/>
      <c r="CGF50" s="952"/>
      <c r="CGG50" s="952"/>
      <c r="CGH50" s="952"/>
      <c r="CGI50" s="952"/>
      <c r="CGJ50" s="952"/>
      <c r="CGK50" s="952"/>
      <c r="CGL50" s="952"/>
      <c r="CGM50" s="952"/>
      <c r="CGN50" s="952"/>
      <c r="CGO50" s="952"/>
      <c r="CGP50" s="952"/>
      <c r="CGQ50" s="952"/>
      <c r="CGR50" s="952"/>
      <c r="CGS50" s="952"/>
      <c r="CGT50" s="952"/>
      <c r="CGU50" s="952"/>
      <c r="CGV50" s="952"/>
      <c r="CGW50" s="952"/>
      <c r="CGX50" s="952"/>
      <c r="CGY50" s="952"/>
      <c r="CGZ50" s="952"/>
      <c r="CHA50" s="952"/>
      <c r="CHB50" s="952"/>
      <c r="CHC50" s="952"/>
      <c r="CHD50" s="952"/>
      <c r="CHE50" s="952"/>
      <c r="CHF50" s="952"/>
      <c r="CHG50" s="952"/>
      <c r="CHH50" s="952"/>
      <c r="CHI50" s="952"/>
      <c r="CHJ50" s="952"/>
      <c r="CHK50" s="952"/>
      <c r="CHL50" s="952"/>
      <c r="CHM50" s="952"/>
      <c r="CHN50" s="952"/>
      <c r="CHO50" s="952"/>
      <c r="CHP50" s="952"/>
      <c r="CHQ50" s="952"/>
      <c r="CHR50" s="952"/>
      <c r="CHS50" s="952"/>
      <c r="CHT50" s="952"/>
      <c r="CHU50" s="952"/>
      <c r="CHV50" s="952"/>
      <c r="CHW50" s="952"/>
      <c r="CHX50" s="952"/>
      <c r="CHY50" s="952"/>
      <c r="CHZ50" s="952"/>
      <c r="CIA50" s="952"/>
      <c r="CIB50" s="952"/>
      <c r="CIC50" s="952"/>
      <c r="CID50" s="952"/>
      <c r="CIE50" s="952"/>
      <c r="CIF50" s="952"/>
      <c r="CIG50" s="952"/>
      <c r="CIH50" s="952"/>
      <c r="CII50" s="952"/>
      <c r="CIJ50" s="952"/>
      <c r="CIK50" s="952"/>
      <c r="CIL50" s="952"/>
      <c r="CIM50" s="952"/>
      <c r="CIN50" s="952"/>
      <c r="CIO50" s="952"/>
      <c r="CIP50" s="952"/>
      <c r="CIQ50" s="952"/>
      <c r="CIR50" s="952"/>
      <c r="CIS50" s="952"/>
      <c r="CIT50" s="952"/>
      <c r="CIU50" s="952"/>
      <c r="CIV50" s="952"/>
      <c r="CIW50" s="952"/>
      <c r="CIX50" s="952"/>
      <c r="CIY50" s="952"/>
      <c r="CIZ50" s="952"/>
      <c r="CJA50" s="952"/>
      <c r="CJB50" s="952"/>
      <c r="CJC50" s="952"/>
      <c r="CJD50" s="952"/>
      <c r="CJE50" s="952"/>
      <c r="CJF50" s="952"/>
      <c r="CJG50" s="952"/>
      <c r="CJH50" s="952"/>
      <c r="CJI50" s="952"/>
      <c r="CJJ50" s="952"/>
      <c r="CJK50" s="952"/>
      <c r="CJL50" s="952"/>
      <c r="CJM50" s="952"/>
      <c r="CJN50" s="952"/>
      <c r="CJO50" s="952"/>
      <c r="CJP50" s="952"/>
      <c r="CJQ50" s="952"/>
      <c r="CJR50" s="952"/>
      <c r="CJS50" s="952"/>
      <c r="CJT50" s="952"/>
      <c r="CJU50" s="952"/>
      <c r="CJV50" s="952"/>
      <c r="CJW50" s="952"/>
      <c r="CJX50" s="952"/>
      <c r="CJY50" s="952"/>
      <c r="CJZ50" s="952"/>
      <c r="CKA50" s="952"/>
      <c r="CKB50" s="952"/>
      <c r="CKC50" s="952"/>
      <c r="CKD50" s="952"/>
      <c r="CKE50" s="952"/>
      <c r="CKF50" s="952"/>
      <c r="CKG50" s="952"/>
      <c r="CKH50" s="952"/>
      <c r="CKI50" s="952"/>
      <c r="CKJ50" s="952"/>
      <c r="CKK50" s="952"/>
      <c r="CKL50" s="952"/>
      <c r="CKM50" s="952"/>
      <c r="CKN50" s="952"/>
      <c r="CKO50" s="952"/>
      <c r="CKP50" s="952"/>
      <c r="CKQ50" s="952"/>
      <c r="CKR50" s="952"/>
      <c r="CKS50" s="952"/>
      <c r="CKT50" s="952"/>
      <c r="CKU50" s="952"/>
      <c r="CKV50" s="952"/>
      <c r="CKW50" s="952"/>
      <c r="CKX50" s="952"/>
      <c r="CKY50" s="952"/>
      <c r="CKZ50" s="952"/>
      <c r="CLA50" s="952"/>
      <c r="CLB50" s="952"/>
      <c r="CLC50" s="952"/>
      <c r="CLD50" s="952"/>
      <c r="CLE50" s="952"/>
      <c r="CLF50" s="952"/>
      <c r="CLG50" s="952"/>
      <c r="CLH50" s="952"/>
      <c r="CLI50" s="952"/>
      <c r="CLJ50" s="952"/>
      <c r="CLK50" s="952"/>
      <c r="CLL50" s="952"/>
      <c r="CLM50" s="952"/>
      <c r="CLN50" s="952"/>
      <c r="CLO50" s="952"/>
      <c r="CLP50" s="952"/>
      <c r="CLQ50" s="952"/>
      <c r="CLR50" s="952"/>
      <c r="CLS50" s="952"/>
      <c r="CLT50" s="952"/>
      <c r="CLU50" s="952"/>
      <c r="CLV50" s="952"/>
      <c r="CLW50" s="952"/>
      <c r="CLX50" s="952"/>
      <c r="CLY50" s="952"/>
      <c r="CLZ50" s="952"/>
      <c r="CMA50" s="952"/>
      <c r="CMB50" s="952"/>
      <c r="CMC50" s="952"/>
      <c r="CMD50" s="952"/>
      <c r="CME50" s="952"/>
      <c r="CMF50" s="952"/>
      <c r="CMG50" s="952"/>
      <c r="CMH50" s="952"/>
      <c r="CMI50" s="952"/>
      <c r="CMJ50" s="952"/>
      <c r="CMK50" s="952"/>
      <c r="CML50" s="952"/>
      <c r="CMM50" s="952"/>
      <c r="CMN50" s="952"/>
      <c r="CMO50" s="952"/>
      <c r="CMP50" s="952"/>
      <c r="CMQ50" s="952"/>
      <c r="CMR50" s="952"/>
      <c r="CMS50" s="952"/>
      <c r="CMT50" s="952"/>
      <c r="CMU50" s="952"/>
      <c r="CMV50" s="952"/>
      <c r="CMW50" s="952"/>
      <c r="CMX50" s="952"/>
      <c r="CMY50" s="952"/>
      <c r="CMZ50" s="952"/>
      <c r="CNA50" s="952"/>
      <c r="CNB50" s="952"/>
      <c r="CNC50" s="952"/>
      <c r="CND50" s="952"/>
      <c r="CNE50" s="952"/>
      <c r="CNF50" s="952"/>
      <c r="CNG50" s="952"/>
      <c r="CNH50" s="952"/>
      <c r="CNI50" s="952"/>
      <c r="CNJ50" s="952"/>
      <c r="CNK50" s="952"/>
      <c r="CNL50" s="952"/>
      <c r="CNM50" s="952"/>
      <c r="CNN50" s="952"/>
      <c r="CNO50" s="952"/>
      <c r="CNP50" s="952"/>
      <c r="CNQ50" s="952"/>
      <c r="CNR50" s="952"/>
      <c r="CNS50" s="952"/>
      <c r="CNT50" s="952"/>
      <c r="CNU50" s="952"/>
      <c r="CNV50" s="952"/>
      <c r="CNW50" s="952"/>
      <c r="CNX50" s="952"/>
      <c r="CNY50" s="952"/>
      <c r="CNZ50" s="952"/>
      <c r="COA50" s="952"/>
      <c r="COB50" s="952"/>
      <c r="COC50" s="952"/>
      <c r="COD50" s="952"/>
      <c r="COE50" s="952"/>
      <c r="COF50" s="952"/>
      <c r="COG50" s="952"/>
      <c r="COH50" s="952"/>
      <c r="COI50" s="952"/>
      <c r="COJ50" s="952"/>
      <c r="COK50" s="952"/>
      <c r="COL50" s="952"/>
      <c r="COM50" s="952"/>
      <c r="CON50" s="952"/>
      <c r="COO50" s="952"/>
      <c r="COP50" s="952"/>
      <c r="COQ50" s="952"/>
      <c r="COR50" s="952"/>
      <c r="COS50" s="952"/>
      <c r="COT50" s="952"/>
      <c r="COU50" s="952"/>
      <c r="COV50" s="952"/>
      <c r="COW50" s="952"/>
      <c r="COX50" s="952"/>
      <c r="COY50" s="952"/>
      <c r="COZ50" s="952"/>
      <c r="CPA50" s="952"/>
      <c r="CPB50" s="952"/>
      <c r="CPC50" s="952"/>
      <c r="CPD50" s="952"/>
      <c r="CPE50" s="952"/>
      <c r="CPF50" s="952"/>
      <c r="CPG50" s="952"/>
      <c r="CPH50" s="952"/>
      <c r="CPI50" s="952"/>
      <c r="CPJ50" s="952"/>
      <c r="CPK50" s="952"/>
      <c r="CPL50" s="952"/>
      <c r="CPM50" s="952"/>
      <c r="CPN50" s="952"/>
      <c r="CPO50" s="952"/>
      <c r="CPP50" s="952"/>
      <c r="CPQ50" s="952"/>
      <c r="CPR50" s="952"/>
      <c r="CPS50" s="952"/>
      <c r="CPT50" s="952"/>
      <c r="CPU50" s="952"/>
      <c r="CPV50" s="952"/>
      <c r="CPW50" s="952"/>
      <c r="CPX50" s="952"/>
      <c r="CPY50" s="952"/>
      <c r="CPZ50" s="952"/>
      <c r="CQA50" s="952"/>
      <c r="CQB50" s="952"/>
      <c r="CQC50" s="952"/>
      <c r="CQD50" s="952"/>
      <c r="CQE50" s="952"/>
      <c r="CQF50" s="952"/>
      <c r="CQG50" s="952"/>
      <c r="CQH50" s="952"/>
      <c r="CQI50" s="952"/>
      <c r="CQJ50" s="952"/>
      <c r="CQK50" s="952"/>
      <c r="CQL50" s="952"/>
      <c r="CQM50" s="952"/>
      <c r="CQN50" s="952"/>
      <c r="CQO50" s="952"/>
      <c r="CQP50" s="952"/>
      <c r="CQQ50" s="952"/>
      <c r="CQR50" s="952"/>
      <c r="CQS50" s="952"/>
      <c r="CQT50" s="952"/>
      <c r="CQU50" s="952"/>
      <c r="CQV50" s="952"/>
      <c r="CQW50" s="952"/>
      <c r="CQX50" s="952"/>
      <c r="CQY50" s="952"/>
      <c r="CQZ50" s="952"/>
      <c r="CRA50" s="952"/>
      <c r="CRB50" s="952"/>
      <c r="CRC50" s="952"/>
      <c r="CRD50" s="952"/>
      <c r="CRE50" s="952"/>
      <c r="CRF50" s="952"/>
      <c r="CRG50" s="952"/>
      <c r="CRH50" s="952"/>
      <c r="CRI50" s="952"/>
      <c r="CRJ50" s="952"/>
      <c r="CRK50" s="952"/>
      <c r="CRL50" s="952"/>
      <c r="CRM50" s="952"/>
      <c r="CRN50" s="952"/>
      <c r="CRO50" s="952"/>
      <c r="CRP50" s="952"/>
      <c r="CRQ50" s="952"/>
      <c r="CRR50" s="952"/>
      <c r="CRS50" s="952"/>
      <c r="CRT50" s="952"/>
      <c r="CRU50" s="952"/>
      <c r="CRV50" s="952"/>
      <c r="CRW50" s="952"/>
      <c r="CRX50" s="952"/>
      <c r="CRY50" s="952"/>
      <c r="CRZ50" s="952"/>
      <c r="CSA50" s="952"/>
      <c r="CSB50" s="952"/>
      <c r="CSC50" s="952"/>
      <c r="CSD50" s="952"/>
      <c r="CSE50" s="952"/>
      <c r="CSF50" s="952"/>
      <c r="CSG50" s="952"/>
      <c r="CSH50" s="952"/>
      <c r="CSI50" s="952"/>
      <c r="CSJ50" s="952"/>
      <c r="CSK50" s="952"/>
      <c r="CSL50" s="952"/>
      <c r="CSM50" s="952"/>
      <c r="CSN50" s="952"/>
      <c r="CSO50" s="952"/>
      <c r="CSP50" s="952"/>
      <c r="CSQ50" s="952"/>
      <c r="CSR50" s="952"/>
      <c r="CSS50" s="952"/>
      <c r="CST50" s="952"/>
      <c r="CSU50" s="952"/>
      <c r="CSV50" s="952"/>
      <c r="CSW50" s="952"/>
      <c r="CSX50" s="952"/>
      <c r="CSY50" s="952"/>
      <c r="CSZ50" s="952"/>
      <c r="CTA50" s="952"/>
      <c r="CTB50" s="952"/>
      <c r="CTC50" s="952"/>
      <c r="CTD50" s="952"/>
      <c r="CTE50" s="952"/>
      <c r="CTF50" s="952"/>
      <c r="CTG50" s="952"/>
      <c r="CTH50" s="952"/>
      <c r="CTI50" s="952"/>
      <c r="CTJ50" s="952"/>
      <c r="CTK50" s="952"/>
      <c r="CTL50" s="952"/>
      <c r="CTM50" s="952"/>
      <c r="CTN50" s="952"/>
      <c r="CTO50" s="952"/>
      <c r="CTP50" s="952"/>
      <c r="CTQ50" s="952"/>
      <c r="CTR50" s="952"/>
      <c r="CTS50" s="952"/>
      <c r="CTT50" s="952"/>
      <c r="CTU50" s="952"/>
      <c r="CTV50" s="952"/>
      <c r="CTW50" s="952"/>
      <c r="CTX50" s="952"/>
      <c r="CTY50" s="952"/>
      <c r="CTZ50" s="952"/>
      <c r="CUA50" s="952"/>
      <c r="CUB50" s="952"/>
      <c r="CUC50" s="952"/>
      <c r="CUD50" s="952"/>
      <c r="CUE50" s="952"/>
      <c r="CUF50" s="952"/>
      <c r="CUG50" s="952"/>
      <c r="CUH50" s="952"/>
      <c r="CUI50" s="952"/>
      <c r="CUJ50" s="952"/>
      <c r="CUK50" s="952"/>
      <c r="CUL50" s="952"/>
      <c r="CUM50" s="952"/>
      <c r="CUN50" s="952"/>
      <c r="CUO50" s="952"/>
      <c r="CUP50" s="952"/>
      <c r="CUQ50" s="952"/>
      <c r="CUR50" s="952"/>
      <c r="CUS50" s="952"/>
      <c r="CUT50" s="952"/>
      <c r="CUU50" s="952"/>
      <c r="CUV50" s="952"/>
      <c r="CUW50" s="952"/>
      <c r="CUX50" s="952"/>
      <c r="CUY50" s="952"/>
      <c r="CUZ50" s="952"/>
      <c r="CVA50" s="952"/>
      <c r="CVB50" s="952"/>
      <c r="CVC50" s="952"/>
      <c r="CVD50" s="952"/>
      <c r="CVE50" s="952"/>
      <c r="CVF50" s="952"/>
      <c r="CVG50" s="952"/>
      <c r="CVH50" s="952"/>
      <c r="CVI50" s="952"/>
      <c r="CVJ50" s="952"/>
      <c r="CVK50" s="952"/>
      <c r="CVL50" s="952"/>
      <c r="CVM50" s="952"/>
      <c r="CVN50" s="952"/>
      <c r="CVO50" s="952"/>
      <c r="CVP50" s="952"/>
      <c r="CVQ50" s="952"/>
      <c r="CVR50" s="952"/>
      <c r="CVS50" s="952"/>
      <c r="CVT50" s="952"/>
      <c r="CVU50" s="952"/>
      <c r="CVV50" s="952"/>
      <c r="CVW50" s="952"/>
      <c r="CVX50" s="952"/>
      <c r="CVY50" s="952"/>
      <c r="CVZ50" s="952"/>
      <c r="CWA50" s="952"/>
      <c r="CWB50" s="952"/>
      <c r="CWC50" s="952"/>
      <c r="CWD50" s="952"/>
      <c r="CWE50" s="952"/>
      <c r="CWF50" s="952"/>
      <c r="CWG50" s="952"/>
      <c r="CWH50" s="952"/>
      <c r="CWI50" s="952"/>
      <c r="CWJ50" s="952"/>
      <c r="CWK50" s="952"/>
      <c r="CWL50" s="952"/>
      <c r="CWM50" s="952"/>
      <c r="CWN50" s="952"/>
      <c r="CWO50" s="952"/>
      <c r="CWP50" s="952"/>
      <c r="CWQ50" s="952"/>
      <c r="CWR50" s="952"/>
      <c r="CWS50" s="952"/>
      <c r="CWT50" s="952"/>
      <c r="CWU50" s="952"/>
      <c r="CWV50" s="952"/>
      <c r="CWW50" s="952"/>
      <c r="CWX50" s="952"/>
      <c r="CWY50" s="952"/>
      <c r="CWZ50" s="952"/>
      <c r="CXA50" s="952"/>
      <c r="CXB50" s="952"/>
      <c r="CXC50" s="952"/>
      <c r="CXD50" s="952"/>
      <c r="CXE50" s="952"/>
      <c r="CXF50" s="952"/>
      <c r="CXG50" s="952"/>
      <c r="CXH50" s="952"/>
      <c r="CXI50" s="952"/>
      <c r="CXJ50" s="952"/>
      <c r="CXK50" s="952"/>
      <c r="CXL50" s="952"/>
      <c r="CXM50" s="952"/>
      <c r="CXN50" s="952"/>
      <c r="CXO50" s="952"/>
      <c r="CXP50" s="952"/>
      <c r="CXQ50" s="952"/>
      <c r="CXR50" s="952"/>
      <c r="CXS50" s="952"/>
      <c r="CXT50" s="952"/>
      <c r="CXU50" s="952"/>
      <c r="CXV50" s="952"/>
      <c r="CXW50" s="952"/>
      <c r="CXX50" s="952"/>
      <c r="CXY50" s="952"/>
      <c r="CXZ50" s="952"/>
      <c r="CYA50" s="952"/>
      <c r="CYB50" s="952"/>
      <c r="CYC50" s="952"/>
      <c r="CYD50" s="952"/>
      <c r="CYE50" s="952"/>
      <c r="CYF50" s="952"/>
      <c r="CYG50" s="952"/>
      <c r="CYH50" s="952"/>
      <c r="CYI50" s="952"/>
      <c r="CYJ50" s="952"/>
      <c r="CYK50" s="952"/>
      <c r="CYL50" s="952"/>
      <c r="CYM50" s="952"/>
      <c r="CYN50" s="952"/>
      <c r="CYO50" s="952"/>
      <c r="CYP50" s="952"/>
      <c r="CYQ50" s="952"/>
      <c r="CYR50" s="952"/>
      <c r="CYS50" s="952"/>
      <c r="CYT50" s="952"/>
      <c r="CYU50" s="952"/>
      <c r="CYV50" s="952"/>
      <c r="CYW50" s="952"/>
      <c r="CYX50" s="952"/>
      <c r="CYY50" s="952"/>
      <c r="CYZ50" s="952"/>
      <c r="CZA50" s="952"/>
      <c r="CZB50" s="952"/>
      <c r="CZC50" s="952"/>
      <c r="CZD50" s="952"/>
      <c r="CZE50" s="952"/>
      <c r="CZF50" s="952"/>
      <c r="CZG50" s="952"/>
      <c r="CZH50" s="952"/>
      <c r="CZI50" s="952"/>
      <c r="CZJ50" s="952"/>
      <c r="CZK50" s="952"/>
      <c r="CZL50" s="952"/>
      <c r="CZM50" s="952"/>
      <c r="CZN50" s="952"/>
      <c r="CZO50" s="952"/>
      <c r="CZP50" s="952"/>
      <c r="CZQ50" s="952"/>
      <c r="CZR50" s="952"/>
      <c r="CZS50" s="952"/>
      <c r="CZT50" s="952"/>
      <c r="CZU50" s="952"/>
      <c r="CZV50" s="952"/>
      <c r="CZW50" s="952"/>
      <c r="CZX50" s="952"/>
      <c r="CZY50" s="952"/>
      <c r="CZZ50" s="952"/>
      <c r="DAA50" s="952"/>
      <c r="DAB50" s="952"/>
      <c r="DAC50" s="952"/>
      <c r="DAD50" s="952"/>
      <c r="DAE50" s="952"/>
      <c r="DAF50" s="952"/>
      <c r="DAG50" s="952"/>
      <c r="DAH50" s="952"/>
      <c r="DAI50" s="952"/>
      <c r="DAJ50" s="952"/>
      <c r="DAK50" s="952"/>
      <c r="DAL50" s="952"/>
      <c r="DAM50" s="952"/>
      <c r="DAN50" s="952"/>
      <c r="DAO50" s="952"/>
      <c r="DAP50" s="952"/>
      <c r="DAQ50" s="952"/>
      <c r="DAR50" s="952"/>
      <c r="DAS50" s="952"/>
      <c r="DAT50" s="952"/>
      <c r="DAU50" s="952"/>
      <c r="DAV50" s="952"/>
      <c r="DAW50" s="952"/>
      <c r="DAX50" s="952"/>
      <c r="DAY50" s="952"/>
      <c r="DAZ50" s="952"/>
      <c r="DBA50" s="952"/>
      <c r="DBB50" s="952"/>
      <c r="DBC50" s="952"/>
      <c r="DBD50" s="952"/>
      <c r="DBE50" s="952"/>
      <c r="DBF50" s="952"/>
      <c r="DBG50" s="952"/>
      <c r="DBH50" s="952"/>
      <c r="DBI50" s="952"/>
      <c r="DBJ50" s="952"/>
      <c r="DBK50" s="952"/>
      <c r="DBL50" s="952"/>
      <c r="DBM50" s="952"/>
      <c r="DBN50" s="952"/>
      <c r="DBO50" s="952"/>
      <c r="DBP50" s="952"/>
      <c r="DBQ50" s="952"/>
      <c r="DBR50" s="952"/>
      <c r="DBS50" s="952"/>
      <c r="DBT50" s="952"/>
      <c r="DBU50" s="952"/>
      <c r="DBV50" s="952"/>
      <c r="DBW50" s="952"/>
      <c r="DBX50" s="952"/>
      <c r="DBY50" s="952"/>
      <c r="DBZ50" s="952"/>
      <c r="DCA50" s="952"/>
      <c r="DCB50" s="952"/>
      <c r="DCC50" s="952"/>
      <c r="DCD50" s="952"/>
      <c r="DCE50" s="952"/>
      <c r="DCF50" s="952"/>
      <c r="DCG50" s="952"/>
      <c r="DCH50" s="952"/>
      <c r="DCI50" s="952"/>
      <c r="DCJ50" s="952"/>
      <c r="DCK50" s="952"/>
      <c r="DCL50" s="952"/>
      <c r="DCM50" s="952"/>
      <c r="DCN50" s="952"/>
      <c r="DCO50" s="952"/>
      <c r="DCP50" s="952"/>
      <c r="DCQ50" s="952"/>
      <c r="DCR50" s="952"/>
      <c r="DCS50" s="952"/>
      <c r="DCT50" s="952"/>
      <c r="DCU50" s="952"/>
      <c r="DCV50" s="952"/>
      <c r="DCW50" s="952"/>
      <c r="DCX50" s="952"/>
      <c r="DCY50" s="952"/>
      <c r="DCZ50" s="952"/>
      <c r="DDA50" s="952"/>
      <c r="DDB50" s="952"/>
      <c r="DDC50" s="952"/>
      <c r="DDD50" s="952"/>
      <c r="DDE50" s="952"/>
      <c r="DDF50" s="952"/>
      <c r="DDG50" s="952"/>
      <c r="DDH50" s="952"/>
      <c r="DDI50" s="952"/>
      <c r="DDJ50" s="952"/>
      <c r="DDK50" s="952"/>
      <c r="DDL50" s="952"/>
      <c r="DDM50" s="952"/>
      <c r="DDN50" s="952"/>
      <c r="DDO50" s="952"/>
      <c r="DDP50" s="952"/>
      <c r="DDQ50" s="952"/>
      <c r="DDR50" s="952"/>
      <c r="DDS50" s="952"/>
      <c r="DDT50" s="952"/>
      <c r="DDU50" s="952"/>
      <c r="DDV50" s="952"/>
      <c r="DDW50" s="952"/>
      <c r="DDX50" s="952"/>
      <c r="DDY50" s="952"/>
      <c r="DDZ50" s="952"/>
      <c r="DEA50" s="952"/>
      <c r="DEB50" s="952"/>
      <c r="DEC50" s="952"/>
      <c r="DED50" s="952"/>
      <c r="DEE50" s="952"/>
      <c r="DEF50" s="952"/>
      <c r="DEG50" s="952"/>
      <c r="DEH50" s="952"/>
      <c r="DEI50" s="952"/>
      <c r="DEJ50" s="952"/>
      <c r="DEK50" s="952"/>
      <c r="DEL50" s="952"/>
      <c r="DEM50" s="952"/>
      <c r="DEN50" s="952"/>
      <c r="DEO50" s="952"/>
      <c r="DEP50" s="952"/>
      <c r="DEQ50" s="952"/>
      <c r="DER50" s="952"/>
      <c r="DES50" s="952"/>
      <c r="DET50" s="952"/>
      <c r="DEU50" s="952"/>
      <c r="DEV50" s="952"/>
      <c r="DEW50" s="952"/>
      <c r="DEX50" s="952"/>
      <c r="DEY50" s="952"/>
      <c r="DEZ50" s="952"/>
      <c r="DFA50" s="952"/>
      <c r="DFB50" s="952"/>
      <c r="DFC50" s="952"/>
      <c r="DFD50" s="952"/>
      <c r="DFE50" s="952"/>
      <c r="DFF50" s="952"/>
      <c r="DFG50" s="952"/>
      <c r="DFH50" s="952"/>
      <c r="DFI50" s="952"/>
      <c r="DFJ50" s="952"/>
      <c r="DFK50" s="952"/>
      <c r="DFL50" s="952"/>
      <c r="DFM50" s="952"/>
      <c r="DFN50" s="952"/>
      <c r="DFO50" s="952"/>
      <c r="DFP50" s="952"/>
      <c r="DFQ50" s="952"/>
      <c r="DFR50" s="952"/>
      <c r="DFS50" s="952"/>
      <c r="DFT50" s="952"/>
      <c r="DFU50" s="952"/>
      <c r="DFV50" s="952"/>
      <c r="DFW50" s="952"/>
      <c r="DFX50" s="952"/>
      <c r="DFY50" s="952"/>
      <c r="DFZ50" s="952"/>
      <c r="DGA50" s="952"/>
      <c r="DGB50" s="952"/>
      <c r="DGC50" s="952"/>
      <c r="DGD50" s="952"/>
      <c r="DGE50" s="952"/>
      <c r="DGF50" s="952"/>
      <c r="DGG50" s="952"/>
      <c r="DGH50" s="952"/>
      <c r="DGI50" s="952"/>
      <c r="DGJ50" s="952"/>
      <c r="DGK50" s="952"/>
      <c r="DGL50" s="952"/>
      <c r="DGM50" s="952"/>
      <c r="DGN50" s="952"/>
      <c r="DGO50" s="952"/>
      <c r="DGP50" s="952"/>
      <c r="DGQ50" s="952"/>
      <c r="DGR50" s="952"/>
      <c r="DGS50" s="952"/>
      <c r="DGT50" s="952"/>
      <c r="DGU50" s="952"/>
      <c r="DGV50" s="952"/>
      <c r="DGW50" s="952"/>
      <c r="DGX50" s="952"/>
      <c r="DGY50" s="952"/>
      <c r="DGZ50" s="952"/>
      <c r="DHA50" s="952"/>
      <c r="DHB50" s="952"/>
      <c r="DHC50" s="952"/>
      <c r="DHD50" s="952"/>
      <c r="DHE50" s="952"/>
      <c r="DHF50" s="952"/>
      <c r="DHG50" s="952"/>
      <c r="DHH50" s="952"/>
      <c r="DHI50" s="952"/>
      <c r="DHJ50" s="952"/>
      <c r="DHK50" s="952"/>
      <c r="DHL50" s="952"/>
      <c r="DHM50" s="952"/>
      <c r="DHN50" s="952"/>
      <c r="DHO50" s="952"/>
      <c r="DHP50" s="952"/>
      <c r="DHQ50" s="952"/>
      <c r="DHR50" s="952"/>
      <c r="DHS50" s="952"/>
      <c r="DHT50" s="952"/>
      <c r="DHU50" s="952"/>
      <c r="DHV50" s="952"/>
      <c r="DHW50" s="952"/>
      <c r="DHX50" s="952"/>
      <c r="DHY50" s="952"/>
      <c r="DHZ50" s="952"/>
      <c r="DIA50" s="952"/>
      <c r="DIB50" s="952"/>
      <c r="DIC50" s="952"/>
      <c r="DID50" s="952"/>
      <c r="DIE50" s="952"/>
      <c r="DIF50" s="952"/>
      <c r="DIG50" s="952"/>
      <c r="DIH50" s="952"/>
      <c r="DII50" s="952"/>
      <c r="DIJ50" s="952"/>
      <c r="DIK50" s="952"/>
      <c r="DIL50" s="952"/>
      <c r="DIM50" s="952"/>
      <c r="DIN50" s="952"/>
      <c r="DIO50" s="952"/>
      <c r="DIP50" s="952"/>
      <c r="DIQ50" s="952"/>
      <c r="DIR50" s="952"/>
      <c r="DIS50" s="952"/>
      <c r="DIT50" s="952"/>
      <c r="DIU50" s="952"/>
      <c r="DIV50" s="952"/>
      <c r="DIW50" s="952"/>
      <c r="DIX50" s="952"/>
      <c r="DIY50" s="952"/>
      <c r="DIZ50" s="952"/>
      <c r="DJA50" s="952"/>
      <c r="DJB50" s="952"/>
      <c r="DJC50" s="952"/>
      <c r="DJD50" s="952"/>
      <c r="DJE50" s="952"/>
      <c r="DJF50" s="952"/>
      <c r="DJG50" s="952"/>
      <c r="DJH50" s="952"/>
      <c r="DJI50" s="952"/>
      <c r="DJJ50" s="952"/>
      <c r="DJK50" s="952"/>
      <c r="DJL50" s="952"/>
      <c r="DJM50" s="952"/>
      <c r="DJN50" s="952"/>
      <c r="DJO50" s="952"/>
      <c r="DJP50" s="952"/>
      <c r="DJQ50" s="952"/>
      <c r="DJR50" s="952"/>
      <c r="DJS50" s="952"/>
      <c r="DJT50" s="952"/>
      <c r="DJU50" s="952"/>
      <c r="DJV50" s="952"/>
      <c r="DJW50" s="952"/>
      <c r="DJX50" s="952"/>
      <c r="DJY50" s="952"/>
      <c r="DJZ50" s="952"/>
      <c r="DKA50" s="952"/>
      <c r="DKB50" s="952"/>
      <c r="DKC50" s="952"/>
      <c r="DKD50" s="952"/>
      <c r="DKE50" s="952"/>
      <c r="DKF50" s="952"/>
      <c r="DKG50" s="952"/>
      <c r="DKH50" s="952"/>
      <c r="DKI50" s="952"/>
      <c r="DKJ50" s="952"/>
      <c r="DKK50" s="952"/>
      <c r="DKL50" s="952"/>
      <c r="DKM50" s="952"/>
      <c r="DKN50" s="952"/>
      <c r="DKO50" s="952"/>
      <c r="DKP50" s="952"/>
      <c r="DKQ50" s="952"/>
      <c r="DKR50" s="952"/>
      <c r="DKS50" s="952"/>
      <c r="DKT50" s="952"/>
      <c r="DKU50" s="952"/>
      <c r="DKV50" s="952"/>
      <c r="DKW50" s="952"/>
      <c r="DKX50" s="952"/>
      <c r="DKY50" s="952"/>
      <c r="DKZ50" s="952"/>
      <c r="DLA50" s="952"/>
      <c r="DLB50" s="952"/>
      <c r="DLC50" s="952"/>
      <c r="DLD50" s="952"/>
      <c r="DLE50" s="952"/>
      <c r="DLF50" s="952"/>
      <c r="DLG50" s="952"/>
      <c r="DLH50" s="952"/>
      <c r="DLI50" s="952"/>
      <c r="DLJ50" s="952"/>
      <c r="DLK50" s="952"/>
      <c r="DLL50" s="952"/>
      <c r="DLM50" s="952"/>
      <c r="DLN50" s="952"/>
      <c r="DLO50" s="952"/>
      <c r="DLP50" s="952"/>
      <c r="DLQ50" s="952"/>
      <c r="DLR50" s="952"/>
      <c r="DLS50" s="952"/>
      <c r="DLT50" s="952"/>
      <c r="DLU50" s="952"/>
      <c r="DLV50" s="952"/>
      <c r="DLW50" s="952"/>
      <c r="DLX50" s="952"/>
      <c r="DLY50" s="952"/>
      <c r="DLZ50" s="952"/>
      <c r="DMA50" s="952"/>
      <c r="DMB50" s="952"/>
      <c r="DMC50" s="952"/>
      <c r="DMD50" s="952"/>
      <c r="DME50" s="952"/>
      <c r="DMF50" s="952"/>
      <c r="DMG50" s="952"/>
      <c r="DMH50" s="952"/>
      <c r="DMI50" s="952"/>
      <c r="DMJ50" s="952"/>
      <c r="DMK50" s="952"/>
      <c r="DML50" s="952"/>
      <c r="DMM50" s="952"/>
      <c r="DMN50" s="952"/>
      <c r="DMO50" s="952"/>
      <c r="DMP50" s="952"/>
      <c r="DMQ50" s="952"/>
      <c r="DMR50" s="952"/>
      <c r="DMS50" s="952"/>
      <c r="DMT50" s="952"/>
      <c r="DMU50" s="952"/>
      <c r="DMV50" s="952"/>
      <c r="DMW50" s="952"/>
      <c r="DMX50" s="952"/>
      <c r="DMY50" s="952"/>
      <c r="DMZ50" s="952"/>
      <c r="DNA50" s="952"/>
      <c r="DNB50" s="952"/>
      <c r="DNC50" s="952"/>
      <c r="DND50" s="952"/>
      <c r="DNE50" s="952"/>
      <c r="DNF50" s="952"/>
      <c r="DNG50" s="952"/>
      <c r="DNH50" s="952"/>
      <c r="DNI50" s="952"/>
      <c r="DNJ50" s="952"/>
      <c r="DNK50" s="952"/>
      <c r="DNL50" s="952"/>
      <c r="DNM50" s="952"/>
      <c r="DNN50" s="952"/>
      <c r="DNO50" s="952"/>
      <c r="DNP50" s="952"/>
      <c r="DNQ50" s="952"/>
      <c r="DNR50" s="952"/>
      <c r="DNS50" s="952"/>
      <c r="DNT50" s="952"/>
      <c r="DNU50" s="952"/>
      <c r="DNV50" s="952"/>
      <c r="DNW50" s="952"/>
      <c r="DNX50" s="952"/>
      <c r="DNY50" s="952"/>
      <c r="DNZ50" s="952"/>
      <c r="DOA50" s="952"/>
      <c r="DOB50" s="952"/>
      <c r="DOC50" s="952"/>
      <c r="DOD50" s="952"/>
      <c r="DOE50" s="952"/>
      <c r="DOF50" s="952"/>
      <c r="DOG50" s="952"/>
      <c r="DOH50" s="952"/>
      <c r="DOI50" s="952"/>
      <c r="DOJ50" s="952"/>
      <c r="DOK50" s="952"/>
      <c r="DOL50" s="952"/>
      <c r="DOM50" s="952"/>
      <c r="DON50" s="952"/>
      <c r="DOO50" s="952"/>
      <c r="DOP50" s="952"/>
      <c r="DOQ50" s="952"/>
      <c r="DOR50" s="952"/>
      <c r="DOS50" s="952"/>
      <c r="DOT50" s="952"/>
      <c r="DOU50" s="952"/>
      <c r="DOV50" s="952"/>
      <c r="DOW50" s="952"/>
      <c r="DOX50" s="952"/>
      <c r="DOY50" s="952"/>
      <c r="DOZ50" s="952"/>
      <c r="DPA50" s="952"/>
      <c r="DPB50" s="952"/>
      <c r="DPC50" s="952"/>
      <c r="DPD50" s="952"/>
      <c r="DPE50" s="952"/>
      <c r="DPF50" s="952"/>
      <c r="DPG50" s="952"/>
      <c r="DPH50" s="952"/>
      <c r="DPI50" s="952"/>
      <c r="DPJ50" s="952"/>
      <c r="DPK50" s="952"/>
      <c r="DPL50" s="952"/>
      <c r="DPM50" s="952"/>
      <c r="DPN50" s="952"/>
      <c r="DPO50" s="952"/>
      <c r="DPP50" s="952"/>
      <c r="DPQ50" s="952"/>
      <c r="DPR50" s="952"/>
      <c r="DPS50" s="952"/>
      <c r="DPT50" s="952"/>
      <c r="DPU50" s="952"/>
      <c r="DPV50" s="952"/>
      <c r="DPW50" s="952"/>
      <c r="DPX50" s="952"/>
      <c r="DPY50" s="952"/>
      <c r="DPZ50" s="952"/>
      <c r="DQA50" s="952"/>
      <c r="DQB50" s="952"/>
      <c r="DQC50" s="952"/>
      <c r="DQD50" s="952"/>
      <c r="DQE50" s="952"/>
      <c r="DQF50" s="952"/>
      <c r="DQG50" s="952"/>
      <c r="DQH50" s="952"/>
      <c r="DQI50" s="952"/>
      <c r="DQJ50" s="952"/>
      <c r="DQK50" s="952"/>
      <c r="DQL50" s="952"/>
      <c r="DQM50" s="952"/>
      <c r="DQN50" s="952"/>
      <c r="DQO50" s="952"/>
      <c r="DQP50" s="952"/>
      <c r="DQQ50" s="952"/>
      <c r="DQR50" s="952"/>
      <c r="DQS50" s="952"/>
      <c r="DQT50" s="952"/>
      <c r="DQU50" s="952"/>
      <c r="DQV50" s="952"/>
      <c r="DQW50" s="952"/>
      <c r="DQX50" s="952"/>
      <c r="DQY50" s="952"/>
      <c r="DQZ50" s="952"/>
      <c r="DRA50" s="952"/>
      <c r="DRB50" s="952"/>
      <c r="DRC50" s="952"/>
      <c r="DRD50" s="952"/>
      <c r="DRE50" s="952"/>
      <c r="DRF50" s="952"/>
      <c r="DRG50" s="952"/>
      <c r="DRH50" s="952"/>
      <c r="DRI50" s="952"/>
      <c r="DRJ50" s="952"/>
      <c r="DRK50" s="952"/>
      <c r="DRL50" s="952"/>
      <c r="DRM50" s="952"/>
      <c r="DRN50" s="952"/>
      <c r="DRO50" s="952"/>
      <c r="DRP50" s="952"/>
      <c r="DRQ50" s="952"/>
      <c r="DRR50" s="952"/>
      <c r="DRS50" s="952"/>
      <c r="DRT50" s="952"/>
      <c r="DRU50" s="952"/>
      <c r="DRV50" s="952"/>
      <c r="DRW50" s="952"/>
      <c r="DRX50" s="952"/>
      <c r="DRY50" s="952"/>
      <c r="DRZ50" s="952"/>
      <c r="DSA50" s="952"/>
      <c r="DSB50" s="952"/>
      <c r="DSC50" s="952"/>
      <c r="DSD50" s="952"/>
      <c r="DSE50" s="952"/>
      <c r="DSF50" s="952"/>
      <c r="DSG50" s="952"/>
      <c r="DSH50" s="952"/>
      <c r="DSI50" s="952"/>
      <c r="DSJ50" s="952"/>
      <c r="DSK50" s="952"/>
      <c r="DSL50" s="952"/>
      <c r="DSM50" s="952"/>
      <c r="DSN50" s="952"/>
      <c r="DSO50" s="952"/>
      <c r="DSP50" s="952"/>
      <c r="DSQ50" s="952"/>
      <c r="DSR50" s="952"/>
      <c r="DSS50" s="952"/>
      <c r="DST50" s="952"/>
      <c r="DSU50" s="952"/>
      <c r="DSV50" s="952"/>
      <c r="DSW50" s="952"/>
      <c r="DSX50" s="952"/>
      <c r="DSY50" s="952"/>
      <c r="DSZ50" s="952"/>
      <c r="DTA50" s="952"/>
      <c r="DTB50" s="952"/>
      <c r="DTC50" s="952"/>
      <c r="DTD50" s="952"/>
      <c r="DTE50" s="952"/>
      <c r="DTF50" s="952"/>
      <c r="DTG50" s="952"/>
      <c r="DTH50" s="952"/>
      <c r="DTI50" s="952"/>
      <c r="DTJ50" s="952"/>
      <c r="DTK50" s="952"/>
      <c r="DTL50" s="952"/>
      <c r="DTM50" s="952"/>
      <c r="DTN50" s="952"/>
      <c r="DTO50" s="952"/>
      <c r="DTP50" s="952"/>
      <c r="DTQ50" s="952"/>
      <c r="DTR50" s="952"/>
      <c r="DTS50" s="952"/>
      <c r="DTT50" s="952"/>
      <c r="DTU50" s="952"/>
      <c r="DTV50" s="952"/>
      <c r="DTW50" s="952"/>
      <c r="DTX50" s="952"/>
      <c r="DTY50" s="952"/>
      <c r="DTZ50" s="952"/>
      <c r="DUA50" s="952"/>
      <c r="DUB50" s="952"/>
      <c r="DUC50" s="952"/>
      <c r="DUD50" s="952"/>
      <c r="DUE50" s="952"/>
      <c r="DUF50" s="952"/>
      <c r="DUG50" s="952"/>
      <c r="DUH50" s="952"/>
      <c r="DUI50" s="952"/>
      <c r="DUJ50" s="952"/>
      <c r="DUK50" s="952"/>
      <c r="DUL50" s="952"/>
      <c r="DUM50" s="952"/>
      <c r="DUN50" s="952"/>
      <c r="DUO50" s="952"/>
      <c r="DUP50" s="952"/>
      <c r="DUQ50" s="952"/>
      <c r="DUR50" s="952"/>
      <c r="DUS50" s="952"/>
      <c r="DUT50" s="952"/>
      <c r="DUU50" s="952"/>
      <c r="DUV50" s="952"/>
      <c r="DUW50" s="952"/>
      <c r="DUX50" s="952"/>
      <c r="DUY50" s="952"/>
      <c r="DUZ50" s="952"/>
      <c r="DVA50" s="952"/>
      <c r="DVB50" s="952"/>
      <c r="DVC50" s="952"/>
      <c r="DVD50" s="952"/>
      <c r="DVE50" s="952"/>
      <c r="DVF50" s="952"/>
      <c r="DVG50" s="952"/>
      <c r="DVH50" s="952"/>
      <c r="DVI50" s="952"/>
      <c r="DVJ50" s="952"/>
      <c r="DVK50" s="952"/>
      <c r="DVL50" s="952"/>
      <c r="DVM50" s="952"/>
      <c r="DVN50" s="952"/>
      <c r="DVO50" s="952"/>
      <c r="DVP50" s="952"/>
      <c r="DVQ50" s="952"/>
      <c r="DVR50" s="952"/>
      <c r="DVS50" s="952"/>
      <c r="DVT50" s="952"/>
      <c r="DVU50" s="952"/>
      <c r="DVV50" s="952"/>
      <c r="DVW50" s="952"/>
      <c r="DVX50" s="952"/>
      <c r="DVY50" s="952"/>
      <c r="DVZ50" s="952"/>
      <c r="DWA50" s="952"/>
      <c r="DWB50" s="952"/>
      <c r="DWC50" s="952"/>
      <c r="DWD50" s="952"/>
      <c r="DWE50" s="952"/>
      <c r="DWF50" s="952"/>
      <c r="DWG50" s="952"/>
      <c r="DWH50" s="952"/>
      <c r="DWI50" s="952"/>
      <c r="DWJ50" s="952"/>
      <c r="DWK50" s="952"/>
      <c r="DWL50" s="952"/>
      <c r="DWM50" s="952"/>
      <c r="DWN50" s="952"/>
      <c r="DWO50" s="952"/>
      <c r="DWP50" s="952"/>
      <c r="DWQ50" s="952"/>
      <c r="DWR50" s="952"/>
      <c r="DWS50" s="952"/>
      <c r="DWT50" s="952"/>
      <c r="DWU50" s="952"/>
      <c r="DWV50" s="952"/>
      <c r="DWW50" s="952"/>
      <c r="DWX50" s="952"/>
      <c r="DWY50" s="952"/>
      <c r="DWZ50" s="952"/>
      <c r="DXA50" s="952"/>
      <c r="DXB50" s="952"/>
      <c r="DXC50" s="952"/>
      <c r="DXD50" s="952"/>
      <c r="DXE50" s="952"/>
      <c r="DXF50" s="952"/>
      <c r="DXG50" s="952"/>
      <c r="DXH50" s="952"/>
      <c r="DXI50" s="952"/>
      <c r="DXJ50" s="952"/>
      <c r="DXK50" s="952"/>
      <c r="DXL50" s="952"/>
      <c r="DXM50" s="952"/>
      <c r="DXN50" s="952"/>
      <c r="DXO50" s="952"/>
      <c r="DXP50" s="952"/>
      <c r="DXQ50" s="952"/>
      <c r="DXR50" s="952"/>
      <c r="DXS50" s="952"/>
      <c r="DXT50" s="952"/>
      <c r="DXU50" s="952"/>
      <c r="DXV50" s="952"/>
      <c r="DXW50" s="952"/>
      <c r="DXX50" s="952"/>
      <c r="DXY50" s="952"/>
      <c r="DXZ50" s="952"/>
      <c r="DYA50" s="952"/>
      <c r="DYB50" s="952"/>
      <c r="DYC50" s="952"/>
      <c r="DYD50" s="952"/>
      <c r="DYE50" s="952"/>
      <c r="DYF50" s="952"/>
      <c r="DYG50" s="952"/>
      <c r="DYH50" s="952"/>
      <c r="DYI50" s="952"/>
      <c r="DYJ50" s="952"/>
      <c r="DYK50" s="952"/>
      <c r="DYL50" s="952"/>
      <c r="DYM50" s="952"/>
      <c r="DYN50" s="952"/>
      <c r="DYO50" s="952"/>
      <c r="DYP50" s="952"/>
      <c r="DYQ50" s="952"/>
      <c r="DYR50" s="952"/>
      <c r="DYS50" s="952"/>
      <c r="DYT50" s="952"/>
      <c r="DYU50" s="952"/>
      <c r="DYV50" s="952"/>
      <c r="DYW50" s="952"/>
      <c r="DYX50" s="952"/>
      <c r="DYY50" s="952"/>
      <c r="DYZ50" s="952"/>
      <c r="DZA50" s="952"/>
      <c r="DZB50" s="952"/>
      <c r="DZC50" s="952"/>
      <c r="DZD50" s="952"/>
      <c r="DZE50" s="952"/>
      <c r="DZF50" s="952"/>
      <c r="DZG50" s="952"/>
      <c r="DZH50" s="952"/>
      <c r="DZI50" s="952"/>
      <c r="DZJ50" s="952"/>
      <c r="DZK50" s="952"/>
      <c r="DZL50" s="952"/>
      <c r="DZM50" s="952"/>
      <c r="DZN50" s="952"/>
      <c r="DZO50" s="952"/>
      <c r="DZP50" s="952"/>
      <c r="DZQ50" s="952"/>
      <c r="DZR50" s="952"/>
      <c r="DZS50" s="952"/>
      <c r="DZT50" s="952"/>
      <c r="DZU50" s="952"/>
      <c r="DZV50" s="952"/>
      <c r="DZW50" s="952"/>
      <c r="DZX50" s="952"/>
      <c r="DZY50" s="952"/>
      <c r="DZZ50" s="952"/>
      <c r="EAA50" s="952"/>
      <c r="EAB50" s="952"/>
      <c r="EAC50" s="952"/>
      <c r="EAD50" s="952"/>
      <c r="EAE50" s="952"/>
      <c r="EAF50" s="952"/>
      <c r="EAG50" s="952"/>
      <c r="EAH50" s="952"/>
      <c r="EAI50" s="952"/>
      <c r="EAJ50" s="952"/>
      <c r="EAK50" s="952"/>
      <c r="EAL50" s="952"/>
      <c r="EAM50" s="952"/>
      <c r="EAN50" s="952"/>
      <c r="EAO50" s="952"/>
      <c r="EAP50" s="952"/>
      <c r="EAQ50" s="952"/>
      <c r="EAR50" s="952"/>
      <c r="EAS50" s="952"/>
      <c r="EAT50" s="952"/>
      <c r="EAU50" s="952"/>
      <c r="EAV50" s="952"/>
      <c r="EAW50" s="952"/>
      <c r="EAX50" s="952"/>
      <c r="EAY50" s="952"/>
      <c r="EAZ50" s="952"/>
      <c r="EBA50" s="952"/>
      <c r="EBB50" s="952"/>
      <c r="EBC50" s="952"/>
      <c r="EBD50" s="952"/>
      <c r="EBE50" s="952"/>
      <c r="EBF50" s="952"/>
      <c r="EBG50" s="952"/>
      <c r="EBH50" s="952"/>
      <c r="EBI50" s="952"/>
      <c r="EBJ50" s="952"/>
      <c r="EBK50" s="952"/>
      <c r="EBL50" s="952"/>
      <c r="EBM50" s="952"/>
      <c r="EBN50" s="952"/>
      <c r="EBO50" s="952"/>
      <c r="EBP50" s="952"/>
      <c r="EBQ50" s="952"/>
      <c r="EBR50" s="952"/>
      <c r="EBS50" s="952"/>
      <c r="EBT50" s="952"/>
      <c r="EBU50" s="952"/>
      <c r="EBV50" s="952"/>
      <c r="EBW50" s="952"/>
      <c r="EBX50" s="952"/>
      <c r="EBY50" s="952"/>
      <c r="EBZ50" s="952"/>
      <c r="ECA50" s="952"/>
      <c r="ECB50" s="952"/>
      <c r="ECC50" s="952"/>
      <c r="ECD50" s="952"/>
      <c r="ECE50" s="952"/>
      <c r="ECF50" s="952"/>
      <c r="ECG50" s="952"/>
      <c r="ECH50" s="952"/>
      <c r="ECI50" s="952"/>
      <c r="ECJ50" s="952"/>
      <c r="ECK50" s="952"/>
      <c r="ECL50" s="952"/>
      <c r="ECM50" s="952"/>
      <c r="ECN50" s="952"/>
      <c r="ECO50" s="952"/>
      <c r="ECP50" s="952"/>
      <c r="ECQ50" s="952"/>
      <c r="ECR50" s="952"/>
      <c r="ECS50" s="952"/>
      <c r="ECT50" s="952"/>
      <c r="ECU50" s="952"/>
      <c r="ECV50" s="952"/>
      <c r="ECW50" s="952"/>
      <c r="ECX50" s="952"/>
      <c r="ECY50" s="952"/>
      <c r="ECZ50" s="952"/>
      <c r="EDA50" s="952"/>
      <c r="EDB50" s="952"/>
      <c r="EDC50" s="952"/>
      <c r="EDD50" s="952"/>
      <c r="EDE50" s="952"/>
      <c r="EDF50" s="952"/>
      <c r="EDG50" s="952"/>
      <c r="EDH50" s="952"/>
      <c r="EDI50" s="952"/>
      <c r="EDJ50" s="952"/>
      <c r="EDK50" s="952"/>
      <c r="EDL50" s="952"/>
      <c r="EDM50" s="952"/>
      <c r="EDN50" s="952"/>
      <c r="EDO50" s="952"/>
      <c r="EDP50" s="952"/>
      <c r="EDQ50" s="952"/>
      <c r="EDR50" s="952"/>
      <c r="EDS50" s="952"/>
      <c r="EDT50" s="952"/>
      <c r="EDU50" s="952"/>
      <c r="EDV50" s="952"/>
      <c r="EDW50" s="952"/>
      <c r="EDX50" s="952"/>
      <c r="EDY50" s="952"/>
      <c r="EDZ50" s="952"/>
      <c r="EEA50" s="952"/>
      <c r="EEB50" s="952"/>
      <c r="EEC50" s="952"/>
      <c r="EED50" s="952"/>
      <c r="EEE50" s="952"/>
      <c r="EEF50" s="952"/>
      <c r="EEG50" s="952"/>
      <c r="EEH50" s="952"/>
      <c r="EEI50" s="952"/>
      <c r="EEJ50" s="952"/>
      <c r="EEK50" s="952"/>
      <c r="EEL50" s="952"/>
      <c r="EEM50" s="952"/>
      <c r="EEN50" s="952"/>
      <c r="EEO50" s="952"/>
      <c r="EEP50" s="952"/>
      <c r="EEQ50" s="952"/>
      <c r="EER50" s="952"/>
      <c r="EES50" s="952"/>
      <c r="EET50" s="952"/>
      <c r="EEU50" s="952"/>
      <c r="EEV50" s="952"/>
      <c r="EEW50" s="952"/>
      <c r="EEX50" s="952"/>
      <c r="EEY50" s="952"/>
      <c r="EEZ50" s="952"/>
      <c r="EFA50" s="952"/>
      <c r="EFB50" s="952"/>
      <c r="EFC50" s="952"/>
      <c r="EFD50" s="952"/>
      <c r="EFE50" s="952"/>
      <c r="EFF50" s="952"/>
      <c r="EFG50" s="952"/>
      <c r="EFH50" s="952"/>
      <c r="EFI50" s="952"/>
      <c r="EFJ50" s="952"/>
      <c r="EFK50" s="952"/>
      <c r="EFL50" s="952"/>
      <c r="EFM50" s="952"/>
      <c r="EFN50" s="952"/>
      <c r="EFO50" s="952"/>
      <c r="EFP50" s="952"/>
      <c r="EFQ50" s="952"/>
      <c r="EFR50" s="952"/>
      <c r="EFS50" s="952"/>
      <c r="EFT50" s="952"/>
      <c r="EFU50" s="952"/>
      <c r="EFV50" s="952"/>
      <c r="EFW50" s="952"/>
      <c r="EFX50" s="952"/>
      <c r="EFY50" s="952"/>
      <c r="EFZ50" s="952"/>
      <c r="EGA50" s="952"/>
      <c r="EGB50" s="952"/>
      <c r="EGC50" s="952"/>
      <c r="EGD50" s="952"/>
      <c r="EGE50" s="952"/>
      <c r="EGF50" s="952"/>
      <c r="EGG50" s="952"/>
      <c r="EGH50" s="952"/>
      <c r="EGI50" s="952"/>
      <c r="EGJ50" s="952"/>
      <c r="EGK50" s="952"/>
      <c r="EGL50" s="952"/>
      <c r="EGM50" s="952"/>
      <c r="EGN50" s="952"/>
      <c r="EGO50" s="952"/>
      <c r="EGP50" s="952"/>
      <c r="EGQ50" s="952"/>
      <c r="EGR50" s="952"/>
      <c r="EGS50" s="952"/>
      <c r="EGT50" s="952"/>
      <c r="EGU50" s="952"/>
      <c r="EGV50" s="952"/>
      <c r="EGW50" s="952"/>
      <c r="EGX50" s="952"/>
      <c r="EGY50" s="952"/>
      <c r="EGZ50" s="952"/>
      <c r="EHA50" s="952"/>
      <c r="EHB50" s="952"/>
      <c r="EHC50" s="952"/>
      <c r="EHD50" s="952"/>
      <c r="EHE50" s="952"/>
      <c r="EHF50" s="952"/>
      <c r="EHG50" s="952"/>
      <c r="EHH50" s="952"/>
      <c r="EHI50" s="952"/>
      <c r="EHJ50" s="952"/>
      <c r="EHK50" s="952"/>
      <c r="EHL50" s="952"/>
      <c r="EHM50" s="952"/>
      <c r="EHN50" s="952"/>
      <c r="EHO50" s="952"/>
      <c r="EHP50" s="952"/>
      <c r="EHQ50" s="952"/>
      <c r="EHR50" s="952"/>
      <c r="EHS50" s="952"/>
      <c r="EHT50" s="952"/>
      <c r="EHU50" s="952"/>
      <c r="EHV50" s="952"/>
      <c r="EHW50" s="952"/>
      <c r="EHX50" s="952"/>
      <c r="EHY50" s="952"/>
      <c r="EHZ50" s="952"/>
      <c r="EIA50" s="952"/>
      <c r="EIB50" s="952"/>
      <c r="EIC50" s="952"/>
      <c r="EID50" s="952"/>
      <c r="EIE50" s="952"/>
      <c r="EIF50" s="952"/>
      <c r="EIG50" s="952"/>
      <c r="EIH50" s="952"/>
      <c r="EII50" s="952"/>
      <c r="EIJ50" s="952"/>
      <c r="EIK50" s="952"/>
      <c r="EIL50" s="952"/>
      <c r="EIM50" s="952"/>
      <c r="EIN50" s="952"/>
      <c r="EIO50" s="952"/>
      <c r="EIP50" s="952"/>
      <c r="EIQ50" s="952"/>
      <c r="EIR50" s="952"/>
      <c r="EIS50" s="952"/>
      <c r="EIT50" s="952"/>
      <c r="EIU50" s="952"/>
      <c r="EIV50" s="952"/>
      <c r="EIW50" s="952"/>
      <c r="EIX50" s="952"/>
      <c r="EIY50" s="952"/>
      <c r="EIZ50" s="952"/>
      <c r="EJA50" s="952"/>
      <c r="EJB50" s="952"/>
      <c r="EJC50" s="952"/>
      <c r="EJD50" s="952"/>
      <c r="EJE50" s="952"/>
      <c r="EJF50" s="952"/>
      <c r="EJG50" s="952"/>
      <c r="EJH50" s="952"/>
      <c r="EJI50" s="952"/>
      <c r="EJJ50" s="952"/>
      <c r="EJK50" s="952"/>
      <c r="EJL50" s="952"/>
      <c r="EJM50" s="952"/>
      <c r="EJN50" s="952"/>
      <c r="EJO50" s="952"/>
      <c r="EJP50" s="952"/>
      <c r="EJQ50" s="952"/>
      <c r="EJR50" s="952"/>
      <c r="EJS50" s="952"/>
      <c r="EJT50" s="952"/>
      <c r="EJU50" s="952"/>
      <c r="EJV50" s="952"/>
      <c r="EJW50" s="952"/>
      <c r="EJX50" s="952"/>
      <c r="EJY50" s="952"/>
      <c r="EJZ50" s="952"/>
      <c r="EKA50" s="952"/>
      <c r="EKB50" s="952"/>
      <c r="EKC50" s="952"/>
      <c r="EKD50" s="952"/>
      <c r="EKE50" s="952"/>
      <c r="EKF50" s="952"/>
      <c r="EKG50" s="952"/>
      <c r="EKH50" s="952"/>
      <c r="EKI50" s="952"/>
      <c r="EKJ50" s="952"/>
      <c r="EKK50" s="952"/>
      <c r="EKL50" s="952"/>
      <c r="EKM50" s="952"/>
      <c r="EKN50" s="952"/>
      <c r="EKO50" s="952"/>
      <c r="EKP50" s="952"/>
      <c r="EKQ50" s="952"/>
      <c r="EKR50" s="952"/>
      <c r="EKS50" s="952"/>
      <c r="EKT50" s="952"/>
      <c r="EKU50" s="952"/>
      <c r="EKV50" s="952"/>
      <c r="EKW50" s="952"/>
      <c r="EKX50" s="952"/>
      <c r="EKY50" s="952"/>
      <c r="EKZ50" s="952"/>
      <c r="ELA50" s="952"/>
      <c r="ELB50" s="952"/>
      <c r="ELC50" s="952"/>
      <c r="ELD50" s="952"/>
      <c r="ELE50" s="952"/>
      <c r="ELF50" s="952"/>
      <c r="ELG50" s="952"/>
      <c r="ELH50" s="952"/>
      <c r="ELI50" s="952"/>
      <c r="ELJ50" s="952"/>
      <c r="ELK50" s="952"/>
      <c r="ELL50" s="952"/>
      <c r="ELM50" s="952"/>
      <c r="ELN50" s="952"/>
      <c r="ELO50" s="952"/>
      <c r="ELP50" s="952"/>
      <c r="ELQ50" s="952"/>
      <c r="ELR50" s="952"/>
      <c r="ELS50" s="952"/>
      <c r="ELT50" s="952"/>
      <c r="ELU50" s="952"/>
      <c r="ELV50" s="952"/>
      <c r="ELW50" s="952"/>
      <c r="ELX50" s="952"/>
      <c r="ELY50" s="952"/>
      <c r="ELZ50" s="952"/>
      <c r="EMA50" s="952"/>
      <c r="EMB50" s="952"/>
      <c r="EMC50" s="952"/>
      <c r="EMD50" s="952"/>
      <c r="EME50" s="952"/>
      <c r="EMF50" s="952"/>
      <c r="EMG50" s="952"/>
      <c r="EMH50" s="952"/>
      <c r="EMI50" s="952"/>
      <c r="EMJ50" s="952"/>
      <c r="EMK50" s="952"/>
      <c r="EML50" s="952"/>
      <c r="EMM50" s="952"/>
      <c r="EMN50" s="952"/>
      <c r="EMO50" s="952"/>
      <c r="EMP50" s="952"/>
      <c r="EMQ50" s="952"/>
      <c r="EMR50" s="952"/>
      <c r="EMS50" s="952"/>
      <c r="EMT50" s="952"/>
      <c r="EMU50" s="952"/>
      <c r="EMV50" s="952"/>
      <c r="EMW50" s="952"/>
      <c r="EMX50" s="952"/>
      <c r="EMY50" s="952"/>
      <c r="EMZ50" s="952"/>
      <c r="ENA50" s="952"/>
      <c r="ENB50" s="952"/>
      <c r="ENC50" s="952"/>
      <c r="END50" s="952"/>
      <c r="ENE50" s="952"/>
      <c r="ENF50" s="952"/>
      <c r="ENG50" s="952"/>
      <c r="ENH50" s="952"/>
      <c r="ENI50" s="952"/>
      <c r="ENJ50" s="952"/>
      <c r="ENK50" s="952"/>
      <c r="ENL50" s="952"/>
      <c r="ENM50" s="952"/>
      <c r="ENN50" s="952"/>
      <c r="ENO50" s="952"/>
      <c r="ENP50" s="952"/>
      <c r="ENQ50" s="952"/>
      <c r="ENR50" s="952"/>
      <c r="ENS50" s="952"/>
      <c r="ENT50" s="952"/>
      <c r="ENU50" s="952"/>
      <c r="ENV50" s="952"/>
      <c r="ENW50" s="952"/>
      <c r="ENX50" s="952"/>
      <c r="ENY50" s="952"/>
      <c r="ENZ50" s="952"/>
      <c r="EOA50" s="952"/>
      <c r="EOB50" s="952"/>
      <c r="EOC50" s="952"/>
      <c r="EOD50" s="952"/>
      <c r="EOE50" s="952"/>
      <c r="EOF50" s="952"/>
      <c r="EOG50" s="952"/>
      <c r="EOH50" s="952"/>
      <c r="EOI50" s="952"/>
      <c r="EOJ50" s="952"/>
      <c r="EOK50" s="952"/>
      <c r="EOL50" s="952"/>
      <c r="EOM50" s="952"/>
      <c r="EON50" s="952"/>
      <c r="EOO50" s="952"/>
      <c r="EOP50" s="952"/>
      <c r="EOQ50" s="952"/>
      <c r="EOR50" s="952"/>
      <c r="EOS50" s="952"/>
      <c r="EOT50" s="952"/>
      <c r="EOU50" s="952"/>
      <c r="EOV50" s="952"/>
      <c r="EOW50" s="952"/>
      <c r="EOX50" s="952"/>
      <c r="EOY50" s="952"/>
      <c r="EOZ50" s="952"/>
      <c r="EPA50" s="952"/>
      <c r="EPB50" s="952"/>
      <c r="EPC50" s="952"/>
      <c r="EPD50" s="952"/>
      <c r="EPE50" s="952"/>
      <c r="EPF50" s="952"/>
      <c r="EPG50" s="952"/>
      <c r="EPH50" s="952"/>
      <c r="EPI50" s="952"/>
      <c r="EPJ50" s="952"/>
      <c r="EPK50" s="952"/>
      <c r="EPL50" s="952"/>
      <c r="EPM50" s="952"/>
      <c r="EPN50" s="952"/>
      <c r="EPO50" s="952"/>
      <c r="EPP50" s="952"/>
      <c r="EPQ50" s="952"/>
      <c r="EPR50" s="952"/>
      <c r="EPS50" s="952"/>
      <c r="EPT50" s="952"/>
      <c r="EPU50" s="952"/>
      <c r="EPV50" s="952"/>
      <c r="EPW50" s="952"/>
      <c r="EPX50" s="952"/>
      <c r="EPY50" s="952"/>
      <c r="EPZ50" s="952"/>
      <c r="EQA50" s="952"/>
      <c r="EQB50" s="952"/>
      <c r="EQC50" s="952"/>
      <c r="EQD50" s="952"/>
      <c r="EQE50" s="952"/>
      <c r="EQF50" s="952"/>
      <c r="EQG50" s="952"/>
      <c r="EQH50" s="952"/>
      <c r="EQI50" s="952"/>
      <c r="EQJ50" s="952"/>
      <c r="EQK50" s="952"/>
      <c r="EQL50" s="952"/>
      <c r="EQM50" s="952"/>
      <c r="EQN50" s="952"/>
      <c r="EQO50" s="952"/>
      <c r="EQP50" s="952"/>
      <c r="EQQ50" s="952"/>
      <c r="EQR50" s="952"/>
      <c r="EQS50" s="952"/>
      <c r="EQT50" s="952"/>
      <c r="EQU50" s="952"/>
      <c r="EQV50" s="952"/>
      <c r="EQW50" s="952"/>
      <c r="EQX50" s="952"/>
      <c r="EQY50" s="952"/>
      <c r="EQZ50" s="952"/>
      <c r="ERA50" s="952"/>
      <c r="ERB50" s="952"/>
      <c r="ERC50" s="952"/>
      <c r="ERD50" s="952"/>
      <c r="ERE50" s="952"/>
      <c r="ERF50" s="952"/>
      <c r="ERG50" s="952"/>
      <c r="ERH50" s="952"/>
      <c r="ERI50" s="952"/>
      <c r="ERJ50" s="952"/>
      <c r="ERK50" s="952"/>
      <c r="ERL50" s="952"/>
      <c r="ERM50" s="952"/>
      <c r="ERN50" s="952"/>
      <c r="ERO50" s="952"/>
      <c r="ERP50" s="952"/>
      <c r="ERQ50" s="952"/>
      <c r="ERR50" s="952"/>
      <c r="ERS50" s="952"/>
      <c r="ERT50" s="952"/>
      <c r="ERU50" s="952"/>
      <c r="ERV50" s="952"/>
      <c r="ERW50" s="952"/>
      <c r="ERX50" s="952"/>
      <c r="ERY50" s="952"/>
      <c r="ERZ50" s="952"/>
      <c r="ESA50" s="952"/>
      <c r="ESB50" s="952"/>
      <c r="ESC50" s="952"/>
      <c r="ESD50" s="952"/>
      <c r="ESE50" s="952"/>
      <c r="ESF50" s="952"/>
      <c r="ESG50" s="952"/>
      <c r="ESH50" s="952"/>
      <c r="ESI50" s="952"/>
      <c r="ESJ50" s="952"/>
      <c r="ESK50" s="952"/>
      <c r="ESL50" s="952"/>
      <c r="ESM50" s="952"/>
      <c r="ESN50" s="952"/>
      <c r="ESO50" s="952"/>
      <c r="ESP50" s="952"/>
      <c r="ESQ50" s="952"/>
      <c r="ESR50" s="952"/>
      <c r="ESS50" s="952"/>
      <c r="EST50" s="952"/>
      <c r="ESU50" s="952"/>
      <c r="ESV50" s="952"/>
      <c r="ESW50" s="952"/>
      <c r="ESX50" s="952"/>
      <c r="ESY50" s="952"/>
      <c r="ESZ50" s="952"/>
      <c r="ETA50" s="952"/>
      <c r="ETB50" s="952"/>
      <c r="ETC50" s="952"/>
      <c r="ETD50" s="952"/>
      <c r="ETE50" s="952"/>
      <c r="ETF50" s="952"/>
      <c r="ETG50" s="952"/>
      <c r="ETH50" s="952"/>
      <c r="ETI50" s="952"/>
      <c r="ETJ50" s="952"/>
      <c r="ETK50" s="952"/>
      <c r="ETL50" s="952"/>
      <c r="ETM50" s="952"/>
      <c r="ETN50" s="952"/>
      <c r="ETO50" s="952"/>
      <c r="ETP50" s="952"/>
      <c r="ETQ50" s="952"/>
      <c r="ETR50" s="952"/>
      <c r="ETS50" s="952"/>
      <c r="ETT50" s="952"/>
      <c r="ETU50" s="952"/>
      <c r="ETV50" s="952"/>
      <c r="ETW50" s="952"/>
      <c r="ETX50" s="952"/>
      <c r="ETY50" s="952"/>
      <c r="ETZ50" s="952"/>
      <c r="EUA50" s="952"/>
      <c r="EUB50" s="952"/>
      <c r="EUC50" s="952"/>
      <c r="EUD50" s="952"/>
      <c r="EUE50" s="952"/>
      <c r="EUF50" s="952"/>
      <c r="EUG50" s="952"/>
      <c r="EUH50" s="952"/>
      <c r="EUI50" s="952"/>
      <c r="EUJ50" s="952"/>
      <c r="EUK50" s="952"/>
      <c r="EUL50" s="952"/>
      <c r="EUM50" s="952"/>
      <c r="EUN50" s="952"/>
      <c r="EUO50" s="952"/>
      <c r="EUP50" s="952"/>
      <c r="EUQ50" s="952"/>
      <c r="EUR50" s="952"/>
      <c r="EUS50" s="952"/>
      <c r="EUT50" s="952"/>
      <c r="EUU50" s="952"/>
      <c r="EUV50" s="952"/>
      <c r="EUW50" s="952"/>
      <c r="EUX50" s="952"/>
      <c r="EUY50" s="952"/>
      <c r="EUZ50" s="952"/>
      <c r="EVA50" s="952"/>
      <c r="EVB50" s="952"/>
      <c r="EVC50" s="952"/>
      <c r="EVD50" s="952"/>
      <c r="EVE50" s="952"/>
      <c r="EVF50" s="952"/>
      <c r="EVG50" s="952"/>
      <c r="EVH50" s="952"/>
      <c r="EVI50" s="952"/>
      <c r="EVJ50" s="952"/>
      <c r="EVK50" s="952"/>
      <c r="EVL50" s="952"/>
      <c r="EVM50" s="952"/>
      <c r="EVN50" s="952"/>
      <c r="EVO50" s="952"/>
      <c r="EVP50" s="952"/>
      <c r="EVQ50" s="952"/>
      <c r="EVR50" s="952"/>
      <c r="EVS50" s="952"/>
      <c r="EVT50" s="952"/>
      <c r="EVU50" s="952"/>
      <c r="EVV50" s="952"/>
      <c r="EVW50" s="952"/>
      <c r="EVX50" s="952"/>
      <c r="EVY50" s="952"/>
      <c r="EVZ50" s="952"/>
      <c r="EWA50" s="952"/>
      <c r="EWB50" s="952"/>
      <c r="EWC50" s="952"/>
      <c r="EWD50" s="952"/>
      <c r="EWE50" s="952"/>
      <c r="EWF50" s="952"/>
      <c r="EWG50" s="952"/>
      <c r="EWH50" s="952"/>
      <c r="EWI50" s="952"/>
      <c r="EWJ50" s="952"/>
      <c r="EWK50" s="952"/>
      <c r="EWL50" s="952"/>
      <c r="EWM50" s="952"/>
      <c r="EWN50" s="952"/>
      <c r="EWO50" s="952"/>
      <c r="EWP50" s="952"/>
      <c r="EWQ50" s="952"/>
      <c r="EWR50" s="952"/>
      <c r="EWS50" s="952"/>
      <c r="EWT50" s="952"/>
      <c r="EWU50" s="952"/>
      <c r="EWV50" s="952"/>
      <c r="EWW50" s="952"/>
      <c r="EWX50" s="952"/>
      <c r="EWY50" s="952"/>
      <c r="EWZ50" s="952"/>
      <c r="EXA50" s="952"/>
      <c r="EXB50" s="952"/>
      <c r="EXC50" s="952"/>
      <c r="EXD50" s="952"/>
      <c r="EXE50" s="952"/>
      <c r="EXF50" s="952"/>
      <c r="EXG50" s="952"/>
      <c r="EXH50" s="952"/>
      <c r="EXI50" s="952"/>
      <c r="EXJ50" s="952"/>
      <c r="EXK50" s="952"/>
      <c r="EXL50" s="952"/>
      <c r="EXM50" s="952"/>
      <c r="EXN50" s="952"/>
      <c r="EXO50" s="952"/>
      <c r="EXP50" s="952"/>
      <c r="EXQ50" s="952"/>
      <c r="EXR50" s="952"/>
      <c r="EXS50" s="952"/>
      <c r="EXT50" s="952"/>
      <c r="EXU50" s="952"/>
      <c r="EXV50" s="952"/>
      <c r="EXW50" s="952"/>
      <c r="EXX50" s="952"/>
      <c r="EXY50" s="952"/>
      <c r="EXZ50" s="952"/>
      <c r="EYA50" s="952"/>
      <c r="EYB50" s="952"/>
      <c r="EYC50" s="952"/>
      <c r="EYD50" s="952"/>
      <c r="EYE50" s="952"/>
      <c r="EYF50" s="952"/>
      <c r="EYG50" s="952"/>
      <c r="EYH50" s="952"/>
      <c r="EYI50" s="952"/>
      <c r="EYJ50" s="952"/>
      <c r="EYK50" s="952"/>
      <c r="EYL50" s="952"/>
      <c r="EYM50" s="952"/>
      <c r="EYN50" s="952"/>
      <c r="EYO50" s="952"/>
      <c r="EYP50" s="952"/>
      <c r="EYQ50" s="952"/>
      <c r="EYR50" s="952"/>
      <c r="EYS50" s="952"/>
      <c r="EYT50" s="952"/>
      <c r="EYU50" s="952"/>
      <c r="EYV50" s="952"/>
      <c r="EYW50" s="952"/>
      <c r="EYX50" s="952"/>
      <c r="EYY50" s="952"/>
      <c r="EYZ50" s="952"/>
      <c r="EZA50" s="952"/>
      <c r="EZB50" s="952"/>
      <c r="EZC50" s="952"/>
      <c r="EZD50" s="952"/>
      <c r="EZE50" s="952"/>
      <c r="EZF50" s="952"/>
      <c r="EZG50" s="952"/>
      <c r="EZH50" s="952"/>
      <c r="EZI50" s="952"/>
      <c r="EZJ50" s="952"/>
      <c r="EZK50" s="952"/>
      <c r="EZL50" s="952"/>
      <c r="EZM50" s="952"/>
      <c r="EZN50" s="952"/>
      <c r="EZO50" s="952"/>
      <c r="EZP50" s="952"/>
      <c r="EZQ50" s="952"/>
      <c r="EZR50" s="952"/>
      <c r="EZS50" s="952"/>
      <c r="EZT50" s="952"/>
      <c r="EZU50" s="952"/>
      <c r="EZV50" s="952"/>
      <c r="EZW50" s="952"/>
      <c r="EZX50" s="952"/>
      <c r="EZY50" s="952"/>
      <c r="EZZ50" s="952"/>
      <c r="FAA50" s="952"/>
      <c r="FAB50" s="952"/>
      <c r="FAC50" s="952"/>
      <c r="FAD50" s="952"/>
      <c r="FAE50" s="952"/>
      <c r="FAF50" s="952"/>
      <c r="FAG50" s="952"/>
      <c r="FAH50" s="952"/>
      <c r="FAI50" s="952"/>
      <c r="FAJ50" s="952"/>
      <c r="FAK50" s="952"/>
      <c r="FAL50" s="952"/>
      <c r="FAM50" s="952"/>
      <c r="FAN50" s="952"/>
      <c r="FAO50" s="952"/>
      <c r="FAP50" s="952"/>
      <c r="FAQ50" s="952"/>
      <c r="FAR50" s="952"/>
      <c r="FAS50" s="952"/>
      <c r="FAT50" s="952"/>
      <c r="FAU50" s="952"/>
      <c r="FAV50" s="952"/>
      <c r="FAW50" s="952"/>
      <c r="FAX50" s="952"/>
      <c r="FAY50" s="952"/>
      <c r="FAZ50" s="952"/>
      <c r="FBA50" s="952"/>
      <c r="FBB50" s="952"/>
      <c r="FBC50" s="952"/>
      <c r="FBD50" s="952"/>
      <c r="FBE50" s="952"/>
      <c r="FBF50" s="952"/>
      <c r="FBG50" s="952"/>
      <c r="FBH50" s="952"/>
      <c r="FBI50" s="952"/>
      <c r="FBJ50" s="952"/>
      <c r="FBK50" s="952"/>
      <c r="FBL50" s="952"/>
      <c r="FBM50" s="952"/>
      <c r="FBN50" s="952"/>
      <c r="FBO50" s="952"/>
      <c r="FBP50" s="952"/>
      <c r="FBQ50" s="952"/>
      <c r="FBR50" s="952"/>
      <c r="FBS50" s="952"/>
      <c r="FBT50" s="952"/>
      <c r="FBU50" s="952"/>
      <c r="FBV50" s="952"/>
      <c r="FBW50" s="952"/>
      <c r="FBX50" s="952"/>
      <c r="FBY50" s="952"/>
      <c r="FBZ50" s="952"/>
      <c r="FCA50" s="952"/>
      <c r="FCB50" s="952"/>
      <c r="FCC50" s="952"/>
      <c r="FCD50" s="952"/>
      <c r="FCE50" s="952"/>
      <c r="FCF50" s="952"/>
      <c r="FCG50" s="952"/>
      <c r="FCH50" s="952"/>
      <c r="FCI50" s="952"/>
      <c r="FCJ50" s="952"/>
      <c r="FCK50" s="952"/>
      <c r="FCL50" s="952"/>
      <c r="FCM50" s="952"/>
      <c r="FCN50" s="952"/>
      <c r="FCO50" s="952"/>
      <c r="FCP50" s="952"/>
      <c r="FCQ50" s="952"/>
      <c r="FCR50" s="952"/>
      <c r="FCS50" s="952"/>
      <c r="FCT50" s="952"/>
      <c r="FCU50" s="952"/>
      <c r="FCV50" s="952"/>
      <c r="FCW50" s="952"/>
      <c r="FCX50" s="952"/>
      <c r="FCY50" s="952"/>
      <c r="FCZ50" s="952"/>
      <c r="FDA50" s="952"/>
      <c r="FDB50" s="952"/>
      <c r="FDC50" s="952"/>
      <c r="FDD50" s="952"/>
      <c r="FDE50" s="952"/>
      <c r="FDF50" s="952"/>
      <c r="FDG50" s="952"/>
      <c r="FDH50" s="952"/>
      <c r="FDI50" s="952"/>
      <c r="FDJ50" s="952"/>
      <c r="FDK50" s="952"/>
      <c r="FDL50" s="952"/>
      <c r="FDM50" s="952"/>
      <c r="FDN50" s="952"/>
      <c r="FDO50" s="952"/>
      <c r="FDP50" s="952"/>
      <c r="FDQ50" s="952"/>
      <c r="FDR50" s="952"/>
      <c r="FDS50" s="952"/>
      <c r="FDT50" s="952"/>
      <c r="FDU50" s="952"/>
      <c r="FDV50" s="952"/>
      <c r="FDW50" s="952"/>
      <c r="FDX50" s="952"/>
      <c r="FDY50" s="952"/>
      <c r="FDZ50" s="952"/>
      <c r="FEA50" s="952"/>
      <c r="FEB50" s="952"/>
      <c r="FEC50" s="952"/>
      <c r="FED50" s="952"/>
      <c r="FEE50" s="952"/>
      <c r="FEF50" s="952"/>
      <c r="FEG50" s="952"/>
      <c r="FEH50" s="952"/>
      <c r="FEI50" s="952"/>
      <c r="FEJ50" s="952"/>
      <c r="FEK50" s="952"/>
      <c r="FEL50" s="952"/>
      <c r="FEM50" s="952"/>
      <c r="FEN50" s="952"/>
      <c r="FEO50" s="952"/>
      <c r="FEP50" s="952"/>
      <c r="FEQ50" s="952"/>
      <c r="FER50" s="952"/>
      <c r="FES50" s="952"/>
      <c r="FET50" s="952"/>
      <c r="FEU50" s="952"/>
      <c r="FEV50" s="952"/>
      <c r="FEW50" s="952"/>
      <c r="FEX50" s="952"/>
      <c r="FEY50" s="952"/>
      <c r="FEZ50" s="952"/>
      <c r="FFA50" s="952"/>
      <c r="FFB50" s="952"/>
      <c r="FFC50" s="952"/>
      <c r="FFD50" s="952"/>
      <c r="FFE50" s="952"/>
      <c r="FFF50" s="952"/>
      <c r="FFG50" s="952"/>
      <c r="FFH50" s="952"/>
      <c r="FFI50" s="952"/>
      <c r="FFJ50" s="952"/>
      <c r="FFK50" s="952"/>
      <c r="FFL50" s="952"/>
      <c r="FFM50" s="952"/>
      <c r="FFN50" s="952"/>
      <c r="FFO50" s="952"/>
      <c r="FFP50" s="952"/>
      <c r="FFQ50" s="952"/>
      <c r="FFR50" s="952"/>
      <c r="FFS50" s="952"/>
      <c r="FFT50" s="952"/>
      <c r="FFU50" s="952"/>
      <c r="FFV50" s="952"/>
      <c r="FFW50" s="952"/>
      <c r="FFX50" s="952"/>
      <c r="FFY50" s="952"/>
      <c r="FFZ50" s="952"/>
      <c r="FGA50" s="952"/>
      <c r="FGB50" s="952"/>
      <c r="FGC50" s="952"/>
      <c r="FGD50" s="952"/>
      <c r="FGE50" s="952"/>
      <c r="FGF50" s="952"/>
      <c r="FGG50" s="952"/>
      <c r="FGH50" s="952"/>
      <c r="FGI50" s="952"/>
      <c r="FGJ50" s="952"/>
      <c r="FGK50" s="952"/>
      <c r="FGL50" s="952"/>
      <c r="FGM50" s="952"/>
      <c r="FGN50" s="952"/>
      <c r="FGO50" s="952"/>
      <c r="FGP50" s="952"/>
      <c r="FGQ50" s="952"/>
      <c r="FGR50" s="952"/>
      <c r="FGS50" s="952"/>
      <c r="FGT50" s="952"/>
      <c r="FGU50" s="952"/>
      <c r="FGV50" s="952"/>
      <c r="FGW50" s="952"/>
      <c r="FGX50" s="952"/>
      <c r="FGY50" s="952"/>
      <c r="FGZ50" s="952"/>
      <c r="FHA50" s="952"/>
      <c r="FHB50" s="952"/>
      <c r="FHC50" s="952"/>
      <c r="FHD50" s="952"/>
      <c r="FHE50" s="952"/>
      <c r="FHF50" s="952"/>
      <c r="FHG50" s="952"/>
      <c r="FHH50" s="952"/>
      <c r="FHI50" s="952"/>
      <c r="FHJ50" s="952"/>
      <c r="FHK50" s="952"/>
      <c r="FHL50" s="952"/>
      <c r="FHM50" s="952"/>
      <c r="FHN50" s="952"/>
      <c r="FHO50" s="952"/>
      <c r="FHP50" s="952"/>
      <c r="FHQ50" s="952"/>
      <c r="FHR50" s="952"/>
      <c r="FHS50" s="952"/>
      <c r="FHT50" s="952"/>
      <c r="FHU50" s="952"/>
      <c r="FHV50" s="952"/>
      <c r="FHW50" s="952"/>
      <c r="FHX50" s="952"/>
      <c r="FHY50" s="952"/>
      <c r="FHZ50" s="952"/>
      <c r="FIA50" s="952"/>
      <c r="FIB50" s="952"/>
      <c r="FIC50" s="952"/>
      <c r="FID50" s="952"/>
      <c r="FIE50" s="952"/>
      <c r="FIF50" s="952"/>
      <c r="FIG50" s="952"/>
      <c r="FIH50" s="952"/>
      <c r="FII50" s="952"/>
      <c r="FIJ50" s="952"/>
      <c r="FIK50" s="952"/>
      <c r="FIL50" s="952"/>
      <c r="FIM50" s="952"/>
      <c r="FIN50" s="952"/>
      <c r="FIO50" s="952"/>
      <c r="FIP50" s="952"/>
      <c r="FIQ50" s="952"/>
      <c r="FIR50" s="952"/>
      <c r="FIS50" s="952"/>
      <c r="FIT50" s="952"/>
      <c r="FIU50" s="952"/>
      <c r="FIV50" s="952"/>
      <c r="FIW50" s="952"/>
      <c r="FIX50" s="952"/>
      <c r="FIY50" s="952"/>
      <c r="FIZ50" s="952"/>
      <c r="FJA50" s="952"/>
      <c r="FJB50" s="952"/>
      <c r="FJC50" s="952"/>
      <c r="FJD50" s="952"/>
      <c r="FJE50" s="952"/>
      <c r="FJF50" s="952"/>
      <c r="FJG50" s="952"/>
      <c r="FJH50" s="952"/>
      <c r="FJI50" s="952"/>
      <c r="FJJ50" s="952"/>
      <c r="FJK50" s="952"/>
      <c r="FJL50" s="952"/>
      <c r="FJM50" s="952"/>
      <c r="FJN50" s="952"/>
      <c r="FJO50" s="952"/>
      <c r="FJP50" s="952"/>
      <c r="FJQ50" s="952"/>
      <c r="FJR50" s="952"/>
      <c r="FJS50" s="952"/>
      <c r="FJT50" s="952"/>
      <c r="FJU50" s="952"/>
      <c r="FJV50" s="952"/>
      <c r="FJW50" s="952"/>
      <c r="FJX50" s="952"/>
      <c r="FJY50" s="952"/>
      <c r="FJZ50" s="952"/>
      <c r="FKA50" s="952"/>
      <c r="FKB50" s="952"/>
      <c r="FKC50" s="952"/>
      <c r="FKD50" s="952"/>
      <c r="FKE50" s="952"/>
      <c r="FKF50" s="952"/>
      <c r="FKG50" s="952"/>
      <c r="FKH50" s="952"/>
      <c r="FKI50" s="952"/>
      <c r="FKJ50" s="952"/>
      <c r="FKK50" s="952"/>
      <c r="FKL50" s="952"/>
      <c r="FKM50" s="952"/>
      <c r="FKN50" s="952"/>
      <c r="FKO50" s="952"/>
      <c r="FKP50" s="952"/>
      <c r="FKQ50" s="952"/>
      <c r="FKR50" s="952"/>
      <c r="FKS50" s="952"/>
      <c r="FKT50" s="952"/>
      <c r="FKU50" s="952"/>
      <c r="FKV50" s="952"/>
      <c r="FKW50" s="952"/>
      <c r="FKX50" s="952"/>
      <c r="FKY50" s="952"/>
      <c r="FKZ50" s="952"/>
      <c r="FLA50" s="952"/>
      <c r="FLB50" s="952"/>
      <c r="FLC50" s="952"/>
      <c r="FLD50" s="952"/>
      <c r="FLE50" s="952"/>
      <c r="FLF50" s="952"/>
      <c r="FLG50" s="952"/>
      <c r="FLH50" s="952"/>
      <c r="FLI50" s="952"/>
      <c r="FLJ50" s="952"/>
      <c r="FLK50" s="952"/>
      <c r="FLL50" s="952"/>
      <c r="FLM50" s="952"/>
      <c r="FLN50" s="952"/>
      <c r="FLO50" s="952"/>
      <c r="FLP50" s="952"/>
      <c r="FLQ50" s="952"/>
      <c r="FLR50" s="952"/>
      <c r="FLS50" s="952"/>
      <c r="FLT50" s="952"/>
      <c r="FLU50" s="952"/>
      <c r="FLV50" s="952"/>
      <c r="FLW50" s="952"/>
      <c r="FLX50" s="952"/>
      <c r="FLY50" s="952"/>
      <c r="FLZ50" s="952"/>
      <c r="FMA50" s="952"/>
      <c r="FMB50" s="952"/>
      <c r="FMC50" s="952"/>
      <c r="FMD50" s="952"/>
      <c r="FME50" s="952"/>
      <c r="FMF50" s="952"/>
      <c r="FMG50" s="952"/>
      <c r="FMH50" s="952"/>
      <c r="FMI50" s="952"/>
      <c r="FMJ50" s="952"/>
      <c r="FMK50" s="952"/>
      <c r="FML50" s="952"/>
      <c r="FMM50" s="952"/>
      <c r="FMN50" s="952"/>
      <c r="FMO50" s="952"/>
      <c r="FMP50" s="952"/>
      <c r="FMQ50" s="952"/>
      <c r="FMR50" s="952"/>
      <c r="FMS50" s="952"/>
      <c r="FMT50" s="952"/>
      <c r="FMU50" s="952"/>
      <c r="FMV50" s="952"/>
      <c r="FMW50" s="952"/>
      <c r="FMX50" s="952"/>
      <c r="FMY50" s="952"/>
      <c r="FMZ50" s="952"/>
      <c r="FNA50" s="952"/>
      <c r="FNB50" s="952"/>
      <c r="FNC50" s="952"/>
      <c r="FND50" s="952"/>
      <c r="FNE50" s="952"/>
      <c r="FNF50" s="952"/>
      <c r="FNG50" s="952"/>
      <c r="FNH50" s="952"/>
      <c r="FNI50" s="952"/>
      <c r="FNJ50" s="952"/>
      <c r="FNK50" s="952"/>
      <c r="FNL50" s="952"/>
      <c r="FNM50" s="952"/>
      <c r="FNN50" s="952"/>
      <c r="FNO50" s="952"/>
      <c r="FNP50" s="952"/>
      <c r="FNQ50" s="952"/>
      <c r="FNR50" s="952"/>
      <c r="FNS50" s="952"/>
      <c r="FNT50" s="952"/>
      <c r="FNU50" s="952"/>
      <c r="FNV50" s="952"/>
      <c r="FNW50" s="952"/>
      <c r="FNX50" s="952"/>
      <c r="FNY50" s="952"/>
      <c r="FNZ50" s="952"/>
      <c r="FOA50" s="952"/>
      <c r="FOB50" s="952"/>
      <c r="FOC50" s="952"/>
      <c r="FOD50" s="952"/>
      <c r="FOE50" s="952"/>
      <c r="FOF50" s="952"/>
      <c r="FOG50" s="952"/>
      <c r="FOH50" s="952"/>
      <c r="FOI50" s="952"/>
      <c r="FOJ50" s="952"/>
      <c r="FOK50" s="952"/>
      <c r="FOL50" s="952"/>
      <c r="FOM50" s="952"/>
      <c r="FON50" s="952"/>
      <c r="FOO50" s="952"/>
      <c r="FOP50" s="952"/>
      <c r="FOQ50" s="952"/>
      <c r="FOR50" s="952"/>
      <c r="FOS50" s="952"/>
      <c r="FOT50" s="952"/>
      <c r="FOU50" s="952"/>
      <c r="FOV50" s="952"/>
      <c r="FOW50" s="952"/>
      <c r="FOX50" s="952"/>
      <c r="FOY50" s="952"/>
      <c r="FOZ50" s="952"/>
      <c r="FPA50" s="952"/>
      <c r="FPB50" s="952"/>
      <c r="FPC50" s="952"/>
      <c r="FPD50" s="952"/>
      <c r="FPE50" s="952"/>
      <c r="FPF50" s="952"/>
      <c r="FPG50" s="952"/>
      <c r="FPH50" s="952"/>
      <c r="FPI50" s="952"/>
      <c r="FPJ50" s="952"/>
      <c r="FPK50" s="952"/>
      <c r="FPL50" s="952"/>
      <c r="FPM50" s="952"/>
      <c r="FPN50" s="952"/>
      <c r="FPO50" s="952"/>
      <c r="FPP50" s="952"/>
      <c r="FPQ50" s="952"/>
      <c r="FPR50" s="952"/>
      <c r="FPS50" s="952"/>
      <c r="FPT50" s="952"/>
      <c r="FPU50" s="952"/>
      <c r="FPV50" s="952"/>
      <c r="FPW50" s="952"/>
      <c r="FPX50" s="952"/>
      <c r="FPY50" s="952"/>
      <c r="FPZ50" s="952"/>
      <c r="FQA50" s="952"/>
      <c r="FQB50" s="952"/>
      <c r="FQC50" s="952"/>
      <c r="FQD50" s="952"/>
      <c r="FQE50" s="952"/>
      <c r="FQF50" s="952"/>
      <c r="FQG50" s="952"/>
      <c r="FQH50" s="952"/>
      <c r="FQI50" s="952"/>
      <c r="FQJ50" s="952"/>
      <c r="FQK50" s="952"/>
      <c r="FQL50" s="952"/>
      <c r="FQM50" s="952"/>
      <c r="FQN50" s="952"/>
      <c r="FQO50" s="952"/>
      <c r="FQP50" s="952"/>
      <c r="FQQ50" s="952"/>
      <c r="FQR50" s="952"/>
      <c r="FQS50" s="952"/>
      <c r="FQT50" s="952"/>
      <c r="FQU50" s="952"/>
      <c r="FQV50" s="952"/>
      <c r="FQW50" s="952"/>
      <c r="FQX50" s="952"/>
      <c r="FQY50" s="952"/>
      <c r="FQZ50" s="952"/>
      <c r="FRA50" s="952"/>
      <c r="FRB50" s="952"/>
      <c r="FRC50" s="952"/>
      <c r="FRD50" s="952"/>
      <c r="FRE50" s="952"/>
      <c r="FRF50" s="952"/>
      <c r="FRG50" s="952"/>
      <c r="FRH50" s="952"/>
      <c r="FRI50" s="952"/>
      <c r="FRJ50" s="952"/>
      <c r="FRK50" s="952"/>
      <c r="FRL50" s="952"/>
      <c r="FRM50" s="952"/>
      <c r="FRN50" s="952"/>
      <c r="FRO50" s="952"/>
      <c r="FRP50" s="952"/>
      <c r="FRQ50" s="952"/>
      <c r="FRR50" s="952"/>
      <c r="FRS50" s="952"/>
      <c r="FRT50" s="952"/>
      <c r="FRU50" s="952"/>
      <c r="FRV50" s="952"/>
      <c r="FRW50" s="952"/>
      <c r="FRX50" s="952"/>
      <c r="FRY50" s="952"/>
      <c r="FRZ50" s="952"/>
      <c r="FSA50" s="952"/>
      <c r="FSB50" s="952"/>
      <c r="FSC50" s="952"/>
      <c r="FSD50" s="952"/>
      <c r="FSE50" s="952"/>
      <c r="FSF50" s="952"/>
      <c r="FSG50" s="952"/>
      <c r="FSH50" s="952"/>
      <c r="FSI50" s="952"/>
      <c r="FSJ50" s="952"/>
      <c r="FSK50" s="952"/>
      <c r="FSL50" s="952"/>
      <c r="FSM50" s="952"/>
      <c r="FSN50" s="952"/>
      <c r="FSO50" s="952"/>
      <c r="FSP50" s="952"/>
      <c r="FSQ50" s="952"/>
      <c r="FSR50" s="952"/>
      <c r="FSS50" s="952"/>
      <c r="FST50" s="952"/>
      <c r="FSU50" s="952"/>
      <c r="FSV50" s="952"/>
      <c r="FSW50" s="952"/>
      <c r="FSX50" s="952"/>
      <c r="FSY50" s="952"/>
      <c r="FSZ50" s="952"/>
      <c r="FTA50" s="952"/>
      <c r="FTB50" s="952"/>
      <c r="FTC50" s="952"/>
      <c r="FTD50" s="952"/>
      <c r="FTE50" s="952"/>
      <c r="FTF50" s="952"/>
      <c r="FTG50" s="952"/>
      <c r="FTH50" s="952"/>
      <c r="FTI50" s="952"/>
      <c r="FTJ50" s="952"/>
      <c r="FTK50" s="952"/>
      <c r="FTL50" s="952"/>
      <c r="FTM50" s="952"/>
      <c r="FTN50" s="952"/>
      <c r="FTO50" s="952"/>
      <c r="FTP50" s="952"/>
      <c r="FTQ50" s="952"/>
      <c r="FTR50" s="952"/>
      <c r="FTS50" s="952"/>
      <c r="FTT50" s="952"/>
      <c r="FTU50" s="952"/>
      <c r="FTV50" s="952"/>
      <c r="FTW50" s="952"/>
      <c r="FTX50" s="952"/>
      <c r="FTY50" s="952"/>
      <c r="FTZ50" s="952"/>
      <c r="FUA50" s="952"/>
      <c r="FUB50" s="952"/>
      <c r="FUC50" s="952"/>
      <c r="FUD50" s="952"/>
      <c r="FUE50" s="952"/>
      <c r="FUF50" s="952"/>
      <c r="FUG50" s="952"/>
      <c r="FUH50" s="952"/>
      <c r="FUI50" s="952"/>
      <c r="FUJ50" s="952"/>
      <c r="FUK50" s="952"/>
      <c r="FUL50" s="952"/>
      <c r="FUM50" s="952"/>
      <c r="FUN50" s="952"/>
      <c r="FUO50" s="952"/>
      <c r="FUP50" s="952"/>
      <c r="FUQ50" s="952"/>
      <c r="FUR50" s="952"/>
      <c r="FUS50" s="952"/>
      <c r="FUT50" s="952"/>
      <c r="FUU50" s="952"/>
      <c r="FUV50" s="952"/>
      <c r="FUW50" s="952"/>
      <c r="FUX50" s="952"/>
      <c r="FUY50" s="952"/>
      <c r="FUZ50" s="952"/>
      <c r="FVA50" s="952"/>
      <c r="FVB50" s="952"/>
      <c r="FVC50" s="952"/>
      <c r="FVD50" s="952"/>
      <c r="FVE50" s="952"/>
      <c r="FVF50" s="952"/>
      <c r="FVG50" s="952"/>
      <c r="FVH50" s="952"/>
      <c r="FVI50" s="952"/>
      <c r="FVJ50" s="952"/>
      <c r="FVK50" s="952"/>
      <c r="FVL50" s="952"/>
      <c r="FVM50" s="952"/>
      <c r="FVN50" s="952"/>
      <c r="FVO50" s="952"/>
      <c r="FVP50" s="952"/>
      <c r="FVQ50" s="952"/>
      <c r="FVR50" s="952"/>
      <c r="FVS50" s="952"/>
      <c r="FVT50" s="952"/>
      <c r="FVU50" s="952"/>
      <c r="FVV50" s="952"/>
      <c r="FVW50" s="952"/>
      <c r="FVX50" s="952"/>
      <c r="FVY50" s="952"/>
      <c r="FVZ50" s="952"/>
      <c r="FWA50" s="952"/>
      <c r="FWB50" s="952"/>
      <c r="FWC50" s="952"/>
      <c r="FWD50" s="952"/>
      <c r="FWE50" s="952"/>
      <c r="FWF50" s="952"/>
      <c r="FWG50" s="952"/>
      <c r="FWH50" s="952"/>
      <c r="FWI50" s="952"/>
      <c r="FWJ50" s="952"/>
      <c r="FWK50" s="952"/>
      <c r="FWL50" s="952"/>
      <c r="FWM50" s="952"/>
      <c r="FWN50" s="952"/>
      <c r="FWO50" s="952"/>
      <c r="FWP50" s="952"/>
      <c r="FWQ50" s="952"/>
      <c r="FWR50" s="952"/>
      <c r="FWS50" s="952"/>
      <c r="FWT50" s="952"/>
      <c r="FWU50" s="952"/>
      <c r="FWV50" s="952"/>
      <c r="FWW50" s="952"/>
      <c r="FWX50" s="952"/>
      <c r="FWY50" s="952"/>
      <c r="FWZ50" s="952"/>
      <c r="FXA50" s="952"/>
      <c r="FXB50" s="952"/>
      <c r="FXC50" s="952"/>
      <c r="FXD50" s="952"/>
      <c r="FXE50" s="952"/>
      <c r="FXF50" s="952"/>
      <c r="FXG50" s="952"/>
      <c r="FXH50" s="952"/>
      <c r="FXI50" s="952"/>
      <c r="FXJ50" s="952"/>
      <c r="FXK50" s="952"/>
      <c r="FXL50" s="952"/>
      <c r="FXM50" s="952"/>
      <c r="FXN50" s="952"/>
      <c r="FXO50" s="952"/>
      <c r="FXP50" s="952"/>
      <c r="FXQ50" s="952"/>
      <c r="FXR50" s="952"/>
      <c r="FXS50" s="952"/>
      <c r="FXT50" s="952"/>
      <c r="FXU50" s="952"/>
      <c r="FXV50" s="952"/>
      <c r="FXW50" s="952"/>
      <c r="FXX50" s="952"/>
      <c r="FXY50" s="952"/>
      <c r="FXZ50" s="952"/>
      <c r="FYA50" s="952"/>
      <c r="FYB50" s="952"/>
      <c r="FYC50" s="952"/>
      <c r="FYD50" s="952"/>
      <c r="FYE50" s="952"/>
      <c r="FYF50" s="952"/>
      <c r="FYG50" s="952"/>
      <c r="FYH50" s="952"/>
      <c r="FYI50" s="952"/>
      <c r="FYJ50" s="952"/>
      <c r="FYK50" s="952"/>
      <c r="FYL50" s="952"/>
      <c r="FYM50" s="952"/>
      <c r="FYN50" s="952"/>
      <c r="FYO50" s="952"/>
      <c r="FYP50" s="952"/>
      <c r="FYQ50" s="952"/>
      <c r="FYR50" s="952"/>
      <c r="FYS50" s="952"/>
      <c r="FYT50" s="952"/>
      <c r="FYU50" s="952"/>
      <c r="FYV50" s="952"/>
      <c r="FYW50" s="952"/>
      <c r="FYX50" s="952"/>
      <c r="FYY50" s="952"/>
      <c r="FYZ50" s="952"/>
      <c r="FZA50" s="952"/>
      <c r="FZB50" s="952"/>
      <c r="FZC50" s="952"/>
      <c r="FZD50" s="952"/>
      <c r="FZE50" s="952"/>
      <c r="FZF50" s="952"/>
      <c r="FZG50" s="952"/>
      <c r="FZH50" s="952"/>
      <c r="FZI50" s="952"/>
      <c r="FZJ50" s="952"/>
      <c r="FZK50" s="952"/>
      <c r="FZL50" s="952"/>
      <c r="FZM50" s="952"/>
      <c r="FZN50" s="952"/>
      <c r="FZO50" s="952"/>
      <c r="FZP50" s="952"/>
      <c r="FZQ50" s="952"/>
      <c r="FZR50" s="952"/>
      <c r="FZS50" s="952"/>
      <c r="FZT50" s="952"/>
      <c r="FZU50" s="952"/>
      <c r="FZV50" s="952"/>
      <c r="FZW50" s="952"/>
      <c r="FZX50" s="952"/>
      <c r="FZY50" s="952"/>
      <c r="FZZ50" s="952"/>
      <c r="GAA50" s="952"/>
      <c r="GAB50" s="952"/>
      <c r="GAC50" s="952"/>
      <c r="GAD50" s="952"/>
      <c r="GAE50" s="952"/>
      <c r="GAF50" s="952"/>
      <c r="GAG50" s="952"/>
      <c r="GAH50" s="952"/>
      <c r="GAI50" s="952"/>
      <c r="GAJ50" s="952"/>
      <c r="GAK50" s="952"/>
      <c r="GAL50" s="952"/>
      <c r="GAM50" s="952"/>
      <c r="GAN50" s="952"/>
      <c r="GAO50" s="952"/>
      <c r="GAP50" s="952"/>
      <c r="GAQ50" s="952"/>
      <c r="GAR50" s="952"/>
      <c r="GAS50" s="952"/>
      <c r="GAT50" s="952"/>
      <c r="GAU50" s="952"/>
      <c r="GAV50" s="952"/>
      <c r="GAW50" s="952"/>
      <c r="GAX50" s="952"/>
      <c r="GAY50" s="952"/>
      <c r="GAZ50" s="952"/>
      <c r="GBA50" s="952"/>
      <c r="GBB50" s="952"/>
      <c r="GBC50" s="952"/>
      <c r="GBD50" s="952"/>
      <c r="GBE50" s="952"/>
      <c r="GBF50" s="952"/>
      <c r="GBG50" s="952"/>
      <c r="GBH50" s="952"/>
      <c r="GBI50" s="952"/>
      <c r="GBJ50" s="952"/>
      <c r="GBK50" s="952"/>
      <c r="GBL50" s="952"/>
      <c r="GBM50" s="952"/>
      <c r="GBN50" s="952"/>
      <c r="GBO50" s="952"/>
      <c r="GBP50" s="952"/>
      <c r="GBQ50" s="952"/>
      <c r="GBR50" s="952"/>
      <c r="GBS50" s="952"/>
      <c r="GBT50" s="952"/>
      <c r="GBU50" s="952"/>
      <c r="GBV50" s="952"/>
      <c r="GBW50" s="952"/>
      <c r="GBX50" s="952"/>
      <c r="GBY50" s="952"/>
      <c r="GBZ50" s="952"/>
      <c r="GCA50" s="952"/>
      <c r="GCB50" s="952"/>
      <c r="GCC50" s="952"/>
      <c r="GCD50" s="952"/>
      <c r="GCE50" s="952"/>
      <c r="GCF50" s="952"/>
      <c r="GCG50" s="952"/>
      <c r="GCH50" s="952"/>
      <c r="GCI50" s="952"/>
      <c r="GCJ50" s="952"/>
      <c r="GCK50" s="952"/>
      <c r="GCL50" s="952"/>
      <c r="GCM50" s="952"/>
      <c r="GCN50" s="952"/>
      <c r="GCO50" s="952"/>
      <c r="GCP50" s="952"/>
      <c r="GCQ50" s="952"/>
      <c r="GCR50" s="952"/>
      <c r="GCS50" s="952"/>
      <c r="GCT50" s="952"/>
      <c r="GCU50" s="952"/>
      <c r="GCV50" s="952"/>
      <c r="GCW50" s="952"/>
      <c r="GCX50" s="952"/>
      <c r="GCY50" s="952"/>
      <c r="GCZ50" s="952"/>
      <c r="GDA50" s="952"/>
      <c r="GDB50" s="952"/>
      <c r="GDC50" s="952"/>
      <c r="GDD50" s="952"/>
      <c r="GDE50" s="952"/>
      <c r="GDF50" s="952"/>
      <c r="GDG50" s="952"/>
      <c r="GDH50" s="952"/>
      <c r="GDI50" s="952"/>
      <c r="GDJ50" s="952"/>
      <c r="GDK50" s="952"/>
      <c r="GDL50" s="952"/>
      <c r="GDM50" s="952"/>
      <c r="GDN50" s="952"/>
      <c r="GDO50" s="952"/>
      <c r="GDP50" s="952"/>
      <c r="GDQ50" s="952"/>
      <c r="GDR50" s="952"/>
      <c r="GDS50" s="952"/>
      <c r="GDT50" s="952"/>
      <c r="GDU50" s="952"/>
      <c r="GDV50" s="952"/>
      <c r="GDW50" s="952"/>
      <c r="GDX50" s="952"/>
      <c r="GDY50" s="952"/>
      <c r="GDZ50" s="952"/>
      <c r="GEA50" s="952"/>
      <c r="GEB50" s="952"/>
      <c r="GEC50" s="952"/>
      <c r="GED50" s="952"/>
      <c r="GEE50" s="952"/>
      <c r="GEF50" s="952"/>
      <c r="GEG50" s="952"/>
      <c r="GEH50" s="952"/>
      <c r="GEI50" s="952"/>
      <c r="GEJ50" s="952"/>
      <c r="GEK50" s="952"/>
      <c r="GEL50" s="952"/>
      <c r="GEM50" s="952"/>
      <c r="GEN50" s="952"/>
      <c r="GEO50" s="952"/>
      <c r="GEP50" s="952"/>
      <c r="GEQ50" s="952"/>
      <c r="GER50" s="952"/>
      <c r="GES50" s="952"/>
      <c r="GET50" s="952"/>
      <c r="GEU50" s="952"/>
      <c r="GEV50" s="952"/>
      <c r="GEW50" s="952"/>
      <c r="GEX50" s="952"/>
      <c r="GEY50" s="952"/>
      <c r="GEZ50" s="952"/>
      <c r="GFA50" s="952"/>
      <c r="GFB50" s="952"/>
      <c r="GFC50" s="952"/>
      <c r="GFD50" s="952"/>
      <c r="GFE50" s="952"/>
      <c r="GFF50" s="952"/>
      <c r="GFG50" s="952"/>
      <c r="GFH50" s="952"/>
      <c r="GFI50" s="952"/>
      <c r="GFJ50" s="952"/>
      <c r="GFK50" s="952"/>
      <c r="GFL50" s="952"/>
      <c r="GFM50" s="952"/>
      <c r="GFN50" s="952"/>
      <c r="GFO50" s="952"/>
      <c r="GFP50" s="952"/>
      <c r="GFQ50" s="952"/>
      <c r="GFR50" s="952"/>
      <c r="GFS50" s="952"/>
      <c r="GFT50" s="952"/>
      <c r="GFU50" s="952"/>
      <c r="GFV50" s="952"/>
      <c r="GFW50" s="952"/>
      <c r="GFX50" s="952"/>
      <c r="GFY50" s="952"/>
      <c r="GFZ50" s="952"/>
      <c r="GGA50" s="952"/>
      <c r="GGB50" s="952"/>
      <c r="GGC50" s="952"/>
      <c r="GGD50" s="952"/>
      <c r="GGE50" s="952"/>
      <c r="GGF50" s="952"/>
      <c r="GGG50" s="952"/>
      <c r="GGH50" s="952"/>
      <c r="GGI50" s="952"/>
      <c r="GGJ50" s="952"/>
      <c r="GGK50" s="952"/>
      <c r="GGL50" s="952"/>
      <c r="GGM50" s="952"/>
      <c r="GGN50" s="952"/>
      <c r="GGO50" s="952"/>
      <c r="GGP50" s="952"/>
      <c r="GGQ50" s="952"/>
      <c r="GGR50" s="952"/>
      <c r="GGS50" s="952"/>
      <c r="GGT50" s="952"/>
      <c r="GGU50" s="952"/>
      <c r="GGV50" s="952"/>
      <c r="GGW50" s="952"/>
      <c r="GGX50" s="952"/>
      <c r="GGY50" s="952"/>
      <c r="GGZ50" s="952"/>
      <c r="GHA50" s="952"/>
      <c r="GHB50" s="952"/>
      <c r="GHC50" s="952"/>
      <c r="GHD50" s="952"/>
      <c r="GHE50" s="952"/>
      <c r="GHF50" s="952"/>
      <c r="GHG50" s="952"/>
      <c r="GHH50" s="952"/>
      <c r="GHI50" s="952"/>
      <c r="GHJ50" s="952"/>
      <c r="GHK50" s="952"/>
      <c r="GHL50" s="952"/>
      <c r="GHM50" s="952"/>
      <c r="GHN50" s="952"/>
      <c r="GHO50" s="952"/>
      <c r="GHP50" s="952"/>
      <c r="GHQ50" s="952"/>
      <c r="GHR50" s="952"/>
      <c r="GHS50" s="952"/>
      <c r="GHT50" s="952"/>
      <c r="GHU50" s="952"/>
      <c r="GHV50" s="952"/>
      <c r="GHW50" s="952"/>
      <c r="GHX50" s="952"/>
      <c r="GHY50" s="952"/>
      <c r="GHZ50" s="952"/>
      <c r="GIA50" s="952"/>
      <c r="GIB50" s="952"/>
      <c r="GIC50" s="952"/>
      <c r="GID50" s="952"/>
      <c r="GIE50" s="952"/>
      <c r="GIF50" s="952"/>
      <c r="GIG50" s="952"/>
      <c r="GIH50" s="952"/>
      <c r="GII50" s="952"/>
      <c r="GIJ50" s="952"/>
      <c r="GIK50" s="952"/>
      <c r="GIL50" s="952"/>
      <c r="GIM50" s="952"/>
      <c r="GIN50" s="952"/>
      <c r="GIO50" s="952"/>
      <c r="GIP50" s="952"/>
      <c r="GIQ50" s="952"/>
      <c r="GIR50" s="952"/>
      <c r="GIS50" s="952"/>
      <c r="GIT50" s="952"/>
      <c r="GIU50" s="952"/>
      <c r="GIV50" s="952"/>
      <c r="GIW50" s="952"/>
      <c r="GIX50" s="952"/>
      <c r="GIY50" s="952"/>
      <c r="GIZ50" s="952"/>
      <c r="GJA50" s="952"/>
      <c r="GJB50" s="952"/>
      <c r="GJC50" s="952"/>
      <c r="GJD50" s="952"/>
      <c r="GJE50" s="952"/>
      <c r="GJF50" s="952"/>
      <c r="GJG50" s="952"/>
      <c r="GJH50" s="952"/>
      <c r="GJI50" s="952"/>
      <c r="GJJ50" s="952"/>
      <c r="GJK50" s="952"/>
      <c r="GJL50" s="952"/>
      <c r="GJM50" s="952"/>
      <c r="GJN50" s="952"/>
      <c r="GJO50" s="952"/>
      <c r="GJP50" s="952"/>
      <c r="GJQ50" s="952"/>
      <c r="GJR50" s="952"/>
      <c r="GJS50" s="952"/>
      <c r="GJT50" s="952"/>
      <c r="GJU50" s="952"/>
      <c r="GJV50" s="952"/>
      <c r="GJW50" s="952"/>
      <c r="GJX50" s="952"/>
      <c r="GJY50" s="952"/>
      <c r="GJZ50" s="952"/>
      <c r="GKA50" s="952"/>
      <c r="GKB50" s="952"/>
      <c r="GKC50" s="952"/>
      <c r="GKD50" s="952"/>
      <c r="GKE50" s="952"/>
      <c r="GKF50" s="952"/>
      <c r="GKG50" s="952"/>
      <c r="GKH50" s="952"/>
      <c r="GKI50" s="952"/>
      <c r="GKJ50" s="952"/>
      <c r="GKK50" s="952"/>
      <c r="GKL50" s="952"/>
      <c r="GKM50" s="952"/>
      <c r="GKN50" s="952"/>
      <c r="GKO50" s="952"/>
      <c r="GKP50" s="952"/>
      <c r="GKQ50" s="952"/>
      <c r="GKR50" s="952"/>
      <c r="GKS50" s="952"/>
      <c r="GKT50" s="952"/>
      <c r="GKU50" s="952"/>
      <c r="GKV50" s="952"/>
      <c r="GKW50" s="952"/>
      <c r="GKX50" s="952"/>
      <c r="GKY50" s="952"/>
      <c r="GKZ50" s="952"/>
      <c r="GLA50" s="952"/>
      <c r="GLB50" s="952"/>
      <c r="GLC50" s="952"/>
      <c r="GLD50" s="952"/>
      <c r="GLE50" s="952"/>
      <c r="GLF50" s="952"/>
      <c r="GLG50" s="952"/>
      <c r="GLH50" s="952"/>
      <c r="GLI50" s="952"/>
      <c r="GLJ50" s="952"/>
      <c r="GLK50" s="952"/>
      <c r="GLL50" s="952"/>
      <c r="GLM50" s="952"/>
      <c r="GLN50" s="952"/>
      <c r="GLO50" s="952"/>
      <c r="GLP50" s="952"/>
      <c r="GLQ50" s="952"/>
      <c r="GLR50" s="952"/>
      <c r="GLS50" s="952"/>
      <c r="GLT50" s="952"/>
      <c r="GLU50" s="952"/>
      <c r="GLV50" s="952"/>
      <c r="GLW50" s="952"/>
      <c r="GLX50" s="952"/>
      <c r="GLY50" s="952"/>
      <c r="GLZ50" s="952"/>
      <c r="GMA50" s="952"/>
      <c r="GMB50" s="952"/>
      <c r="GMC50" s="952"/>
      <c r="GMD50" s="952"/>
      <c r="GME50" s="952"/>
      <c r="GMF50" s="952"/>
      <c r="GMG50" s="952"/>
      <c r="GMH50" s="952"/>
      <c r="GMI50" s="952"/>
      <c r="GMJ50" s="952"/>
      <c r="GMK50" s="952"/>
      <c r="GML50" s="952"/>
      <c r="GMM50" s="952"/>
      <c r="GMN50" s="952"/>
      <c r="GMO50" s="952"/>
      <c r="GMP50" s="952"/>
      <c r="GMQ50" s="952"/>
      <c r="GMR50" s="952"/>
      <c r="GMS50" s="952"/>
      <c r="GMT50" s="952"/>
      <c r="GMU50" s="952"/>
      <c r="GMV50" s="952"/>
      <c r="GMW50" s="952"/>
      <c r="GMX50" s="952"/>
      <c r="GMY50" s="952"/>
      <c r="GMZ50" s="952"/>
      <c r="GNA50" s="952"/>
      <c r="GNB50" s="952"/>
      <c r="GNC50" s="952"/>
      <c r="GND50" s="952"/>
      <c r="GNE50" s="952"/>
      <c r="GNF50" s="952"/>
      <c r="GNG50" s="952"/>
      <c r="GNH50" s="952"/>
      <c r="GNI50" s="952"/>
      <c r="GNJ50" s="952"/>
      <c r="GNK50" s="952"/>
      <c r="GNL50" s="952"/>
      <c r="GNM50" s="952"/>
      <c r="GNN50" s="952"/>
      <c r="GNO50" s="952"/>
      <c r="GNP50" s="952"/>
      <c r="GNQ50" s="952"/>
      <c r="GNR50" s="952"/>
      <c r="GNS50" s="952"/>
      <c r="GNT50" s="952"/>
      <c r="GNU50" s="952"/>
      <c r="GNV50" s="952"/>
      <c r="GNW50" s="952"/>
      <c r="GNX50" s="952"/>
      <c r="GNY50" s="952"/>
      <c r="GNZ50" s="952"/>
      <c r="GOA50" s="952"/>
      <c r="GOB50" s="952"/>
      <c r="GOC50" s="952"/>
      <c r="GOD50" s="952"/>
      <c r="GOE50" s="952"/>
      <c r="GOF50" s="952"/>
      <c r="GOG50" s="952"/>
      <c r="GOH50" s="952"/>
      <c r="GOI50" s="952"/>
      <c r="GOJ50" s="952"/>
      <c r="GOK50" s="952"/>
      <c r="GOL50" s="952"/>
      <c r="GOM50" s="952"/>
      <c r="GON50" s="952"/>
      <c r="GOO50" s="952"/>
      <c r="GOP50" s="952"/>
      <c r="GOQ50" s="952"/>
      <c r="GOR50" s="952"/>
      <c r="GOS50" s="952"/>
      <c r="GOT50" s="952"/>
      <c r="GOU50" s="952"/>
      <c r="GOV50" s="952"/>
      <c r="GOW50" s="952"/>
      <c r="GOX50" s="952"/>
      <c r="GOY50" s="952"/>
      <c r="GOZ50" s="952"/>
      <c r="GPA50" s="952"/>
      <c r="GPB50" s="952"/>
      <c r="GPC50" s="952"/>
      <c r="GPD50" s="952"/>
      <c r="GPE50" s="952"/>
      <c r="GPF50" s="952"/>
      <c r="GPG50" s="952"/>
      <c r="GPH50" s="952"/>
      <c r="GPI50" s="952"/>
      <c r="GPJ50" s="952"/>
      <c r="GPK50" s="952"/>
      <c r="GPL50" s="952"/>
      <c r="GPM50" s="952"/>
      <c r="GPN50" s="952"/>
      <c r="GPO50" s="952"/>
      <c r="GPP50" s="952"/>
      <c r="GPQ50" s="952"/>
      <c r="GPR50" s="952"/>
      <c r="GPS50" s="952"/>
      <c r="GPT50" s="952"/>
      <c r="GPU50" s="952"/>
      <c r="GPV50" s="952"/>
      <c r="GPW50" s="952"/>
      <c r="GPX50" s="952"/>
      <c r="GPY50" s="952"/>
      <c r="GPZ50" s="952"/>
      <c r="GQA50" s="952"/>
      <c r="GQB50" s="952"/>
      <c r="GQC50" s="952"/>
      <c r="GQD50" s="952"/>
      <c r="GQE50" s="952"/>
      <c r="GQF50" s="952"/>
      <c r="GQG50" s="952"/>
      <c r="GQH50" s="952"/>
      <c r="GQI50" s="952"/>
      <c r="GQJ50" s="952"/>
      <c r="GQK50" s="952"/>
      <c r="GQL50" s="952"/>
      <c r="GQM50" s="952"/>
      <c r="GQN50" s="952"/>
      <c r="GQO50" s="952"/>
      <c r="GQP50" s="952"/>
      <c r="GQQ50" s="952"/>
      <c r="GQR50" s="952"/>
      <c r="GQS50" s="952"/>
      <c r="GQT50" s="952"/>
      <c r="GQU50" s="952"/>
      <c r="GQV50" s="952"/>
      <c r="GQW50" s="952"/>
      <c r="GQX50" s="952"/>
      <c r="GQY50" s="952"/>
      <c r="GQZ50" s="952"/>
      <c r="GRA50" s="952"/>
      <c r="GRB50" s="952"/>
      <c r="GRC50" s="952"/>
      <c r="GRD50" s="952"/>
      <c r="GRE50" s="952"/>
      <c r="GRF50" s="952"/>
      <c r="GRG50" s="952"/>
      <c r="GRH50" s="952"/>
      <c r="GRI50" s="952"/>
      <c r="GRJ50" s="952"/>
      <c r="GRK50" s="952"/>
      <c r="GRL50" s="952"/>
      <c r="GRM50" s="952"/>
      <c r="GRN50" s="952"/>
      <c r="GRO50" s="952"/>
      <c r="GRP50" s="952"/>
      <c r="GRQ50" s="952"/>
      <c r="GRR50" s="952"/>
      <c r="GRS50" s="952"/>
      <c r="GRT50" s="952"/>
      <c r="GRU50" s="952"/>
      <c r="GRV50" s="952"/>
      <c r="GRW50" s="952"/>
      <c r="GRX50" s="952"/>
      <c r="GRY50" s="952"/>
      <c r="GRZ50" s="952"/>
      <c r="GSA50" s="952"/>
      <c r="GSB50" s="952"/>
      <c r="GSC50" s="952"/>
      <c r="GSD50" s="952"/>
      <c r="GSE50" s="952"/>
      <c r="GSF50" s="952"/>
      <c r="GSG50" s="952"/>
      <c r="GSH50" s="952"/>
      <c r="GSI50" s="952"/>
      <c r="GSJ50" s="952"/>
      <c r="GSK50" s="952"/>
      <c r="GSL50" s="952"/>
      <c r="GSM50" s="952"/>
      <c r="GSN50" s="952"/>
      <c r="GSO50" s="952"/>
      <c r="GSP50" s="952"/>
      <c r="GSQ50" s="952"/>
      <c r="GSR50" s="952"/>
      <c r="GSS50" s="952"/>
      <c r="GST50" s="952"/>
      <c r="GSU50" s="952"/>
      <c r="GSV50" s="952"/>
      <c r="GSW50" s="952"/>
      <c r="GSX50" s="952"/>
      <c r="GSY50" s="952"/>
      <c r="GSZ50" s="952"/>
      <c r="GTA50" s="952"/>
      <c r="GTB50" s="952"/>
      <c r="GTC50" s="952"/>
      <c r="GTD50" s="952"/>
      <c r="GTE50" s="952"/>
      <c r="GTF50" s="952"/>
      <c r="GTG50" s="952"/>
      <c r="GTH50" s="952"/>
      <c r="GTI50" s="952"/>
      <c r="GTJ50" s="952"/>
      <c r="GTK50" s="952"/>
      <c r="GTL50" s="952"/>
      <c r="GTM50" s="952"/>
      <c r="GTN50" s="952"/>
      <c r="GTO50" s="952"/>
      <c r="GTP50" s="952"/>
      <c r="GTQ50" s="952"/>
      <c r="GTR50" s="952"/>
      <c r="GTS50" s="952"/>
      <c r="GTT50" s="952"/>
      <c r="GTU50" s="952"/>
      <c r="GTV50" s="952"/>
      <c r="GTW50" s="952"/>
      <c r="GTX50" s="952"/>
      <c r="GTY50" s="952"/>
      <c r="GTZ50" s="952"/>
      <c r="GUA50" s="952"/>
      <c r="GUB50" s="952"/>
      <c r="GUC50" s="952"/>
      <c r="GUD50" s="952"/>
      <c r="GUE50" s="952"/>
      <c r="GUF50" s="952"/>
      <c r="GUG50" s="952"/>
      <c r="GUH50" s="952"/>
      <c r="GUI50" s="952"/>
      <c r="GUJ50" s="952"/>
      <c r="GUK50" s="952"/>
      <c r="GUL50" s="952"/>
      <c r="GUM50" s="952"/>
      <c r="GUN50" s="952"/>
      <c r="GUO50" s="952"/>
      <c r="GUP50" s="952"/>
      <c r="GUQ50" s="952"/>
      <c r="GUR50" s="952"/>
      <c r="GUS50" s="952"/>
      <c r="GUT50" s="952"/>
      <c r="GUU50" s="952"/>
      <c r="GUV50" s="952"/>
      <c r="GUW50" s="952"/>
      <c r="GUX50" s="952"/>
      <c r="GUY50" s="952"/>
      <c r="GUZ50" s="952"/>
      <c r="GVA50" s="952"/>
      <c r="GVB50" s="952"/>
      <c r="GVC50" s="952"/>
      <c r="GVD50" s="952"/>
      <c r="GVE50" s="952"/>
      <c r="GVF50" s="952"/>
      <c r="GVG50" s="952"/>
      <c r="GVH50" s="952"/>
      <c r="GVI50" s="952"/>
      <c r="GVJ50" s="952"/>
      <c r="GVK50" s="952"/>
      <c r="GVL50" s="952"/>
      <c r="GVM50" s="952"/>
      <c r="GVN50" s="952"/>
      <c r="GVO50" s="952"/>
      <c r="GVP50" s="952"/>
      <c r="GVQ50" s="952"/>
      <c r="GVR50" s="952"/>
      <c r="GVS50" s="952"/>
      <c r="GVT50" s="952"/>
      <c r="GVU50" s="952"/>
      <c r="GVV50" s="952"/>
      <c r="GVW50" s="952"/>
      <c r="GVX50" s="952"/>
      <c r="GVY50" s="952"/>
      <c r="GVZ50" s="952"/>
      <c r="GWA50" s="952"/>
      <c r="GWB50" s="952"/>
      <c r="GWC50" s="952"/>
      <c r="GWD50" s="952"/>
      <c r="GWE50" s="952"/>
      <c r="GWF50" s="952"/>
      <c r="GWG50" s="952"/>
      <c r="GWH50" s="952"/>
      <c r="GWI50" s="952"/>
      <c r="GWJ50" s="952"/>
      <c r="GWK50" s="952"/>
      <c r="GWL50" s="952"/>
      <c r="GWM50" s="952"/>
      <c r="GWN50" s="952"/>
      <c r="GWO50" s="952"/>
      <c r="GWP50" s="952"/>
      <c r="GWQ50" s="952"/>
      <c r="GWR50" s="952"/>
      <c r="GWS50" s="952"/>
      <c r="GWT50" s="952"/>
      <c r="GWU50" s="952"/>
      <c r="GWV50" s="952"/>
      <c r="GWW50" s="952"/>
      <c r="GWX50" s="952"/>
      <c r="GWY50" s="952"/>
      <c r="GWZ50" s="952"/>
      <c r="GXA50" s="952"/>
      <c r="GXB50" s="952"/>
      <c r="GXC50" s="952"/>
      <c r="GXD50" s="952"/>
      <c r="GXE50" s="952"/>
      <c r="GXF50" s="952"/>
      <c r="GXG50" s="952"/>
      <c r="GXH50" s="952"/>
      <c r="GXI50" s="952"/>
      <c r="GXJ50" s="952"/>
      <c r="GXK50" s="952"/>
      <c r="GXL50" s="952"/>
      <c r="GXM50" s="952"/>
      <c r="GXN50" s="952"/>
      <c r="GXO50" s="952"/>
      <c r="GXP50" s="952"/>
      <c r="GXQ50" s="952"/>
      <c r="GXR50" s="952"/>
      <c r="GXS50" s="952"/>
      <c r="GXT50" s="952"/>
      <c r="GXU50" s="952"/>
      <c r="GXV50" s="952"/>
      <c r="GXW50" s="952"/>
      <c r="GXX50" s="952"/>
      <c r="GXY50" s="952"/>
      <c r="GXZ50" s="952"/>
      <c r="GYA50" s="952"/>
      <c r="GYB50" s="952"/>
      <c r="GYC50" s="952"/>
      <c r="GYD50" s="952"/>
      <c r="GYE50" s="952"/>
      <c r="GYF50" s="952"/>
      <c r="GYG50" s="952"/>
      <c r="GYH50" s="952"/>
      <c r="GYI50" s="952"/>
      <c r="GYJ50" s="952"/>
      <c r="GYK50" s="952"/>
      <c r="GYL50" s="952"/>
      <c r="GYM50" s="952"/>
      <c r="GYN50" s="952"/>
      <c r="GYO50" s="952"/>
      <c r="GYP50" s="952"/>
      <c r="GYQ50" s="952"/>
      <c r="GYR50" s="952"/>
      <c r="GYS50" s="952"/>
      <c r="GYT50" s="952"/>
      <c r="GYU50" s="952"/>
      <c r="GYV50" s="952"/>
      <c r="GYW50" s="952"/>
      <c r="GYX50" s="952"/>
      <c r="GYY50" s="952"/>
      <c r="GYZ50" s="952"/>
      <c r="GZA50" s="952"/>
      <c r="GZB50" s="952"/>
      <c r="GZC50" s="952"/>
      <c r="GZD50" s="952"/>
      <c r="GZE50" s="952"/>
      <c r="GZF50" s="952"/>
      <c r="GZG50" s="952"/>
      <c r="GZH50" s="952"/>
      <c r="GZI50" s="952"/>
      <c r="GZJ50" s="952"/>
      <c r="GZK50" s="952"/>
      <c r="GZL50" s="952"/>
      <c r="GZM50" s="952"/>
      <c r="GZN50" s="952"/>
      <c r="GZO50" s="952"/>
      <c r="GZP50" s="952"/>
      <c r="GZQ50" s="952"/>
      <c r="GZR50" s="952"/>
      <c r="GZS50" s="952"/>
      <c r="GZT50" s="952"/>
      <c r="GZU50" s="952"/>
      <c r="GZV50" s="952"/>
      <c r="GZW50" s="952"/>
      <c r="GZX50" s="952"/>
      <c r="GZY50" s="952"/>
      <c r="GZZ50" s="952"/>
      <c r="HAA50" s="952"/>
      <c r="HAB50" s="952"/>
      <c r="HAC50" s="952"/>
      <c r="HAD50" s="952"/>
      <c r="HAE50" s="952"/>
      <c r="HAF50" s="952"/>
      <c r="HAG50" s="952"/>
      <c r="HAH50" s="952"/>
      <c r="HAI50" s="952"/>
      <c r="HAJ50" s="952"/>
      <c r="HAK50" s="952"/>
      <c r="HAL50" s="952"/>
      <c r="HAM50" s="952"/>
      <c r="HAN50" s="952"/>
      <c r="HAO50" s="952"/>
      <c r="HAP50" s="952"/>
      <c r="HAQ50" s="952"/>
      <c r="HAR50" s="952"/>
      <c r="HAS50" s="952"/>
      <c r="HAT50" s="952"/>
      <c r="HAU50" s="952"/>
      <c r="HAV50" s="952"/>
      <c r="HAW50" s="952"/>
      <c r="HAX50" s="952"/>
      <c r="HAY50" s="952"/>
      <c r="HAZ50" s="952"/>
      <c r="HBA50" s="952"/>
      <c r="HBB50" s="952"/>
      <c r="HBC50" s="952"/>
      <c r="HBD50" s="952"/>
      <c r="HBE50" s="952"/>
      <c r="HBF50" s="952"/>
      <c r="HBG50" s="952"/>
      <c r="HBH50" s="952"/>
      <c r="HBI50" s="952"/>
      <c r="HBJ50" s="952"/>
      <c r="HBK50" s="952"/>
      <c r="HBL50" s="952"/>
      <c r="HBM50" s="952"/>
      <c r="HBN50" s="952"/>
      <c r="HBO50" s="952"/>
      <c r="HBP50" s="952"/>
      <c r="HBQ50" s="952"/>
      <c r="HBR50" s="952"/>
      <c r="HBS50" s="952"/>
      <c r="HBT50" s="952"/>
      <c r="HBU50" s="952"/>
      <c r="HBV50" s="952"/>
      <c r="HBW50" s="952"/>
      <c r="HBX50" s="952"/>
      <c r="HBY50" s="952"/>
      <c r="HBZ50" s="952"/>
      <c r="HCA50" s="952"/>
      <c r="HCB50" s="952"/>
      <c r="HCC50" s="952"/>
      <c r="HCD50" s="952"/>
      <c r="HCE50" s="952"/>
      <c r="HCF50" s="952"/>
      <c r="HCG50" s="952"/>
      <c r="HCH50" s="952"/>
      <c r="HCI50" s="952"/>
      <c r="HCJ50" s="952"/>
      <c r="HCK50" s="952"/>
      <c r="HCL50" s="952"/>
      <c r="HCM50" s="952"/>
      <c r="HCN50" s="952"/>
      <c r="HCO50" s="952"/>
      <c r="HCP50" s="952"/>
      <c r="HCQ50" s="952"/>
      <c r="HCR50" s="952"/>
      <c r="HCS50" s="952"/>
      <c r="HCT50" s="952"/>
      <c r="HCU50" s="952"/>
      <c r="HCV50" s="952"/>
      <c r="HCW50" s="952"/>
      <c r="HCX50" s="952"/>
      <c r="HCY50" s="952"/>
      <c r="HCZ50" s="952"/>
      <c r="HDA50" s="952"/>
      <c r="HDB50" s="952"/>
      <c r="HDC50" s="952"/>
      <c r="HDD50" s="952"/>
      <c r="HDE50" s="952"/>
      <c r="HDF50" s="952"/>
      <c r="HDG50" s="952"/>
      <c r="HDH50" s="952"/>
      <c r="HDI50" s="952"/>
      <c r="HDJ50" s="952"/>
      <c r="HDK50" s="952"/>
      <c r="HDL50" s="952"/>
      <c r="HDM50" s="952"/>
      <c r="HDN50" s="952"/>
      <c r="HDO50" s="952"/>
      <c r="HDP50" s="952"/>
      <c r="HDQ50" s="952"/>
      <c r="HDR50" s="952"/>
      <c r="HDS50" s="952"/>
      <c r="HDT50" s="952"/>
      <c r="HDU50" s="952"/>
      <c r="HDV50" s="952"/>
      <c r="HDW50" s="952"/>
      <c r="HDX50" s="952"/>
      <c r="HDY50" s="952"/>
      <c r="HDZ50" s="952"/>
      <c r="HEA50" s="952"/>
      <c r="HEB50" s="952"/>
      <c r="HEC50" s="952"/>
      <c r="HED50" s="952"/>
      <c r="HEE50" s="952"/>
      <c r="HEF50" s="952"/>
      <c r="HEG50" s="952"/>
      <c r="HEH50" s="952"/>
      <c r="HEI50" s="952"/>
      <c r="HEJ50" s="952"/>
      <c r="HEK50" s="952"/>
      <c r="HEL50" s="952"/>
      <c r="HEM50" s="952"/>
      <c r="HEN50" s="952"/>
      <c r="HEO50" s="952"/>
      <c r="HEP50" s="952"/>
      <c r="HEQ50" s="952"/>
      <c r="HER50" s="952"/>
      <c r="HES50" s="952"/>
      <c r="HET50" s="952"/>
      <c r="HEU50" s="952"/>
      <c r="HEV50" s="952"/>
      <c r="HEW50" s="952"/>
      <c r="HEX50" s="952"/>
      <c r="HEY50" s="952"/>
      <c r="HEZ50" s="952"/>
      <c r="HFA50" s="952"/>
      <c r="HFB50" s="952"/>
      <c r="HFC50" s="952"/>
      <c r="HFD50" s="952"/>
      <c r="HFE50" s="952"/>
      <c r="HFF50" s="952"/>
      <c r="HFG50" s="952"/>
      <c r="HFH50" s="952"/>
      <c r="HFI50" s="952"/>
      <c r="HFJ50" s="952"/>
      <c r="HFK50" s="952"/>
      <c r="HFL50" s="952"/>
      <c r="HFM50" s="952"/>
      <c r="HFN50" s="952"/>
      <c r="HFO50" s="952"/>
      <c r="HFP50" s="952"/>
      <c r="HFQ50" s="952"/>
      <c r="HFR50" s="952"/>
      <c r="HFS50" s="952"/>
      <c r="HFT50" s="952"/>
      <c r="HFU50" s="952"/>
      <c r="HFV50" s="952"/>
      <c r="HFW50" s="952"/>
      <c r="HFX50" s="952"/>
      <c r="HFY50" s="952"/>
      <c r="HFZ50" s="952"/>
      <c r="HGA50" s="952"/>
      <c r="HGB50" s="952"/>
      <c r="HGC50" s="952"/>
      <c r="HGD50" s="952"/>
      <c r="HGE50" s="952"/>
      <c r="HGF50" s="952"/>
      <c r="HGG50" s="952"/>
      <c r="HGH50" s="952"/>
      <c r="HGI50" s="952"/>
      <c r="HGJ50" s="952"/>
      <c r="HGK50" s="952"/>
      <c r="HGL50" s="952"/>
      <c r="HGM50" s="952"/>
      <c r="HGN50" s="952"/>
      <c r="HGO50" s="952"/>
      <c r="HGP50" s="952"/>
      <c r="HGQ50" s="952"/>
      <c r="HGR50" s="952"/>
      <c r="HGS50" s="952"/>
      <c r="HGT50" s="952"/>
      <c r="HGU50" s="952"/>
      <c r="HGV50" s="952"/>
      <c r="HGW50" s="952"/>
      <c r="HGX50" s="952"/>
      <c r="HGY50" s="952"/>
      <c r="HGZ50" s="952"/>
      <c r="HHA50" s="952"/>
      <c r="HHB50" s="952"/>
      <c r="HHC50" s="952"/>
      <c r="HHD50" s="952"/>
      <c r="HHE50" s="952"/>
      <c r="HHF50" s="952"/>
      <c r="HHG50" s="952"/>
      <c r="HHH50" s="952"/>
      <c r="HHI50" s="952"/>
      <c r="HHJ50" s="952"/>
      <c r="HHK50" s="952"/>
      <c r="HHL50" s="952"/>
      <c r="HHM50" s="952"/>
      <c r="HHN50" s="952"/>
      <c r="HHO50" s="952"/>
      <c r="HHP50" s="952"/>
      <c r="HHQ50" s="952"/>
      <c r="HHR50" s="952"/>
      <c r="HHS50" s="952"/>
      <c r="HHT50" s="952"/>
      <c r="HHU50" s="952"/>
      <c r="HHV50" s="952"/>
      <c r="HHW50" s="952"/>
      <c r="HHX50" s="952"/>
      <c r="HHY50" s="952"/>
      <c r="HHZ50" s="952"/>
      <c r="HIA50" s="952"/>
      <c r="HIB50" s="952"/>
      <c r="HIC50" s="952"/>
      <c r="HID50" s="952"/>
      <c r="HIE50" s="952"/>
      <c r="HIF50" s="952"/>
      <c r="HIG50" s="952"/>
      <c r="HIH50" s="952"/>
      <c r="HII50" s="952"/>
      <c r="HIJ50" s="952"/>
      <c r="HIK50" s="952"/>
      <c r="HIL50" s="952"/>
      <c r="HIM50" s="952"/>
      <c r="HIN50" s="952"/>
      <c r="HIO50" s="952"/>
      <c r="HIP50" s="952"/>
      <c r="HIQ50" s="952"/>
      <c r="HIR50" s="952"/>
      <c r="HIS50" s="952"/>
      <c r="HIT50" s="952"/>
      <c r="HIU50" s="952"/>
      <c r="HIV50" s="952"/>
      <c r="HIW50" s="952"/>
      <c r="HIX50" s="952"/>
      <c r="HIY50" s="952"/>
      <c r="HIZ50" s="952"/>
      <c r="HJA50" s="952"/>
      <c r="HJB50" s="952"/>
      <c r="HJC50" s="952"/>
      <c r="HJD50" s="952"/>
      <c r="HJE50" s="952"/>
      <c r="HJF50" s="952"/>
      <c r="HJG50" s="952"/>
      <c r="HJH50" s="952"/>
      <c r="HJI50" s="952"/>
      <c r="HJJ50" s="952"/>
      <c r="HJK50" s="952"/>
      <c r="HJL50" s="952"/>
      <c r="HJM50" s="952"/>
      <c r="HJN50" s="952"/>
      <c r="HJO50" s="952"/>
      <c r="HJP50" s="952"/>
      <c r="HJQ50" s="952"/>
      <c r="HJR50" s="952"/>
      <c r="HJS50" s="952"/>
      <c r="HJT50" s="952"/>
      <c r="HJU50" s="952"/>
      <c r="HJV50" s="952"/>
      <c r="HJW50" s="952"/>
      <c r="HJX50" s="952"/>
      <c r="HJY50" s="952"/>
      <c r="HJZ50" s="952"/>
      <c r="HKA50" s="952"/>
      <c r="HKB50" s="952"/>
      <c r="HKC50" s="952"/>
      <c r="HKD50" s="952"/>
      <c r="HKE50" s="952"/>
      <c r="HKF50" s="952"/>
      <c r="HKG50" s="952"/>
      <c r="HKH50" s="952"/>
      <c r="HKI50" s="952"/>
      <c r="HKJ50" s="952"/>
      <c r="HKK50" s="952"/>
      <c r="HKL50" s="952"/>
      <c r="HKM50" s="952"/>
      <c r="HKN50" s="952"/>
      <c r="HKO50" s="952"/>
      <c r="HKP50" s="952"/>
      <c r="HKQ50" s="952"/>
      <c r="HKR50" s="952"/>
      <c r="HKS50" s="952"/>
      <c r="HKT50" s="952"/>
      <c r="HKU50" s="952"/>
      <c r="HKV50" s="952"/>
      <c r="HKW50" s="952"/>
      <c r="HKX50" s="952"/>
      <c r="HKY50" s="952"/>
      <c r="HKZ50" s="952"/>
      <c r="HLA50" s="952"/>
      <c r="HLB50" s="952"/>
      <c r="HLC50" s="952"/>
      <c r="HLD50" s="952"/>
      <c r="HLE50" s="952"/>
      <c r="HLF50" s="952"/>
      <c r="HLG50" s="952"/>
      <c r="HLH50" s="952"/>
      <c r="HLI50" s="952"/>
      <c r="HLJ50" s="952"/>
      <c r="HLK50" s="952"/>
      <c r="HLL50" s="952"/>
      <c r="HLM50" s="952"/>
      <c r="HLN50" s="952"/>
      <c r="HLO50" s="952"/>
      <c r="HLP50" s="952"/>
      <c r="HLQ50" s="952"/>
      <c r="HLR50" s="952"/>
      <c r="HLS50" s="952"/>
      <c r="HLT50" s="952"/>
      <c r="HLU50" s="952"/>
      <c r="HLV50" s="952"/>
      <c r="HLW50" s="952"/>
      <c r="HLX50" s="952"/>
      <c r="HLY50" s="952"/>
      <c r="HLZ50" s="952"/>
      <c r="HMA50" s="952"/>
      <c r="HMB50" s="952"/>
      <c r="HMC50" s="952"/>
      <c r="HMD50" s="952"/>
      <c r="HME50" s="952"/>
      <c r="HMF50" s="952"/>
      <c r="HMG50" s="952"/>
      <c r="HMH50" s="952"/>
      <c r="HMI50" s="952"/>
      <c r="HMJ50" s="952"/>
      <c r="HMK50" s="952"/>
      <c r="HML50" s="952"/>
      <c r="HMM50" s="952"/>
      <c r="HMN50" s="952"/>
      <c r="HMO50" s="952"/>
      <c r="HMP50" s="952"/>
      <c r="HMQ50" s="952"/>
      <c r="HMR50" s="952"/>
      <c r="HMS50" s="952"/>
      <c r="HMT50" s="952"/>
      <c r="HMU50" s="952"/>
      <c r="HMV50" s="952"/>
      <c r="HMW50" s="952"/>
      <c r="HMX50" s="952"/>
      <c r="HMY50" s="952"/>
      <c r="HMZ50" s="952"/>
      <c r="HNA50" s="952"/>
      <c r="HNB50" s="952"/>
      <c r="HNC50" s="952"/>
      <c r="HND50" s="952"/>
      <c r="HNE50" s="952"/>
      <c r="HNF50" s="952"/>
      <c r="HNG50" s="952"/>
      <c r="HNH50" s="952"/>
      <c r="HNI50" s="952"/>
      <c r="HNJ50" s="952"/>
      <c r="HNK50" s="952"/>
      <c r="HNL50" s="952"/>
      <c r="HNM50" s="952"/>
      <c r="HNN50" s="952"/>
      <c r="HNO50" s="952"/>
      <c r="HNP50" s="952"/>
      <c r="HNQ50" s="952"/>
      <c r="HNR50" s="952"/>
      <c r="HNS50" s="952"/>
      <c r="HNT50" s="952"/>
      <c r="HNU50" s="952"/>
      <c r="HNV50" s="952"/>
      <c r="HNW50" s="952"/>
      <c r="HNX50" s="952"/>
      <c r="HNY50" s="952"/>
      <c r="HNZ50" s="952"/>
      <c r="HOA50" s="952"/>
      <c r="HOB50" s="952"/>
      <c r="HOC50" s="952"/>
      <c r="HOD50" s="952"/>
      <c r="HOE50" s="952"/>
      <c r="HOF50" s="952"/>
      <c r="HOG50" s="952"/>
      <c r="HOH50" s="952"/>
      <c r="HOI50" s="952"/>
      <c r="HOJ50" s="952"/>
      <c r="HOK50" s="952"/>
      <c r="HOL50" s="952"/>
      <c r="HOM50" s="952"/>
      <c r="HON50" s="952"/>
      <c r="HOO50" s="952"/>
      <c r="HOP50" s="952"/>
      <c r="HOQ50" s="952"/>
      <c r="HOR50" s="952"/>
      <c r="HOS50" s="952"/>
      <c r="HOT50" s="952"/>
      <c r="HOU50" s="952"/>
      <c r="HOV50" s="952"/>
      <c r="HOW50" s="952"/>
      <c r="HOX50" s="952"/>
      <c r="HOY50" s="952"/>
      <c r="HOZ50" s="952"/>
      <c r="HPA50" s="952"/>
      <c r="HPB50" s="952"/>
      <c r="HPC50" s="952"/>
      <c r="HPD50" s="952"/>
      <c r="HPE50" s="952"/>
      <c r="HPF50" s="952"/>
      <c r="HPG50" s="952"/>
      <c r="HPH50" s="952"/>
      <c r="HPI50" s="952"/>
      <c r="HPJ50" s="952"/>
      <c r="HPK50" s="952"/>
      <c r="HPL50" s="952"/>
      <c r="HPM50" s="952"/>
      <c r="HPN50" s="952"/>
      <c r="HPO50" s="952"/>
      <c r="HPP50" s="952"/>
      <c r="HPQ50" s="952"/>
      <c r="HPR50" s="952"/>
      <c r="HPS50" s="952"/>
      <c r="HPT50" s="952"/>
      <c r="HPU50" s="952"/>
      <c r="HPV50" s="952"/>
      <c r="HPW50" s="952"/>
      <c r="HPX50" s="952"/>
      <c r="HPY50" s="952"/>
      <c r="HPZ50" s="952"/>
      <c r="HQA50" s="952"/>
      <c r="HQB50" s="952"/>
      <c r="HQC50" s="952"/>
      <c r="HQD50" s="952"/>
      <c r="HQE50" s="952"/>
      <c r="HQF50" s="952"/>
      <c r="HQG50" s="952"/>
      <c r="HQH50" s="952"/>
      <c r="HQI50" s="952"/>
      <c r="HQJ50" s="952"/>
      <c r="HQK50" s="952"/>
      <c r="HQL50" s="952"/>
      <c r="HQM50" s="952"/>
      <c r="HQN50" s="952"/>
      <c r="HQO50" s="952"/>
      <c r="HQP50" s="952"/>
      <c r="HQQ50" s="952"/>
      <c r="HQR50" s="952"/>
      <c r="HQS50" s="952"/>
      <c r="HQT50" s="952"/>
      <c r="HQU50" s="952"/>
      <c r="HQV50" s="952"/>
      <c r="HQW50" s="952"/>
      <c r="HQX50" s="952"/>
      <c r="HQY50" s="952"/>
      <c r="HQZ50" s="952"/>
      <c r="HRA50" s="952"/>
      <c r="HRB50" s="952"/>
      <c r="HRC50" s="952"/>
      <c r="HRD50" s="952"/>
      <c r="HRE50" s="952"/>
      <c r="HRF50" s="952"/>
      <c r="HRG50" s="952"/>
      <c r="HRH50" s="952"/>
      <c r="HRI50" s="952"/>
      <c r="HRJ50" s="952"/>
      <c r="HRK50" s="952"/>
      <c r="HRL50" s="952"/>
      <c r="HRM50" s="952"/>
      <c r="HRN50" s="952"/>
      <c r="HRO50" s="952"/>
      <c r="HRP50" s="952"/>
      <c r="HRQ50" s="952"/>
      <c r="HRR50" s="952"/>
      <c r="HRS50" s="952"/>
      <c r="HRT50" s="952"/>
      <c r="HRU50" s="952"/>
      <c r="HRV50" s="952"/>
      <c r="HRW50" s="952"/>
      <c r="HRX50" s="952"/>
      <c r="HRY50" s="952"/>
      <c r="HRZ50" s="952"/>
      <c r="HSA50" s="952"/>
      <c r="HSB50" s="952"/>
      <c r="HSC50" s="952"/>
      <c r="HSD50" s="952"/>
      <c r="HSE50" s="952"/>
      <c r="HSF50" s="952"/>
      <c r="HSG50" s="952"/>
      <c r="HSH50" s="952"/>
      <c r="HSI50" s="952"/>
      <c r="HSJ50" s="952"/>
      <c r="HSK50" s="952"/>
      <c r="HSL50" s="952"/>
      <c r="HSM50" s="952"/>
      <c r="HSN50" s="952"/>
      <c r="HSO50" s="952"/>
      <c r="HSP50" s="952"/>
      <c r="HSQ50" s="952"/>
      <c r="HSR50" s="952"/>
      <c r="HSS50" s="952"/>
      <c r="HST50" s="952"/>
      <c r="HSU50" s="952"/>
      <c r="HSV50" s="952"/>
      <c r="HSW50" s="952"/>
      <c r="HSX50" s="952"/>
      <c r="HSY50" s="952"/>
      <c r="HSZ50" s="952"/>
      <c r="HTA50" s="952"/>
      <c r="HTB50" s="952"/>
      <c r="HTC50" s="952"/>
      <c r="HTD50" s="952"/>
      <c r="HTE50" s="952"/>
      <c r="HTF50" s="952"/>
      <c r="HTG50" s="952"/>
      <c r="HTH50" s="952"/>
      <c r="HTI50" s="952"/>
      <c r="HTJ50" s="952"/>
      <c r="HTK50" s="952"/>
      <c r="HTL50" s="952"/>
      <c r="HTM50" s="952"/>
      <c r="HTN50" s="952"/>
      <c r="HTO50" s="952"/>
      <c r="HTP50" s="952"/>
      <c r="HTQ50" s="952"/>
      <c r="HTR50" s="952"/>
      <c r="HTS50" s="952"/>
      <c r="HTT50" s="952"/>
      <c r="HTU50" s="952"/>
      <c r="HTV50" s="952"/>
      <c r="HTW50" s="952"/>
      <c r="HTX50" s="952"/>
      <c r="HTY50" s="952"/>
      <c r="HTZ50" s="952"/>
      <c r="HUA50" s="952"/>
      <c r="HUB50" s="952"/>
      <c r="HUC50" s="952"/>
      <c r="HUD50" s="952"/>
      <c r="HUE50" s="952"/>
      <c r="HUF50" s="952"/>
      <c r="HUG50" s="952"/>
      <c r="HUH50" s="952"/>
      <c r="HUI50" s="952"/>
      <c r="HUJ50" s="952"/>
      <c r="HUK50" s="952"/>
      <c r="HUL50" s="952"/>
      <c r="HUM50" s="952"/>
      <c r="HUN50" s="952"/>
      <c r="HUO50" s="952"/>
      <c r="HUP50" s="952"/>
      <c r="HUQ50" s="952"/>
      <c r="HUR50" s="952"/>
      <c r="HUS50" s="952"/>
      <c r="HUT50" s="952"/>
      <c r="HUU50" s="952"/>
      <c r="HUV50" s="952"/>
      <c r="HUW50" s="952"/>
      <c r="HUX50" s="952"/>
      <c r="HUY50" s="952"/>
      <c r="HUZ50" s="952"/>
      <c r="HVA50" s="952"/>
      <c r="HVB50" s="952"/>
      <c r="HVC50" s="952"/>
      <c r="HVD50" s="952"/>
      <c r="HVE50" s="952"/>
      <c r="HVF50" s="952"/>
      <c r="HVG50" s="952"/>
      <c r="HVH50" s="952"/>
      <c r="HVI50" s="952"/>
      <c r="HVJ50" s="952"/>
      <c r="HVK50" s="952"/>
      <c r="HVL50" s="952"/>
      <c r="HVM50" s="952"/>
      <c r="HVN50" s="952"/>
      <c r="HVO50" s="952"/>
      <c r="HVP50" s="952"/>
      <c r="HVQ50" s="952"/>
      <c r="HVR50" s="952"/>
      <c r="HVS50" s="952"/>
      <c r="HVT50" s="952"/>
      <c r="HVU50" s="952"/>
      <c r="HVV50" s="952"/>
      <c r="HVW50" s="952"/>
      <c r="HVX50" s="952"/>
      <c r="HVY50" s="952"/>
      <c r="HVZ50" s="952"/>
      <c r="HWA50" s="952"/>
      <c r="HWB50" s="952"/>
      <c r="HWC50" s="952"/>
      <c r="HWD50" s="952"/>
      <c r="HWE50" s="952"/>
      <c r="HWF50" s="952"/>
      <c r="HWG50" s="952"/>
      <c r="HWH50" s="952"/>
      <c r="HWI50" s="952"/>
      <c r="HWJ50" s="952"/>
      <c r="HWK50" s="952"/>
      <c r="HWL50" s="952"/>
      <c r="HWM50" s="952"/>
      <c r="HWN50" s="952"/>
      <c r="HWO50" s="952"/>
      <c r="HWP50" s="952"/>
      <c r="HWQ50" s="952"/>
      <c r="HWR50" s="952"/>
      <c r="HWS50" s="952"/>
      <c r="HWT50" s="952"/>
      <c r="HWU50" s="952"/>
      <c r="HWV50" s="952"/>
      <c r="HWW50" s="952"/>
      <c r="HWX50" s="952"/>
      <c r="HWY50" s="952"/>
      <c r="HWZ50" s="952"/>
      <c r="HXA50" s="952"/>
      <c r="HXB50" s="952"/>
      <c r="HXC50" s="952"/>
      <c r="HXD50" s="952"/>
      <c r="HXE50" s="952"/>
      <c r="HXF50" s="952"/>
      <c r="HXG50" s="952"/>
      <c r="HXH50" s="952"/>
      <c r="HXI50" s="952"/>
      <c r="HXJ50" s="952"/>
      <c r="HXK50" s="952"/>
      <c r="HXL50" s="952"/>
      <c r="HXM50" s="952"/>
      <c r="HXN50" s="952"/>
      <c r="HXO50" s="952"/>
      <c r="HXP50" s="952"/>
      <c r="HXQ50" s="952"/>
      <c r="HXR50" s="952"/>
      <c r="HXS50" s="952"/>
      <c r="HXT50" s="952"/>
      <c r="HXU50" s="952"/>
      <c r="HXV50" s="952"/>
      <c r="HXW50" s="952"/>
      <c r="HXX50" s="952"/>
      <c r="HXY50" s="952"/>
      <c r="HXZ50" s="952"/>
      <c r="HYA50" s="952"/>
      <c r="HYB50" s="952"/>
      <c r="HYC50" s="952"/>
      <c r="HYD50" s="952"/>
      <c r="HYE50" s="952"/>
      <c r="HYF50" s="952"/>
      <c r="HYG50" s="952"/>
      <c r="HYH50" s="952"/>
      <c r="HYI50" s="952"/>
      <c r="HYJ50" s="952"/>
      <c r="HYK50" s="952"/>
      <c r="HYL50" s="952"/>
      <c r="HYM50" s="952"/>
      <c r="HYN50" s="952"/>
      <c r="HYO50" s="952"/>
      <c r="HYP50" s="952"/>
      <c r="HYQ50" s="952"/>
      <c r="HYR50" s="952"/>
      <c r="HYS50" s="952"/>
      <c r="HYT50" s="952"/>
      <c r="HYU50" s="952"/>
      <c r="HYV50" s="952"/>
      <c r="HYW50" s="952"/>
      <c r="HYX50" s="952"/>
      <c r="HYY50" s="952"/>
      <c r="HYZ50" s="952"/>
      <c r="HZA50" s="952"/>
      <c r="HZB50" s="952"/>
      <c r="HZC50" s="952"/>
      <c r="HZD50" s="952"/>
      <c r="HZE50" s="952"/>
      <c r="HZF50" s="952"/>
      <c r="HZG50" s="952"/>
      <c r="HZH50" s="952"/>
      <c r="HZI50" s="952"/>
      <c r="HZJ50" s="952"/>
      <c r="HZK50" s="952"/>
      <c r="HZL50" s="952"/>
      <c r="HZM50" s="952"/>
      <c r="HZN50" s="952"/>
      <c r="HZO50" s="952"/>
      <c r="HZP50" s="952"/>
      <c r="HZQ50" s="952"/>
      <c r="HZR50" s="952"/>
      <c r="HZS50" s="952"/>
      <c r="HZT50" s="952"/>
      <c r="HZU50" s="952"/>
      <c r="HZV50" s="952"/>
      <c r="HZW50" s="952"/>
      <c r="HZX50" s="952"/>
      <c r="HZY50" s="952"/>
      <c r="HZZ50" s="952"/>
      <c r="IAA50" s="952"/>
      <c r="IAB50" s="952"/>
      <c r="IAC50" s="952"/>
      <c r="IAD50" s="952"/>
      <c r="IAE50" s="952"/>
      <c r="IAF50" s="952"/>
      <c r="IAG50" s="952"/>
      <c r="IAH50" s="952"/>
      <c r="IAI50" s="952"/>
      <c r="IAJ50" s="952"/>
      <c r="IAK50" s="952"/>
      <c r="IAL50" s="952"/>
      <c r="IAM50" s="952"/>
      <c r="IAN50" s="952"/>
      <c r="IAO50" s="952"/>
      <c r="IAP50" s="952"/>
      <c r="IAQ50" s="952"/>
      <c r="IAR50" s="952"/>
      <c r="IAS50" s="952"/>
      <c r="IAT50" s="952"/>
      <c r="IAU50" s="952"/>
      <c r="IAV50" s="952"/>
      <c r="IAW50" s="952"/>
      <c r="IAX50" s="952"/>
      <c r="IAY50" s="952"/>
      <c r="IAZ50" s="952"/>
      <c r="IBA50" s="952"/>
      <c r="IBB50" s="952"/>
      <c r="IBC50" s="952"/>
      <c r="IBD50" s="952"/>
      <c r="IBE50" s="952"/>
      <c r="IBF50" s="952"/>
      <c r="IBG50" s="952"/>
      <c r="IBH50" s="952"/>
      <c r="IBI50" s="952"/>
      <c r="IBJ50" s="952"/>
      <c r="IBK50" s="952"/>
      <c r="IBL50" s="952"/>
      <c r="IBM50" s="952"/>
      <c r="IBN50" s="952"/>
      <c r="IBO50" s="952"/>
      <c r="IBP50" s="952"/>
      <c r="IBQ50" s="952"/>
      <c r="IBR50" s="952"/>
      <c r="IBS50" s="952"/>
      <c r="IBT50" s="952"/>
      <c r="IBU50" s="952"/>
      <c r="IBV50" s="952"/>
      <c r="IBW50" s="952"/>
      <c r="IBX50" s="952"/>
      <c r="IBY50" s="952"/>
      <c r="IBZ50" s="952"/>
      <c r="ICA50" s="952"/>
      <c r="ICB50" s="952"/>
      <c r="ICC50" s="952"/>
      <c r="ICD50" s="952"/>
      <c r="ICE50" s="952"/>
      <c r="ICF50" s="952"/>
      <c r="ICG50" s="952"/>
      <c r="ICH50" s="952"/>
      <c r="ICI50" s="952"/>
      <c r="ICJ50" s="952"/>
      <c r="ICK50" s="952"/>
      <c r="ICL50" s="952"/>
      <c r="ICM50" s="952"/>
      <c r="ICN50" s="952"/>
      <c r="ICO50" s="952"/>
      <c r="ICP50" s="952"/>
      <c r="ICQ50" s="952"/>
      <c r="ICR50" s="952"/>
      <c r="ICS50" s="952"/>
      <c r="ICT50" s="952"/>
      <c r="ICU50" s="952"/>
      <c r="ICV50" s="952"/>
      <c r="ICW50" s="952"/>
      <c r="ICX50" s="952"/>
      <c r="ICY50" s="952"/>
      <c r="ICZ50" s="952"/>
      <c r="IDA50" s="952"/>
      <c r="IDB50" s="952"/>
      <c r="IDC50" s="952"/>
      <c r="IDD50" s="952"/>
      <c r="IDE50" s="952"/>
      <c r="IDF50" s="952"/>
      <c r="IDG50" s="952"/>
      <c r="IDH50" s="952"/>
      <c r="IDI50" s="952"/>
      <c r="IDJ50" s="952"/>
      <c r="IDK50" s="952"/>
      <c r="IDL50" s="952"/>
      <c r="IDM50" s="952"/>
      <c r="IDN50" s="952"/>
      <c r="IDO50" s="952"/>
      <c r="IDP50" s="952"/>
      <c r="IDQ50" s="952"/>
      <c r="IDR50" s="952"/>
      <c r="IDS50" s="952"/>
      <c r="IDT50" s="952"/>
      <c r="IDU50" s="952"/>
      <c r="IDV50" s="952"/>
      <c r="IDW50" s="952"/>
      <c r="IDX50" s="952"/>
      <c r="IDY50" s="952"/>
      <c r="IDZ50" s="952"/>
      <c r="IEA50" s="952"/>
      <c r="IEB50" s="952"/>
      <c r="IEC50" s="952"/>
      <c r="IED50" s="952"/>
      <c r="IEE50" s="952"/>
      <c r="IEF50" s="952"/>
      <c r="IEG50" s="952"/>
      <c r="IEH50" s="952"/>
      <c r="IEI50" s="952"/>
      <c r="IEJ50" s="952"/>
      <c r="IEK50" s="952"/>
      <c r="IEL50" s="952"/>
      <c r="IEM50" s="952"/>
      <c r="IEN50" s="952"/>
      <c r="IEO50" s="952"/>
      <c r="IEP50" s="952"/>
      <c r="IEQ50" s="952"/>
      <c r="IER50" s="952"/>
      <c r="IES50" s="952"/>
      <c r="IET50" s="952"/>
      <c r="IEU50" s="952"/>
      <c r="IEV50" s="952"/>
      <c r="IEW50" s="952"/>
      <c r="IEX50" s="952"/>
      <c r="IEY50" s="952"/>
      <c r="IEZ50" s="952"/>
      <c r="IFA50" s="952"/>
      <c r="IFB50" s="952"/>
      <c r="IFC50" s="952"/>
      <c r="IFD50" s="952"/>
      <c r="IFE50" s="952"/>
      <c r="IFF50" s="952"/>
      <c r="IFG50" s="952"/>
      <c r="IFH50" s="952"/>
      <c r="IFI50" s="952"/>
      <c r="IFJ50" s="952"/>
      <c r="IFK50" s="952"/>
      <c r="IFL50" s="952"/>
      <c r="IFM50" s="952"/>
      <c r="IFN50" s="952"/>
      <c r="IFO50" s="952"/>
      <c r="IFP50" s="952"/>
      <c r="IFQ50" s="952"/>
      <c r="IFR50" s="952"/>
      <c r="IFS50" s="952"/>
      <c r="IFT50" s="952"/>
      <c r="IFU50" s="952"/>
      <c r="IFV50" s="952"/>
      <c r="IFW50" s="952"/>
      <c r="IFX50" s="952"/>
      <c r="IFY50" s="952"/>
      <c r="IFZ50" s="952"/>
      <c r="IGA50" s="952"/>
      <c r="IGB50" s="952"/>
      <c r="IGC50" s="952"/>
      <c r="IGD50" s="952"/>
      <c r="IGE50" s="952"/>
      <c r="IGF50" s="952"/>
      <c r="IGG50" s="952"/>
      <c r="IGH50" s="952"/>
      <c r="IGI50" s="952"/>
      <c r="IGJ50" s="952"/>
      <c r="IGK50" s="952"/>
      <c r="IGL50" s="952"/>
      <c r="IGM50" s="952"/>
      <c r="IGN50" s="952"/>
      <c r="IGO50" s="952"/>
      <c r="IGP50" s="952"/>
      <c r="IGQ50" s="952"/>
      <c r="IGR50" s="952"/>
      <c r="IGS50" s="952"/>
      <c r="IGT50" s="952"/>
      <c r="IGU50" s="952"/>
      <c r="IGV50" s="952"/>
      <c r="IGW50" s="952"/>
      <c r="IGX50" s="952"/>
      <c r="IGY50" s="952"/>
      <c r="IGZ50" s="952"/>
      <c r="IHA50" s="952"/>
      <c r="IHB50" s="952"/>
      <c r="IHC50" s="952"/>
      <c r="IHD50" s="952"/>
      <c r="IHE50" s="952"/>
      <c r="IHF50" s="952"/>
      <c r="IHG50" s="952"/>
      <c r="IHH50" s="952"/>
      <c r="IHI50" s="952"/>
      <c r="IHJ50" s="952"/>
      <c r="IHK50" s="952"/>
      <c r="IHL50" s="952"/>
      <c r="IHM50" s="952"/>
      <c r="IHN50" s="952"/>
      <c r="IHO50" s="952"/>
      <c r="IHP50" s="952"/>
      <c r="IHQ50" s="952"/>
      <c r="IHR50" s="952"/>
      <c r="IHS50" s="952"/>
      <c r="IHT50" s="952"/>
      <c r="IHU50" s="952"/>
      <c r="IHV50" s="952"/>
      <c r="IHW50" s="952"/>
      <c r="IHX50" s="952"/>
      <c r="IHY50" s="952"/>
      <c r="IHZ50" s="952"/>
      <c r="IIA50" s="952"/>
      <c r="IIB50" s="952"/>
      <c r="IIC50" s="952"/>
      <c r="IID50" s="952"/>
      <c r="IIE50" s="952"/>
      <c r="IIF50" s="952"/>
      <c r="IIG50" s="952"/>
      <c r="IIH50" s="952"/>
      <c r="III50" s="952"/>
      <c r="IIJ50" s="952"/>
      <c r="IIK50" s="952"/>
      <c r="IIL50" s="952"/>
      <c r="IIM50" s="952"/>
      <c r="IIN50" s="952"/>
      <c r="IIO50" s="952"/>
      <c r="IIP50" s="952"/>
      <c r="IIQ50" s="952"/>
      <c r="IIR50" s="952"/>
      <c r="IIS50" s="952"/>
      <c r="IIT50" s="952"/>
      <c r="IIU50" s="952"/>
      <c r="IIV50" s="952"/>
      <c r="IIW50" s="952"/>
      <c r="IIX50" s="952"/>
      <c r="IIY50" s="952"/>
      <c r="IIZ50" s="952"/>
      <c r="IJA50" s="952"/>
      <c r="IJB50" s="952"/>
      <c r="IJC50" s="952"/>
      <c r="IJD50" s="952"/>
      <c r="IJE50" s="952"/>
      <c r="IJF50" s="952"/>
      <c r="IJG50" s="952"/>
      <c r="IJH50" s="952"/>
      <c r="IJI50" s="952"/>
      <c r="IJJ50" s="952"/>
      <c r="IJK50" s="952"/>
      <c r="IJL50" s="952"/>
      <c r="IJM50" s="952"/>
      <c r="IJN50" s="952"/>
      <c r="IJO50" s="952"/>
      <c r="IJP50" s="952"/>
      <c r="IJQ50" s="952"/>
      <c r="IJR50" s="952"/>
      <c r="IJS50" s="952"/>
      <c r="IJT50" s="952"/>
      <c r="IJU50" s="952"/>
      <c r="IJV50" s="952"/>
      <c r="IJW50" s="952"/>
      <c r="IJX50" s="952"/>
      <c r="IJY50" s="952"/>
      <c r="IJZ50" s="952"/>
      <c r="IKA50" s="952"/>
      <c r="IKB50" s="952"/>
      <c r="IKC50" s="952"/>
      <c r="IKD50" s="952"/>
      <c r="IKE50" s="952"/>
      <c r="IKF50" s="952"/>
      <c r="IKG50" s="952"/>
      <c r="IKH50" s="952"/>
      <c r="IKI50" s="952"/>
      <c r="IKJ50" s="952"/>
      <c r="IKK50" s="952"/>
      <c r="IKL50" s="952"/>
      <c r="IKM50" s="952"/>
      <c r="IKN50" s="952"/>
      <c r="IKO50" s="952"/>
      <c r="IKP50" s="952"/>
      <c r="IKQ50" s="952"/>
      <c r="IKR50" s="952"/>
      <c r="IKS50" s="952"/>
      <c r="IKT50" s="952"/>
      <c r="IKU50" s="952"/>
      <c r="IKV50" s="952"/>
      <c r="IKW50" s="952"/>
      <c r="IKX50" s="952"/>
      <c r="IKY50" s="952"/>
      <c r="IKZ50" s="952"/>
      <c r="ILA50" s="952"/>
      <c r="ILB50" s="952"/>
      <c r="ILC50" s="952"/>
      <c r="ILD50" s="952"/>
      <c r="ILE50" s="952"/>
      <c r="ILF50" s="952"/>
      <c r="ILG50" s="952"/>
      <c r="ILH50" s="952"/>
      <c r="ILI50" s="952"/>
      <c r="ILJ50" s="952"/>
      <c r="ILK50" s="952"/>
      <c r="ILL50" s="952"/>
      <c r="ILM50" s="952"/>
      <c r="ILN50" s="952"/>
      <c r="ILO50" s="952"/>
      <c r="ILP50" s="952"/>
      <c r="ILQ50" s="952"/>
      <c r="ILR50" s="952"/>
      <c r="ILS50" s="952"/>
      <c r="ILT50" s="952"/>
      <c r="ILU50" s="952"/>
      <c r="ILV50" s="952"/>
      <c r="ILW50" s="952"/>
      <c r="ILX50" s="952"/>
      <c r="ILY50" s="952"/>
      <c r="ILZ50" s="952"/>
      <c r="IMA50" s="952"/>
      <c r="IMB50" s="952"/>
      <c r="IMC50" s="952"/>
      <c r="IMD50" s="952"/>
      <c r="IME50" s="952"/>
      <c r="IMF50" s="952"/>
      <c r="IMG50" s="952"/>
      <c r="IMH50" s="952"/>
      <c r="IMI50" s="952"/>
      <c r="IMJ50" s="952"/>
      <c r="IMK50" s="952"/>
      <c r="IML50" s="952"/>
      <c r="IMM50" s="952"/>
      <c r="IMN50" s="952"/>
      <c r="IMO50" s="952"/>
      <c r="IMP50" s="952"/>
      <c r="IMQ50" s="952"/>
      <c r="IMR50" s="952"/>
      <c r="IMS50" s="952"/>
      <c r="IMT50" s="952"/>
      <c r="IMU50" s="952"/>
      <c r="IMV50" s="952"/>
      <c r="IMW50" s="952"/>
      <c r="IMX50" s="952"/>
      <c r="IMY50" s="952"/>
      <c r="IMZ50" s="952"/>
      <c r="INA50" s="952"/>
      <c r="INB50" s="952"/>
      <c r="INC50" s="952"/>
      <c r="IND50" s="952"/>
      <c r="INE50" s="952"/>
      <c r="INF50" s="952"/>
      <c r="ING50" s="952"/>
      <c r="INH50" s="952"/>
      <c r="INI50" s="952"/>
      <c r="INJ50" s="952"/>
      <c r="INK50" s="952"/>
      <c r="INL50" s="952"/>
      <c r="INM50" s="952"/>
      <c r="INN50" s="952"/>
      <c r="INO50" s="952"/>
      <c r="INP50" s="952"/>
      <c r="INQ50" s="952"/>
      <c r="INR50" s="952"/>
      <c r="INS50" s="952"/>
      <c r="INT50" s="952"/>
      <c r="INU50" s="952"/>
      <c r="INV50" s="952"/>
      <c r="INW50" s="952"/>
      <c r="INX50" s="952"/>
      <c r="INY50" s="952"/>
      <c r="INZ50" s="952"/>
      <c r="IOA50" s="952"/>
      <c r="IOB50" s="952"/>
      <c r="IOC50" s="952"/>
      <c r="IOD50" s="952"/>
      <c r="IOE50" s="952"/>
      <c r="IOF50" s="952"/>
      <c r="IOG50" s="952"/>
      <c r="IOH50" s="952"/>
      <c r="IOI50" s="952"/>
      <c r="IOJ50" s="952"/>
      <c r="IOK50" s="952"/>
      <c r="IOL50" s="952"/>
      <c r="IOM50" s="952"/>
      <c r="ION50" s="952"/>
      <c r="IOO50" s="952"/>
      <c r="IOP50" s="952"/>
      <c r="IOQ50" s="952"/>
      <c r="IOR50" s="952"/>
      <c r="IOS50" s="952"/>
      <c r="IOT50" s="952"/>
      <c r="IOU50" s="952"/>
      <c r="IOV50" s="952"/>
      <c r="IOW50" s="952"/>
      <c r="IOX50" s="952"/>
      <c r="IOY50" s="952"/>
      <c r="IOZ50" s="952"/>
      <c r="IPA50" s="952"/>
      <c r="IPB50" s="952"/>
      <c r="IPC50" s="952"/>
      <c r="IPD50" s="952"/>
      <c r="IPE50" s="952"/>
      <c r="IPF50" s="952"/>
      <c r="IPG50" s="952"/>
      <c r="IPH50" s="952"/>
      <c r="IPI50" s="952"/>
      <c r="IPJ50" s="952"/>
      <c r="IPK50" s="952"/>
      <c r="IPL50" s="952"/>
      <c r="IPM50" s="952"/>
      <c r="IPN50" s="952"/>
      <c r="IPO50" s="952"/>
      <c r="IPP50" s="952"/>
      <c r="IPQ50" s="952"/>
      <c r="IPR50" s="952"/>
      <c r="IPS50" s="952"/>
      <c r="IPT50" s="952"/>
      <c r="IPU50" s="952"/>
      <c r="IPV50" s="952"/>
      <c r="IPW50" s="952"/>
      <c r="IPX50" s="952"/>
      <c r="IPY50" s="952"/>
      <c r="IPZ50" s="952"/>
      <c r="IQA50" s="952"/>
      <c r="IQB50" s="952"/>
      <c r="IQC50" s="952"/>
      <c r="IQD50" s="952"/>
      <c r="IQE50" s="952"/>
      <c r="IQF50" s="952"/>
      <c r="IQG50" s="952"/>
      <c r="IQH50" s="952"/>
      <c r="IQI50" s="952"/>
      <c r="IQJ50" s="952"/>
      <c r="IQK50" s="952"/>
      <c r="IQL50" s="952"/>
      <c r="IQM50" s="952"/>
      <c r="IQN50" s="952"/>
      <c r="IQO50" s="952"/>
      <c r="IQP50" s="952"/>
      <c r="IQQ50" s="952"/>
      <c r="IQR50" s="952"/>
      <c r="IQS50" s="952"/>
      <c r="IQT50" s="952"/>
      <c r="IQU50" s="952"/>
      <c r="IQV50" s="952"/>
      <c r="IQW50" s="952"/>
      <c r="IQX50" s="952"/>
      <c r="IQY50" s="952"/>
      <c r="IQZ50" s="952"/>
      <c r="IRA50" s="952"/>
      <c r="IRB50" s="952"/>
      <c r="IRC50" s="952"/>
      <c r="IRD50" s="952"/>
      <c r="IRE50" s="952"/>
      <c r="IRF50" s="952"/>
      <c r="IRG50" s="952"/>
      <c r="IRH50" s="952"/>
      <c r="IRI50" s="952"/>
      <c r="IRJ50" s="952"/>
      <c r="IRK50" s="952"/>
      <c r="IRL50" s="952"/>
      <c r="IRM50" s="952"/>
      <c r="IRN50" s="952"/>
      <c r="IRO50" s="952"/>
      <c r="IRP50" s="952"/>
      <c r="IRQ50" s="952"/>
      <c r="IRR50" s="952"/>
      <c r="IRS50" s="952"/>
      <c r="IRT50" s="952"/>
      <c r="IRU50" s="952"/>
      <c r="IRV50" s="952"/>
      <c r="IRW50" s="952"/>
      <c r="IRX50" s="952"/>
      <c r="IRY50" s="952"/>
      <c r="IRZ50" s="952"/>
      <c r="ISA50" s="952"/>
      <c r="ISB50" s="952"/>
      <c r="ISC50" s="952"/>
      <c r="ISD50" s="952"/>
      <c r="ISE50" s="952"/>
      <c r="ISF50" s="952"/>
      <c r="ISG50" s="952"/>
      <c r="ISH50" s="952"/>
      <c r="ISI50" s="952"/>
      <c r="ISJ50" s="952"/>
      <c r="ISK50" s="952"/>
      <c r="ISL50" s="952"/>
      <c r="ISM50" s="952"/>
      <c r="ISN50" s="952"/>
      <c r="ISO50" s="952"/>
      <c r="ISP50" s="952"/>
      <c r="ISQ50" s="952"/>
      <c r="ISR50" s="952"/>
      <c r="ISS50" s="952"/>
      <c r="IST50" s="952"/>
      <c r="ISU50" s="952"/>
      <c r="ISV50" s="952"/>
      <c r="ISW50" s="952"/>
      <c r="ISX50" s="952"/>
      <c r="ISY50" s="952"/>
      <c r="ISZ50" s="952"/>
      <c r="ITA50" s="952"/>
      <c r="ITB50" s="952"/>
      <c r="ITC50" s="952"/>
      <c r="ITD50" s="952"/>
      <c r="ITE50" s="952"/>
      <c r="ITF50" s="952"/>
      <c r="ITG50" s="952"/>
      <c r="ITH50" s="952"/>
      <c r="ITI50" s="952"/>
      <c r="ITJ50" s="952"/>
      <c r="ITK50" s="952"/>
      <c r="ITL50" s="952"/>
      <c r="ITM50" s="952"/>
      <c r="ITN50" s="952"/>
      <c r="ITO50" s="952"/>
      <c r="ITP50" s="952"/>
      <c r="ITQ50" s="952"/>
      <c r="ITR50" s="952"/>
      <c r="ITS50" s="952"/>
      <c r="ITT50" s="952"/>
      <c r="ITU50" s="952"/>
      <c r="ITV50" s="952"/>
      <c r="ITW50" s="952"/>
      <c r="ITX50" s="952"/>
      <c r="ITY50" s="952"/>
      <c r="ITZ50" s="952"/>
      <c r="IUA50" s="952"/>
      <c r="IUB50" s="952"/>
      <c r="IUC50" s="952"/>
      <c r="IUD50" s="952"/>
      <c r="IUE50" s="952"/>
      <c r="IUF50" s="952"/>
      <c r="IUG50" s="952"/>
      <c r="IUH50" s="952"/>
      <c r="IUI50" s="952"/>
      <c r="IUJ50" s="952"/>
      <c r="IUK50" s="952"/>
      <c r="IUL50" s="952"/>
      <c r="IUM50" s="952"/>
      <c r="IUN50" s="952"/>
      <c r="IUO50" s="952"/>
      <c r="IUP50" s="952"/>
      <c r="IUQ50" s="952"/>
      <c r="IUR50" s="952"/>
      <c r="IUS50" s="952"/>
      <c r="IUT50" s="952"/>
      <c r="IUU50" s="952"/>
      <c r="IUV50" s="952"/>
      <c r="IUW50" s="952"/>
      <c r="IUX50" s="952"/>
      <c r="IUY50" s="952"/>
      <c r="IUZ50" s="952"/>
      <c r="IVA50" s="952"/>
      <c r="IVB50" s="952"/>
      <c r="IVC50" s="952"/>
      <c r="IVD50" s="952"/>
      <c r="IVE50" s="952"/>
      <c r="IVF50" s="952"/>
      <c r="IVG50" s="952"/>
      <c r="IVH50" s="952"/>
      <c r="IVI50" s="952"/>
      <c r="IVJ50" s="952"/>
      <c r="IVK50" s="952"/>
      <c r="IVL50" s="952"/>
      <c r="IVM50" s="952"/>
      <c r="IVN50" s="952"/>
      <c r="IVO50" s="952"/>
      <c r="IVP50" s="952"/>
      <c r="IVQ50" s="952"/>
      <c r="IVR50" s="952"/>
      <c r="IVS50" s="952"/>
      <c r="IVT50" s="952"/>
      <c r="IVU50" s="952"/>
      <c r="IVV50" s="952"/>
      <c r="IVW50" s="952"/>
      <c r="IVX50" s="952"/>
      <c r="IVY50" s="952"/>
      <c r="IVZ50" s="952"/>
      <c r="IWA50" s="952"/>
      <c r="IWB50" s="952"/>
      <c r="IWC50" s="952"/>
      <c r="IWD50" s="952"/>
      <c r="IWE50" s="952"/>
      <c r="IWF50" s="952"/>
      <c r="IWG50" s="952"/>
      <c r="IWH50" s="952"/>
      <c r="IWI50" s="952"/>
      <c r="IWJ50" s="952"/>
      <c r="IWK50" s="952"/>
      <c r="IWL50" s="952"/>
      <c r="IWM50" s="952"/>
      <c r="IWN50" s="952"/>
      <c r="IWO50" s="952"/>
      <c r="IWP50" s="952"/>
      <c r="IWQ50" s="952"/>
      <c r="IWR50" s="952"/>
      <c r="IWS50" s="952"/>
      <c r="IWT50" s="952"/>
      <c r="IWU50" s="952"/>
      <c r="IWV50" s="952"/>
      <c r="IWW50" s="952"/>
      <c r="IWX50" s="952"/>
      <c r="IWY50" s="952"/>
      <c r="IWZ50" s="952"/>
      <c r="IXA50" s="952"/>
      <c r="IXB50" s="952"/>
      <c r="IXC50" s="952"/>
      <c r="IXD50" s="952"/>
      <c r="IXE50" s="952"/>
      <c r="IXF50" s="952"/>
      <c r="IXG50" s="952"/>
      <c r="IXH50" s="952"/>
      <c r="IXI50" s="952"/>
      <c r="IXJ50" s="952"/>
      <c r="IXK50" s="952"/>
      <c r="IXL50" s="952"/>
      <c r="IXM50" s="952"/>
      <c r="IXN50" s="952"/>
      <c r="IXO50" s="952"/>
      <c r="IXP50" s="952"/>
      <c r="IXQ50" s="952"/>
      <c r="IXR50" s="952"/>
      <c r="IXS50" s="952"/>
      <c r="IXT50" s="952"/>
      <c r="IXU50" s="952"/>
      <c r="IXV50" s="952"/>
      <c r="IXW50" s="952"/>
      <c r="IXX50" s="952"/>
      <c r="IXY50" s="952"/>
      <c r="IXZ50" s="952"/>
      <c r="IYA50" s="952"/>
      <c r="IYB50" s="952"/>
      <c r="IYC50" s="952"/>
      <c r="IYD50" s="952"/>
      <c r="IYE50" s="952"/>
      <c r="IYF50" s="952"/>
      <c r="IYG50" s="952"/>
      <c r="IYH50" s="952"/>
      <c r="IYI50" s="952"/>
      <c r="IYJ50" s="952"/>
      <c r="IYK50" s="952"/>
      <c r="IYL50" s="952"/>
      <c r="IYM50" s="952"/>
      <c r="IYN50" s="952"/>
      <c r="IYO50" s="952"/>
      <c r="IYP50" s="952"/>
      <c r="IYQ50" s="952"/>
      <c r="IYR50" s="952"/>
      <c r="IYS50" s="952"/>
      <c r="IYT50" s="952"/>
      <c r="IYU50" s="952"/>
      <c r="IYV50" s="952"/>
      <c r="IYW50" s="952"/>
      <c r="IYX50" s="952"/>
      <c r="IYY50" s="952"/>
      <c r="IYZ50" s="952"/>
      <c r="IZA50" s="952"/>
      <c r="IZB50" s="952"/>
      <c r="IZC50" s="952"/>
      <c r="IZD50" s="952"/>
      <c r="IZE50" s="952"/>
      <c r="IZF50" s="952"/>
      <c r="IZG50" s="952"/>
      <c r="IZH50" s="952"/>
      <c r="IZI50" s="952"/>
      <c r="IZJ50" s="952"/>
      <c r="IZK50" s="952"/>
      <c r="IZL50" s="952"/>
      <c r="IZM50" s="952"/>
      <c r="IZN50" s="952"/>
      <c r="IZO50" s="952"/>
      <c r="IZP50" s="952"/>
      <c r="IZQ50" s="952"/>
      <c r="IZR50" s="952"/>
      <c r="IZS50" s="952"/>
      <c r="IZT50" s="952"/>
      <c r="IZU50" s="952"/>
      <c r="IZV50" s="952"/>
      <c r="IZW50" s="952"/>
      <c r="IZX50" s="952"/>
      <c r="IZY50" s="952"/>
      <c r="IZZ50" s="952"/>
      <c r="JAA50" s="952"/>
      <c r="JAB50" s="952"/>
      <c r="JAC50" s="952"/>
      <c r="JAD50" s="952"/>
      <c r="JAE50" s="952"/>
      <c r="JAF50" s="952"/>
      <c r="JAG50" s="952"/>
      <c r="JAH50" s="952"/>
      <c r="JAI50" s="952"/>
      <c r="JAJ50" s="952"/>
      <c r="JAK50" s="952"/>
      <c r="JAL50" s="952"/>
      <c r="JAM50" s="952"/>
      <c r="JAN50" s="952"/>
      <c r="JAO50" s="952"/>
      <c r="JAP50" s="952"/>
      <c r="JAQ50" s="952"/>
      <c r="JAR50" s="952"/>
      <c r="JAS50" s="952"/>
      <c r="JAT50" s="952"/>
      <c r="JAU50" s="952"/>
      <c r="JAV50" s="952"/>
      <c r="JAW50" s="952"/>
      <c r="JAX50" s="952"/>
      <c r="JAY50" s="952"/>
      <c r="JAZ50" s="952"/>
      <c r="JBA50" s="952"/>
      <c r="JBB50" s="952"/>
      <c r="JBC50" s="952"/>
      <c r="JBD50" s="952"/>
      <c r="JBE50" s="952"/>
      <c r="JBF50" s="952"/>
      <c r="JBG50" s="952"/>
      <c r="JBH50" s="952"/>
      <c r="JBI50" s="952"/>
      <c r="JBJ50" s="952"/>
      <c r="JBK50" s="952"/>
      <c r="JBL50" s="952"/>
      <c r="JBM50" s="952"/>
      <c r="JBN50" s="952"/>
      <c r="JBO50" s="952"/>
      <c r="JBP50" s="952"/>
      <c r="JBQ50" s="952"/>
      <c r="JBR50" s="952"/>
      <c r="JBS50" s="952"/>
      <c r="JBT50" s="952"/>
      <c r="JBU50" s="952"/>
      <c r="JBV50" s="952"/>
      <c r="JBW50" s="952"/>
      <c r="JBX50" s="952"/>
      <c r="JBY50" s="952"/>
      <c r="JBZ50" s="952"/>
      <c r="JCA50" s="952"/>
      <c r="JCB50" s="952"/>
      <c r="JCC50" s="952"/>
      <c r="JCD50" s="952"/>
      <c r="JCE50" s="952"/>
      <c r="JCF50" s="952"/>
      <c r="JCG50" s="952"/>
      <c r="JCH50" s="952"/>
      <c r="JCI50" s="952"/>
      <c r="JCJ50" s="952"/>
      <c r="JCK50" s="952"/>
      <c r="JCL50" s="952"/>
      <c r="JCM50" s="952"/>
      <c r="JCN50" s="952"/>
      <c r="JCO50" s="952"/>
      <c r="JCP50" s="952"/>
      <c r="JCQ50" s="952"/>
      <c r="JCR50" s="952"/>
      <c r="JCS50" s="952"/>
      <c r="JCT50" s="952"/>
      <c r="JCU50" s="952"/>
      <c r="JCV50" s="952"/>
      <c r="JCW50" s="952"/>
      <c r="JCX50" s="952"/>
      <c r="JCY50" s="952"/>
      <c r="JCZ50" s="952"/>
      <c r="JDA50" s="952"/>
      <c r="JDB50" s="952"/>
      <c r="JDC50" s="952"/>
      <c r="JDD50" s="952"/>
      <c r="JDE50" s="952"/>
      <c r="JDF50" s="952"/>
      <c r="JDG50" s="952"/>
      <c r="JDH50" s="952"/>
      <c r="JDI50" s="952"/>
      <c r="JDJ50" s="952"/>
      <c r="JDK50" s="952"/>
      <c r="JDL50" s="952"/>
      <c r="JDM50" s="952"/>
      <c r="JDN50" s="952"/>
      <c r="JDO50" s="952"/>
      <c r="JDP50" s="952"/>
      <c r="JDQ50" s="952"/>
      <c r="JDR50" s="952"/>
      <c r="JDS50" s="952"/>
      <c r="JDT50" s="952"/>
      <c r="JDU50" s="952"/>
      <c r="JDV50" s="952"/>
      <c r="JDW50" s="952"/>
      <c r="JDX50" s="952"/>
      <c r="JDY50" s="952"/>
      <c r="JDZ50" s="952"/>
      <c r="JEA50" s="952"/>
      <c r="JEB50" s="952"/>
      <c r="JEC50" s="952"/>
      <c r="JED50" s="952"/>
      <c r="JEE50" s="952"/>
      <c r="JEF50" s="952"/>
      <c r="JEG50" s="952"/>
      <c r="JEH50" s="952"/>
      <c r="JEI50" s="952"/>
      <c r="JEJ50" s="952"/>
      <c r="JEK50" s="952"/>
      <c r="JEL50" s="952"/>
      <c r="JEM50" s="952"/>
      <c r="JEN50" s="952"/>
      <c r="JEO50" s="952"/>
      <c r="JEP50" s="952"/>
      <c r="JEQ50" s="952"/>
      <c r="JER50" s="952"/>
      <c r="JES50" s="952"/>
      <c r="JET50" s="952"/>
      <c r="JEU50" s="952"/>
      <c r="JEV50" s="952"/>
      <c r="JEW50" s="952"/>
      <c r="JEX50" s="952"/>
      <c r="JEY50" s="952"/>
      <c r="JEZ50" s="952"/>
      <c r="JFA50" s="952"/>
      <c r="JFB50" s="952"/>
      <c r="JFC50" s="952"/>
      <c r="JFD50" s="952"/>
      <c r="JFE50" s="952"/>
      <c r="JFF50" s="952"/>
      <c r="JFG50" s="952"/>
      <c r="JFH50" s="952"/>
      <c r="JFI50" s="952"/>
      <c r="JFJ50" s="952"/>
      <c r="JFK50" s="952"/>
      <c r="JFL50" s="952"/>
      <c r="JFM50" s="952"/>
      <c r="JFN50" s="952"/>
      <c r="JFO50" s="952"/>
      <c r="JFP50" s="952"/>
      <c r="JFQ50" s="952"/>
      <c r="JFR50" s="952"/>
      <c r="JFS50" s="952"/>
      <c r="JFT50" s="952"/>
      <c r="JFU50" s="952"/>
      <c r="JFV50" s="952"/>
      <c r="JFW50" s="952"/>
      <c r="JFX50" s="952"/>
      <c r="JFY50" s="952"/>
      <c r="JFZ50" s="952"/>
      <c r="JGA50" s="952"/>
      <c r="JGB50" s="952"/>
      <c r="JGC50" s="952"/>
      <c r="JGD50" s="952"/>
      <c r="JGE50" s="952"/>
      <c r="JGF50" s="952"/>
      <c r="JGG50" s="952"/>
      <c r="JGH50" s="952"/>
      <c r="JGI50" s="952"/>
      <c r="JGJ50" s="952"/>
      <c r="JGK50" s="952"/>
      <c r="JGL50" s="952"/>
      <c r="JGM50" s="952"/>
      <c r="JGN50" s="952"/>
      <c r="JGO50" s="952"/>
      <c r="JGP50" s="952"/>
      <c r="JGQ50" s="952"/>
      <c r="JGR50" s="952"/>
      <c r="JGS50" s="952"/>
      <c r="JGT50" s="952"/>
      <c r="JGU50" s="952"/>
      <c r="JGV50" s="952"/>
      <c r="JGW50" s="952"/>
      <c r="JGX50" s="952"/>
      <c r="JGY50" s="952"/>
      <c r="JGZ50" s="952"/>
      <c r="JHA50" s="952"/>
      <c r="JHB50" s="952"/>
      <c r="JHC50" s="952"/>
      <c r="JHD50" s="952"/>
      <c r="JHE50" s="952"/>
      <c r="JHF50" s="952"/>
      <c r="JHG50" s="952"/>
      <c r="JHH50" s="952"/>
      <c r="JHI50" s="952"/>
      <c r="JHJ50" s="952"/>
      <c r="JHK50" s="952"/>
      <c r="JHL50" s="952"/>
      <c r="JHM50" s="952"/>
      <c r="JHN50" s="952"/>
      <c r="JHO50" s="952"/>
      <c r="JHP50" s="952"/>
      <c r="JHQ50" s="952"/>
      <c r="JHR50" s="952"/>
      <c r="JHS50" s="952"/>
      <c r="JHT50" s="952"/>
      <c r="JHU50" s="952"/>
      <c r="JHV50" s="952"/>
      <c r="JHW50" s="952"/>
      <c r="JHX50" s="952"/>
      <c r="JHY50" s="952"/>
      <c r="JHZ50" s="952"/>
      <c r="JIA50" s="952"/>
      <c r="JIB50" s="952"/>
      <c r="JIC50" s="952"/>
      <c r="JID50" s="952"/>
      <c r="JIE50" s="952"/>
      <c r="JIF50" s="952"/>
      <c r="JIG50" s="952"/>
      <c r="JIH50" s="952"/>
      <c r="JII50" s="952"/>
      <c r="JIJ50" s="952"/>
      <c r="JIK50" s="952"/>
      <c r="JIL50" s="952"/>
      <c r="JIM50" s="952"/>
      <c r="JIN50" s="952"/>
      <c r="JIO50" s="952"/>
      <c r="JIP50" s="952"/>
      <c r="JIQ50" s="952"/>
      <c r="JIR50" s="952"/>
      <c r="JIS50" s="952"/>
      <c r="JIT50" s="952"/>
      <c r="JIU50" s="952"/>
      <c r="JIV50" s="952"/>
      <c r="JIW50" s="952"/>
      <c r="JIX50" s="952"/>
      <c r="JIY50" s="952"/>
      <c r="JIZ50" s="952"/>
      <c r="JJA50" s="952"/>
      <c r="JJB50" s="952"/>
      <c r="JJC50" s="952"/>
      <c r="JJD50" s="952"/>
      <c r="JJE50" s="952"/>
      <c r="JJF50" s="952"/>
      <c r="JJG50" s="952"/>
      <c r="JJH50" s="952"/>
      <c r="JJI50" s="952"/>
      <c r="JJJ50" s="952"/>
      <c r="JJK50" s="952"/>
      <c r="JJL50" s="952"/>
      <c r="JJM50" s="952"/>
      <c r="JJN50" s="952"/>
      <c r="JJO50" s="952"/>
      <c r="JJP50" s="952"/>
      <c r="JJQ50" s="952"/>
      <c r="JJR50" s="952"/>
      <c r="JJS50" s="952"/>
      <c r="JJT50" s="952"/>
      <c r="JJU50" s="952"/>
      <c r="JJV50" s="952"/>
      <c r="JJW50" s="952"/>
      <c r="JJX50" s="952"/>
      <c r="JJY50" s="952"/>
      <c r="JJZ50" s="952"/>
      <c r="JKA50" s="952"/>
      <c r="JKB50" s="952"/>
      <c r="JKC50" s="952"/>
      <c r="JKD50" s="952"/>
      <c r="JKE50" s="952"/>
      <c r="JKF50" s="952"/>
      <c r="JKG50" s="952"/>
      <c r="JKH50" s="952"/>
      <c r="JKI50" s="952"/>
      <c r="JKJ50" s="952"/>
      <c r="JKK50" s="952"/>
      <c r="JKL50" s="952"/>
      <c r="JKM50" s="952"/>
      <c r="JKN50" s="952"/>
      <c r="JKO50" s="952"/>
      <c r="JKP50" s="952"/>
      <c r="JKQ50" s="952"/>
      <c r="JKR50" s="952"/>
      <c r="JKS50" s="952"/>
      <c r="JKT50" s="952"/>
      <c r="JKU50" s="952"/>
      <c r="JKV50" s="952"/>
      <c r="JKW50" s="952"/>
      <c r="JKX50" s="952"/>
      <c r="JKY50" s="952"/>
      <c r="JKZ50" s="952"/>
      <c r="JLA50" s="952"/>
      <c r="JLB50" s="952"/>
      <c r="JLC50" s="952"/>
      <c r="JLD50" s="952"/>
      <c r="JLE50" s="952"/>
      <c r="JLF50" s="952"/>
      <c r="JLG50" s="952"/>
      <c r="JLH50" s="952"/>
      <c r="JLI50" s="952"/>
      <c r="JLJ50" s="952"/>
      <c r="JLK50" s="952"/>
      <c r="JLL50" s="952"/>
      <c r="JLM50" s="952"/>
      <c r="JLN50" s="952"/>
      <c r="JLO50" s="952"/>
      <c r="JLP50" s="952"/>
      <c r="JLQ50" s="952"/>
      <c r="JLR50" s="952"/>
      <c r="JLS50" s="952"/>
      <c r="JLT50" s="952"/>
      <c r="JLU50" s="952"/>
      <c r="JLV50" s="952"/>
      <c r="JLW50" s="952"/>
      <c r="JLX50" s="952"/>
      <c r="JLY50" s="952"/>
      <c r="JLZ50" s="952"/>
      <c r="JMA50" s="952"/>
      <c r="JMB50" s="952"/>
      <c r="JMC50" s="952"/>
      <c r="JMD50" s="952"/>
      <c r="JME50" s="952"/>
      <c r="JMF50" s="952"/>
      <c r="JMG50" s="952"/>
      <c r="JMH50" s="952"/>
      <c r="JMI50" s="952"/>
      <c r="JMJ50" s="952"/>
      <c r="JMK50" s="952"/>
      <c r="JML50" s="952"/>
      <c r="JMM50" s="952"/>
      <c r="JMN50" s="952"/>
      <c r="JMO50" s="952"/>
      <c r="JMP50" s="952"/>
      <c r="JMQ50" s="952"/>
      <c r="JMR50" s="952"/>
      <c r="JMS50" s="952"/>
      <c r="JMT50" s="952"/>
      <c r="JMU50" s="952"/>
      <c r="JMV50" s="952"/>
      <c r="JMW50" s="952"/>
      <c r="JMX50" s="952"/>
      <c r="JMY50" s="952"/>
      <c r="JMZ50" s="952"/>
      <c r="JNA50" s="952"/>
      <c r="JNB50" s="952"/>
      <c r="JNC50" s="952"/>
      <c r="JND50" s="952"/>
      <c r="JNE50" s="952"/>
      <c r="JNF50" s="952"/>
      <c r="JNG50" s="952"/>
      <c r="JNH50" s="952"/>
      <c r="JNI50" s="952"/>
      <c r="JNJ50" s="952"/>
      <c r="JNK50" s="952"/>
      <c r="JNL50" s="952"/>
      <c r="JNM50" s="952"/>
      <c r="JNN50" s="952"/>
      <c r="JNO50" s="952"/>
      <c r="JNP50" s="952"/>
      <c r="JNQ50" s="952"/>
      <c r="JNR50" s="952"/>
      <c r="JNS50" s="952"/>
      <c r="JNT50" s="952"/>
      <c r="JNU50" s="952"/>
      <c r="JNV50" s="952"/>
      <c r="JNW50" s="952"/>
      <c r="JNX50" s="952"/>
      <c r="JNY50" s="952"/>
      <c r="JNZ50" s="952"/>
      <c r="JOA50" s="952"/>
      <c r="JOB50" s="952"/>
      <c r="JOC50" s="952"/>
      <c r="JOD50" s="952"/>
      <c r="JOE50" s="952"/>
      <c r="JOF50" s="952"/>
      <c r="JOG50" s="952"/>
      <c r="JOH50" s="952"/>
      <c r="JOI50" s="952"/>
      <c r="JOJ50" s="952"/>
      <c r="JOK50" s="952"/>
      <c r="JOL50" s="952"/>
      <c r="JOM50" s="952"/>
      <c r="JON50" s="952"/>
      <c r="JOO50" s="952"/>
      <c r="JOP50" s="952"/>
      <c r="JOQ50" s="952"/>
      <c r="JOR50" s="952"/>
      <c r="JOS50" s="952"/>
      <c r="JOT50" s="952"/>
      <c r="JOU50" s="952"/>
      <c r="JOV50" s="952"/>
      <c r="JOW50" s="952"/>
      <c r="JOX50" s="952"/>
      <c r="JOY50" s="952"/>
      <c r="JOZ50" s="952"/>
      <c r="JPA50" s="952"/>
      <c r="JPB50" s="952"/>
      <c r="JPC50" s="952"/>
      <c r="JPD50" s="952"/>
      <c r="JPE50" s="952"/>
      <c r="JPF50" s="952"/>
      <c r="JPG50" s="952"/>
      <c r="JPH50" s="952"/>
      <c r="JPI50" s="952"/>
      <c r="JPJ50" s="952"/>
      <c r="JPK50" s="952"/>
      <c r="JPL50" s="952"/>
      <c r="JPM50" s="952"/>
      <c r="JPN50" s="952"/>
      <c r="JPO50" s="952"/>
      <c r="JPP50" s="952"/>
      <c r="JPQ50" s="952"/>
      <c r="JPR50" s="952"/>
      <c r="JPS50" s="952"/>
      <c r="JPT50" s="952"/>
      <c r="JPU50" s="952"/>
      <c r="JPV50" s="952"/>
      <c r="JPW50" s="952"/>
      <c r="JPX50" s="952"/>
      <c r="JPY50" s="952"/>
      <c r="JPZ50" s="952"/>
      <c r="JQA50" s="952"/>
      <c r="JQB50" s="952"/>
      <c r="JQC50" s="952"/>
      <c r="JQD50" s="952"/>
      <c r="JQE50" s="952"/>
      <c r="JQF50" s="952"/>
      <c r="JQG50" s="952"/>
      <c r="JQH50" s="952"/>
      <c r="JQI50" s="952"/>
      <c r="JQJ50" s="952"/>
      <c r="JQK50" s="952"/>
      <c r="JQL50" s="952"/>
      <c r="JQM50" s="952"/>
      <c r="JQN50" s="952"/>
      <c r="JQO50" s="952"/>
      <c r="JQP50" s="952"/>
      <c r="JQQ50" s="952"/>
      <c r="JQR50" s="952"/>
      <c r="JQS50" s="952"/>
      <c r="JQT50" s="952"/>
      <c r="JQU50" s="952"/>
      <c r="JQV50" s="952"/>
      <c r="JQW50" s="952"/>
      <c r="JQX50" s="952"/>
      <c r="JQY50" s="952"/>
      <c r="JQZ50" s="952"/>
      <c r="JRA50" s="952"/>
      <c r="JRB50" s="952"/>
      <c r="JRC50" s="952"/>
      <c r="JRD50" s="952"/>
      <c r="JRE50" s="952"/>
      <c r="JRF50" s="952"/>
      <c r="JRG50" s="952"/>
      <c r="JRH50" s="952"/>
      <c r="JRI50" s="952"/>
      <c r="JRJ50" s="952"/>
      <c r="JRK50" s="952"/>
      <c r="JRL50" s="952"/>
      <c r="JRM50" s="952"/>
      <c r="JRN50" s="952"/>
      <c r="JRO50" s="952"/>
      <c r="JRP50" s="952"/>
      <c r="JRQ50" s="952"/>
      <c r="JRR50" s="952"/>
      <c r="JRS50" s="952"/>
      <c r="JRT50" s="952"/>
      <c r="JRU50" s="952"/>
      <c r="JRV50" s="952"/>
      <c r="JRW50" s="952"/>
      <c r="JRX50" s="952"/>
      <c r="JRY50" s="952"/>
      <c r="JRZ50" s="952"/>
      <c r="JSA50" s="952"/>
      <c r="JSB50" s="952"/>
      <c r="JSC50" s="952"/>
      <c r="JSD50" s="952"/>
      <c r="JSE50" s="952"/>
      <c r="JSF50" s="952"/>
      <c r="JSG50" s="952"/>
      <c r="JSH50" s="952"/>
      <c r="JSI50" s="952"/>
      <c r="JSJ50" s="952"/>
      <c r="JSK50" s="952"/>
      <c r="JSL50" s="952"/>
      <c r="JSM50" s="952"/>
      <c r="JSN50" s="952"/>
      <c r="JSO50" s="952"/>
      <c r="JSP50" s="952"/>
      <c r="JSQ50" s="952"/>
      <c r="JSR50" s="952"/>
      <c r="JSS50" s="952"/>
      <c r="JST50" s="952"/>
      <c r="JSU50" s="952"/>
      <c r="JSV50" s="952"/>
      <c r="JSW50" s="952"/>
      <c r="JSX50" s="952"/>
      <c r="JSY50" s="952"/>
      <c r="JSZ50" s="952"/>
      <c r="JTA50" s="952"/>
      <c r="JTB50" s="952"/>
      <c r="JTC50" s="952"/>
      <c r="JTD50" s="952"/>
      <c r="JTE50" s="952"/>
      <c r="JTF50" s="952"/>
      <c r="JTG50" s="952"/>
      <c r="JTH50" s="952"/>
      <c r="JTI50" s="952"/>
      <c r="JTJ50" s="952"/>
      <c r="JTK50" s="952"/>
      <c r="JTL50" s="952"/>
      <c r="JTM50" s="952"/>
      <c r="JTN50" s="952"/>
      <c r="JTO50" s="952"/>
      <c r="JTP50" s="952"/>
      <c r="JTQ50" s="952"/>
      <c r="JTR50" s="952"/>
      <c r="JTS50" s="952"/>
      <c r="JTT50" s="952"/>
      <c r="JTU50" s="952"/>
      <c r="JTV50" s="952"/>
      <c r="JTW50" s="952"/>
      <c r="JTX50" s="952"/>
      <c r="JTY50" s="952"/>
      <c r="JTZ50" s="952"/>
      <c r="JUA50" s="952"/>
      <c r="JUB50" s="952"/>
      <c r="JUC50" s="952"/>
      <c r="JUD50" s="952"/>
      <c r="JUE50" s="952"/>
      <c r="JUF50" s="952"/>
      <c r="JUG50" s="952"/>
      <c r="JUH50" s="952"/>
      <c r="JUI50" s="952"/>
      <c r="JUJ50" s="952"/>
      <c r="JUK50" s="952"/>
      <c r="JUL50" s="952"/>
      <c r="JUM50" s="952"/>
      <c r="JUN50" s="952"/>
      <c r="JUO50" s="952"/>
      <c r="JUP50" s="952"/>
      <c r="JUQ50" s="952"/>
      <c r="JUR50" s="952"/>
      <c r="JUS50" s="952"/>
      <c r="JUT50" s="952"/>
      <c r="JUU50" s="952"/>
      <c r="JUV50" s="952"/>
      <c r="JUW50" s="952"/>
      <c r="JUX50" s="952"/>
      <c r="JUY50" s="952"/>
      <c r="JUZ50" s="952"/>
      <c r="JVA50" s="952"/>
      <c r="JVB50" s="952"/>
      <c r="JVC50" s="952"/>
      <c r="JVD50" s="952"/>
      <c r="JVE50" s="952"/>
      <c r="JVF50" s="952"/>
      <c r="JVG50" s="952"/>
      <c r="JVH50" s="952"/>
      <c r="JVI50" s="952"/>
      <c r="JVJ50" s="952"/>
      <c r="JVK50" s="952"/>
      <c r="JVL50" s="952"/>
      <c r="JVM50" s="952"/>
      <c r="JVN50" s="952"/>
      <c r="JVO50" s="952"/>
      <c r="JVP50" s="952"/>
      <c r="JVQ50" s="952"/>
      <c r="JVR50" s="952"/>
      <c r="JVS50" s="952"/>
      <c r="JVT50" s="952"/>
      <c r="JVU50" s="952"/>
      <c r="JVV50" s="952"/>
      <c r="JVW50" s="952"/>
      <c r="JVX50" s="952"/>
      <c r="JVY50" s="952"/>
      <c r="JVZ50" s="952"/>
      <c r="JWA50" s="952"/>
      <c r="JWB50" s="952"/>
      <c r="JWC50" s="952"/>
      <c r="JWD50" s="952"/>
      <c r="JWE50" s="952"/>
      <c r="JWF50" s="952"/>
      <c r="JWG50" s="952"/>
      <c r="JWH50" s="952"/>
      <c r="JWI50" s="952"/>
      <c r="JWJ50" s="952"/>
      <c r="JWK50" s="952"/>
      <c r="JWL50" s="952"/>
      <c r="JWM50" s="952"/>
      <c r="JWN50" s="952"/>
      <c r="JWO50" s="952"/>
      <c r="JWP50" s="952"/>
      <c r="JWQ50" s="952"/>
      <c r="JWR50" s="952"/>
      <c r="JWS50" s="952"/>
      <c r="JWT50" s="952"/>
      <c r="JWU50" s="952"/>
      <c r="JWV50" s="952"/>
      <c r="JWW50" s="952"/>
      <c r="JWX50" s="952"/>
      <c r="JWY50" s="952"/>
      <c r="JWZ50" s="952"/>
      <c r="JXA50" s="952"/>
      <c r="JXB50" s="952"/>
      <c r="JXC50" s="952"/>
      <c r="JXD50" s="952"/>
      <c r="JXE50" s="952"/>
      <c r="JXF50" s="952"/>
      <c r="JXG50" s="952"/>
      <c r="JXH50" s="952"/>
      <c r="JXI50" s="952"/>
      <c r="JXJ50" s="952"/>
      <c r="JXK50" s="952"/>
      <c r="JXL50" s="952"/>
      <c r="JXM50" s="952"/>
      <c r="JXN50" s="952"/>
      <c r="JXO50" s="952"/>
      <c r="JXP50" s="952"/>
      <c r="JXQ50" s="952"/>
      <c r="JXR50" s="952"/>
      <c r="JXS50" s="952"/>
      <c r="JXT50" s="952"/>
      <c r="JXU50" s="952"/>
      <c r="JXV50" s="952"/>
      <c r="JXW50" s="952"/>
      <c r="JXX50" s="952"/>
      <c r="JXY50" s="952"/>
      <c r="JXZ50" s="952"/>
      <c r="JYA50" s="952"/>
      <c r="JYB50" s="952"/>
      <c r="JYC50" s="952"/>
      <c r="JYD50" s="952"/>
      <c r="JYE50" s="952"/>
      <c r="JYF50" s="952"/>
      <c r="JYG50" s="952"/>
      <c r="JYH50" s="952"/>
      <c r="JYI50" s="952"/>
      <c r="JYJ50" s="952"/>
      <c r="JYK50" s="952"/>
      <c r="JYL50" s="952"/>
      <c r="JYM50" s="952"/>
      <c r="JYN50" s="952"/>
      <c r="JYO50" s="952"/>
      <c r="JYP50" s="952"/>
      <c r="JYQ50" s="952"/>
      <c r="JYR50" s="952"/>
      <c r="JYS50" s="952"/>
      <c r="JYT50" s="952"/>
      <c r="JYU50" s="952"/>
      <c r="JYV50" s="952"/>
      <c r="JYW50" s="952"/>
      <c r="JYX50" s="952"/>
      <c r="JYY50" s="952"/>
      <c r="JYZ50" s="952"/>
      <c r="JZA50" s="952"/>
      <c r="JZB50" s="952"/>
      <c r="JZC50" s="952"/>
      <c r="JZD50" s="952"/>
      <c r="JZE50" s="952"/>
      <c r="JZF50" s="952"/>
      <c r="JZG50" s="952"/>
      <c r="JZH50" s="952"/>
      <c r="JZI50" s="952"/>
      <c r="JZJ50" s="952"/>
      <c r="JZK50" s="952"/>
      <c r="JZL50" s="952"/>
      <c r="JZM50" s="952"/>
      <c r="JZN50" s="952"/>
      <c r="JZO50" s="952"/>
      <c r="JZP50" s="952"/>
      <c r="JZQ50" s="952"/>
      <c r="JZR50" s="952"/>
      <c r="JZS50" s="952"/>
      <c r="JZT50" s="952"/>
      <c r="JZU50" s="952"/>
      <c r="JZV50" s="952"/>
      <c r="JZW50" s="952"/>
      <c r="JZX50" s="952"/>
      <c r="JZY50" s="952"/>
      <c r="JZZ50" s="952"/>
      <c r="KAA50" s="952"/>
      <c r="KAB50" s="952"/>
      <c r="KAC50" s="952"/>
      <c r="KAD50" s="952"/>
      <c r="KAE50" s="952"/>
      <c r="KAF50" s="952"/>
      <c r="KAG50" s="952"/>
      <c r="KAH50" s="952"/>
      <c r="KAI50" s="952"/>
      <c r="KAJ50" s="952"/>
      <c r="KAK50" s="952"/>
      <c r="KAL50" s="952"/>
      <c r="KAM50" s="952"/>
      <c r="KAN50" s="952"/>
      <c r="KAO50" s="952"/>
      <c r="KAP50" s="952"/>
      <c r="KAQ50" s="952"/>
      <c r="KAR50" s="952"/>
      <c r="KAS50" s="952"/>
      <c r="KAT50" s="952"/>
      <c r="KAU50" s="952"/>
      <c r="KAV50" s="952"/>
      <c r="KAW50" s="952"/>
      <c r="KAX50" s="952"/>
      <c r="KAY50" s="952"/>
      <c r="KAZ50" s="952"/>
      <c r="KBA50" s="952"/>
      <c r="KBB50" s="952"/>
      <c r="KBC50" s="952"/>
      <c r="KBD50" s="952"/>
      <c r="KBE50" s="952"/>
      <c r="KBF50" s="952"/>
      <c r="KBG50" s="952"/>
      <c r="KBH50" s="952"/>
      <c r="KBI50" s="952"/>
      <c r="KBJ50" s="952"/>
      <c r="KBK50" s="952"/>
      <c r="KBL50" s="952"/>
      <c r="KBM50" s="952"/>
      <c r="KBN50" s="952"/>
      <c r="KBO50" s="952"/>
      <c r="KBP50" s="952"/>
      <c r="KBQ50" s="952"/>
      <c r="KBR50" s="952"/>
      <c r="KBS50" s="952"/>
      <c r="KBT50" s="952"/>
      <c r="KBU50" s="952"/>
      <c r="KBV50" s="952"/>
      <c r="KBW50" s="952"/>
      <c r="KBX50" s="952"/>
      <c r="KBY50" s="952"/>
      <c r="KBZ50" s="952"/>
      <c r="KCA50" s="952"/>
      <c r="KCB50" s="952"/>
      <c r="KCC50" s="952"/>
      <c r="KCD50" s="952"/>
      <c r="KCE50" s="952"/>
      <c r="KCF50" s="952"/>
      <c r="KCG50" s="952"/>
      <c r="KCH50" s="952"/>
      <c r="KCI50" s="952"/>
      <c r="KCJ50" s="952"/>
      <c r="KCK50" s="952"/>
      <c r="KCL50" s="952"/>
      <c r="KCM50" s="952"/>
      <c r="KCN50" s="952"/>
      <c r="KCO50" s="952"/>
      <c r="KCP50" s="952"/>
      <c r="KCQ50" s="952"/>
      <c r="KCR50" s="952"/>
      <c r="KCS50" s="952"/>
      <c r="KCT50" s="952"/>
      <c r="KCU50" s="952"/>
      <c r="KCV50" s="952"/>
      <c r="KCW50" s="952"/>
      <c r="KCX50" s="952"/>
      <c r="KCY50" s="952"/>
      <c r="KCZ50" s="952"/>
      <c r="KDA50" s="952"/>
      <c r="KDB50" s="952"/>
      <c r="KDC50" s="952"/>
      <c r="KDD50" s="952"/>
      <c r="KDE50" s="952"/>
      <c r="KDF50" s="952"/>
      <c r="KDG50" s="952"/>
      <c r="KDH50" s="952"/>
      <c r="KDI50" s="952"/>
      <c r="KDJ50" s="952"/>
      <c r="KDK50" s="952"/>
      <c r="KDL50" s="952"/>
      <c r="KDM50" s="952"/>
      <c r="KDN50" s="952"/>
      <c r="KDO50" s="952"/>
      <c r="KDP50" s="952"/>
      <c r="KDQ50" s="952"/>
      <c r="KDR50" s="952"/>
      <c r="KDS50" s="952"/>
      <c r="KDT50" s="952"/>
      <c r="KDU50" s="952"/>
      <c r="KDV50" s="952"/>
      <c r="KDW50" s="952"/>
      <c r="KDX50" s="952"/>
      <c r="KDY50" s="952"/>
      <c r="KDZ50" s="952"/>
      <c r="KEA50" s="952"/>
      <c r="KEB50" s="952"/>
      <c r="KEC50" s="952"/>
      <c r="KED50" s="952"/>
      <c r="KEE50" s="952"/>
      <c r="KEF50" s="952"/>
      <c r="KEG50" s="952"/>
      <c r="KEH50" s="952"/>
      <c r="KEI50" s="952"/>
      <c r="KEJ50" s="952"/>
      <c r="KEK50" s="952"/>
      <c r="KEL50" s="952"/>
      <c r="KEM50" s="952"/>
      <c r="KEN50" s="952"/>
      <c r="KEO50" s="952"/>
      <c r="KEP50" s="952"/>
      <c r="KEQ50" s="952"/>
      <c r="KER50" s="952"/>
      <c r="KES50" s="952"/>
      <c r="KET50" s="952"/>
      <c r="KEU50" s="952"/>
      <c r="KEV50" s="952"/>
      <c r="KEW50" s="952"/>
      <c r="KEX50" s="952"/>
      <c r="KEY50" s="952"/>
      <c r="KEZ50" s="952"/>
      <c r="KFA50" s="952"/>
      <c r="KFB50" s="952"/>
      <c r="KFC50" s="952"/>
      <c r="KFD50" s="952"/>
      <c r="KFE50" s="952"/>
      <c r="KFF50" s="952"/>
      <c r="KFG50" s="952"/>
      <c r="KFH50" s="952"/>
      <c r="KFI50" s="952"/>
      <c r="KFJ50" s="952"/>
      <c r="KFK50" s="952"/>
      <c r="KFL50" s="952"/>
      <c r="KFM50" s="952"/>
      <c r="KFN50" s="952"/>
      <c r="KFO50" s="952"/>
      <c r="KFP50" s="952"/>
      <c r="KFQ50" s="952"/>
      <c r="KFR50" s="952"/>
      <c r="KFS50" s="952"/>
      <c r="KFT50" s="952"/>
      <c r="KFU50" s="952"/>
      <c r="KFV50" s="952"/>
      <c r="KFW50" s="952"/>
      <c r="KFX50" s="952"/>
      <c r="KFY50" s="952"/>
      <c r="KFZ50" s="952"/>
      <c r="KGA50" s="952"/>
      <c r="KGB50" s="952"/>
      <c r="KGC50" s="952"/>
      <c r="KGD50" s="952"/>
      <c r="KGE50" s="952"/>
      <c r="KGF50" s="952"/>
      <c r="KGG50" s="952"/>
      <c r="KGH50" s="952"/>
      <c r="KGI50" s="952"/>
      <c r="KGJ50" s="952"/>
      <c r="KGK50" s="952"/>
      <c r="KGL50" s="952"/>
      <c r="KGM50" s="952"/>
      <c r="KGN50" s="952"/>
      <c r="KGO50" s="952"/>
      <c r="KGP50" s="952"/>
      <c r="KGQ50" s="952"/>
      <c r="KGR50" s="952"/>
      <c r="KGS50" s="952"/>
      <c r="KGT50" s="952"/>
      <c r="KGU50" s="952"/>
      <c r="KGV50" s="952"/>
      <c r="KGW50" s="952"/>
      <c r="KGX50" s="952"/>
      <c r="KGY50" s="952"/>
      <c r="KGZ50" s="952"/>
      <c r="KHA50" s="952"/>
      <c r="KHB50" s="952"/>
      <c r="KHC50" s="952"/>
      <c r="KHD50" s="952"/>
      <c r="KHE50" s="952"/>
      <c r="KHF50" s="952"/>
      <c r="KHG50" s="952"/>
      <c r="KHH50" s="952"/>
      <c r="KHI50" s="952"/>
      <c r="KHJ50" s="952"/>
      <c r="KHK50" s="952"/>
      <c r="KHL50" s="952"/>
      <c r="KHM50" s="952"/>
      <c r="KHN50" s="952"/>
      <c r="KHO50" s="952"/>
      <c r="KHP50" s="952"/>
      <c r="KHQ50" s="952"/>
      <c r="KHR50" s="952"/>
      <c r="KHS50" s="952"/>
      <c r="KHT50" s="952"/>
      <c r="KHU50" s="952"/>
      <c r="KHV50" s="952"/>
      <c r="KHW50" s="952"/>
      <c r="KHX50" s="952"/>
      <c r="KHY50" s="952"/>
      <c r="KHZ50" s="952"/>
      <c r="KIA50" s="952"/>
      <c r="KIB50" s="952"/>
      <c r="KIC50" s="952"/>
      <c r="KID50" s="952"/>
      <c r="KIE50" s="952"/>
      <c r="KIF50" s="952"/>
      <c r="KIG50" s="952"/>
      <c r="KIH50" s="952"/>
      <c r="KII50" s="952"/>
      <c r="KIJ50" s="952"/>
      <c r="KIK50" s="952"/>
      <c r="KIL50" s="952"/>
      <c r="KIM50" s="952"/>
      <c r="KIN50" s="952"/>
      <c r="KIO50" s="952"/>
      <c r="KIP50" s="952"/>
      <c r="KIQ50" s="952"/>
      <c r="KIR50" s="952"/>
      <c r="KIS50" s="952"/>
      <c r="KIT50" s="952"/>
      <c r="KIU50" s="952"/>
      <c r="KIV50" s="952"/>
      <c r="KIW50" s="952"/>
      <c r="KIX50" s="952"/>
      <c r="KIY50" s="952"/>
      <c r="KIZ50" s="952"/>
      <c r="KJA50" s="952"/>
      <c r="KJB50" s="952"/>
      <c r="KJC50" s="952"/>
      <c r="KJD50" s="952"/>
      <c r="KJE50" s="952"/>
      <c r="KJF50" s="952"/>
      <c r="KJG50" s="952"/>
      <c r="KJH50" s="952"/>
      <c r="KJI50" s="952"/>
      <c r="KJJ50" s="952"/>
      <c r="KJK50" s="952"/>
      <c r="KJL50" s="952"/>
      <c r="KJM50" s="952"/>
      <c r="KJN50" s="952"/>
      <c r="KJO50" s="952"/>
      <c r="KJP50" s="952"/>
      <c r="KJQ50" s="952"/>
      <c r="KJR50" s="952"/>
      <c r="KJS50" s="952"/>
      <c r="KJT50" s="952"/>
      <c r="KJU50" s="952"/>
      <c r="KJV50" s="952"/>
      <c r="KJW50" s="952"/>
      <c r="KJX50" s="952"/>
      <c r="KJY50" s="952"/>
      <c r="KJZ50" s="952"/>
      <c r="KKA50" s="952"/>
      <c r="KKB50" s="952"/>
      <c r="KKC50" s="952"/>
      <c r="KKD50" s="952"/>
      <c r="KKE50" s="952"/>
      <c r="KKF50" s="952"/>
      <c r="KKG50" s="952"/>
      <c r="KKH50" s="952"/>
      <c r="KKI50" s="952"/>
      <c r="KKJ50" s="952"/>
      <c r="KKK50" s="952"/>
      <c r="KKL50" s="952"/>
      <c r="KKM50" s="952"/>
      <c r="KKN50" s="952"/>
      <c r="KKO50" s="952"/>
      <c r="KKP50" s="952"/>
      <c r="KKQ50" s="952"/>
      <c r="KKR50" s="952"/>
      <c r="KKS50" s="952"/>
      <c r="KKT50" s="952"/>
      <c r="KKU50" s="952"/>
      <c r="KKV50" s="952"/>
      <c r="KKW50" s="952"/>
      <c r="KKX50" s="952"/>
      <c r="KKY50" s="952"/>
      <c r="KKZ50" s="952"/>
      <c r="KLA50" s="952"/>
      <c r="KLB50" s="952"/>
      <c r="KLC50" s="952"/>
      <c r="KLD50" s="952"/>
      <c r="KLE50" s="952"/>
      <c r="KLF50" s="952"/>
      <c r="KLG50" s="952"/>
      <c r="KLH50" s="952"/>
      <c r="KLI50" s="952"/>
      <c r="KLJ50" s="952"/>
      <c r="KLK50" s="952"/>
      <c r="KLL50" s="952"/>
      <c r="KLM50" s="952"/>
      <c r="KLN50" s="952"/>
      <c r="KLO50" s="952"/>
      <c r="KLP50" s="952"/>
      <c r="KLQ50" s="952"/>
      <c r="KLR50" s="952"/>
      <c r="KLS50" s="952"/>
      <c r="KLT50" s="952"/>
      <c r="KLU50" s="952"/>
      <c r="KLV50" s="952"/>
      <c r="KLW50" s="952"/>
      <c r="KLX50" s="952"/>
      <c r="KLY50" s="952"/>
      <c r="KLZ50" s="952"/>
      <c r="KMA50" s="952"/>
      <c r="KMB50" s="952"/>
      <c r="KMC50" s="952"/>
      <c r="KMD50" s="952"/>
      <c r="KME50" s="952"/>
      <c r="KMF50" s="952"/>
      <c r="KMG50" s="952"/>
      <c r="KMH50" s="952"/>
      <c r="KMI50" s="952"/>
      <c r="KMJ50" s="952"/>
      <c r="KMK50" s="952"/>
      <c r="KML50" s="952"/>
      <c r="KMM50" s="952"/>
      <c r="KMN50" s="952"/>
      <c r="KMO50" s="952"/>
      <c r="KMP50" s="952"/>
      <c r="KMQ50" s="952"/>
      <c r="KMR50" s="952"/>
      <c r="KMS50" s="952"/>
      <c r="KMT50" s="952"/>
      <c r="KMU50" s="952"/>
      <c r="KMV50" s="952"/>
      <c r="KMW50" s="952"/>
      <c r="KMX50" s="952"/>
      <c r="KMY50" s="952"/>
      <c r="KMZ50" s="952"/>
      <c r="KNA50" s="952"/>
      <c r="KNB50" s="952"/>
      <c r="KNC50" s="952"/>
      <c r="KND50" s="952"/>
      <c r="KNE50" s="952"/>
      <c r="KNF50" s="952"/>
      <c r="KNG50" s="952"/>
      <c r="KNH50" s="952"/>
      <c r="KNI50" s="952"/>
      <c r="KNJ50" s="952"/>
      <c r="KNK50" s="952"/>
      <c r="KNL50" s="952"/>
      <c r="KNM50" s="952"/>
      <c r="KNN50" s="952"/>
      <c r="KNO50" s="952"/>
      <c r="KNP50" s="952"/>
      <c r="KNQ50" s="952"/>
      <c r="KNR50" s="952"/>
      <c r="KNS50" s="952"/>
      <c r="KNT50" s="952"/>
      <c r="KNU50" s="952"/>
      <c r="KNV50" s="952"/>
      <c r="KNW50" s="952"/>
      <c r="KNX50" s="952"/>
      <c r="KNY50" s="952"/>
      <c r="KNZ50" s="952"/>
      <c r="KOA50" s="952"/>
      <c r="KOB50" s="952"/>
      <c r="KOC50" s="952"/>
      <c r="KOD50" s="952"/>
      <c r="KOE50" s="952"/>
      <c r="KOF50" s="952"/>
      <c r="KOG50" s="952"/>
      <c r="KOH50" s="952"/>
      <c r="KOI50" s="952"/>
      <c r="KOJ50" s="952"/>
      <c r="KOK50" s="952"/>
      <c r="KOL50" s="952"/>
      <c r="KOM50" s="952"/>
      <c r="KON50" s="952"/>
      <c r="KOO50" s="952"/>
      <c r="KOP50" s="952"/>
      <c r="KOQ50" s="952"/>
      <c r="KOR50" s="952"/>
      <c r="KOS50" s="952"/>
      <c r="KOT50" s="952"/>
      <c r="KOU50" s="952"/>
      <c r="KOV50" s="952"/>
      <c r="KOW50" s="952"/>
      <c r="KOX50" s="952"/>
      <c r="KOY50" s="952"/>
      <c r="KOZ50" s="952"/>
      <c r="KPA50" s="952"/>
      <c r="KPB50" s="952"/>
      <c r="KPC50" s="952"/>
      <c r="KPD50" s="952"/>
      <c r="KPE50" s="952"/>
      <c r="KPF50" s="952"/>
      <c r="KPG50" s="952"/>
      <c r="KPH50" s="952"/>
      <c r="KPI50" s="952"/>
      <c r="KPJ50" s="952"/>
      <c r="KPK50" s="952"/>
      <c r="KPL50" s="952"/>
      <c r="KPM50" s="952"/>
      <c r="KPN50" s="952"/>
      <c r="KPO50" s="952"/>
      <c r="KPP50" s="952"/>
      <c r="KPQ50" s="952"/>
      <c r="KPR50" s="952"/>
      <c r="KPS50" s="952"/>
      <c r="KPT50" s="952"/>
      <c r="KPU50" s="952"/>
      <c r="KPV50" s="952"/>
      <c r="KPW50" s="952"/>
      <c r="KPX50" s="952"/>
      <c r="KPY50" s="952"/>
      <c r="KPZ50" s="952"/>
      <c r="KQA50" s="952"/>
      <c r="KQB50" s="952"/>
      <c r="KQC50" s="952"/>
      <c r="KQD50" s="952"/>
      <c r="KQE50" s="952"/>
      <c r="KQF50" s="952"/>
      <c r="KQG50" s="952"/>
      <c r="KQH50" s="952"/>
      <c r="KQI50" s="952"/>
      <c r="KQJ50" s="952"/>
      <c r="KQK50" s="952"/>
      <c r="KQL50" s="952"/>
      <c r="KQM50" s="952"/>
      <c r="KQN50" s="952"/>
      <c r="KQO50" s="952"/>
      <c r="KQP50" s="952"/>
      <c r="KQQ50" s="952"/>
      <c r="KQR50" s="952"/>
      <c r="KQS50" s="952"/>
      <c r="KQT50" s="952"/>
      <c r="KQU50" s="952"/>
      <c r="KQV50" s="952"/>
      <c r="KQW50" s="952"/>
      <c r="KQX50" s="952"/>
      <c r="KQY50" s="952"/>
      <c r="KQZ50" s="952"/>
      <c r="KRA50" s="952"/>
      <c r="KRB50" s="952"/>
      <c r="KRC50" s="952"/>
      <c r="KRD50" s="952"/>
      <c r="KRE50" s="952"/>
      <c r="KRF50" s="952"/>
      <c r="KRG50" s="952"/>
      <c r="KRH50" s="952"/>
      <c r="KRI50" s="952"/>
      <c r="KRJ50" s="952"/>
      <c r="KRK50" s="952"/>
      <c r="KRL50" s="952"/>
      <c r="KRM50" s="952"/>
      <c r="KRN50" s="952"/>
      <c r="KRO50" s="952"/>
      <c r="KRP50" s="952"/>
      <c r="KRQ50" s="952"/>
      <c r="KRR50" s="952"/>
      <c r="KRS50" s="952"/>
      <c r="KRT50" s="952"/>
      <c r="KRU50" s="952"/>
      <c r="KRV50" s="952"/>
      <c r="KRW50" s="952"/>
      <c r="KRX50" s="952"/>
      <c r="KRY50" s="952"/>
      <c r="KRZ50" s="952"/>
      <c r="KSA50" s="952"/>
      <c r="KSB50" s="952"/>
      <c r="KSC50" s="952"/>
      <c r="KSD50" s="952"/>
      <c r="KSE50" s="952"/>
      <c r="KSF50" s="952"/>
      <c r="KSG50" s="952"/>
      <c r="KSH50" s="952"/>
      <c r="KSI50" s="952"/>
      <c r="KSJ50" s="952"/>
      <c r="KSK50" s="952"/>
      <c r="KSL50" s="952"/>
      <c r="KSM50" s="952"/>
      <c r="KSN50" s="952"/>
      <c r="KSO50" s="952"/>
      <c r="KSP50" s="952"/>
      <c r="KSQ50" s="952"/>
      <c r="KSR50" s="952"/>
      <c r="KSS50" s="952"/>
      <c r="KST50" s="952"/>
      <c r="KSU50" s="952"/>
      <c r="KSV50" s="952"/>
      <c r="KSW50" s="952"/>
      <c r="KSX50" s="952"/>
      <c r="KSY50" s="952"/>
      <c r="KSZ50" s="952"/>
      <c r="KTA50" s="952"/>
      <c r="KTB50" s="952"/>
      <c r="KTC50" s="952"/>
      <c r="KTD50" s="952"/>
      <c r="KTE50" s="952"/>
      <c r="KTF50" s="952"/>
      <c r="KTG50" s="952"/>
      <c r="KTH50" s="952"/>
      <c r="KTI50" s="952"/>
      <c r="KTJ50" s="952"/>
      <c r="KTK50" s="952"/>
      <c r="KTL50" s="952"/>
      <c r="KTM50" s="952"/>
      <c r="KTN50" s="952"/>
      <c r="KTO50" s="952"/>
      <c r="KTP50" s="952"/>
      <c r="KTQ50" s="952"/>
      <c r="KTR50" s="952"/>
      <c r="KTS50" s="952"/>
      <c r="KTT50" s="952"/>
      <c r="KTU50" s="952"/>
      <c r="KTV50" s="952"/>
      <c r="KTW50" s="952"/>
      <c r="KTX50" s="952"/>
      <c r="KTY50" s="952"/>
      <c r="KTZ50" s="952"/>
      <c r="KUA50" s="952"/>
      <c r="KUB50" s="952"/>
      <c r="KUC50" s="952"/>
      <c r="KUD50" s="952"/>
      <c r="KUE50" s="952"/>
      <c r="KUF50" s="952"/>
      <c r="KUG50" s="952"/>
      <c r="KUH50" s="952"/>
      <c r="KUI50" s="952"/>
      <c r="KUJ50" s="952"/>
      <c r="KUK50" s="952"/>
      <c r="KUL50" s="952"/>
      <c r="KUM50" s="952"/>
      <c r="KUN50" s="952"/>
      <c r="KUO50" s="952"/>
      <c r="KUP50" s="952"/>
      <c r="KUQ50" s="952"/>
      <c r="KUR50" s="952"/>
      <c r="KUS50" s="952"/>
      <c r="KUT50" s="952"/>
      <c r="KUU50" s="952"/>
      <c r="KUV50" s="952"/>
      <c r="KUW50" s="952"/>
      <c r="KUX50" s="952"/>
      <c r="KUY50" s="952"/>
      <c r="KUZ50" s="952"/>
      <c r="KVA50" s="952"/>
      <c r="KVB50" s="952"/>
      <c r="KVC50" s="952"/>
      <c r="KVD50" s="952"/>
      <c r="KVE50" s="952"/>
      <c r="KVF50" s="952"/>
      <c r="KVG50" s="952"/>
      <c r="KVH50" s="952"/>
      <c r="KVI50" s="952"/>
      <c r="KVJ50" s="952"/>
      <c r="KVK50" s="952"/>
      <c r="KVL50" s="952"/>
      <c r="KVM50" s="952"/>
      <c r="KVN50" s="952"/>
      <c r="KVO50" s="952"/>
      <c r="KVP50" s="952"/>
      <c r="KVQ50" s="952"/>
      <c r="KVR50" s="952"/>
      <c r="KVS50" s="952"/>
      <c r="KVT50" s="952"/>
      <c r="KVU50" s="952"/>
      <c r="KVV50" s="952"/>
      <c r="KVW50" s="952"/>
      <c r="KVX50" s="952"/>
      <c r="KVY50" s="952"/>
      <c r="KVZ50" s="952"/>
      <c r="KWA50" s="952"/>
      <c r="KWB50" s="952"/>
      <c r="KWC50" s="952"/>
      <c r="KWD50" s="952"/>
      <c r="KWE50" s="952"/>
      <c r="KWF50" s="952"/>
      <c r="KWG50" s="952"/>
      <c r="KWH50" s="952"/>
      <c r="KWI50" s="952"/>
      <c r="KWJ50" s="952"/>
      <c r="KWK50" s="952"/>
      <c r="KWL50" s="952"/>
      <c r="KWM50" s="952"/>
      <c r="KWN50" s="952"/>
      <c r="KWO50" s="952"/>
      <c r="KWP50" s="952"/>
      <c r="KWQ50" s="952"/>
      <c r="KWR50" s="952"/>
      <c r="KWS50" s="952"/>
      <c r="KWT50" s="952"/>
      <c r="KWU50" s="952"/>
      <c r="KWV50" s="952"/>
      <c r="KWW50" s="952"/>
      <c r="KWX50" s="952"/>
      <c r="KWY50" s="952"/>
      <c r="KWZ50" s="952"/>
      <c r="KXA50" s="952"/>
      <c r="KXB50" s="952"/>
      <c r="KXC50" s="952"/>
      <c r="KXD50" s="952"/>
      <c r="KXE50" s="952"/>
      <c r="KXF50" s="952"/>
      <c r="KXG50" s="952"/>
      <c r="KXH50" s="952"/>
      <c r="KXI50" s="952"/>
      <c r="KXJ50" s="952"/>
      <c r="KXK50" s="952"/>
      <c r="KXL50" s="952"/>
      <c r="KXM50" s="952"/>
      <c r="KXN50" s="952"/>
      <c r="KXO50" s="952"/>
      <c r="KXP50" s="952"/>
      <c r="KXQ50" s="952"/>
      <c r="KXR50" s="952"/>
      <c r="KXS50" s="952"/>
      <c r="KXT50" s="952"/>
      <c r="KXU50" s="952"/>
      <c r="KXV50" s="952"/>
      <c r="KXW50" s="952"/>
      <c r="KXX50" s="952"/>
      <c r="KXY50" s="952"/>
      <c r="KXZ50" s="952"/>
      <c r="KYA50" s="952"/>
      <c r="KYB50" s="952"/>
      <c r="KYC50" s="952"/>
      <c r="KYD50" s="952"/>
      <c r="KYE50" s="952"/>
      <c r="KYF50" s="952"/>
      <c r="KYG50" s="952"/>
      <c r="KYH50" s="952"/>
      <c r="KYI50" s="952"/>
      <c r="KYJ50" s="952"/>
      <c r="KYK50" s="952"/>
      <c r="KYL50" s="952"/>
      <c r="KYM50" s="952"/>
      <c r="KYN50" s="952"/>
      <c r="KYO50" s="952"/>
      <c r="KYP50" s="952"/>
      <c r="KYQ50" s="952"/>
      <c r="KYR50" s="952"/>
      <c r="KYS50" s="952"/>
      <c r="KYT50" s="952"/>
      <c r="KYU50" s="952"/>
      <c r="KYV50" s="952"/>
      <c r="KYW50" s="952"/>
      <c r="KYX50" s="952"/>
      <c r="KYY50" s="952"/>
      <c r="KYZ50" s="952"/>
      <c r="KZA50" s="952"/>
      <c r="KZB50" s="952"/>
      <c r="KZC50" s="952"/>
      <c r="KZD50" s="952"/>
      <c r="KZE50" s="952"/>
      <c r="KZF50" s="952"/>
      <c r="KZG50" s="952"/>
      <c r="KZH50" s="952"/>
      <c r="KZI50" s="952"/>
      <c r="KZJ50" s="952"/>
      <c r="KZK50" s="952"/>
      <c r="KZL50" s="952"/>
      <c r="KZM50" s="952"/>
      <c r="KZN50" s="952"/>
      <c r="KZO50" s="952"/>
      <c r="KZP50" s="952"/>
      <c r="KZQ50" s="952"/>
      <c r="KZR50" s="952"/>
      <c r="KZS50" s="952"/>
      <c r="KZT50" s="952"/>
      <c r="KZU50" s="952"/>
      <c r="KZV50" s="952"/>
      <c r="KZW50" s="952"/>
      <c r="KZX50" s="952"/>
      <c r="KZY50" s="952"/>
      <c r="KZZ50" s="952"/>
      <c r="LAA50" s="952"/>
      <c r="LAB50" s="952"/>
      <c r="LAC50" s="952"/>
      <c r="LAD50" s="952"/>
      <c r="LAE50" s="952"/>
      <c r="LAF50" s="952"/>
      <c r="LAG50" s="952"/>
      <c r="LAH50" s="952"/>
      <c r="LAI50" s="952"/>
      <c r="LAJ50" s="952"/>
      <c r="LAK50" s="952"/>
      <c r="LAL50" s="952"/>
      <c r="LAM50" s="952"/>
      <c r="LAN50" s="952"/>
      <c r="LAO50" s="952"/>
      <c r="LAP50" s="952"/>
      <c r="LAQ50" s="952"/>
      <c r="LAR50" s="952"/>
      <c r="LAS50" s="952"/>
      <c r="LAT50" s="952"/>
      <c r="LAU50" s="952"/>
      <c r="LAV50" s="952"/>
      <c r="LAW50" s="952"/>
      <c r="LAX50" s="952"/>
      <c r="LAY50" s="952"/>
      <c r="LAZ50" s="952"/>
      <c r="LBA50" s="952"/>
      <c r="LBB50" s="952"/>
      <c r="LBC50" s="952"/>
      <c r="LBD50" s="952"/>
      <c r="LBE50" s="952"/>
      <c r="LBF50" s="952"/>
      <c r="LBG50" s="952"/>
      <c r="LBH50" s="952"/>
      <c r="LBI50" s="952"/>
      <c r="LBJ50" s="952"/>
      <c r="LBK50" s="952"/>
      <c r="LBL50" s="952"/>
      <c r="LBM50" s="952"/>
      <c r="LBN50" s="952"/>
      <c r="LBO50" s="952"/>
      <c r="LBP50" s="952"/>
      <c r="LBQ50" s="952"/>
      <c r="LBR50" s="952"/>
      <c r="LBS50" s="952"/>
      <c r="LBT50" s="952"/>
      <c r="LBU50" s="952"/>
      <c r="LBV50" s="952"/>
      <c r="LBW50" s="952"/>
      <c r="LBX50" s="952"/>
      <c r="LBY50" s="952"/>
      <c r="LBZ50" s="952"/>
      <c r="LCA50" s="952"/>
      <c r="LCB50" s="952"/>
      <c r="LCC50" s="952"/>
      <c r="LCD50" s="952"/>
      <c r="LCE50" s="952"/>
      <c r="LCF50" s="952"/>
      <c r="LCG50" s="952"/>
      <c r="LCH50" s="952"/>
      <c r="LCI50" s="952"/>
      <c r="LCJ50" s="952"/>
      <c r="LCK50" s="952"/>
      <c r="LCL50" s="952"/>
      <c r="LCM50" s="952"/>
      <c r="LCN50" s="952"/>
      <c r="LCO50" s="952"/>
      <c r="LCP50" s="952"/>
      <c r="LCQ50" s="952"/>
      <c r="LCR50" s="952"/>
      <c r="LCS50" s="952"/>
      <c r="LCT50" s="952"/>
      <c r="LCU50" s="952"/>
      <c r="LCV50" s="952"/>
      <c r="LCW50" s="952"/>
      <c r="LCX50" s="952"/>
      <c r="LCY50" s="952"/>
      <c r="LCZ50" s="952"/>
      <c r="LDA50" s="952"/>
      <c r="LDB50" s="952"/>
      <c r="LDC50" s="952"/>
      <c r="LDD50" s="952"/>
      <c r="LDE50" s="952"/>
      <c r="LDF50" s="952"/>
      <c r="LDG50" s="952"/>
      <c r="LDH50" s="952"/>
      <c r="LDI50" s="952"/>
      <c r="LDJ50" s="952"/>
      <c r="LDK50" s="952"/>
      <c r="LDL50" s="952"/>
      <c r="LDM50" s="952"/>
      <c r="LDN50" s="952"/>
      <c r="LDO50" s="952"/>
      <c r="LDP50" s="952"/>
      <c r="LDQ50" s="952"/>
      <c r="LDR50" s="952"/>
      <c r="LDS50" s="952"/>
      <c r="LDT50" s="952"/>
      <c r="LDU50" s="952"/>
      <c r="LDV50" s="952"/>
      <c r="LDW50" s="952"/>
      <c r="LDX50" s="952"/>
      <c r="LDY50" s="952"/>
      <c r="LDZ50" s="952"/>
      <c r="LEA50" s="952"/>
      <c r="LEB50" s="952"/>
      <c r="LEC50" s="952"/>
      <c r="LED50" s="952"/>
      <c r="LEE50" s="952"/>
      <c r="LEF50" s="952"/>
      <c r="LEG50" s="952"/>
      <c r="LEH50" s="952"/>
      <c r="LEI50" s="952"/>
      <c r="LEJ50" s="952"/>
      <c r="LEK50" s="952"/>
      <c r="LEL50" s="952"/>
      <c r="LEM50" s="952"/>
      <c r="LEN50" s="952"/>
      <c r="LEO50" s="952"/>
      <c r="LEP50" s="952"/>
      <c r="LEQ50" s="952"/>
      <c r="LER50" s="952"/>
      <c r="LES50" s="952"/>
      <c r="LET50" s="952"/>
      <c r="LEU50" s="952"/>
      <c r="LEV50" s="952"/>
      <c r="LEW50" s="952"/>
      <c r="LEX50" s="952"/>
      <c r="LEY50" s="952"/>
      <c r="LEZ50" s="952"/>
      <c r="LFA50" s="952"/>
      <c r="LFB50" s="952"/>
      <c r="LFC50" s="952"/>
      <c r="LFD50" s="952"/>
      <c r="LFE50" s="952"/>
      <c r="LFF50" s="952"/>
      <c r="LFG50" s="952"/>
      <c r="LFH50" s="952"/>
      <c r="LFI50" s="952"/>
      <c r="LFJ50" s="952"/>
      <c r="LFK50" s="952"/>
      <c r="LFL50" s="952"/>
      <c r="LFM50" s="952"/>
      <c r="LFN50" s="952"/>
      <c r="LFO50" s="952"/>
      <c r="LFP50" s="952"/>
      <c r="LFQ50" s="952"/>
      <c r="LFR50" s="952"/>
      <c r="LFS50" s="952"/>
      <c r="LFT50" s="952"/>
      <c r="LFU50" s="952"/>
      <c r="LFV50" s="952"/>
      <c r="LFW50" s="952"/>
      <c r="LFX50" s="952"/>
      <c r="LFY50" s="952"/>
      <c r="LFZ50" s="952"/>
      <c r="LGA50" s="952"/>
      <c r="LGB50" s="952"/>
      <c r="LGC50" s="952"/>
      <c r="LGD50" s="952"/>
      <c r="LGE50" s="952"/>
      <c r="LGF50" s="952"/>
      <c r="LGG50" s="952"/>
      <c r="LGH50" s="952"/>
      <c r="LGI50" s="952"/>
      <c r="LGJ50" s="952"/>
      <c r="LGK50" s="952"/>
      <c r="LGL50" s="952"/>
      <c r="LGM50" s="952"/>
      <c r="LGN50" s="952"/>
      <c r="LGO50" s="952"/>
      <c r="LGP50" s="952"/>
      <c r="LGQ50" s="952"/>
      <c r="LGR50" s="952"/>
      <c r="LGS50" s="952"/>
      <c r="LGT50" s="952"/>
      <c r="LGU50" s="952"/>
      <c r="LGV50" s="952"/>
      <c r="LGW50" s="952"/>
      <c r="LGX50" s="952"/>
      <c r="LGY50" s="952"/>
      <c r="LGZ50" s="952"/>
      <c r="LHA50" s="952"/>
      <c r="LHB50" s="952"/>
      <c r="LHC50" s="952"/>
      <c r="LHD50" s="952"/>
      <c r="LHE50" s="952"/>
      <c r="LHF50" s="952"/>
      <c r="LHG50" s="952"/>
      <c r="LHH50" s="952"/>
      <c r="LHI50" s="952"/>
      <c r="LHJ50" s="952"/>
      <c r="LHK50" s="952"/>
      <c r="LHL50" s="952"/>
      <c r="LHM50" s="952"/>
      <c r="LHN50" s="952"/>
      <c r="LHO50" s="952"/>
      <c r="LHP50" s="952"/>
      <c r="LHQ50" s="952"/>
      <c r="LHR50" s="952"/>
      <c r="LHS50" s="952"/>
      <c r="LHT50" s="952"/>
      <c r="LHU50" s="952"/>
      <c r="LHV50" s="952"/>
      <c r="LHW50" s="952"/>
      <c r="LHX50" s="952"/>
      <c r="LHY50" s="952"/>
      <c r="LHZ50" s="952"/>
      <c r="LIA50" s="952"/>
      <c r="LIB50" s="952"/>
      <c r="LIC50" s="952"/>
      <c r="LID50" s="952"/>
      <c r="LIE50" s="952"/>
      <c r="LIF50" s="952"/>
      <c r="LIG50" s="952"/>
      <c r="LIH50" s="952"/>
      <c r="LII50" s="952"/>
      <c r="LIJ50" s="952"/>
      <c r="LIK50" s="952"/>
      <c r="LIL50" s="952"/>
      <c r="LIM50" s="952"/>
      <c r="LIN50" s="952"/>
      <c r="LIO50" s="952"/>
      <c r="LIP50" s="952"/>
      <c r="LIQ50" s="952"/>
      <c r="LIR50" s="952"/>
      <c r="LIS50" s="952"/>
      <c r="LIT50" s="952"/>
      <c r="LIU50" s="952"/>
      <c r="LIV50" s="952"/>
      <c r="LIW50" s="952"/>
      <c r="LIX50" s="952"/>
      <c r="LIY50" s="952"/>
      <c r="LIZ50" s="952"/>
      <c r="LJA50" s="952"/>
      <c r="LJB50" s="952"/>
      <c r="LJC50" s="952"/>
      <c r="LJD50" s="952"/>
      <c r="LJE50" s="952"/>
      <c r="LJF50" s="952"/>
      <c r="LJG50" s="952"/>
      <c r="LJH50" s="952"/>
      <c r="LJI50" s="952"/>
      <c r="LJJ50" s="952"/>
      <c r="LJK50" s="952"/>
      <c r="LJL50" s="952"/>
      <c r="LJM50" s="952"/>
      <c r="LJN50" s="952"/>
      <c r="LJO50" s="952"/>
      <c r="LJP50" s="952"/>
      <c r="LJQ50" s="952"/>
      <c r="LJR50" s="952"/>
      <c r="LJS50" s="952"/>
      <c r="LJT50" s="952"/>
      <c r="LJU50" s="952"/>
      <c r="LJV50" s="952"/>
      <c r="LJW50" s="952"/>
      <c r="LJX50" s="952"/>
      <c r="LJY50" s="952"/>
      <c r="LJZ50" s="952"/>
      <c r="LKA50" s="952"/>
      <c r="LKB50" s="952"/>
      <c r="LKC50" s="952"/>
      <c r="LKD50" s="952"/>
      <c r="LKE50" s="952"/>
      <c r="LKF50" s="952"/>
      <c r="LKG50" s="952"/>
      <c r="LKH50" s="952"/>
      <c r="LKI50" s="952"/>
      <c r="LKJ50" s="952"/>
      <c r="LKK50" s="952"/>
      <c r="LKL50" s="952"/>
      <c r="LKM50" s="952"/>
      <c r="LKN50" s="952"/>
      <c r="LKO50" s="952"/>
      <c r="LKP50" s="952"/>
      <c r="LKQ50" s="952"/>
      <c r="LKR50" s="952"/>
      <c r="LKS50" s="952"/>
      <c r="LKT50" s="952"/>
      <c r="LKU50" s="952"/>
      <c r="LKV50" s="952"/>
      <c r="LKW50" s="952"/>
      <c r="LKX50" s="952"/>
      <c r="LKY50" s="952"/>
      <c r="LKZ50" s="952"/>
      <c r="LLA50" s="952"/>
      <c r="LLB50" s="952"/>
      <c r="LLC50" s="952"/>
      <c r="LLD50" s="952"/>
      <c r="LLE50" s="952"/>
      <c r="LLF50" s="952"/>
      <c r="LLG50" s="952"/>
      <c r="LLH50" s="952"/>
      <c r="LLI50" s="952"/>
      <c r="LLJ50" s="952"/>
      <c r="LLK50" s="952"/>
      <c r="LLL50" s="952"/>
      <c r="LLM50" s="952"/>
      <c r="LLN50" s="952"/>
      <c r="LLO50" s="952"/>
      <c r="LLP50" s="952"/>
      <c r="LLQ50" s="952"/>
      <c r="LLR50" s="952"/>
      <c r="LLS50" s="952"/>
      <c r="LLT50" s="952"/>
      <c r="LLU50" s="952"/>
      <c r="LLV50" s="952"/>
      <c r="LLW50" s="952"/>
      <c r="LLX50" s="952"/>
      <c r="LLY50" s="952"/>
      <c r="LLZ50" s="952"/>
      <c r="LMA50" s="952"/>
      <c r="LMB50" s="952"/>
      <c r="LMC50" s="952"/>
      <c r="LMD50" s="952"/>
      <c r="LME50" s="952"/>
      <c r="LMF50" s="952"/>
      <c r="LMG50" s="952"/>
      <c r="LMH50" s="952"/>
      <c r="LMI50" s="952"/>
      <c r="LMJ50" s="952"/>
      <c r="LMK50" s="952"/>
      <c r="LML50" s="952"/>
      <c r="LMM50" s="952"/>
      <c r="LMN50" s="952"/>
      <c r="LMO50" s="952"/>
      <c r="LMP50" s="952"/>
      <c r="LMQ50" s="952"/>
      <c r="LMR50" s="952"/>
      <c r="LMS50" s="952"/>
      <c r="LMT50" s="952"/>
      <c r="LMU50" s="952"/>
      <c r="LMV50" s="952"/>
      <c r="LMW50" s="952"/>
      <c r="LMX50" s="952"/>
      <c r="LMY50" s="952"/>
      <c r="LMZ50" s="952"/>
      <c r="LNA50" s="952"/>
      <c r="LNB50" s="952"/>
      <c r="LNC50" s="952"/>
      <c r="LND50" s="952"/>
      <c r="LNE50" s="952"/>
      <c r="LNF50" s="952"/>
      <c r="LNG50" s="952"/>
      <c r="LNH50" s="952"/>
      <c r="LNI50" s="952"/>
      <c r="LNJ50" s="952"/>
      <c r="LNK50" s="952"/>
      <c r="LNL50" s="952"/>
      <c r="LNM50" s="952"/>
      <c r="LNN50" s="952"/>
      <c r="LNO50" s="952"/>
      <c r="LNP50" s="952"/>
      <c r="LNQ50" s="952"/>
      <c r="LNR50" s="952"/>
      <c r="LNS50" s="952"/>
      <c r="LNT50" s="952"/>
      <c r="LNU50" s="952"/>
      <c r="LNV50" s="952"/>
      <c r="LNW50" s="952"/>
      <c r="LNX50" s="952"/>
      <c r="LNY50" s="952"/>
      <c r="LNZ50" s="952"/>
      <c r="LOA50" s="952"/>
      <c r="LOB50" s="952"/>
      <c r="LOC50" s="952"/>
      <c r="LOD50" s="952"/>
      <c r="LOE50" s="952"/>
      <c r="LOF50" s="952"/>
      <c r="LOG50" s="952"/>
      <c r="LOH50" s="952"/>
      <c r="LOI50" s="952"/>
      <c r="LOJ50" s="952"/>
      <c r="LOK50" s="952"/>
      <c r="LOL50" s="952"/>
      <c r="LOM50" s="952"/>
      <c r="LON50" s="952"/>
      <c r="LOO50" s="952"/>
      <c r="LOP50" s="952"/>
      <c r="LOQ50" s="952"/>
      <c r="LOR50" s="952"/>
      <c r="LOS50" s="952"/>
      <c r="LOT50" s="952"/>
      <c r="LOU50" s="952"/>
      <c r="LOV50" s="952"/>
      <c r="LOW50" s="952"/>
      <c r="LOX50" s="952"/>
      <c r="LOY50" s="952"/>
      <c r="LOZ50" s="952"/>
      <c r="LPA50" s="952"/>
      <c r="LPB50" s="952"/>
      <c r="LPC50" s="952"/>
      <c r="LPD50" s="952"/>
      <c r="LPE50" s="952"/>
      <c r="LPF50" s="952"/>
      <c r="LPG50" s="952"/>
      <c r="LPH50" s="952"/>
      <c r="LPI50" s="952"/>
      <c r="LPJ50" s="952"/>
      <c r="LPK50" s="952"/>
      <c r="LPL50" s="952"/>
      <c r="LPM50" s="952"/>
      <c r="LPN50" s="952"/>
      <c r="LPO50" s="952"/>
      <c r="LPP50" s="952"/>
      <c r="LPQ50" s="952"/>
      <c r="LPR50" s="952"/>
      <c r="LPS50" s="952"/>
      <c r="LPT50" s="952"/>
      <c r="LPU50" s="952"/>
      <c r="LPV50" s="952"/>
      <c r="LPW50" s="952"/>
      <c r="LPX50" s="952"/>
      <c r="LPY50" s="952"/>
      <c r="LPZ50" s="952"/>
      <c r="LQA50" s="952"/>
      <c r="LQB50" s="952"/>
      <c r="LQC50" s="952"/>
      <c r="LQD50" s="952"/>
      <c r="LQE50" s="952"/>
      <c r="LQF50" s="952"/>
      <c r="LQG50" s="952"/>
      <c r="LQH50" s="952"/>
      <c r="LQI50" s="952"/>
      <c r="LQJ50" s="952"/>
      <c r="LQK50" s="952"/>
      <c r="LQL50" s="952"/>
      <c r="LQM50" s="952"/>
      <c r="LQN50" s="952"/>
      <c r="LQO50" s="952"/>
      <c r="LQP50" s="952"/>
      <c r="LQQ50" s="952"/>
      <c r="LQR50" s="952"/>
      <c r="LQS50" s="952"/>
      <c r="LQT50" s="952"/>
      <c r="LQU50" s="952"/>
      <c r="LQV50" s="952"/>
      <c r="LQW50" s="952"/>
      <c r="LQX50" s="952"/>
      <c r="LQY50" s="952"/>
      <c r="LQZ50" s="952"/>
      <c r="LRA50" s="952"/>
      <c r="LRB50" s="952"/>
      <c r="LRC50" s="952"/>
      <c r="LRD50" s="952"/>
      <c r="LRE50" s="952"/>
      <c r="LRF50" s="952"/>
      <c r="LRG50" s="952"/>
      <c r="LRH50" s="952"/>
      <c r="LRI50" s="952"/>
      <c r="LRJ50" s="952"/>
      <c r="LRK50" s="952"/>
      <c r="LRL50" s="952"/>
      <c r="LRM50" s="952"/>
      <c r="LRN50" s="952"/>
      <c r="LRO50" s="952"/>
      <c r="LRP50" s="952"/>
      <c r="LRQ50" s="952"/>
      <c r="LRR50" s="952"/>
      <c r="LRS50" s="952"/>
      <c r="LRT50" s="952"/>
      <c r="LRU50" s="952"/>
      <c r="LRV50" s="952"/>
      <c r="LRW50" s="952"/>
      <c r="LRX50" s="952"/>
      <c r="LRY50" s="952"/>
      <c r="LRZ50" s="952"/>
      <c r="LSA50" s="952"/>
      <c r="LSB50" s="952"/>
      <c r="LSC50" s="952"/>
      <c r="LSD50" s="952"/>
      <c r="LSE50" s="952"/>
      <c r="LSF50" s="952"/>
      <c r="LSG50" s="952"/>
      <c r="LSH50" s="952"/>
      <c r="LSI50" s="952"/>
      <c r="LSJ50" s="952"/>
      <c r="LSK50" s="952"/>
      <c r="LSL50" s="952"/>
      <c r="LSM50" s="952"/>
      <c r="LSN50" s="952"/>
      <c r="LSO50" s="952"/>
      <c r="LSP50" s="952"/>
      <c r="LSQ50" s="952"/>
      <c r="LSR50" s="952"/>
      <c r="LSS50" s="952"/>
      <c r="LST50" s="952"/>
      <c r="LSU50" s="952"/>
      <c r="LSV50" s="952"/>
      <c r="LSW50" s="952"/>
      <c r="LSX50" s="952"/>
      <c r="LSY50" s="952"/>
      <c r="LSZ50" s="952"/>
      <c r="LTA50" s="952"/>
      <c r="LTB50" s="952"/>
      <c r="LTC50" s="952"/>
      <c r="LTD50" s="952"/>
      <c r="LTE50" s="952"/>
      <c r="LTF50" s="952"/>
      <c r="LTG50" s="952"/>
      <c r="LTH50" s="952"/>
      <c r="LTI50" s="952"/>
      <c r="LTJ50" s="952"/>
      <c r="LTK50" s="952"/>
      <c r="LTL50" s="952"/>
      <c r="LTM50" s="952"/>
      <c r="LTN50" s="952"/>
      <c r="LTO50" s="952"/>
      <c r="LTP50" s="952"/>
      <c r="LTQ50" s="952"/>
      <c r="LTR50" s="952"/>
      <c r="LTS50" s="952"/>
      <c r="LTT50" s="952"/>
      <c r="LTU50" s="952"/>
      <c r="LTV50" s="952"/>
      <c r="LTW50" s="952"/>
      <c r="LTX50" s="952"/>
      <c r="LTY50" s="952"/>
      <c r="LTZ50" s="952"/>
      <c r="LUA50" s="952"/>
      <c r="LUB50" s="952"/>
      <c r="LUC50" s="952"/>
      <c r="LUD50" s="952"/>
      <c r="LUE50" s="952"/>
      <c r="LUF50" s="952"/>
      <c r="LUG50" s="952"/>
      <c r="LUH50" s="952"/>
      <c r="LUI50" s="952"/>
      <c r="LUJ50" s="952"/>
      <c r="LUK50" s="952"/>
      <c r="LUL50" s="952"/>
      <c r="LUM50" s="952"/>
      <c r="LUN50" s="952"/>
      <c r="LUO50" s="952"/>
      <c r="LUP50" s="952"/>
      <c r="LUQ50" s="952"/>
      <c r="LUR50" s="952"/>
      <c r="LUS50" s="952"/>
      <c r="LUT50" s="952"/>
      <c r="LUU50" s="952"/>
      <c r="LUV50" s="952"/>
      <c r="LUW50" s="952"/>
      <c r="LUX50" s="952"/>
      <c r="LUY50" s="952"/>
      <c r="LUZ50" s="952"/>
      <c r="LVA50" s="952"/>
      <c r="LVB50" s="952"/>
      <c r="LVC50" s="952"/>
      <c r="LVD50" s="952"/>
      <c r="LVE50" s="952"/>
      <c r="LVF50" s="952"/>
      <c r="LVG50" s="952"/>
      <c r="LVH50" s="952"/>
      <c r="LVI50" s="952"/>
      <c r="LVJ50" s="952"/>
      <c r="LVK50" s="952"/>
      <c r="LVL50" s="952"/>
      <c r="LVM50" s="952"/>
      <c r="LVN50" s="952"/>
      <c r="LVO50" s="952"/>
      <c r="LVP50" s="952"/>
      <c r="LVQ50" s="952"/>
      <c r="LVR50" s="952"/>
      <c r="LVS50" s="952"/>
      <c r="LVT50" s="952"/>
      <c r="LVU50" s="952"/>
      <c r="LVV50" s="952"/>
      <c r="LVW50" s="952"/>
      <c r="LVX50" s="952"/>
      <c r="LVY50" s="952"/>
      <c r="LVZ50" s="952"/>
      <c r="LWA50" s="952"/>
      <c r="LWB50" s="952"/>
      <c r="LWC50" s="952"/>
      <c r="LWD50" s="952"/>
      <c r="LWE50" s="952"/>
      <c r="LWF50" s="952"/>
      <c r="LWG50" s="952"/>
      <c r="LWH50" s="952"/>
      <c r="LWI50" s="952"/>
      <c r="LWJ50" s="952"/>
      <c r="LWK50" s="952"/>
      <c r="LWL50" s="952"/>
      <c r="LWM50" s="952"/>
      <c r="LWN50" s="952"/>
      <c r="LWO50" s="952"/>
      <c r="LWP50" s="952"/>
      <c r="LWQ50" s="952"/>
      <c r="LWR50" s="952"/>
      <c r="LWS50" s="952"/>
      <c r="LWT50" s="952"/>
      <c r="LWU50" s="952"/>
      <c r="LWV50" s="952"/>
      <c r="LWW50" s="952"/>
      <c r="LWX50" s="952"/>
      <c r="LWY50" s="952"/>
      <c r="LWZ50" s="952"/>
      <c r="LXA50" s="952"/>
      <c r="LXB50" s="952"/>
      <c r="LXC50" s="952"/>
      <c r="LXD50" s="952"/>
      <c r="LXE50" s="952"/>
      <c r="LXF50" s="952"/>
      <c r="LXG50" s="952"/>
      <c r="LXH50" s="952"/>
      <c r="LXI50" s="952"/>
      <c r="LXJ50" s="952"/>
      <c r="LXK50" s="952"/>
      <c r="LXL50" s="952"/>
      <c r="LXM50" s="952"/>
      <c r="LXN50" s="952"/>
      <c r="LXO50" s="952"/>
      <c r="LXP50" s="952"/>
      <c r="LXQ50" s="952"/>
      <c r="LXR50" s="952"/>
      <c r="LXS50" s="952"/>
      <c r="LXT50" s="952"/>
      <c r="LXU50" s="952"/>
      <c r="LXV50" s="952"/>
      <c r="LXW50" s="952"/>
      <c r="LXX50" s="952"/>
      <c r="LXY50" s="952"/>
      <c r="LXZ50" s="952"/>
      <c r="LYA50" s="952"/>
      <c r="LYB50" s="952"/>
      <c r="LYC50" s="952"/>
      <c r="LYD50" s="952"/>
      <c r="LYE50" s="952"/>
      <c r="LYF50" s="952"/>
      <c r="LYG50" s="952"/>
      <c r="LYH50" s="952"/>
      <c r="LYI50" s="952"/>
      <c r="LYJ50" s="952"/>
      <c r="LYK50" s="952"/>
      <c r="LYL50" s="952"/>
      <c r="LYM50" s="952"/>
      <c r="LYN50" s="952"/>
      <c r="LYO50" s="952"/>
      <c r="LYP50" s="952"/>
      <c r="LYQ50" s="952"/>
      <c r="LYR50" s="952"/>
      <c r="LYS50" s="952"/>
      <c r="LYT50" s="952"/>
      <c r="LYU50" s="952"/>
      <c r="LYV50" s="952"/>
      <c r="LYW50" s="952"/>
      <c r="LYX50" s="952"/>
      <c r="LYY50" s="952"/>
      <c r="LYZ50" s="952"/>
      <c r="LZA50" s="952"/>
      <c r="LZB50" s="952"/>
      <c r="LZC50" s="952"/>
      <c r="LZD50" s="952"/>
      <c r="LZE50" s="952"/>
      <c r="LZF50" s="952"/>
      <c r="LZG50" s="952"/>
      <c r="LZH50" s="952"/>
      <c r="LZI50" s="952"/>
      <c r="LZJ50" s="952"/>
      <c r="LZK50" s="952"/>
      <c r="LZL50" s="952"/>
      <c r="LZM50" s="952"/>
      <c r="LZN50" s="952"/>
      <c r="LZO50" s="952"/>
      <c r="LZP50" s="952"/>
      <c r="LZQ50" s="952"/>
      <c r="LZR50" s="952"/>
      <c r="LZS50" s="952"/>
      <c r="LZT50" s="952"/>
      <c r="LZU50" s="952"/>
      <c r="LZV50" s="952"/>
      <c r="LZW50" s="952"/>
      <c r="LZX50" s="952"/>
      <c r="LZY50" s="952"/>
      <c r="LZZ50" s="952"/>
      <c r="MAA50" s="952"/>
      <c r="MAB50" s="952"/>
      <c r="MAC50" s="952"/>
      <c r="MAD50" s="952"/>
      <c r="MAE50" s="952"/>
      <c r="MAF50" s="952"/>
      <c r="MAG50" s="952"/>
      <c r="MAH50" s="952"/>
      <c r="MAI50" s="952"/>
      <c r="MAJ50" s="952"/>
      <c r="MAK50" s="952"/>
      <c r="MAL50" s="952"/>
      <c r="MAM50" s="952"/>
      <c r="MAN50" s="952"/>
      <c r="MAO50" s="952"/>
      <c r="MAP50" s="952"/>
      <c r="MAQ50" s="952"/>
      <c r="MAR50" s="952"/>
      <c r="MAS50" s="952"/>
      <c r="MAT50" s="952"/>
      <c r="MAU50" s="952"/>
      <c r="MAV50" s="952"/>
      <c r="MAW50" s="952"/>
      <c r="MAX50" s="952"/>
      <c r="MAY50" s="952"/>
      <c r="MAZ50" s="952"/>
      <c r="MBA50" s="952"/>
      <c r="MBB50" s="952"/>
      <c r="MBC50" s="952"/>
      <c r="MBD50" s="952"/>
      <c r="MBE50" s="952"/>
      <c r="MBF50" s="952"/>
      <c r="MBG50" s="952"/>
      <c r="MBH50" s="952"/>
      <c r="MBI50" s="952"/>
      <c r="MBJ50" s="952"/>
      <c r="MBK50" s="952"/>
      <c r="MBL50" s="952"/>
      <c r="MBM50" s="952"/>
      <c r="MBN50" s="952"/>
      <c r="MBO50" s="952"/>
      <c r="MBP50" s="952"/>
      <c r="MBQ50" s="952"/>
      <c r="MBR50" s="952"/>
      <c r="MBS50" s="952"/>
      <c r="MBT50" s="952"/>
      <c r="MBU50" s="952"/>
      <c r="MBV50" s="952"/>
      <c r="MBW50" s="952"/>
      <c r="MBX50" s="952"/>
      <c r="MBY50" s="952"/>
      <c r="MBZ50" s="952"/>
      <c r="MCA50" s="952"/>
      <c r="MCB50" s="952"/>
      <c r="MCC50" s="952"/>
      <c r="MCD50" s="952"/>
      <c r="MCE50" s="952"/>
      <c r="MCF50" s="952"/>
      <c r="MCG50" s="952"/>
      <c r="MCH50" s="952"/>
      <c r="MCI50" s="952"/>
      <c r="MCJ50" s="952"/>
      <c r="MCK50" s="952"/>
      <c r="MCL50" s="952"/>
      <c r="MCM50" s="952"/>
      <c r="MCN50" s="952"/>
      <c r="MCO50" s="952"/>
      <c r="MCP50" s="952"/>
      <c r="MCQ50" s="952"/>
      <c r="MCR50" s="952"/>
      <c r="MCS50" s="952"/>
      <c r="MCT50" s="952"/>
      <c r="MCU50" s="952"/>
      <c r="MCV50" s="952"/>
      <c r="MCW50" s="952"/>
      <c r="MCX50" s="952"/>
      <c r="MCY50" s="952"/>
      <c r="MCZ50" s="952"/>
      <c r="MDA50" s="952"/>
      <c r="MDB50" s="952"/>
      <c r="MDC50" s="952"/>
      <c r="MDD50" s="952"/>
      <c r="MDE50" s="952"/>
      <c r="MDF50" s="952"/>
      <c r="MDG50" s="952"/>
      <c r="MDH50" s="952"/>
      <c r="MDI50" s="952"/>
      <c r="MDJ50" s="952"/>
      <c r="MDK50" s="952"/>
      <c r="MDL50" s="952"/>
      <c r="MDM50" s="952"/>
      <c r="MDN50" s="952"/>
      <c r="MDO50" s="952"/>
      <c r="MDP50" s="952"/>
      <c r="MDQ50" s="952"/>
      <c r="MDR50" s="952"/>
      <c r="MDS50" s="952"/>
      <c r="MDT50" s="952"/>
      <c r="MDU50" s="952"/>
      <c r="MDV50" s="952"/>
      <c r="MDW50" s="952"/>
      <c r="MDX50" s="952"/>
      <c r="MDY50" s="952"/>
      <c r="MDZ50" s="952"/>
      <c r="MEA50" s="952"/>
      <c r="MEB50" s="952"/>
      <c r="MEC50" s="952"/>
      <c r="MED50" s="952"/>
      <c r="MEE50" s="952"/>
      <c r="MEF50" s="952"/>
      <c r="MEG50" s="952"/>
      <c r="MEH50" s="952"/>
      <c r="MEI50" s="952"/>
      <c r="MEJ50" s="952"/>
      <c r="MEK50" s="952"/>
      <c r="MEL50" s="952"/>
      <c r="MEM50" s="952"/>
      <c r="MEN50" s="952"/>
      <c r="MEO50" s="952"/>
      <c r="MEP50" s="952"/>
      <c r="MEQ50" s="952"/>
      <c r="MER50" s="952"/>
      <c r="MES50" s="952"/>
      <c r="MET50" s="952"/>
      <c r="MEU50" s="952"/>
      <c r="MEV50" s="952"/>
      <c r="MEW50" s="952"/>
      <c r="MEX50" s="952"/>
      <c r="MEY50" s="952"/>
      <c r="MEZ50" s="952"/>
      <c r="MFA50" s="952"/>
      <c r="MFB50" s="952"/>
      <c r="MFC50" s="952"/>
      <c r="MFD50" s="952"/>
      <c r="MFE50" s="952"/>
      <c r="MFF50" s="952"/>
      <c r="MFG50" s="952"/>
      <c r="MFH50" s="952"/>
      <c r="MFI50" s="952"/>
      <c r="MFJ50" s="952"/>
      <c r="MFK50" s="952"/>
      <c r="MFL50" s="952"/>
      <c r="MFM50" s="952"/>
      <c r="MFN50" s="952"/>
      <c r="MFO50" s="952"/>
      <c r="MFP50" s="952"/>
      <c r="MFQ50" s="952"/>
      <c r="MFR50" s="952"/>
      <c r="MFS50" s="952"/>
      <c r="MFT50" s="952"/>
      <c r="MFU50" s="952"/>
      <c r="MFV50" s="952"/>
      <c r="MFW50" s="952"/>
      <c r="MFX50" s="952"/>
      <c r="MFY50" s="952"/>
      <c r="MFZ50" s="952"/>
      <c r="MGA50" s="952"/>
      <c r="MGB50" s="952"/>
      <c r="MGC50" s="952"/>
      <c r="MGD50" s="952"/>
      <c r="MGE50" s="952"/>
      <c r="MGF50" s="952"/>
      <c r="MGG50" s="952"/>
      <c r="MGH50" s="952"/>
      <c r="MGI50" s="952"/>
      <c r="MGJ50" s="952"/>
      <c r="MGK50" s="952"/>
      <c r="MGL50" s="952"/>
      <c r="MGM50" s="952"/>
      <c r="MGN50" s="952"/>
      <c r="MGO50" s="952"/>
      <c r="MGP50" s="952"/>
      <c r="MGQ50" s="952"/>
      <c r="MGR50" s="952"/>
      <c r="MGS50" s="952"/>
      <c r="MGT50" s="952"/>
      <c r="MGU50" s="952"/>
      <c r="MGV50" s="952"/>
      <c r="MGW50" s="952"/>
      <c r="MGX50" s="952"/>
      <c r="MGY50" s="952"/>
      <c r="MGZ50" s="952"/>
      <c r="MHA50" s="952"/>
      <c r="MHB50" s="952"/>
      <c r="MHC50" s="952"/>
      <c r="MHD50" s="952"/>
      <c r="MHE50" s="952"/>
      <c r="MHF50" s="952"/>
      <c r="MHG50" s="952"/>
      <c r="MHH50" s="952"/>
      <c r="MHI50" s="952"/>
      <c r="MHJ50" s="952"/>
      <c r="MHK50" s="952"/>
      <c r="MHL50" s="952"/>
      <c r="MHM50" s="952"/>
      <c r="MHN50" s="952"/>
      <c r="MHO50" s="952"/>
      <c r="MHP50" s="952"/>
      <c r="MHQ50" s="952"/>
      <c r="MHR50" s="952"/>
      <c r="MHS50" s="952"/>
      <c r="MHT50" s="952"/>
      <c r="MHU50" s="952"/>
      <c r="MHV50" s="952"/>
      <c r="MHW50" s="952"/>
      <c r="MHX50" s="952"/>
      <c r="MHY50" s="952"/>
      <c r="MHZ50" s="952"/>
      <c r="MIA50" s="952"/>
      <c r="MIB50" s="952"/>
      <c r="MIC50" s="952"/>
      <c r="MID50" s="952"/>
      <c r="MIE50" s="952"/>
      <c r="MIF50" s="952"/>
      <c r="MIG50" s="952"/>
      <c r="MIH50" s="952"/>
      <c r="MII50" s="952"/>
      <c r="MIJ50" s="952"/>
      <c r="MIK50" s="952"/>
      <c r="MIL50" s="952"/>
      <c r="MIM50" s="952"/>
      <c r="MIN50" s="952"/>
      <c r="MIO50" s="952"/>
      <c r="MIP50" s="952"/>
      <c r="MIQ50" s="952"/>
      <c r="MIR50" s="952"/>
      <c r="MIS50" s="952"/>
      <c r="MIT50" s="952"/>
      <c r="MIU50" s="952"/>
      <c r="MIV50" s="952"/>
      <c r="MIW50" s="952"/>
      <c r="MIX50" s="952"/>
      <c r="MIY50" s="952"/>
      <c r="MIZ50" s="952"/>
      <c r="MJA50" s="952"/>
      <c r="MJB50" s="952"/>
      <c r="MJC50" s="952"/>
      <c r="MJD50" s="952"/>
      <c r="MJE50" s="952"/>
      <c r="MJF50" s="952"/>
      <c r="MJG50" s="952"/>
      <c r="MJH50" s="952"/>
      <c r="MJI50" s="952"/>
      <c r="MJJ50" s="952"/>
      <c r="MJK50" s="952"/>
      <c r="MJL50" s="952"/>
      <c r="MJM50" s="952"/>
      <c r="MJN50" s="952"/>
      <c r="MJO50" s="952"/>
      <c r="MJP50" s="952"/>
      <c r="MJQ50" s="952"/>
      <c r="MJR50" s="952"/>
      <c r="MJS50" s="952"/>
      <c r="MJT50" s="952"/>
      <c r="MJU50" s="952"/>
      <c r="MJV50" s="952"/>
      <c r="MJW50" s="952"/>
      <c r="MJX50" s="952"/>
      <c r="MJY50" s="952"/>
      <c r="MJZ50" s="952"/>
      <c r="MKA50" s="952"/>
      <c r="MKB50" s="952"/>
      <c r="MKC50" s="952"/>
      <c r="MKD50" s="952"/>
      <c r="MKE50" s="952"/>
      <c r="MKF50" s="952"/>
      <c r="MKG50" s="952"/>
      <c r="MKH50" s="952"/>
      <c r="MKI50" s="952"/>
      <c r="MKJ50" s="952"/>
      <c r="MKK50" s="952"/>
      <c r="MKL50" s="952"/>
      <c r="MKM50" s="952"/>
      <c r="MKN50" s="952"/>
      <c r="MKO50" s="952"/>
      <c r="MKP50" s="952"/>
      <c r="MKQ50" s="952"/>
      <c r="MKR50" s="952"/>
      <c r="MKS50" s="952"/>
      <c r="MKT50" s="952"/>
      <c r="MKU50" s="952"/>
      <c r="MKV50" s="952"/>
      <c r="MKW50" s="952"/>
      <c r="MKX50" s="952"/>
      <c r="MKY50" s="952"/>
      <c r="MKZ50" s="952"/>
      <c r="MLA50" s="952"/>
      <c r="MLB50" s="952"/>
      <c r="MLC50" s="952"/>
      <c r="MLD50" s="952"/>
      <c r="MLE50" s="952"/>
      <c r="MLF50" s="952"/>
      <c r="MLG50" s="952"/>
      <c r="MLH50" s="952"/>
      <c r="MLI50" s="952"/>
      <c r="MLJ50" s="952"/>
      <c r="MLK50" s="952"/>
      <c r="MLL50" s="952"/>
      <c r="MLM50" s="952"/>
      <c r="MLN50" s="952"/>
      <c r="MLO50" s="952"/>
      <c r="MLP50" s="952"/>
      <c r="MLQ50" s="952"/>
      <c r="MLR50" s="952"/>
      <c r="MLS50" s="952"/>
      <c r="MLT50" s="952"/>
      <c r="MLU50" s="952"/>
      <c r="MLV50" s="952"/>
      <c r="MLW50" s="952"/>
      <c r="MLX50" s="952"/>
      <c r="MLY50" s="952"/>
      <c r="MLZ50" s="952"/>
      <c r="MMA50" s="952"/>
      <c r="MMB50" s="952"/>
      <c r="MMC50" s="952"/>
      <c r="MMD50" s="952"/>
      <c r="MME50" s="952"/>
      <c r="MMF50" s="952"/>
      <c r="MMG50" s="952"/>
      <c r="MMH50" s="952"/>
      <c r="MMI50" s="952"/>
      <c r="MMJ50" s="952"/>
      <c r="MMK50" s="952"/>
      <c r="MML50" s="952"/>
      <c r="MMM50" s="952"/>
      <c r="MMN50" s="952"/>
      <c r="MMO50" s="952"/>
      <c r="MMP50" s="952"/>
      <c r="MMQ50" s="952"/>
      <c r="MMR50" s="952"/>
      <c r="MMS50" s="952"/>
      <c r="MMT50" s="952"/>
      <c r="MMU50" s="952"/>
      <c r="MMV50" s="952"/>
      <c r="MMW50" s="952"/>
      <c r="MMX50" s="952"/>
      <c r="MMY50" s="952"/>
      <c r="MMZ50" s="952"/>
      <c r="MNA50" s="952"/>
      <c r="MNB50" s="952"/>
      <c r="MNC50" s="952"/>
      <c r="MND50" s="952"/>
      <c r="MNE50" s="952"/>
      <c r="MNF50" s="952"/>
      <c r="MNG50" s="952"/>
      <c r="MNH50" s="952"/>
      <c r="MNI50" s="952"/>
      <c r="MNJ50" s="952"/>
      <c r="MNK50" s="952"/>
      <c r="MNL50" s="952"/>
      <c r="MNM50" s="952"/>
      <c r="MNN50" s="952"/>
      <c r="MNO50" s="952"/>
      <c r="MNP50" s="952"/>
      <c r="MNQ50" s="952"/>
      <c r="MNR50" s="952"/>
      <c r="MNS50" s="952"/>
      <c r="MNT50" s="952"/>
      <c r="MNU50" s="952"/>
      <c r="MNV50" s="952"/>
      <c r="MNW50" s="952"/>
      <c r="MNX50" s="952"/>
      <c r="MNY50" s="952"/>
      <c r="MNZ50" s="952"/>
      <c r="MOA50" s="952"/>
      <c r="MOB50" s="952"/>
      <c r="MOC50" s="952"/>
      <c r="MOD50" s="952"/>
      <c r="MOE50" s="952"/>
      <c r="MOF50" s="952"/>
      <c r="MOG50" s="952"/>
      <c r="MOH50" s="952"/>
      <c r="MOI50" s="952"/>
      <c r="MOJ50" s="952"/>
      <c r="MOK50" s="952"/>
      <c r="MOL50" s="952"/>
      <c r="MOM50" s="952"/>
      <c r="MON50" s="952"/>
      <c r="MOO50" s="952"/>
      <c r="MOP50" s="952"/>
      <c r="MOQ50" s="952"/>
      <c r="MOR50" s="952"/>
      <c r="MOS50" s="952"/>
      <c r="MOT50" s="952"/>
      <c r="MOU50" s="952"/>
      <c r="MOV50" s="952"/>
      <c r="MOW50" s="952"/>
      <c r="MOX50" s="952"/>
      <c r="MOY50" s="952"/>
      <c r="MOZ50" s="952"/>
      <c r="MPA50" s="952"/>
      <c r="MPB50" s="952"/>
      <c r="MPC50" s="952"/>
      <c r="MPD50" s="952"/>
      <c r="MPE50" s="952"/>
      <c r="MPF50" s="952"/>
      <c r="MPG50" s="952"/>
      <c r="MPH50" s="952"/>
      <c r="MPI50" s="952"/>
      <c r="MPJ50" s="952"/>
      <c r="MPK50" s="952"/>
      <c r="MPL50" s="952"/>
      <c r="MPM50" s="952"/>
      <c r="MPN50" s="952"/>
      <c r="MPO50" s="952"/>
      <c r="MPP50" s="952"/>
      <c r="MPQ50" s="952"/>
      <c r="MPR50" s="952"/>
      <c r="MPS50" s="952"/>
      <c r="MPT50" s="952"/>
      <c r="MPU50" s="952"/>
      <c r="MPV50" s="952"/>
      <c r="MPW50" s="952"/>
      <c r="MPX50" s="952"/>
      <c r="MPY50" s="952"/>
      <c r="MPZ50" s="952"/>
      <c r="MQA50" s="952"/>
      <c r="MQB50" s="952"/>
      <c r="MQC50" s="952"/>
      <c r="MQD50" s="952"/>
      <c r="MQE50" s="952"/>
      <c r="MQF50" s="952"/>
      <c r="MQG50" s="952"/>
      <c r="MQH50" s="952"/>
      <c r="MQI50" s="952"/>
      <c r="MQJ50" s="952"/>
      <c r="MQK50" s="952"/>
      <c r="MQL50" s="952"/>
      <c r="MQM50" s="952"/>
      <c r="MQN50" s="952"/>
      <c r="MQO50" s="952"/>
      <c r="MQP50" s="952"/>
      <c r="MQQ50" s="952"/>
      <c r="MQR50" s="952"/>
      <c r="MQS50" s="952"/>
      <c r="MQT50" s="952"/>
      <c r="MQU50" s="952"/>
      <c r="MQV50" s="952"/>
      <c r="MQW50" s="952"/>
      <c r="MQX50" s="952"/>
      <c r="MQY50" s="952"/>
      <c r="MQZ50" s="952"/>
      <c r="MRA50" s="952"/>
      <c r="MRB50" s="952"/>
      <c r="MRC50" s="952"/>
      <c r="MRD50" s="952"/>
      <c r="MRE50" s="952"/>
      <c r="MRF50" s="952"/>
      <c r="MRG50" s="952"/>
      <c r="MRH50" s="952"/>
      <c r="MRI50" s="952"/>
      <c r="MRJ50" s="952"/>
      <c r="MRK50" s="952"/>
      <c r="MRL50" s="952"/>
      <c r="MRM50" s="952"/>
      <c r="MRN50" s="952"/>
      <c r="MRO50" s="952"/>
      <c r="MRP50" s="952"/>
      <c r="MRQ50" s="952"/>
      <c r="MRR50" s="952"/>
      <c r="MRS50" s="952"/>
      <c r="MRT50" s="952"/>
      <c r="MRU50" s="952"/>
      <c r="MRV50" s="952"/>
      <c r="MRW50" s="952"/>
      <c r="MRX50" s="952"/>
      <c r="MRY50" s="952"/>
      <c r="MRZ50" s="952"/>
      <c r="MSA50" s="952"/>
      <c r="MSB50" s="952"/>
      <c r="MSC50" s="952"/>
      <c r="MSD50" s="952"/>
      <c r="MSE50" s="952"/>
      <c r="MSF50" s="952"/>
      <c r="MSG50" s="952"/>
      <c r="MSH50" s="952"/>
      <c r="MSI50" s="952"/>
      <c r="MSJ50" s="952"/>
      <c r="MSK50" s="952"/>
      <c r="MSL50" s="952"/>
      <c r="MSM50" s="952"/>
      <c r="MSN50" s="952"/>
      <c r="MSO50" s="952"/>
      <c r="MSP50" s="952"/>
      <c r="MSQ50" s="952"/>
      <c r="MSR50" s="952"/>
      <c r="MSS50" s="952"/>
      <c r="MST50" s="952"/>
      <c r="MSU50" s="952"/>
      <c r="MSV50" s="952"/>
      <c r="MSW50" s="952"/>
      <c r="MSX50" s="952"/>
      <c r="MSY50" s="952"/>
      <c r="MSZ50" s="952"/>
      <c r="MTA50" s="952"/>
      <c r="MTB50" s="952"/>
      <c r="MTC50" s="952"/>
      <c r="MTD50" s="952"/>
      <c r="MTE50" s="952"/>
      <c r="MTF50" s="952"/>
      <c r="MTG50" s="952"/>
      <c r="MTH50" s="952"/>
      <c r="MTI50" s="952"/>
      <c r="MTJ50" s="952"/>
      <c r="MTK50" s="952"/>
      <c r="MTL50" s="952"/>
      <c r="MTM50" s="952"/>
      <c r="MTN50" s="952"/>
      <c r="MTO50" s="952"/>
      <c r="MTP50" s="952"/>
      <c r="MTQ50" s="952"/>
      <c r="MTR50" s="952"/>
      <c r="MTS50" s="952"/>
      <c r="MTT50" s="952"/>
      <c r="MTU50" s="952"/>
      <c r="MTV50" s="952"/>
      <c r="MTW50" s="952"/>
      <c r="MTX50" s="952"/>
      <c r="MTY50" s="952"/>
      <c r="MTZ50" s="952"/>
      <c r="MUA50" s="952"/>
      <c r="MUB50" s="952"/>
      <c r="MUC50" s="952"/>
      <c r="MUD50" s="952"/>
      <c r="MUE50" s="952"/>
      <c r="MUF50" s="952"/>
      <c r="MUG50" s="952"/>
      <c r="MUH50" s="952"/>
      <c r="MUI50" s="952"/>
      <c r="MUJ50" s="952"/>
      <c r="MUK50" s="952"/>
      <c r="MUL50" s="952"/>
      <c r="MUM50" s="952"/>
      <c r="MUN50" s="952"/>
      <c r="MUO50" s="952"/>
      <c r="MUP50" s="952"/>
      <c r="MUQ50" s="952"/>
      <c r="MUR50" s="952"/>
      <c r="MUS50" s="952"/>
      <c r="MUT50" s="952"/>
      <c r="MUU50" s="952"/>
      <c r="MUV50" s="952"/>
      <c r="MUW50" s="952"/>
      <c r="MUX50" s="952"/>
      <c r="MUY50" s="952"/>
      <c r="MUZ50" s="952"/>
      <c r="MVA50" s="952"/>
      <c r="MVB50" s="952"/>
      <c r="MVC50" s="952"/>
      <c r="MVD50" s="952"/>
      <c r="MVE50" s="952"/>
      <c r="MVF50" s="952"/>
      <c r="MVG50" s="952"/>
      <c r="MVH50" s="952"/>
      <c r="MVI50" s="952"/>
      <c r="MVJ50" s="952"/>
      <c r="MVK50" s="952"/>
      <c r="MVL50" s="952"/>
      <c r="MVM50" s="952"/>
      <c r="MVN50" s="952"/>
      <c r="MVO50" s="952"/>
      <c r="MVP50" s="952"/>
      <c r="MVQ50" s="952"/>
      <c r="MVR50" s="952"/>
      <c r="MVS50" s="952"/>
      <c r="MVT50" s="952"/>
      <c r="MVU50" s="952"/>
      <c r="MVV50" s="952"/>
      <c r="MVW50" s="952"/>
      <c r="MVX50" s="952"/>
      <c r="MVY50" s="952"/>
      <c r="MVZ50" s="952"/>
      <c r="MWA50" s="952"/>
      <c r="MWB50" s="952"/>
      <c r="MWC50" s="952"/>
      <c r="MWD50" s="952"/>
      <c r="MWE50" s="952"/>
      <c r="MWF50" s="952"/>
      <c r="MWG50" s="952"/>
      <c r="MWH50" s="952"/>
      <c r="MWI50" s="952"/>
      <c r="MWJ50" s="952"/>
      <c r="MWK50" s="952"/>
      <c r="MWL50" s="952"/>
      <c r="MWM50" s="952"/>
      <c r="MWN50" s="952"/>
      <c r="MWO50" s="952"/>
      <c r="MWP50" s="952"/>
      <c r="MWQ50" s="952"/>
      <c r="MWR50" s="952"/>
      <c r="MWS50" s="952"/>
      <c r="MWT50" s="952"/>
      <c r="MWU50" s="952"/>
      <c r="MWV50" s="952"/>
      <c r="MWW50" s="952"/>
      <c r="MWX50" s="952"/>
      <c r="MWY50" s="952"/>
      <c r="MWZ50" s="952"/>
      <c r="MXA50" s="952"/>
      <c r="MXB50" s="952"/>
      <c r="MXC50" s="952"/>
      <c r="MXD50" s="952"/>
      <c r="MXE50" s="952"/>
      <c r="MXF50" s="952"/>
      <c r="MXG50" s="952"/>
      <c r="MXH50" s="952"/>
      <c r="MXI50" s="952"/>
      <c r="MXJ50" s="952"/>
      <c r="MXK50" s="952"/>
      <c r="MXL50" s="952"/>
      <c r="MXM50" s="952"/>
      <c r="MXN50" s="952"/>
      <c r="MXO50" s="952"/>
      <c r="MXP50" s="952"/>
      <c r="MXQ50" s="952"/>
      <c r="MXR50" s="952"/>
      <c r="MXS50" s="952"/>
      <c r="MXT50" s="952"/>
      <c r="MXU50" s="952"/>
      <c r="MXV50" s="952"/>
      <c r="MXW50" s="952"/>
      <c r="MXX50" s="952"/>
      <c r="MXY50" s="952"/>
      <c r="MXZ50" s="952"/>
      <c r="MYA50" s="952"/>
      <c r="MYB50" s="952"/>
      <c r="MYC50" s="952"/>
      <c r="MYD50" s="952"/>
      <c r="MYE50" s="952"/>
      <c r="MYF50" s="952"/>
      <c r="MYG50" s="952"/>
      <c r="MYH50" s="952"/>
      <c r="MYI50" s="952"/>
      <c r="MYJ50" s="952"/>
      <c r="MYK50" s="952"/>
      <c r="MYL50" s="952"/>
      <c r="MYM50" s="952"/>
      <c r="MYN50" s="952"/>
      <c r="MYO50" s="952"/>
      <c r="MYP50" s="952"/>
      <c r="MYQ50" s="952"/>
      <c r="MYR50" s="952"/>
      <c r="MYS50" s="952"/>
      <c r="MYT50" s="952"/>
      <c r="MYU50" s="952"/>
      <c r="MYV50" s="952"/>
      <c r="MYW50" s="952"/>
      <c r="MYX50" s="952"/>
      <c r="MYY50" s="952"/>
      <c r="MYZ50" s="952"/>
      <c r="MZA50" s="952"/>
      <c r="MZB50" s="952"/>
      <c r="MZC50" s="952"/>
      <c r="MZD50" s="952"/>
      <c r="MZE50" s="952"/>
      <c r="MZF50" s="952"/>
      <c r="MZG50" s="952"/>
      <c r="MZH50" s="952"/>
      <c r="MZI50" s="952"/>
      <c r="MZJ50" s="952"/>
      <c r="MZK50" s="952"/>
      <c r="MZL50" s="952"/>
      <c r="MZM50" s="952"/>
      <c r="MZN50" s="952"/>
      <c r="MZO50" s="952"/>
      <c r="MZP50" s="952"/>
      <c r="MZQ50" s="952"/>
      <c r="MZR50" s="952"/>
      <c r="MZS50" s="952"/>
      <c r="MZT50" s="952"/>
      <c r="MZU50" s="952"/>
      <c r="MZV50" s="952"/>
      <c r="MZW50" s="952"/>
      <c r="MZX50" s="952"/>
      <c r="MZY50" s="952"/>
      <c r="MZZ50" s="952"/>
      <c r="NAA50" s="952"/>
      <c r="NAB50" s="952"/>
      <c r="NAC50" s="952"/>
      <c r="NAD50" s="952"/>
      <c r="NAE50" s="952"/>
      <c r="NAF50" s="952"/>
      <c r="NAG50" s="952"/>
      <c r="NAH50" s="952"/>
      <c r="NAI50" s="952"/>
      <c r="NAJ50" s="952"/>
      <c r="NAK50" s="952"/>
      <c r="NAL50" s="952"/>
      <c r="NAM50" s="952"/>
      <c r="NAN50" s="952"/>
      <c r="NAO50" s="952"/>
      <c r="NAP50" s="952"/>
      <c r="NAQ50" s="952"/>
      <c r="NAR50" s="952"/>
      <c r="NAS50" s="952"/>
      <c r="NAT50" s="952"/>
      <c r="NAU50" s="952"/>
      <c r="NAV50" s="952"/>
      <c r="NAW50" s="952"/>
      <c r="NAX50" s="952"/>
      <c r="NAY50" s="952"/>
      <c r="NAZ50" s="952"/>
      <c r="NBA50" s="952"/>
      <c r="NBB50" s="952"/>
      <c r="NBC50" s="952"/>
      <c r="NBD50" s="952"/>
      <c r="NBE50" s="952"/>
      <c r="NBF50" s="952"/>
      <c r="NBG50" s="952"/>
      <c r="NBH50" s="952"/>
      <c r="NBI50" s="952"/>
      <c r="NBJ50" s="952"/>
      <c r="NBK50" s="952"/>
      <c r="NBL50" s="952"/>
      <c r="NBM50" s="952"/>
      <c r="NBN50" s="952"/>
      <c r="NBO50" s="952"/>
      <c r="NBP50" s="952"/>
      <c r="NBQ50" s="952"/>
      <c r="NBR50" s="952"/>
      <c r="NBS50" s="952"/>
      <c r="NBT50" s="952"/>
      <c r="NBU50" s="952"/>
      <c r="NBV50" s="952"/>
      <c r="NBW50" s="952"/>
      <c r="NBX50" s="952"/>
      <c r="NBY50" s="952"/>
      <c r="NBZ50" s="952"/>
      <c r="NCA50" s="952"/>
      <c r="NCB50" s="952"/>
      <c r="NCC50" s="952"/>
      <c r="NCD50" s="952"/>
      <c r="NCE50" s="952"/>
      <c r="NCF50" s="952"/>
      <c r="NCG50" s="952"/>
      <c r="NCH50" s="952"/>
      <c r="NCI50" s="952"/>
      <c r="NCJ50" s="952"/>
      <c r="NCK50" s="952"/>
      <c r="NCL50" s="952"/>
      <c r="NCM50" s="952"/>
      <c r="NCN50" s="952"/>
      <c r="NCO50" s="952"/>
      <c r="NCP50" s="952"/>
      <c r="NCQ50" s="952"/>
      <c r="NCR50" s="952"/>
      <c r="NCS50" s="952"/>
      <c r="NCT50" s="952"/>
      <c r="NCU50" s="952"/>
      <c r="NCV50" s="952"/>
      <c r="NCW50" s="952"/>
      <c r="NCX50" s="952"/>
      <c r="NCY50" s="952"/>
      <c r="NCZ50" s="952"/>
      <c r="NDA50" s="952"/>
      <c r="NDB50" s="952"/>
      <c r="NDC50" s="952"/>
      <c r="NDD50" s="952"/>
      <c r="NDE50" s="952"/>
      <c r="NDF50" s="952"/>
      <c r="NDG50" s="952"/>
      <c r="NDH50" s="952"/>
      <c r="NDI50" s="952"/>
      <c r="NDJ50" s="952"/>
      <c r="NDK50" s="952"/>
      <c r="NDL50" s="952"/>
      <c r="NDM50" s="952"/>
      <c r="NDN50" s="952"/>
      <c r="NDO50" s="952"/>
      <c r="NDP50" s="952"/>
      <c r="NDQ50" s="952"/>
      <c r="NDR50" s="952"/>
      <c r="NDS50" s="952"/>
      <c r="NDT50" s="952"/>
      <c r="NDU50" s="952"/>
      <c r="NDV50" s="952"/>
      <c r="NDW50" s="952"/>
      <c r="NDX50" s="952"/>
      <c r="NDY50" s="952"/>
      <c r="NDZ50" s="952"/>
      <c r="NEA50" s="952"/>
      <c r="NEB50" s="952"/>
      <c r="NEC50" s="952"/>
      <c r="NED50" s="952"/>
      <c r="NEE50" s="952"/>
      <c r="NEF50" s="952"/>
      <c r="NEG50" s="952"/>
      <c r="NEH50" s="952"/>
      <c r="NEI50" s="952"/>
      <c r="NEJ50" s="952"/>
      <c r="NEK50" s="952"/>
      <c r="NEL50" s="952"/>
      <c r="NEM50" s="952"/>
      <c r="NEN50" s="952"/>
      <c r="NEO50" s="952"/>
      <c r="NEP50" s="952"/>
      <c r="NEQ50" s="952"/>
      <c r="NER50" s="952"/>
      <c r="NES50" s="952"/>
      <c r="NET50" s="952"/>
      <c r="NEU50" s="952"/>
      <c r="NEV50" s="952"/>
      <c r="NEW50" s="952"/>
      <c r="NEX50" s="952"/>
      <c r="NEY50" s="952"/>
      <c r="NEZ50" s="952"/>
      <c r="NFA50" s="952"/>
      <c r="NFB50" s="952"/>
      <c r="NFC50" s="952"/>
      <c r="NFD50" s="952"/>
      <c r="NFE50" s="952"/>
      <c r="NFF50" s="952"/>
      <c r="NFG50" s="952"/>
      <c r="NFH50" s="952"/>
      <c r="NFI50" s="952"/>
      <c r="NFJ50" s="952"/>
      <c r="NFK50" s="952"/>
      <c r="NFL50" s="952"/>
      <c r="NFM50" s="952"/>
      <c r="NFN50" s="952"/>
      <c r="NFO50" s="952"/>
      <c r="NFP50" s="952"/>
      <c r="NFQ50" s="952"/>
      <c r="NFR50" s="952"/>
      <c r="NFS50" s="952"/>
      <c r="NFT50" s="952"/>
      <c r="NFU50" s="952"/>
      <c r="NFV50" s="952"/>
      <c r="NFW50" s="952"/>
      <c r="NFX50" s="952"/>
      <c r="NFY50" s="952"/>
      <c r="NFZ50" s="952"/>
      <c r="NGA50" s="952"/>
      <c r="NGB50" s="952"/>
      <c r="NGC50" s="952"/>
      <c r="NGD50" s="952"/>
      <c r="NGE50" s="952"/>
      <c r="NGF50" s="952"/>
      <c r="NGG50" s="952"/>
      <c r="NGH50" s="952"/>
      <c r="NGI50" s="952"/>
      <c r="NGJ50" s="952"/>
      <c r="NGK50" s="952"/>
      <c r="NGL50" s="952"/>
      <c r="NGM50" s="952"/>
      <c r="NGN50" s="952"/>
      <c r="NGO50" s="952"/>
      <c r="NGP50" s="952"/>
      <c r="NGQ50" s="952"/>
      <c r="NGR50" s="952"/>
      <c r="NGS50" s="952"/>
      <c r="NGT50" s="952"/>
      <c r="NGU50" s="952"/>
      <c r="NGV50" s="952"/>
      <c r="NGW50" s="952"/>
      <c r="NGX50" s="952"/>
      <c r="NGY50" s="952"/>
      <c r="NGZ50" s="952"/>
      <c r="NHA50" s="952"/>
      <c r="NHB50" s="952"/>
      <c r="NHC50" s="952"/>
      <c r="NHD50" s="952"/>
      <c r="NHE50" s="952"/>
      <c r="NHF50" s="952"/>
      <c r="NHG50" s="952"/>
      <c r="NHH50" s="952"/>
      <c r="NHI50" s="952"/>
      <c r="NHJ50" s="952"/>
      <c r="NHK50" s="952"/>
      <c r="NHL50" s="952"/>
      <c r="NHM50" s="952"/>
      <c r="NHN50" s="952"/>
      <c r="NHO50" s="952"/>
      <c r="NHP50" s="952"/>
      <c r="NHQ50" s="952"/>
      <c r="NHR50" s="952"/>
      <c r="NHS50" s="952"/>
      <c r="NHT50" s="952"/>
      <c r="NHU50" s="952"/>
      <c r="NHV50" s="952"/>
      <c r="NHW50" s="952"/>
      <c r="NHX50" s="952"/>
      <c r="NHY50" s="952"/>
      <c r="NHZ50" s="952"/>
      <c r="NIA50" s="952"/>
      <c r="NIB50" s="952"/>
      <c r="NIC50" s="952"/>
      <c r="NID50" s="952"/>
      <c r="NIE50" s="952"/>
      <c r="NIF50" s="952"/>
      <c r="NIG50" s="952"/>
      <c r="NIH50" s="952"/>
      <c r="NII50" s="952"/>
      <c r="NIJ50" s="952"/>
      <c r="NIK50" s="952"/>
      <c r="NIL50" s="952"/>
      <c r="NIM50" s="952"/>
      <c r="NIN50" s="952"/>
      <c r="NIO50" s="952"/>
      <c r="NIP50" s="952"/>
      <c r="NIQ50" s="952"/>
      <c r="NIR50" s="952"/>
      <c r="NIS50" s="952"/>
      <c r="NIT50" s="952"/>
      <c r="NIU50" s="952"/>
      <c r="NIV50" s="952"/>
      <c r="NIW50" s="952"/>
      <c r="NIX50" s="952"/>
      <c r="NIY50" s="952"/>
      <c r="NIZ50" s="952"/>
      <c r="NJA50" s="952"/>
      <c r="NJB50" s="952"/>
      <c r="NJC50" s="952"/>
      <c r="NJD50" s="952"/>
      <c r="NJE50" s="952"/>
      <c r="NJF50" s="952"/>
      <c r="NJG50" s="952"/>
      <c r="NJH50" s="952"/>
      <c r="NJI50" s="952"/>
      <c r="NJJ50" s="952"/>
      <c r="NJK50" s="952"/>
      <c r="NJL50" s="952"/>
      <c r="NJM50" s="952"/>
      <c r="NJN50" s="952"/>
      <c r="NJO50" s="952"/>
      <c r="NJP50" s="952"/>
      <c r="NJQ50" s="952"/>
      <c r="NJR50" s="952"/>
      <c r="NJS50" s="952"/>
      <c r="NJT50" s="952"/>
      <c r="NJU50" s="952"/>
      <c r="NJV50" s="952"/>
      <c r="NJW50" s="952"/>
      <c r="NJX50" s="952"/>
      <c r="NJY50" s="952"/>
      <c r="NJZ50" s="952"/>
      <c r="NKA50" s="952"/>
      <c r="NKB50" s="952"/>
      <c r="NKC50" s="952"/>
      <c r="NKD50" s="952"/>
      <c r="NKE50" s="952"/>
      <c r="NKF50" s="952"/>
      <c r="NKG50" s="952"/>
      <c r="NKH50" s="952"/>
      <c r="NKI50" s="952"/>
      <c r="NKJ50" s="952"/>
      <c r="NKK50" s="952"/>
      <c r="NKL50" s="952"/>
      <c r="NKM50" s="952"/>
      <c r="NKN50" s="952"/>
      <c r="NKO50" s="952"/>
      <c r="NKP50" s="952"/>
      <c r="NKQ50" s="952"/>
      <c r="NKR50" s="952"/>
      <c r="NKS50" s="952"/>
      <c r="NKT50" s="952"/>
      <c r="NKU50" s="952"/>
      <c r="NKV50" s="952"/>
      <c r="NKW50" s="952"/>
      <c r="NKX50" s="952"/>
      <c r="NKY50" s="952"/>
      <c r="NKZ50" s="952"/>
      <c r="NLA50" s="952"/>
      <c r="NLB50" s="952"/>
      <c r="NLC50" s="952"/>
      <c r="NLD50" s="952"/>
      <c r="NLE50" s="952"/>
      <c r="NLF50" s="952"/>
      <c r="NLG50" s="952"/>
      <c r="NLH50" s="952"/>
      <c r="NLI50" s="952"/>
      <c r="NLJ50" s="952"/>
      <c r="NLK50" s="952"/>
      <c r="NLL50" s="952"/>
      <c r="NLM50" s="952"/>
      <c r="NLN50" s="952"/>
      <c r="NLO50" s="952"/>
      <c r="NLP50" s="952"/>
      <c r="NLQ50" s="952"/>
      <c r="NLR50" s="952"/>
      <c r="NLS50" s="952"/>
      <c r="NLT50" s="952"/>
      <c r="NLU50" s="952"/>
      <c r="NLV50" s="952"/>
      <c r="NLW50" s="952"/>
      <c r="NLX50" s="952"/>
      <c r="NLY50" s="952"/>
      <c r="NLZ50" s="952"/>
      <c r="NMA50" s="952"/>
      <c r="NMB50" s="952"/>
      <c r="NMC50" s="952"/>
      <c r="NMD50" s="952"/>
      <c r="NME50" s="952"/>
      <c r="NMF50" s="952"/>
      <c r="NMG50" s="952"/>
      <c r="NMH50" s="952"/>
      <c r="NMI50" s="952"/>
      <c r="NMJ50" s="952"/>
      <c r="NMK50" s="952"/>
      <c r="NML50" s="952"/>
      <c r="NMM50" s="952"/>
      <c r="NMN50" s="952"/>
      <c r="NMO50" s="952"/>
      <c r="NMP50" s="952"/>
      <c r="NMQ50" s="952"/>
      <c r="NMR50" s="952"/>
      <c r="NMS50" s="952"/>
      <c r="NMT50" s="952"/>
      <c r="NMU50" s="952"/>
      <c r="NMV50" s="952"/>
      <c r="NMW50" s="952"/>
      <c r="NMX50" s="952"/>
      <c r="NMY50" s="952"/>
      <c r="NMZ50" s="952"/>
      <c r="NNA50" s="952"/>
      <c r="NNB50" s="952"/>
      <c r="NNC50" s="952"/>
      <c r="NND50" s="952"/>
      <c r="NNE50" s="952"/>
      <c r="NNF50" s="952"/>
      <c r="NNG50" s="952"/>
      <c r="NNH50" s="952"/>
      <c r="NNI50" s="952"/>
      <c r="NNJ50" s="952"/>
      <c r="NNK50" s="952"/>
      <c r="NNL50" s="952"/>
      <c r="NNM50" s="952"/>
      <c r="NNN50" s="952"/>
      <c r="NNO50" s="952"/>
      <c r="NNP50" s="952"/>
      <c r="NNQ50" s="952"/>
      <c r="NNR50" s="952"/>
      <c r="NNS50" s="952"/>
      <c r="NNT50" s="952"/>
      <c r="NNU50" s="952"/>
      <c r="NNV50" s="952"/>
      <c r="NNW50" s="952"/>
      <c r="NNX50" s="952"/>
      <c r="NNY50" s="952"/>
      <c r="NNZ50" s="952"/>
      <c r="NOA50" s="952"/>
      <c r="NOB50" s="952"/>
      <c r="NOC50" s="952"/>
      <c r="NOD50" s="952"/>
      <c r="NOE50" s="952"/>
      <c r="NOF50" s="952"/>
      <c r="NOG50" s="952"/>
      <c r="NOH50" s="952"/>
      <c r="NOI50" s="952"/>
      <c r="NOJ50" s="952"/>
      <c r="NOK50" s="952"/>
      <c r="NOL50" s="952"/>
      <c r="NOM50" s="952"/>
      <c r="NON50" s="952"/>
      <c r="NOO50" s="952"/>
      <c r="NOP50" s="952"/>
      <c r="NOQ50" s="952"/>
      <c r="NOR50" s="952"/>
      <c r="NOS50" s="952"/>
      <c r="NOT50" s="952"/>
      <c r="NOU50" s="952"/>
      <c r="NOV50" s="952"/>
      <c r="NOW50" s="952"/>
      <c r="NOX50" s="952"/>
      <c r="NOY50" s="952"/>
      <c r="NOZ50" s="952"/>
      <c r="NPA50" s="952"/>
      <c r="NPB50" s="952"/>
      <c r="NPC50" s="952"/>
      <c r="NPD50" s="952"/>
      <c r="NPE50" s="952"/>
      <c r="NPF50" s="952"/>
      <c r="NPG50" s="952"/>
      <c r="NPH50" s="952"/>
      <c r="NPI50" s="952"/>
      <c r="NPJ50" s="952"/>
      <c r="NPK50" s="952"/>
      <c r="NPL50" s="952"/>
      <c r="NPM50" s="952"/>
      <c r="NPN50" s="952"/>
      <c r="NPO50" s="952"/>
      <c r="NPP50" s="952"/>
      <c r="NPQ50" s="952"/>
      <c r="NPR50" s="952"/>
      <c r="NPS50" s="952"/>
      <c r="NPT50" s="952"/>
      <c r="NPU50" s="952"/>
      <c r="NPV50" s="952"/>
      <c r="NPW50" s="952"/>
      <c r="NPX50" s="952"/>
      <c r="NPY50" s="952"/>
      <c r="NPZ50" s="952"/>
      <c r="NQA50" s="952"/>
      <c r="NQB50" s="952"/>
      <c r="NQC50" s="952"/>
      <c r="NQD50" s="952"/>
      <c r="NQE50" s="952"/>
      <c r="NQF50" s="952"/>
      <c r="NQG50" s="952"/>
      <c r="NQH50" s="952"/>
      <c r="NQI50" s="952"/>
      <c r="NQJ50" s="952"/>
      <c r="NQK50" s="952"/>
      <c r="NQL50" s="952"/>
      <c r="NQM50" s="952"/>
      <c r="NQN50" s="952"/>
      <c r="NQO50" s="952"/>
      <c r="NQP50" s="952"/>
      <c r="NQQ50" s="952"/>
      <c r="NQR50" s="952"/>
      <c r="NQS50" s="952"/>
      <c r="NQT50" s="952"/>
      <c r="NQU50" s="952"/>
      <c r="NQV50" s="952"/>
      <c r="NQW50" s="952"/>
      <c r="NQX50" s="952"/>
      <c r="NQY50" s="952"/>
      <c r="NQZ50" s="952"/>
      <c r="NRA50" s="952"/>
      <c r="NRB50" s="952"/>
      <c r="NRC50" s="952"/>
      <c r="NRD50" s="952"/>
      <c r="NRE50" s="952"/>
      <c r="NRF50" s="952"/>
      <c r="NRG50" s="952"/>
      <c r="NRH50" s="952"/>
      <c r="NRI50" s="952"/>
      <c r="NRJ50" s="952"/>
      <c r="NRK50" s="952"/>
      <c r="NRL50" s="952"/>
      <c r="NRM50" s="952"/>
      <c r="NRN50" s="952"/>
      <c r="NRO50" s="952"/>
      <c r="NRP50" s="952"/>
      <c r="NRQ50" s="952"/>
      <c r="NRR50" s="952"/>
      <c r="NRS50" s="952"/>
      <c r="NRT50" s="952"/>
      <c r="NRU50" s="952"/>
      <c r="NRV50" s="952"/>
      <c r="NRW50" s="952"/>
      <c r="NRX50" s="952"/>
      <c r="NRY50" s="952"/>
      <c r="NRZ50" s="952"/>
      <c r="NSA50" s="952"/>
      <c r="NSB50" s="952"/>
      <c r="NSC50" s="952"/>
      <c r="NSD50" s="952"/>
      <c r="NSE50" s="952"/>
      <c r="NSF50" s="952"/>
      <c r="NSG50" s="952"/>
      <c r="NSH50" s="952"/>
      <c r="NSI50" s="952"/>
      <c r="NSJ50" s="952"/>
      <c r="NSK50" s="952"/>
      <c r="NSL50" s="952"/>
      <c r="NSM50" s="952"/>
      <c r="NSN50" s="952"/>
      <c r="NSO50" s="952"/>
      <c r="NSP50" s="952"/>
      <c r="NSQ50" s="952"/>
      <c r="NSR50" s="952"/>
      <c r="NSS50" s="952"/>
      <c r="NST50" s="952"/>
      <c r="NSU50" s="952"/>
      <c r="NSV50" s="952"/>
      <c r="NSW50" s="952"/>
      <c r="NSX50" s="952"/>
      <c r="NSY50" s="952"/>
      <c r="NSZ50" s="952"/>
      <c r="NTA50" s="952"/>
      <c r="NTB50" s="952"/>
      <c r="NTC50" s="952"/>
      <c r="NTD50" s="952"/>
      <c r="NTE50" s="952"/>
      <c r="NTF50" s="952"/>
      <c r="NTG50" s="952"/>
      <c r="NTH50" s="952"/>
      <c r="NTI50" s="952"/>
      <c r="NTJ50" s="952"/>
      <c r="NTK50" s="952"/>
      <c r="NTL50" s="952"/>
      <c r="NTM50" s="952"/>
      <c r="NTN50" s="952"/>
      <c r="NTO50" s="952"/>
      <c r="NTP50" s="952"/>
      <c r="NTQ50" s="952"/>
      <c r="NTR50" s="952"/>
      <c r="NTS50" s="952"/>
      <c r="NTT50" s="952"/>
      <c r="NTU50" s="952"/>
      <c r="NTV50" s="952"/>
      <c r="NTW50" s="952"/>
      <c r="NTX50" s="952"/>
      <c r="NTY50" s="952"/>
      <c r="NTZ50" s="952"/>
      <c r="NUA50" s="952"/>
      <c r="NUB50" s="952"/>
      <c r="NUC50" s="952"/>
      <c r="NUD50" s="952"/>
      <c r="NUE50" s="952"/>
      <c r="NUF50" s="952"/>
      <c r="NUG50" s="952"/>
      <c r="NUH50" s="952"/>
      <c r="NUI50" s="952"/>
      <c r="NUJ50" s="952"/>
      <c r="NUK50" s="952"/>
      <c r="NUL50" s="952"/>
      <c r="NUM50" s="952"/>
      <c r="NUN50" s="952"/>
      <c r="NUO50" s="952"/>
      <c r="NUP50" s="952"/>
      <c r="NUQ50" s="952"/>
      <c r="NUR50" s="952"/>
      <c r="NUS50" s="952"/>
      <c r="NUT50" s="952"/>
      <c r="NUU50" s="952"/>
      <c r="NUV50" s="952"/>
      <c r="NUW50" s="952"/>
      <c r="NUX50" s="952"/>
      <c r="NUY50" s="952"/>
      <c r="NUZ50" s="952"/>
      <c r="NVA50" s="952"/>
      <c r="NVB50" s="952"/>
      <c r="NVC50" s="952"/>
      <c r="NVD50" s="952"/>
      <c r="NVE50" s="952"/>
      <c r="NVF50" s="952"/>
      <c r="NVG50" s="952"/>
      <c r="NVH50" s="952"/>
      <c r="NVI50" s="952"/>
      <c r="NVJ50" s="952"/>
      <c r="NVK50" s="952"/>
      <c r="NVL50" s="952"/>
      <c r="NVM50" s="952"/>
      <c r="NVN50" s="952"/>
      <c r="NVO50" s="952"/>
      <c r="NVP50" s="952"/>
      <c r="NVQ50" s="952"/>
      <c r="NVR50" s="952"/>
      <c r="NVS50" s="952"/>
      <c r="NVT50" s="952"/>
      <c r="NVU50" s="952"/>
      <c r="NVV50" s="952"/>
      <c r="NVW50" s="952"/>
      <c r="NVX50" s="952"/>
      <c r="NVY50" s="952"/>
      <c r="NVZ50" s="952"/>
      <c r="NWA50" s="952"/>
      <c r="NWB50" s="952"/>
      <c r="NWC50" s="952"/>
      <c r="NWD50" s="952"/>
      <c r="NWE50" s="952"/>
      <c r="NWF50" s="952"/>
      <c r="NWG50" s="952"/>
      <c r="NWH50" s="952"/>
      <c r="NWI50" s="952"/>
      <c r="NWJ50" s="952"/>
      <c r="NWK50" s="952"/>
      <c r="NWL50" s="952"/>
      <c r="NWM50" s="952"/>
      <c r="NWN50" s="952"/>
      <c r="NWO50" s="952"/>
      <c r="NWP50" s="952"/>
      <c r="NWQ50" s="952"/>
      <c r="NWR50" s="952"/>
      <c r="NWS50" s="952"/>
      <c r="NWT50" s="952"/>
      <c r="NWU50" s="952"/>
      <c r="NWV50" s="952"/>
      <c r="NWW50" s="952"/>
      <c r="NWX50" s="952"/>
      <c r="NWY50" s="952"/>
      <c r="NWZ50" s="952"/>
      <c r="NXA50" s="952"/>
      <c r="NXB50" s="952"/>
      <c r="NXC50" s="952"/>
      <c r="NXD50" s="952"/>
      <c r="NXE50" s="952"/>
      <c r="NXF50" s="952"/>
      <c r="NXG50" s="952"/>
      <c r="NXH50" s="952"/>
      <c r="NXI50" s="952"/>
      <c r="NXJ50" s="952"/>
      <c r="NXK50" s="952"/>
      <c r="NXL50" s="952"/>
      <c r="NXM50" s="952"/>
      <c r="NXN50" s="952"/>
      <c r="NXO50" s="952"/>
      <c r="NXP50" s="952"/>
      <c r="NXQ50" s="952"/>
      <c r="NXR50" s="952"/>
      <c r="NXS50" s="952"/>
      <c r="NXT50" s="952"/>
      <c r="NXU50" s="952"/>
      <c r="NXV50" s="952"/>
      <c r="NXW50" s="952"/>
      <c r="NXX50" s="952"/>
      <c r="NXY50" s="952"/>
      <c r="NXZ50" s="952"/>
      <c r="NYA50" s="952"/>
      <c r="NYB50" s="952"/>
      <c r="NYC50" s="952"/>
      <c r="NYD50" s="952"/>
      <c r="NYE50" s="952"/>
      <c r="NYF50" s="952"/>
      <c r="NYG50" s="952"/>
      <c r="NYH50" s="952"/>
      <c r="NYI50" s="952"/>
      <c r="NYJ50" s="952"/>
      <c r="NYK50" s="952"/>
      <c r="NYL50" s="952"/>
      <c r="NYM50" s="952"/>
      <c r="NYN50" s="952"/>
      <c r="NYO50" s="952"/>
      <c r="NYP50" s="952"/>
      <c r="NYQ50" s="952"/>
      <c r="NYR50" s="952"/>
      <c r="NYS50" s="952"/>
      <c r="NYT50" s="952"/>
      <c r="NYU50" s="952"/>
      <c r="NYV50" s="952"/>
      <c r="NYW50" s="952"/>
      <c r="NYX50" s="952"/>
      <c r="NYY50" s="952"/>
      <c r="NYZ50" s="952"/>
      <c r="NZA50" s="952"/>
      <c r="NZB50" s="952"/>
      <c r="NZC50" s="952"/>
      <c r="NZD50" s="952"/>
      <c r="NZE50" s="952"/>
      <c r="NZF50" s="952"/>
      <c r="NZG50" s="952"/>
      <c r="NZH50" s="952"/>
      <c r="NZI50" s="952"/>
      <c r="NZJ50" s="952"/>
      <c r="NZK50" s="952"/>
      <c r="NZL50" s="952"/>
      <c r="NZM50" s="952"/>
      <c r="NZN50" s="952"/>
      <c r="NZO50" s="952"/>
      <c r="NZP50" s="952"/>
      <c r="NZQ50" s="952"/>
      <c r="NZR50" s="952"/>
      <c r="NZS50" s="952"/>
      <c r="NZT50" s="952"/>
      <c r="NZU50" s="952"/>
      <c r="NZV50" s="952"/>
      <c r="NZW50" s="952"/>
      <c r="NZX50" s="952"/>
      <c r="NZY50" s="952"/>
      <c r="NZZ50" s="952"/>
      <c r="OAA50" s="952"/>
      <c r="OAB50" s="952"/>
      <c r="OAC50" s="952"/>
      <c r="OAD50" s="952"/>
      <c r="OAE50" s="952"/>
      <c r="OAF50" s="952"/>
      <c r="OAG50" s="952"/>
      <c r="OAH50" s="952"/>
      <c r="OAI50" s="952"/>
      <c r="OAJ50" s="952"/>
      <c r="OAK50" s="952"/>
      <c r="OAL50" s="952"/>
      <c r="OAM50" s="952"/>
      <c r="OAN50" s="952"/>
      <c r="OAO50" s="952"/>
      <c r="OAP50" s="952"/>
      <c r="OAQ50" s="952"/>
      <c r="OAR50" s="952"/>
      <c r="OAS50" s="952"/>
      <c r="OAT50" s="952"/>
      <c r="OAU50" s="952"/>
      <c r="OAV50" s="952"/>
      <c r="OAW50" s="952"/>
      <c r="OAX50" s="952"/>
      <c r="OAY50" s="952"/>
      <c r="OAZ50" s="952"/>
      <c r="OBA50" s="952"/>
      <c r="OBB50" s="952"/>
      <c r="OBC50" s="952"/>
      <c r="OBD50" s="952"/>
      <c r="OBE50" s="952"/>
      <c r="OBF50" s="952"/>
      <c r="OBG50" s="952"/>
      <c r="OBH50" s="952"/>
      <c r="OBI50" s="952"/>
      <c r="OBJ50" s="952"/>
      <c r="OBK50" s="952"/>
      <c r="OBL50" s="952"/>
      <c r="OBM50" s="952"/>
      <c r="OBN50" s="952"/>
      <c r="OBO50" s="952"/>
      <c r="OBP50" s="952"/>
      <c r="OBQ50" s="952"/>
      <c r="OBR50" s="952"/>
      <c r="OBS50" s="952"/>
      <c r="OBT50" s="952"/>
      <c r="OBU50" s="952"/>
      <c r="OBV50" s="952"/>
      <c r="OBW50" s="952"/>
      <c r="OBX50" s="952"/>
      <c r="OBY50" s="952"/>
      <c r="OBZ50" s="952"/>
      <c r="OCA50" s="952"/>
      <c r="OCB50" s="952"/>
      <c r="OCC50" s="952"/>
      <c r="OCD50" s="952"/>
      <c r="OCE50" s="952"/>
      <c r="OCF50" s="952"/>
      <c r="OCG50" s="952"/>
      <c r="OCH50" s="952"/>
      <c r="OCI50" s="952"/>
      <c r="OCJ50" s="952"/>
      <c r="OCK50" s="952"/>
      <c r="OCL50" s="952"/>
      <c r="OCM50" s="952"/>
      <c r="OCN50" s="952"/>
      <c r="OCO50" s="952"/>
      <c r="OCP50" s="952"/>
      <c r="OCQ50" s="952"/>
      <c r="OCR50" s="952"/>
      <c r="OCS50" s="952"/>
      <c r="OCT50" s="952"/>
      <c r="OCU50" s="952"/>
      <c r="OCV50" s="952"/>
      <c r="OCW50" s="952"/>
      <c r="OCX50" s="952"/>
      <c r="OCY50" s="952"/>
      <c r="OCZ50" s="952"/>
      <c r="ODA50" s="952"/>
      <c r="ODB50" s="952"/>
      <c r="ODC50" s="952"/>
      <c r="ODD50" s="952"/>
      <c r="ODE50" s="952"/>
      <c r="ODF50" s="952"/>
      <c r="ODG50" s="952"/>
      <c r="ODH50" s="952"/>
      <c r="ODI50" s="952"/>
      <c r="ODJ50" s="952"/>
      <c r="ODK50" s="952"/>
      <c r="ODL50" s="952"/>
      <c r="ODM50" s="952"/>
      <c r="ODN50" s="952"/>
      <c r="ODO50" s="952"/>
      <c r="ODP50" s="952"/>
      <c r="ODQ50" s="952"/>
      <c r="ODR50" s="952"/>
      <c r="ODS50" s="952"/>
      <c r="ODT50" s="952"/>
      <c r="ODU50" s="952"/>
      <c r="ODV50" s="952"/>
      <c r="ODW50" s="952"/>
      <c r="ODX50" s="952"/>
      <c r="ODY50" s="952"/>
      <c r="ODZ50" s="952"/>
      <c r="OEA50" s="952"/>
      <c r="OEB50" s="952"/>
      <c r="OEC50" s="952"/>
      <c r="OED50" s="952"/>
      <c r="OEE50" s="952"/>
      <c r="OEF50" s="952"/>
      <c r="OEG50" s="952"/>
      <c r="OEH50" s="952"/>
      <c r="OEI50" s="952"/>
      <c r="OEJ50" s="952"/>
      <c r="OEK50" s="952"/>
      <c r="OEL50" s="952"/>
      <c r="OEM50" s="952"/>
      <c r="OEN50" s="952"/>
      <c r="OEO50" s="952"/>
      <c r="OEP50" s="952"/>
      <c r="OEQ50" s="952"/>
      <c r="OER50" s="952"/>
      <c r="OES50" s="952"/>
      <c r="OET50" s="952"/>
      <c r="OEU50" s="952"/>
      <c r="OEV50" s="952"/>
      <c r="OEW50" s="952"/>
      <c r="OEX50" s="952"/>
      <c r="OEY50" s="952"/>
      <c r="OEZ50" s="952"/>
      <c r="OFA50" s="952"/>
      <c r="OFB50" s="952"/>
      <c r="OFC50" s="952"/>
      <c r="OFD50" s="952"/>
      <c r="OFE50" s="952"/>
      <c r="OFF50" s="952"/>
      <c r="OFG50" s="952"/>
      <c r="OFH50" s="952"/>
      <c r="OFI50" s="952"/>
      <c r="OFJ50" s="952"/>
      <c r="OFK50" s="952"/>
      <c r="OFL50" s="952"/>
      <c r="OFM50" s="952"/>
      <c r="OFN50" s="952"/>
      <c r="OFO50" s="952"/>
      <c r="OFP50" s="952"/>
      <c r="OFQ50" s="952"/>
      <c r="OFR50" s="952"/>
      <c r="OFS50" s="952"/>
      <c r="OFT50" s="952"/>
      <c r="OFU50" s="952"/>
      <c r="OFV50" s="952"/>
      <c r="OFW50" s="952"/>
      <c r="OFX50" s="952"/>
      <c r="OFY50" s="952"/>
      <c r="OFZ50" s="952"/>
      <c r="OGA50" s="952"/>
      <c r="OGB50" s="952"/>
      <c r="OGC50" s="952"/>
      <c r="OGD50" s="952"/>
      <c r="OGE50" s="952"/>
      <c r="OGF50" s="952"/>
      <c r="OGG50" s="952"/>
      <c r="OGH50" s="952"/>
      <c r="OGI50" s="952"/>
      <c r="OGJ50" s="952"/>
      <c r="OGK50" s="952"/>
      <c r="OGL50" s="952"/>
      <c r="OGM50" s="952"/>
      <c r="OGN50" s="952"/>
      <c r="OGO50" s="952"/>
      <c r="OGP50" s="952"/>
      <c r="OGQ50" s="952"/>
      <c r="OGR50" s="952"/>
      <c r="OGS50" s="952"/>
      <c r="OGT50" s="952"/>
      <c r="OGU50" s="952"/>
      <c r="OGV50" s="952"/>
      <c r="OGW50" s="952"/>
      <c r="OGX50" s="952"/>
      <c r="OGY50" s="952"/>
      <c r="OGZ50" s="952"/>
      <c r="OHA50" s="952"/>
      <c r="OHB50" s="952"/>
      <c r="OHC50" s="952"/>
      <c r="OHD50" s="952"/>
      <c r="OHE50" s="952"/>
      <c r="OHF50" s="952"/>
      <c r="OHG50" s="952"/>
      <c r="OHH50" s="952"/>
      <c r="OHI50" s="952"/>
      <c r="OHJ50" s="952"/>
      <c r="OHK50" s="952"/>
      <c r="OHL50" s="952"/>
      <c r="OHM50" s="952"/>
      <c r="OHN50" s="952"/>
      <c r="OHO50" s="952"/>
      <c r="OHP50" s="952"/>
      <c r="OHQ50" s="952"/>
      <c r="OHR50" s="952"/>
      <c r="OHS50" s="952"/>
      <c r="OHT50" s="952"/>
      <c r="OHU50" s="952"/>
      <c r="OHV50" s="952"/>
      <c r="OHW50" s="952"/>
      <c r="OHX50" s="952"/>
      <c r="OHY50" s="952"/>
      <c r="OHZ50" s="952"/>
      <c r="OIA50" s="952"/>
      <c r="OIB50" s="952"/>
      <c r="OIC50" s="952"/>
      <c r="OID50" s="952"/>
      <c r="OIE50" s="952"/>
      <c r="OIF50" s="952"/>
      <c r="OIG50" s="952"/>
      <c r="OIH50" s="952"/>
      <c r="OII50" s="952"/>
      <c r="OIJ50" s="952"/>
      <c r="OIK50" s="952"/>
      <c r="OIL50" s="952"/>
      <c r="OIM50" s="952"/>
      <c r="OIN50" s="952"/>
      <c r="OIO50" s="952"/>
      <c r="OIP50" s="952"/>
      <c r="OIQ50" s="952"/>
      <c r="OIR50" s="952"/>
      <c r="OIS50" s="952"/>
      <c r="OIT50" s="952"/>
      <c r="OIU50" s="952"/>
      <c r="OIV50" s="952"/>
      <c r="OIW50" s="952"/>
      <c r="OIX50" s="952"/>
      <c r="OIY50" s="952"/>
      <c r="OIZ50" s="952"/>
      <c r="OJA50" s="952"/>
      <c r="OJB50" s="952"/>
      <c r="OJC50" s="952"/>
      <c r="OJD50" s="952"/>
      <c r="OJE50" s="952"/>
      <c r="OJF50" s="952"/>
      <c r="OJG50" s="952"/>
      <c r="OJH50" s="952"/>
      <c r="OJI50" s="952"/>
      <c r="OJJ50" s="952"/>
      <c r="OJK50" s="952"/>
      <c r="OJL50" s="952"/>
      <c r="OJM50" s="952"/>
      <c r="OJN50" s="952"/>
      <c r="OJO50" s="952"/>
      <c r="OJP50" s="952"/>
      <c r="OJQ50" s="952"/>
      <c r="OJR50" s="952"/>
      <c r="OJS50" s="952"/>
      <c r="OJT50" s="952"/>
      <c r="OJU50" s="952"/>
      <c r="OJV50" s="952"/>
      <c r="OJW50" s="952"/>
      <c r="OJX50" s="952"/>
      <c r="OJY50" s="952"/>
      <c r="OJZ50" s="952"/>
      <c r="OKA50" s="952"/>
      <c r="OKB50" s="952"/>
      <c r="OKC50" s="952"/>
      <c r="OKD50" s="952"/>
      <c r="OKE50" s="952"/>
      <c r="OKF50" s="952"/>
      <c r="OKG50" s="952"/>
      <c r="OKH50" s="952"/>
      <c r="OKI50" s="952"/>
      <c r="OKJ50" s="952"/>
      <c r="OKK50" s="952"/>
      <c r="OKL50" s="952"/>
      <c r="OKM50" s="952"/>
      <c r="OKN50" s="952"/>
      <c r="OKO50" s="952"/>
      <c r="OKP50" s="952"/>
      <c r="OKQ50" s="952"/>
      <c r="OKR50" s="952"/>
      <c r="OKS50" s="952"/>
      <c r="OKT50" s="952"/>
      <c r="OKU50" s="952"/>
      <c r="OKV50" s="952"/>
      <c r="OKW50" s="952"/>
      <c r="OKX50" s="952"/>
      <c r="OKY50" s="952"/>
      <c r="OKZ50" s="952"/>
      <c r="OLA50" s="952"/>
      <c r="OLB50" s="952"/>
      <c r="OLC50" s="952"/>
      <c r="OLD50" s="952"/>
      <c r="OLE50" s="952"/>
      <c r="OLF50" s="952"/>
      <c r="OLG50" s="952"/>
      <c r="OLH50" s="952"/>
      <c r="OLI50" s="952"/>
      <c r="OLJ50" s="952"/>
      <c r="OLK50" s="952"/>
      <c r="OLL50" s="952"/>
      <c r="OLM50" s="952"/>
      <c r="OLN50" s="952"/>
      <c r="OLO50" s="952"/>
      <c r="OLP50" s="952"/>
      <c r="OLQ50" s="952"/>
      <c r="OLR50" s="952"/>
      <c r="OLS50" s="952"/>
      <c r="OLT50" s="952"/>
      <c r="OLU50" s="952"/>
      <c r="OLV50" s="952"/>
      <c r="OLW50" s="952"/>
      <c r="OLX50" s="952"/>
      <c r="OLY50" s="952"/>
      <c r="OLZ50" s="952"/>
      <c r="OMA50" s="952"/>
      <c r="OMB50" s="952"/>
      <c r="OMC50" s="952"/>
      <c r="OMD50" s="952"/>
      <c r="OME50" s="952"/>
      <c r="OMF50" s="952"/>
      <c r="OMG50" s="952"/>
      <c r="OMH50" s="952"/>
      <c r="OMI50" s="952"/>
      <c r="OMJ50" s="952"/>
      <c r="OMK50" s="952"/>
      <c r="OML50" s="952"/>
      <c r="OMM50" s="952"/>
      <c r="OMN50" s="952"/>
      <c r="OMO50" s="952"/>
      <c r="OMP50" s="952"/>
      <c r="OMQ50" s="952"/>
      <c r="OMR50" s="952"/>
      <c r="OMS50" s="952"/>
      <c r="OMT50" s="952"/>
      <c r="OMU50" s="952"/>
      <c r="OMV50" s="952"/>
      <c r="OMW50" s="952"/>
      <c r="OMX50" s="952"/>
      <c r="OMY50" s="952"/>
      <c r="OMZ50" s="952"/>
      <c r="ONA50" s="952"/>
      <c r="ONB50" s="952"/>
      <c r="ONC50" s="952"/>
      <c r="OND50" s="952"/>
      <c r="ONE50" s="952"/>
      <c r="ONF50" s="952"/>
      <c r="ONG50" s="952"/>
      <c r="ONH50" s="952"/>
      <c r="ONI50" s="952"/>
      <c r="ONJ50" s="952"/>
      <c r="ONK50" s="952"/>
      <c r="ONL50" s="952"/>
      <c r="ONM50" s="952"/>
      <c r="ONN50" s="952"/>
      <c r="ONO50" s="952"/>
      <c r="ONP50" s="952"/>
      <c r="ONQ50" s="952"/>
      <c r="ONR50" s="952"/>
      <c r="ONS50" s="952"/>
      <c r="ONT50" s="952"/>
      <c r="ONU50" s="952"/>
      <c r="ONV50" s="952"/>
      <c r="ONW50" s="952"/>
      <c r="ONX50" s="952"/>
      <c r="ONY50" s="952"/>
      <c r="ONZ50" s="952"/>
      <c r="OOA50" s="952"/>
      <c r="OOB50" s="952"/>
      <c r="OOC50" s="952"/>
      <c r="OOD50" s="952"/>
      <c r="OOE50" s="952"/>
      <c r="OOF50" s="952"/>
      <c r="OOG50" s="952"/>
      <c r="OOH50" s="952"/>
      <c r="OOI50" s="952"/>
      <c r="OOJ50" s="952"/>
      <c r="OOK50" s="952"/>
      <c r="OOL50" s="952"/>
      <c r="OOM50" s="952"/>
      <c r="OON50" s="952"/>
      <c r="OOO50" s="952"/>
      <c r="OOP50" s="952"/>
      <c r="OOQ50" s="952"/>
      <c r="OOR50" s="952"/>
      <c r="OOS50" s="952"/>
      <c r="OOT50" s="952"/>
      <c r="OOU50" s="952"/>
      <c r="OOV50" s="952"/>
      <c r="OOW50" s="952"/>
      <c r="OOX50" s="952"/>
      <c r="OOY50" s="952"/>
      <c r="OOZ50" s="952"/>
      <c r="OPA50" s="952"/>
      <c r="OPB50" s="952"/>
      <c r="OPC50" s="952"/>
      <c r="OPD50" s="952"/>
      <c r="OPE50" s="952"/>
      <c r="OPF50" s="952"/>
      <c r="OPG50" s="952"/>
      <c r="OPH50" s="952"/>
      <c r="OPI50" s="952"/>
      <c r="OPJ50" s="952"/>
      <c r="OPK50" s="952"/>
      <c r="OPL50" s="952"/>
      <c r="OPM50" s="952"/>
      <c r="OPN50" s="952"/>
      <c r="OPO50" s="952"/>
      <c r="OPP50" s="952"/>
      <c r="OPQ50" s="952"/>
      <c r="OPR50" s="952"/>
      <c r="OPS50" s="952"/>
      <c r="OPT50" s="952"/>
      <c r="OPU50" s="952"/>
      <c r="OPV50" s="952"/>
      <c r="OPW50" s="952"/>
      <c r="OPX50" s="952"/>
      <c r="OPY50" s="952"/>
      <c r="OPZ50" s="952"/>
      <c r="OQA50" s="952"/>
      <c r="OQB50" s="952"/>
      <c r="OQC50" s="952"/>
      <c r="OQD50" s="952"/>
      <c r="OQE50" s="952"/>
      <c r="OQF50" s="952"/>
      <c r="OQG50" s="952"/>
      <c r="OQH50" s="952"/>
      <c r="OQI50" s="952"/>
      <c r="OQJ50" s="952"/>
      <c r="OQK50" s="952"/>
      <c r="OQL50" s="952"/>
      <c r="OQM50" s="952"/>
      <c r="OQN50" s="952"/>
      <c r="OQO50" s="952"/>
      <c r="OQP50" s="952"/>
      <c r="OQQ50" s="952"/>
      <c r="OQR50" s="952"/>
      <c r="OQS50" s="952"/>
      <c r="OQT50" s="952"/>
      <c r="OQU50" s="952"/>
      <c r="OQV50" s="952"/>
      <c r="OQW50" s="952"/>
      <c r="OQX50" s="952"/>
      <c r="OQY50" s="952"/>
      <c r="OQZ50" s="952"/>
      <c r="ORA50" s="952"/>
      <c r="ORB50" s="952"/>
      <c r="ORC50" s="952"/>
      <c r="ORD50" s="952"/>
      <c r="ORE50" s="952"/>
      <c r="ORF50" s="952"/>
      <c r="ORG50" s="952"/>
      <c r="ORH50" s="952"/>
      <c r="ORI50" s="952"/>
      <c r="ORJ50" s="952"/>
      <c r="ORK50" s="952"/>
      <c r="ORL50" s="952"/>
      <c r="ORM50" s="952"/>
      <c r="ORN50" s="952"/>
      <c r="ORO50" s="952"/>
      <c r="ORP50" s="952"/>
      <c r="ORQ50" s="952"/>
      <c r="ORR50" s="952"/>
      <c r="ORS50" s="952"/>
      <c r="ORT50" s="952"/>
      <c r="ORU50" s="952"/>
      <c r="ORV50" s="952"/>
      <c r="ORW50" s="952"/>
      <c r="ORX50" s="952"/>
      <c r="ORY50" s="952"/>
      <c r="ORZ50" s="952"/>
      <c r="OSA50" s="952"/>
      <c r="OSB50" s="952"/>
      <c r="OSC50" s="952"/>
      <c r="OSD50" s="952"/>
      <c r="OSE50" s="952"/>
      <c r="OSF50" s="952"/>
      <c r="OSG50" s="952"/>
      <c r="OSH50" s="952"/>
      <c r="OSI50" s="952"/>
      <c r="OSJ50" s="952"/>
      <c r="OSK50" s="952"/>
      <c r="OSL50" s="952"/>
      <c r="OSM50" s="952"/>
      <c r="OSN50" s="952"/>
      <c r="OSO50" s="952"/>
      <c r="OSP50" s="952"/>
      <c r="OSQ50" s="952"/>
      <c r="OSR50" s="952"/>
      <c r="OSS50" s="952"/>
      <c r="OST50" s="952"/>
      <c r="OSU50" s="952"/>
      <c r="OSV50" s="952"/>
      <c r="OSW50" s="952"/>
      <c r="OSX50" s="952"/>
      <c r="OSY50" s="952"/>
      <c r="OSZ50" s="952"/>
      <c r="OTA50" s="952"/>
      <c r="OTB50" s="952"/>
      <c r="OTC50" s="952"/>
      <c r="OTD50" s="952"/>
      <c r="OTE50" s="952"/>
      <c r="OTF50" s="952"/>
      <c r="OTG50" s="952"/>
      <c r="OTH50" s="952"/>
      <c r="OTI50" s="952"/>
      <c r="OTJ50" s="952"/>
      <c r="OTK50" s="952"/>
      <c r="OTL50" s="952"/>
      <c r="OTM50" s="952"/>
      <c r="OTN50" s="952"/>
      <c r="OTO50" s="952"/>
      <c r="OTP50" s="952"/>
      <c r="OTQ50" s="952"/>
      <c r="OTR50" s="952"/>
      <c r="OTS50" s="952"/>
      <c r="OTT50" s="952"/>
      <c r="OTU50" s="952"/>
      <c r="OTV50" s="952"/>
      <c r="OTW50" s="952"/>
      <c r="OTX50" s="952"/>
      <c r="OTY50" s="952"/>
      <c r="OTZ50" s="952"/>
      <c r="OUA50" s="952"/>
      <c r="OUB50" s="952"/>
      <c r="OUC50" s="952"/>
      <c r="OUD50" s="952"/>
      <c r="OUE50" s="952"/>
      <c r="OUF50" s="952"/>
      <c r="OUG50" s="952"/>
      <c r="OUH50" s="952"/>
      <c r="OUI50" s="952"/>
      <c r="OUJ50" s="952"/>
      <c r="OUK50" s="952"/>
      <c r="OUL50" s="952"/>
      <c r="OUM50" s="952"/>
      <c r="OUN50" s="952"/>
      <c r="OUO50" s="952"/>
      <c r="OUP50" s="952"/>
      <c r="OUQ50" s="952"/>
      <c r="OUR50" s="952"/>
      <c r="OUS50" s="952"/>
      <c r="OUT50" s="952"/>
      <c r="OUU50" s="952"/>
      <c r="OUV50" s="952"/>
      <c r="OUW50" s="952"/>
      <c r="OUX50" s="952"/>
      <c r="OUY50" s="952"/>
      <c r="OUZ50" s="952"/>
      <c r="OVA50" s="952"/>
      <c r="OVB50" s="952"/>
      <c r="OVC50" s="952"/>
      <c r="OVD50" s="952"/>
      <c r="OVE50" s="952"/>
      <c r="OVF50" s="952"/>
      <c r="OVG50" s="952"/>
      <c r="OVH50" s="952"/>
      <c r="OVI50" s="952"/>
      <c r="OVJ50" s="952"/>
      <c r="OVK50" s="952"/>
      <c r="OVL50" s="952"/>
      <c r="OVM50" s="952"/>
      <c r="OVN50" s="952"/>
      <c r="OVO50" s="952"/>
      <c r="OVP50" s="952"/>
      <c r="OVQ50" s="952"/>
      <c r="OVR50" s="952"/>
      <c r="OVS50" s="952"/>
      <c r="OVT50" s="952"/>
      <c r="OVU50" s="952"/>
      <c r="OVV50" s="952"/>
      <c r="OVW50" s="952"/>
      <c r="OVX50" s="952"/>
      <c r="OVY50" s="952"/>
      <c r="OVZ50" s="952"/>
      <c r="OWA50" s="952"/>
      <c r="OWB50" s="952"/>
      <c r="OWC50" s="952"/>
      <c r="OWD50" s="952"/>
      <c r="OWE50" s="952"/>
      <c r="OWF50" s="952"/>
      <c r="OWG50" s="952"/>
      <c r="OWH50" s="952"/>
      <c r="OWI50" s="952"/>
      <c r="OWJ50" s="952"/>
      <c r="OWK50" s="952"/>
      <c r="OWL50" s="952"/>
      <c r="OWM50" s="952"/>
      <c r="OWN50" s="952"/>
      <c r="OWO50" s="952"/>
      <c r="OWP50" s="952"/>
      <c r="OWQ50" s="952"/>
      <c r="OWR50" s="952"/>
      <c r="OWS50" s="952"/>
      <c r="OWT50" s="952"/>
      <c r="OWU50" s="952"/>
      <c r="OWV50" s="952"/>
      <c r="OWW50" s="952"/>
      <c r="OWX50" s="952"/>
      <c r="OWY50" s="952"/>
      <c r="OWZ50" s="952"/>
      <c r="OXA50" s="952"/>
      <c r="OXB50" s="952"/>
      <c r="OXC50" s="952"/>
      <c r="OXD50" s="952"/>
      <c r="OXE50" s="952"/>
      <c r="OXF50" s="952"/>
      <c r="OXG50" s="952"/>
      <c r="OXH50" s="952"/>
      <c r="OXI50" s="952"/>
      <c r="OXJ50" s="952"/>
      <c r="OXK50" s="952"/>
      <c r="OXL50" s="952"/>
      <c r="OXM50" s="952"/>
      <c r="OXN50" s="952"/>
      <c r="OXO50" s="952"/>
      <c r="OXP50" s="952"/>
      <c r="OXQ50" s="952"/>
      <c r="OXR50" s="952"/>
      <c r="OXS50" s="952"/>
      <c r="OXT50" s="952"/>
      <c r="OXU50" s="952"/>
      <c r="OXV50" s="952"/>
      <c r="OXW50" s="952"/>
      <c r="OXX50" s="952"/>
      <c r="OXY50" s="952"/>
      <c r="OXZ50" s="952"/>
      <c r="OYA50" s="952"/>
      <c r="OYB50" s="952"/>
      <c r="OYC50" s="952"/>
      <c r="OYD50" s="952"/>
      <c r="OYE50" s="952"/>
      <c r="OYF50" s="952"/>
      <c r="OYG50" s="952"/>
      <c r="OYH50" s="952"/>
      <c r="OYI50" s="952"/>
      <c r="OYJ50" s="952"/>
      <c r="OYK50" s="952"/>
      <c r="OYL50" s="952"/>
      <c r="OYM50" s="952"/>
      <c r="OYN50" s="952"/>
      <c r="OYO50" s="952"/>
      <c r="OYP50" s="952"/>
      <c r="OYQ50" s="952"/>
      <c r="OYR50" s="952"/>
      <c r="OYS50" s="952"/>
      <c r="OYT50" s="952"/>
      <c r="OYU50" s="952"/>
      <c r="OYV50" s="952"/>
      <c r="OYW50" s="952"/>
      <c r="OYX50" s="952"/>
      <c r="OYY50" s="952"/>
      <c r="OYZ50" s="952"/>
      <c r="OZA50" s="952"/>
      <c r="OZB50" s="952"/>
      <c r="OZC50" s="952"/>
      <c r="OZD50" s="952"/>
      <c r="OZE50" s="952"/>
      <c r="OZF50" s="952"/>
      <c r="OZG50" s="952"/>
      <c r="OZH50" s="952"/>
      <c r="OZI50" s="952"/>
      <c r="OZJ50" s="952"/>
      <c r="OZK50" s="952"/>
      <c r="OZL50" s="952"/>
      <c r="OZM50" s="952"/>
      <c r="OZN50" s="952"/>
      <c r="OZO50" s="952"/>
      <c r="OZP50" s="952"/>
      <c r="OZQ50" s="952"/>
      <c r="OZR50" s="952"/>
      <c r="OZS50" s="952"/>
      <c r="OZT50" s="952"/>
      <c r="OZU50" s="952"/>
      <c r="OZV50" s="952"/>
      <c r="OZW50" s="952"/>
      <c r="OZX50" s="952"/>
      <c r="OZY50" s="952"/>
      <c r="OZZ50" s="952"/>
      <c r="PAA50" s="952"/>
      <c r="PAB50" s="952"/>
      <c r="PAC50" s="952"/>
      <c r="PAD50" s="952"/>
      <c r="PAE50" s="952"/>
      <c r="PAF50" s="952"/>
      <c r="PAG50" s="952"/>
      <c r="PAH50" s="952"/>
      <c r="PAI50" s="952"/>
      <c r="PAJ50" s="952"/>
      <c r="PAK50" s="952"/>
      <c r="PAL50" s="952"/>
      <c r="PAM50" s="952"/>
      <c r="PAN50" s="952"/>
      <c r="PAO50" s="952"/>
      <c r="PAP50" s="952"/>
      <c r="PAQ50" s="952"/>
      <c r="PAR50" s="952"/>
      <c r="PAS50" s="952"/>
      <c r="PAT50" s="952"/>
      <c r="PAU50" s="952"/>
      <c r="PAV50" s="952"/>
      <c r="PAW50" s="952"/>
      <c r="PAX50" s="952"/>
      <c r="PAY50" s="952"/>
      <c r="PAZ50" s="952"/>
      <c r="PBA50" s="952"/>
      <c r="PBB50" s="952"/>
      <c r="PBC50" s="952"/>
      <c r="PBD50" s="952"/>
      <c r="PBE50" s="952"/>
      <c r="PBF50" s="952"/>
      <c r="PBG50" s="952"/>
      <c r="PBH50" s="952"/>
      <c r="PBI50" s="952"/>
      <c r="PBJ50" s="952"/>
      <c r="PBK50" s="952"/>
      <c r="PBL50" s="952"/>
      <c r="PBM50" s="952"/>
      <c r="PBN50" s="952"/>
      <c r="PBO50" s="952"/>
      <c r="PBP50" s="952"/>
      <c r="PBQ50" s="952"/>
      <c r="PBR50" s="952"/>
      <c r="PBS50" s="952"/>
      <c r="PBT50" s="952"/>
      <c r="PBU50" s="952"/>
      <c r="PBV50" s="952"/>
      <c r="PBW50" s="952"/>
      <c r="PBX50" s="952"/>
      <c r="PBY50" s="952"/>
      <c r="PBZ50" s="952"/>
      <c r="PCA50" s="952"/>
      <c r="PCB50" s="952"/>
      <c r="PCC50" s="952"/>
      <c r="PCD50" s="952"/>
      <c r="PCE50" s="952"/>
      <c r="PCF50" s="952"/>
      <c r="PCG50" s="952"/>
      <c r="PCH50" s="952"/>
      <c r="PCI50" s="952"/>
      <c r="PCJ50" s="952"/>
      <c r="PCK50" s="952"/>
      <c r="PCL50" s="952"/>
      <c r="PCM50" s="952"/>
      <c r="PCN50" s="952"/>
      <c r="PCO50" s="952"/>
      <c r="PCP50" s="952"/>
      <c r="PCQ50" s="952"/>
      <c r="PCR50" s="952"/>
      <c r="PCS50" s="952"/>
      <c r="PCT50" s="952"/>
      <c r="PCU50" s="952"/>
      <c r="PCV50" s="952"/>
      <c r="PCW50" s="952"/>
      <c r="PCX50" s="952"/>
      <c r="PCY50" s="952"/>
      <c r="PCZ50" s="952"/>
      <c r="PDA50" s="952"/>
      <c r="PDB50" s="952"/>
      <c r="PDC50" s="952"/>
      <c r="PDD50" s="952"/>
      <c r="PDE50" s="952"/>
      <c r="PDF50" s="952"/>
      <c r="PDG50" s="952"/>
      <c r="PDH50" s="952"/>
      <c r="PDI50" s="952"/>
      <c r="PDJ50" s="952"/>
      <c r="PDK50" s="952"/>
      <c r="PDL50" s="952"/>
      <c r="PDM50" s="952"/>
      <c r="PDN50" s="952"/>
      <c r="PDO50" s="952"/>
      <c r="PDP50" s="952"/>
      <c r="PDQ50" s="952"/>
      <c r="PDR50" s="952"/>
      <c r="PDS50" s="952"/>
      <c r="PDT50" s="952"/>
      <c r="PDU50" s="952"/>
      <c r="PDV50" s="952"/>
      <c r="PDW50" s="952"/>
      <c r="PDX50" s="952"/>
      <c r="PDY50" s="952"/>
      <c r="PDZ50" s="952"/>
      <c r="PEA50" s="952"/>
      <c r="PEB50" s="952"/>
      <c r="PEC50" s="952"/>
      <c r="PED50" s="952"/>
      <c r="PEE50" s="952"/>
      <c r="PEF50" s="952"/>
      <c r="PEG50" s="952"/>
      <c r="PEH50" s="952"/>
      <c r="PEI50" s="952"/>
      <c r="PEJ50" s="952"/>
      <c r="PEK50" s="952"/>
      <c r="PEL50" s="952"/>
      <c r="PEM50" s="952"/>
      <c r="PEN50" s="952"/>
      <c r="PEO50" s="952"/>
      <c r="PEP50" s="952"/>
      <c r="PEQ50" s="952"/>
      <c r="PER50" s="952"/>
      <c r="PES50" s="952"/>
      <c r="PET50" s="952"/>
      <c r="PEU50" s="952"/>
      <c r="PEV50" s="952"/>
      <c r="PEW50" s="952"/>
      <c r="PEX50" s="952"/>
      <c r="PEY50" s="952"/>
      <c r="PEZ50" s="952"/>
      <c r="PFA50" s="952"/>
      <c r="PFB50" s="952"/>
      <c r="PFC50" s="952"/>
      <c r="PFD50" s="952"/>
      <c r="PFE50" s="952"/>
      <c r="PFF50" s="952"/>
      <c r="PFG50" s="952"/>
      <c r="PFH50" s="952"/>
      <c r="PFI50" s="952"/>
      <c r="PFJ50" s="952"/>
      <c r="PFK50" s="952"/>
      <c r="PFL50" s="952"/>
      <c r="PFM50" s="952"/>
      <c r="PFN50" s="952"/>
      <c r="PFO50" s="952"/>
      <c r="PFP50" s="952"/>
      <c r="PFQ50" s="952"/>
      <c r="PFR50" s="952"/>
      <c r="PFS50" s="952"/>
      <c r="PFT50" s="952"/>
      <c r="PFU50" s="952"/>
      <c r="PFV50" s="952"/>
      <c r="PFW50" s="952"/>
      <c r="PFX50" s="952"/>
      <c r="PFY50" s="952"/>
      <c r="PFZ50" s="952"/>
      <c r="PGA50" s="952"/>
      <c r="PGB50" s="952"/>
      <c r="PGC50" s="952"/>
      <c r="PGD50" s="952"/>
      <c r="PGE50" s="952"/>
      <c r="PGF50" s="952"/>
      <c r="PGG50" s="952"/>
      <c r="PGH50" s="952"/>
      <c r="PGI50" s="952"/>
      <c r="PGJ50" s="952"/>
      <c r="PGK50" s="952"/>
      <c r="PGL50" s="952"/>
      <c r="PGM50" s="952"/>
      <c r="PGN50" s="952"/>
      <c r="PGO50" s="952"/>
      <c r="PGP50" s="952"/>
      <c r="PGQ50" s="952"/>
      <c r="PGR50" s="952"/>
      <c r="PGS50" s="952"/>
      <c r="PGT50" s="952"/>
      <c r="PGU50" s="952"/>
      <c r="PGV50" s="952"/>
      <c r="PGW50" s="952"/>
      <c r="PGX50" s="952"/>
      <c r="PGY50" s="952"/>
      <c r="PGZ50" s="952"/>
      <c r="PHA50" s="952"/>
      <c r="PHB50" s="952"/>
      <c r="PHC50" s="952"/>
      <c r="PHD50" s="952"/>
      <c r="PHE50" s="952"/>
      <c r="PHF50" s="952"/>
      <c r="PHG50" s="952"/>
      <c r="PHH50" s="952"/>
      <c r="PHI50" s="952"/>
      <c r="PHJ50" s="952"/>
      <c r="PHK50" s="952"/>
      <c r="PHL50" s="952"/>
      <c r="PHM50" s="952"/>
      <c r="PHN50" s="952"/>
      <c r="PHO50" s="952"/>
      <c r="PHP50" s="952"/>
      <c r="PHQ50" s="952"/>
      <c r="PHR50" s="952"/>
      <c r="PHS50" s="952"/>
      <c r="PHT50" s="952"/>
      <c r="PHU50" s="952"/>
      <c r="PHV50" s="952"/>
      <c r="PHW50" s="952"/>
      <c r="PHX50" s="952"/>
      <c r="PHY50" s="952"/>
      <c r="PHZ50" s="952"/>
      <c r="PIA50" s="952"/>
      <c r="PIB50" s="952"/>
      <c r="PIC50" s="952"/>
      <c r="PID50" s="952"/>
      <c r="PIE50" s="952"/>
      <c r="PIF50" s="952"/>
      <c r="PIG50" s="952"/>
      <c r="PIH50" s="952"/>
      <c r="PII50" s="952"/>
      <c r="PIJ50" s="952"/>
      <c r="PIK50" s="952"/>
      <c r="PIL50" s="952"/>
      <c r="PIM50" s="952"/>
      <c r="PIN50" s="952"/>
      <c r="PIO50" s="952"/>
      <c r="PIP50" s="952"/>
      <c r="PIQ50" s="952"/>
      <c r="PIR50" s="952"/>
      <c r="PIS50" s="952"/>
      <c r="PIT50" s="952"/>
      <c r="PIU50" s="952"/>
      <c r="PIV50" s="952"/>
      <c r="PIW50" s="952"/>
      <c r="PIX50" s="952"/>
      <c r="PIY50" s="952"/>
      <c r="PIZ50" s="952"/>
      <c r="PJA50" s="952"/>
      <c r="PJB50" s="952"/>
      <c r="PJC50" s="952"/>
      <c r="PJD50" s="952"/>
      <c r="PJE50" s="952"/>
      <c r="PJF50" s="952"/>
      <c r="PJG50" s="952"/>
      <c r="PJH50" s="952"/>
      <c r="PJI50" s="952"/>
      <c r="PJJ50" s="952"/>
      <c r="PJK50" s="952"/>
      <c r="PJL50" s="952"/>
      <c r="PJM50" s="952"/>
      <c r="PJN50" s="952"/>
      <c r="PJO50" s="952"/>
      <c r="PJP50" s="952"/>
      <c r="PJQ50" s="952"/>
      <c r="PJR50" s="952"/>
      <c r="PJS50" s="952"/>
      <c r="PJT50" s="952"/>
      <c r="PJU50" s="952"/>
      <c r="PJV50" s="952"/>
      <c r="PJW50" s="952"/>
      <c r="PJX50" s="952"/>
      <c r="PJY50" s="952"/>
      <c r="PJZ50" s="952"/>
      <c r="PKA50" s="952"/>
      <c r="PKB50" s="952"/>
      <c r="PKC50" s="952"/>
      <c r="PKD50" s="952"/>
      <c r="PKE50" s="952"/>
      <c r="PKF50" s="952"/>
      <c r="PKG50" s="952"/>
      <c r="PKH50" s="952"/>
      <c r="PKI50" s="952"/>
      <c r="PKJ50" s="952"/>
      <c r="PKK50" s="952"/>
      <c r="PKL50" s="952"/>
      <c r="PKM50" s="952"/>
      <c r="PKN50" s="952"/>
      <c r="PKO50" s="952"/>
      <c r="PKP50" s="952"/>
      <c r="PKQ50" s="952"/>
      <c r="PKR50" s="952"/>
      <c r="PKS50" s="952"/>
      <c r="PKT50" s="952"/>
      <c r="PKU50" s="952"/>
      <c r="PKV50" s="952"/>
      <c r="PKW50" s="952"/>
      <c r="PKX50" s="952"/>
      <c r="PKY50" s="952"/>
      <c r="PKZ50" s="952"/>
      <c r="PLA50" s="952"/>
      <c r="PLB50" s="952"/>
      <c r="PLC50" s="952"/>
      <c r="PLD50" s="952"/>
      <c r="PLE50" s="952"/>
      <c r="PLF50" s="952"/>
      <c r="PLG50" s="952"/>
      <c r="PLH50" s="952"/>
      <c r="PLI50" s="952"/>
      <c r="PLJ50" s="952"/>
      <c r="PLK50" s="952"/>
      <c r="PLL50" s="952"/>
      <c r="PLM50" s="952"/>
      <c r="PLN50" s="952"/>
      <c r="PLO50" s="952"/>
      <c r="PLP50" s="952"/>
      <c r="PLQ50" s="952"/>
      <c r="PLR50" s="952"/>
      <c r="PLS50" s="952"/>
      <c r="PLT50" s="952"/>
      <c r="PLU50" s="952"/>
      <c r="PLV50" s="952"/>
      <c r="PLW50" s="952"/>
      <c r="PLX50" s="952"/>
      <c r="PLY50" s="952"/>
      <c r="PLZ50" s="952"/>
      <c r="PMA50" s="952"/>
      <c r="PMB50" s="952"/>
      <c r="PMC50" s="952"/>
      <c r="PMD50" s="952"/>
      <c r="PME50" s="952"/>
      <c r="PMF50" s="952"/>
      <c r="PMG50" s="952"/>
      <c r="PMH50" s="952"/>
      <c r="PMI50" s="952"/>
      <c r="PMJ50" s="952"/>
      <c r="PMK50" s="952"/>
      <c r="PML50" s="952"/>
      <c r="PMM50" s="952"/>
      <c r="PMN50" s="952"/>
      <c r="PMO50" s="952"/>
      <c r="PMP50" s="952"/>
      <c r="PMQ50" s="952"/>
      <c r="PMR50" s="952"/>
      <c r="PMS50" s="952"/>
      <c r="PMT50" s="952"/>
      <c r="PMU50" s="952"/>
      <c r="PMV50" s="952"/>
      <c r="PMW50" s="952"/>
      <c r="PMX50" s="952"/>
      <c r="PMY50" s="952"/>
      <c r="PMZ50" s="952"/>
      <c r="PNA50" s="952"/>
      <c r="PNB50" s="952"/>
      <c r="PNC50" s="952"/>
      <c r="PND50" s="952"/>
      <c r="PNE50" s="952"/>
      <c r="PNF50" s="952"/>
      <c r="PNG50" s="952"/>
      <c r="PNH50" s="952"/>
      <c r="PNI50" s="952"/>
      <c r="PNJ50" s="952"/>
      <c r="PNK50" s="952"/>
      <c r="PNL50" s="952"/>
      <c r="PNM50" s="952"/>
      <c r="PNN50" s="952"/>
      <c r="PNO50" s="952"/>
      <c r="PNP50" s="952"/>
      <c r="PNQ50" s="952"/>
      <c r="PNR50" s="952"/>
      <c r="PNS50" s="952"/>
      <c r="PNT50" s="952"/>
      <c r="PNU50" s="952"/>
      <c r="PNV50" s="952"/>
      <c r="PNW50" s="952"/>
      <c r="PNX50" s="952"/>
      <c r="PNY50" s="952"/>
      <c r="PNZ50" s="952"/>
      <c r="POA50" s="952"/>
      <c r="POB50" s="952"/>
      <c r="POC50" s="952"/>
      <c r="POD50" s="952"/>
      <c r="POE50" s="952"/>
      <c r="POF50" s="952"/>
      <c r="POG50" s="952"/>
      <c r="POH50" s="952"/>
      <c r="POI50" s="952"/>
      <c r="POJ50" s="952"/>
      <c r="POK50" s="952"/>
      <c r="POL50" s="952"/>
      <c r="POM50" s="952"/>
      <c r="PON50" s="952"/>
      <c r="POO50" s="952"/>
      <c r="POP50" s="952"/>
      <c r="POQ50" s="952"/>
      <c r="POR50" s="952"/>
      <c r="POS50" s="952"/>
      <c r="POT50" s="952"/>
      <c r="POU50" s="952"/>
      <c r="POV50" s="952"/>
      <c r="POW50" s="952"/>
      <c r="POX50" s="952"/>
      <c r="POY50" s="952"/>
      <c r="POZ50" s="952"/>
      <c r="PPA50" s="952"/>
      <c r="PPB50" s="952"/>
      <c r="PPC50" s="952"/>
      <c r="PPD50" s="952"/>
      <c r="PPE50" s="952"/>
      <c r="PPF50" s="952"/>
      <c r="PPG50" s="952"/>
      <c r="PPH50" s="952"/>
      <c r="PPI50" s="952"/>
      <c r="PPJ50" s="952"/>
      <c r="PPK50" s="952"/>
      <c r="PPL50" s="952"/>
      <c r="PPM50" s="952"/>
      <c r="PPN50" s="952"/>
      <c r="PPO50" s="952"/>
      <c r="PPP50" s="952"/>
      <c r="PPQ50" s="952"/>
      <c r="PPR50" s="952"/>
      <c r="PPS50" s="952"/>
      <c r="PPT50" s="952"/>
      <c r="PPU50" s="952"/>
      <c r="PPV50" s="952"/>
      <c r="PPW50" s="952"/>
      <c r="PPX50" s="952"/>
      <c r="PPY50" s="952"/>
      <c r="PPZ50" s="952"/>
      <c r="PQA50" s="952"/>
      <c r="PQB50" s="952"/>
      <c r="PQC50" s="952"/>
      <c r="PQD50" s="952"/>
      <c r="PQE50" s="952"/>
      <c r="PQF50" s="952"/>
      <c r="PQG50" s="952"/>
      <c r="PQH50" s="952"/>
      <c r="PQI50" s="952"/>
      <c r="PQJ50" s="952"/>
      <c r="PQK50" s="952"/>
      <c r="PQL50" s="952"/>
      <c r="PQM50" s="952"/>
      <c r="PQN50" s="952"/>
      <c r="PQO50" s="952"/>
      <c r="PQP50" s="952"/>
      <c r="PQQ50" s="952"/>
      <c r="PQR50" s="952"/>
      <c r="PQS50" s="952"/>
      <c r="PQT50" s="952"/>
      <c r="PQU50" s="952"/>
      <c r="PQV50" s="952"/>
      <c r="PQW50" s="952"/>
      <c r="PQX50" s="952"/>
      <c r="PQY50" s="952"/>
      <c r="PQZ50" s="952"/>
      <c r="PRA50" s="952"/>
      <c r="PRB50" s="952"/>
      <c r="PRC50" s="952"/>
      <c r="PRD50" s="952"/>
      <c r="PRE50" s="952"/>
      <c r="PRF50" s="952"/>
      <c r="PRG50" s="952"/>
      <c r="PRH50" s="952"/>
      <c r="PRI50" s="952"/>
      <c r="PRJ50" s="952"/>
      <c r="PRK50" s="952"/>
      <c r="PRL50" s="952"/>
      <c r="PRM50" s="952"/>
      <c r="PRN50" s="952"/>
      <c r="PRO50" s="952"/>
      <c r="PRP50" s="952"/>
      <c r="PRQ50" s="952"/>
      <c r="PRR50" s="952"/>
      <c r="PRS50" s="952"/>
      <c r="PRT50" s="952"/>
      <c r="PRU50" s="952"/>
      <c r="PRV50" s="952"/>
      <c r="PRW50" s="952"/>
      <c r="PRX50" s="952"/>
      <c r="PRY50" s="952"/>
      <c r="PRZ50" s="952"/>
      <c r="PSA50" s="952"/>
      <c r="PSB50" s="952"/>
      <c r="PSC50" s="952"/>
      <c r="PSD50" s="952"/>
      <c r="PSE50" s="952"/>
      <c r="PSF50" s="952"/>
      <c r="PSG50" s="952"/>
      <c r="PSH50" s="952"/>
      <c r="PSI50" s="952"/>
      <c r="PSJ50" s="952"/>
      <c r="PSK50" s="952"/>
      <c r="PSL50" s="952"/>
      <c r="PSM50" s="952"/>
      <c r="PSN50" s="952"/>
      <c r="PSO50" s="952"/>
      <c r="PSP50" s="952"/>
      <c r="PSQ50" s="952"/>
      <c r="PSR50" s="952"/>
      <c r="PSS50" s="952"/>
      <c r="PST50" s="952"/>
      <c r="PSU50" s="952"/>
      <c r="PSV50" s="952"/>
      <c r="PSW50" s="952"/>
      <c r="PSX50" s="952"/>
      <c r="PSY50" s="952"/>
      <c r="PSZ50" s="952"/>
      <c r="PTA50" s="952"/>
      <c r="PTB50" s="952"/>
      <c r="PTC50" s="952"/>
      <c r="PTD50" s="952"/>
      <c r="PTE50" s="952"/>
      <c r="PTF50" s="952"/>
      <c r="PTG50" s="952"/>
      <c r="PTH50" s="952"/>
      <c r="PTI50" s="952"/>
      <c r="PTJ50" s="952"/>
      <c r="PTK50" s="952"/>
      <c r="PTL50" s="952"/>
      <c r="PTM50" s="952"/>
      <c r="PTN50" s="952"/>
      <c r="PTO50" s="952"/>
      <c r="PTP50" s="952"/>
      <c r="PTQ50" s="952"/>
      <c r="PTR50" s="952"/>
      <c r="PTS50" s="952"/>
      <c r="PTT50" s="952"/>
      <c r="PTU50" s="952"/>
      <c r="PTV50" s="952"/>
      <c r="PTW50" s="952"/>
      <c r="PTX50" s="952"/>
      <c r="PTY50" s="952"/>
      <c r="PTZ50" s="952"/>
      <c r="PUA50" s="952"/>
      <c r="PUB50" s="952"/>
      <c r="PUC50" s="952"/>
      <c r="PUD50" s="952"/>
      <c r="PUE50" s="952"/>
      <c r="PUF50" s="952"/>
      <c r="PUG50" s="952"/>
      <c r="PUH50" s="952"/>
      <c r="PUI50" s="952"/>
      <c r="PUJ50" s="952"/>
      <c r="PUK50" s="952"/>
      <c r="PUL50" s="952"/>
      <c r="PUM50" s="952"/>
      <c r="PUN50" s="952"/>
      <c r="PUO50" s="952"/>
      <c r="PUP50" s="952"/>
      <c r="PUQ50" s="952"/>
      <c r="PUR50" s="952"/>
      <c r="PUS50" s="952"/>
      <c r="PUT50" s="952"/>
      <c r="PUU50" s="952"/>
      <c r="PUV50" s="952"/>
      <c r="PUW50" s="952"/>
      <c r="PUX50" s="952"/>
      <c r="PUY50" s="952"/>
      <c r="PUZ50" s="952"/>
      <c r="PVA50" s="952"/>
      <c r="PVB50" s="952"/>
      <c r="PVC50" s="952"/>
      <c r="PVD50" s="952"/>
      <c r="PVE50" s="952"/>
      <c r="PVF50" s="952"/>
      <c r="PVG50" s="952"/>
      <c r="PVH50" s="952"/>
      <c r="PVI50" s="952"/>
      <c r="PVJ50" s="952"/>
      <c r="PVK50" s="952"/>
      <c r="PVL50" s="952"/>
      <c r="PVM50" s="952"/>
      <c r="PVN50" s="952"/>
      <c r="PVO50" s="952"/>
      <c r="PVP50" s="952"/>
      <c r="PVQ50" s="952"/>
      <c r="PVR50" s="952"/>
      <c r="PVS50" s="952"/>
      <c r="PVT50" s="952"/>
      <c r="PVU50" s="952"/>
      <c r="PVV50" s="952"/>
      <c r="PVW50" s="952"/>
      <c r="PVX50" s="952"/>
      <c r="PVY50" s="952"/>
      <c r="PVZ50" s="952"/>
      <c r="PWA50" s="952"/>
      <c r="PWB50" s="952"/>
      <c r="PWC50" s="952"/>
      <c r="PWD50" s="952"/>
      <c r="PWE50" s="952"/>
      <c r="PWF50" s="952"/>
      <c r="PWG50" s="952"/>
      <c r="PWH50" s="952"/>
      <c r="PWI50" s="952"/>
      <c r="PWJ50" s="952"/>
      <c r="PWK50" s="952"/>
      <c r="PWL50" s="952"/>
      <c r="PWM50" s="952"/>
      <c r="PWN50" s="952"/>
      <c r="PWO50" s="952"/>
      <c r="PWP50" s="952"/>
      <c r="PWQ50" s="952"/>
      <c r="PWR50" s="952"/>
      <c r="PWS50" s="952"/>
      <c r="PWT50" s="952"/>
      <c r="PWU50" s="952"/>
      <c r="PWV50" s="952"/>
      <c r="PWW50" s="952"/>
      <c r="PWX50" s="952"/>
      <c r="PWY50" s="952"/>
      <c r="PWZ50" s="952"/>
      <c r="PXA50" s="952"/>
      <c r="PXB50" s="952"/>
      <c r="PXC50" s="952"/>
      <c r="PXD50" s="952"/>
      <c r="PXE50" s="952"/>
      <c r="PXF50" s="952"/>
      <c r="PXG50" s="952"/>
      <c r="PXH50" s="952"/>
      <c r="PXI50" s="952"/>
      <c r="PXJ50" s="952"/>
      <c r="PXK50" s="952"/>
      <c r="PXL50" s="952"/>
      <c r="PXM50" s="952"/>
      <c r="PXN50" s="952"/>
      <c r="PXO50" s="952"/>
      <c r="PXP50" s="952"/>
      <c r="PXQ50" s="952"/>
      <c r="PXR50" s="952"/>
      <c r="PXS50" s="952"/>
      <c r="PXT50" s="952"/>
      <c r="PXU50" s="952"/>
      <c r="PXV50" s="952"/>
      <c r="PXW50" s="952"/>
      <c r="PXX50" s="952"/>
      <c r="PXY50" s="952"/>
      <c r="PXZ50" s="952"/>
      <c r="PYA50" s="952"/>
      <c r="PYB50" s="952"/>
      <c r="PYC50" s="952"/>
      <c r="PYD50" s="952"/>
      <c r="PYE50" s="952"/>
      <c r="PYF50" s="952"/>
      <c r="PYG50" s="952"/>
      <c r="PYH50" s="952"/>
      <c r="PYI50" s="952"/>
      <c r="PYJ50" s="952"/>
      <c r="PYK50" s="952"/>
      <c r="PYL50" s="952"/>
      <c r="PYM50" s="952"/>
      <c r="PYN50" s="952"/>
      <c r="PYO50" s="952"/>
      <c r="PYP50" s="952"/>
      <c r="PYQ50" s="952"/>
      <c r="PYR50" s="952"/>
      <c r="PYS50" s="952"/>
      <c r="PYT50" s="952"/>
      <c r="PYU50" s="952"/>
      <c r="PYV50" s="952"/>
      <c r="PYW50" s="952"/>
      <c r="PYX50" s="952"/>
      <c r="PYY50" s="952"/>
      <c r="PYZ50" s="952"/>
      <c r="PZA50" s="952"/>
      <c r="PZB50" s="952"/>
      <c r="PZC50" s="952"/>
      <c r="PZD50" s="952"/>
      <c r="PZE50" s="952"/>
      <c r="PZF50" s="952"/>
      <c r="PZG50" s="952"/>
      <c r="PZH50" s="952"/>
      <c r="PZI50" s="952"/>
      <c r="PZJ50" s="952"/>
      <c r="PZK50" s="952"/>
      <c r="PZL50" s="952"/>
      <c r="PZM50" s="952"/>
      <c r="PZN50" s="952"/>
      <c r="PZO50" s="952"/>
      <c r="PZP50" s="952"/>
      <c r="PZQ50" s="952"/>
      <c r="PZR50" s="952"/>
      <c r="PZS50" s="952"/>
      <c r="PZT50" s="952"/>
      <c r="PZU50" s="952"/>
      <c r="PZV50" s="952"/>
      <c r="PZW50" s="952"/>
      <c r="PZX50" s="952"/>
      <c r="PZY50" s="952"/>
      <c r="PZZ50" s="952"/>
      <c r="QAA50" s="952"/>
      <c r="QAB50" s="952"/>
      <c r="QAC50" s="952"/>
      <c r="QAD50" s="952"/>
      <c r="QAE50" s="952"/>
      <c r="QAF50" s="952"/>
      <c r="QAG50" s="952"/>
      <c r="QAH50" s="952"/>
      <c r="QAI50" s="952"/>
      <c r="QAJ50" s="952"/>
      <c r="QAK50" s="952"/>
      <c r="QAL50" s="952"/>
      <c r="QAM50" s="952"/>
      <c r="QAN50" s="952"/>
      <c r="QAO50" s="952"/>
      <c r="QAP50" s="952"/>
      <c r="QAQ50" s="952"/>
      <c r="QAR50" s="952"/>
      <c r="QAS50" s="952"/>
      <c r="QAT50" s="952"/>
      <c r="QAU50" s="952"/>
      <c r="QAV50" s="952"/>
      <c r="QAW50" s="952"/>
      <c r="QAX50" s="952"/>
      <c r="QAY50" s="952"/>
      <c r="QAZ50" s="952"/>
      <c r="QBA50" s="952"/>
      <c r="QBB50" s="952"/>
      <c r="QBC50" s="952"/>
      <c r="QBD50" s="952"/>
      <c r="QBE50" s="952"/>
      <c r="QBF50" s="952"/>
      <c r="QBG50" s="952"/>
      <c r="QBH50" s="952"/>
      <c r="QBI50" s="952"/>
      <c r="QBJ50" s="952"/>
      <c r="QBK50" s="952"/>
      <c r="QBL50" s="952"/>
      <c r="QBM50" s="952"/>
      <c r="QBN50" s="952"/>
      <c r="QBO50" s="952"/>
      <c r="QBP50" s="952"/>
      <c r="QBQ50" s="952"/>
      <c r="QBR50" s="952"/>
      <c r="QBS50" s="952"/>
      <c r="QBT50" s="952"/>
      <c r="QBU50" s="952"/>
      <c r="QBV50" s="952"/>
      <c r="QBW50" s="952"/>
      <c r="QBX50" s="952"/>
      <c r="QBY50" s="952"/>
      <c r="QBZ50" s="952"/>
      <c r="QCA50" s="952"/>
      <c r="QCB50" s="952"/>
      <c r="QCC50" s="952"/>
      <c r="QCD50" s="952"/>
      <c r="QCE50" s="952"/>
      <c r="QCF50" s="952"/>
      <c r="QCG50" s="952"/>
      <c r="QCH50" s="952"/>
      <c r="QCI50" s="952"/>
      <c r="QCJ50" s="952"/>
      <c r="QCK50" s="952"/>
      <c r="QCL50" s="952"/>
      <c r="QCM50" s="952"/>
      <c r="QCN50" s="952"/>
      <c r="QCO50" s="952"/>
      <c r="QCP50" s="952"/>
      <c r="QCQ50" s="952"/>
      <c r="QCR50" s="952"/>
      <c r="QCS50" s="952"/>
      <c r="QCT50" s="952"/>
      <c r="QCU50" s="952"/>
      <c r="QCV50" s="952"/>
      <c r="QCW50" s="952"/>
      <c r="QCX50" s="952"/>
      <c r="QCY50" s="952"/>
      <c r="QCZ50" s="952"/>
      <c r="QDA50" s="952"/>
      <c r="QDB50" s="952"/>
      <c r="QDC50" s="952"/>
      <c r="QDD50" s="952"/>
      <c r="QDE50" s="952"/>
      <c r="QDF50" s="952"/>
      <c r="QDG50" s="952"/>
      <c r="QDH50" s="952"/>
      <c r="QDI50" s="952"/>
      <c r="QDJ50" s="952"/>
      <c r="QDK50" s="952"/>
      <c r="QDL50" s="952"/>
      <c r="QDM50" s="952"/>
      <c r="QDN50" s="952"/>
      <c r="QDO50" s="952"/>
      <c r="QDP50" s="952"/>
      <c r="QDQ50" s="952"/>
      <c r="QDR50" s="952"/>
      <c r="QDS50" s="952"/>
      <c r="QDT50" s="952"/>
      <c r="QDU50" s="952"/>
      <c r="QDV50" s="952"/>
      <c r="QDW50" s="952"/>
      <c r="QDX50" s="952"/>
      <c r="QDY50" s="952"/>
      <c r="QDZ50" s="952"/>
      <c r="QEA50" s="952"/>
      <c r="QEB50" s="952"/>
      <c r="QEC50" s="952"/>
      <c r="QED50" s="952"/>
      <c r="QEE50" s="952"/>
      <c r="QEF50" s="952"/>
      <c r="QEG50" s="952"/>
      <c r="QEH50" s="952"/>
      <c r="QEI50" s="952"/>
      <c r="QEJ50" s="952"/>
      <c r="QEK50" s="952"/>
      <c r="QEL50" s="952"/>
      <c r="QEM50" s="952"/>
      <c r="QEN50" s="952"/>
      <c r="QEO50" s="952"/>
      <c r="QEP50" s="952"/>
      <c r="QEQ50" s="952"/>
      <c r="QER50" s="952"/>
      <c r="QES50" s="952"/>
      <c r="QET50" s="952"/>
      <c r="QEU50" s="952"/>
      <c r="QEV50" s="952"/>
      <c r="QEW50" s="952"/>
      <c r="QEX50" s="952"/>
      <c r="QEY50" s="952"/>
      <c r="QEZ50" s="952"/>
      <c r="QFA50" s="952"/>
      <c r="QFB50" s="952"/>
      <c r="QFC50" s="952"/>
      <c r="QFD50" s="952"/>
      <c r="QFE50" s="952"/>
      <c r="QFF50" s="952"/>
      <c r="QFG50" s="952"/>
      <c r="QFH50" s="952"/>
      <c r="QFI50" s="952"/>
      <c r="QFJ50" s="952"/>
      <c r="QFK50" s="952"/>
      <c r="QFL50" s="952"/>
      <c r="QFM50" s="952"/>
      <c r="QFN50" s="952"/>
      <c r="QFO50" s="952"/>
      <c r="QFP50" s="952"/>
      <c r="QFQ50" s="952"/>
      <c r="QFR50" s="952"/>
      <c r="QFS50" s="952"/>
      <c r="QFT50" s="952"/>
      <c r="QFU50" s="952"/>
      <c r="QFV50" s="952"/>
      <c r="QFW50" s="952"/>
      <c r="QFX50" s="952"/>
      <c r="QFY50" s="952"/>
      <c r="QFZ50" s="952"/>
      <c r="QGA50" s="952"/>
      <c r="QGB50" s="952"/>
      <c r="QGC50" s="952"/>
      <c r="QGD50" s="952"/>
      <c r="QGE50" s="952"/>
      <c r="QGF50" s="952"/>
      <c r="QGG50" s="952"/>
      <c r="QGH50" s="952"/>
      <c r="QGI50" s="952"/>
      <c r="QGJ50" s="952"/>
      <c r="QGK50" s="952"/>
      <c r="QGL50" s="952"/>
      <c r="QGM50" s="952"/>
      <c r="QGN50" s="952"/>
      <c r="QGO50" s="952"/>
      <c r="QGP50" s="952"/>
      <c r="QGQ50" s="952"/>
      <c r="QGR50" s="952"/>
      <c r="QGS50" s="952"/>
      <c r="QGT50" s="952"/>
      <c r="QGU50" s="952"/>
      <c r="QGV50" s="952"/>
      <c r="QGW50" s="952"/>
      <c r="QGX50" s="952"/>
      <c r="QGY50" s="952"/>
      <c r="QGZ50" s="952"/>
      <c r="QHA50" s="952"/>
      <c r="QHB50" s="952"/>
      <c r="QHC50" s="952"/>
      <c r="QHD50" s="952"/>
      <c r="QHE50" s="952"/>
      <c r="QHF50" s="952"/>
      <c r="QHG50" s="952"/>
      <c r="QHH50" s="952"/>
      <c r="QHI50" s="952"/>
      <c r="QHJ50" s="952"/>
      <c r="QHK50" s="952"/>
      <c r="QHL50" s="952"/>
      <c r="QHM50" s="952"/>
      <c r="QHN50" s="952"/>
      <c r="QHO50" s="952"/>
      <c r="QHP50" s="952"/>
      <c r="QHQ50" s="952"/>
      <c r="QHR50" s="952"/>
      <c r="QHS50" s="952"/>
      <c r="QHT50" s="952"/>
      <c r="QHU50" s="952"/>
      <c r="QHV50" s="952"/>
      <c r="QHW50" s="952"/>
      <c r="QHX50" s="952"/>
      <c r="QHY50" s="952"/>
      <c r="QHZ50" s="952"/>
      <c r="QIA50" s="952"/>
      <c r="QIB50" s="952"/>
      <c r="QIC50" s="952"/>
      <c r="QID50" s="952"/>
      <c r="QIE50" s="952"/>
      <c r="QIF50" s="952"/>
      <c r="QIG50" s="952"/>
      <c r="QIH50" s="952"/>
      <c r="QII50" s="952"/>
      <c r="QIJ50" s="952"/>
      <c r="QIK50" s="952"/>
      <c r="QIL50" s="952"/>
      <c r="QIM50" s="952"/>
      <c r="QIN50" s="952"/>
      <c r="QIO50" s="952"/>
      <c r="QIP50" s="952"/>
      <c r="QIQ50" s="952"/>
      <c r="QIR50" s="952"/>
      <c r="QIS50" s="952"/>
      <c r="QIT50" s="952"/>
      <c r="QIU50" s="952"/>
      <c r="QIV50" s="952"/>
      <c r="QIW50" s="952"/>
      <c r="QIX50" s="952"/>
      <c r="QIY50" s="952"/>
      <c r="QIZ50" s="952"/>
      <c r="QJA50" s="952"/>
      <c r="QJB50" s="952"/>
      <c r="QJC50" s="952"/>
      <c r="QJD50" s="952"/>
      <c r="QJE50" s="952"/>
      <c r="QJF50" s="952"/>
      <c r="QJG50" s="952"/>
      <c r="QJH50" s="952"/>
      <c r="QJI50" s="952"/>
      <c r="QJJ50" s="952"/>
      <c r="QJK50" s="952"/>
      <c r="QJL50" s="952"/>
      <c r="QJM50" s="952"/>
      <c r="QJN50" s="952"/>
      <c r="QJO50" s="952"/>
      <c r="QJP50" s="952"/>
      <c r="QJQ50" s="952"/>
      <c r="QJR50" s="952"/>
      <c r="QJS50" s="952"/>
      <c r="QJT50" s="952"/>
      <c r="QJU50" s="952"/>
      <c r="QJV50" s="952"/>
      <c r="QJW50" s="952"/>
      <c r="QJX50" s="952"/>
      <c r="QJY50" s="952"/>
      <c r="QJZ50" s="952"/>
      <c r="QKA50" s="952"/>
      <c r="QKB50" s="952"/>
      <c r="QKC50" s="952"/>
      <c r="QKD50" s="952"/>
      <c r="QKE50" s="952"/>
      <c r="QKF50" s="952"/>
      <c r="QKG50" s="952"/>
      <c r="QKH50" s="952"/>
      <c r="QKI50" s="952"/>
      <c r="QKJ50" s="952"/>
      <c r="QKK50" s="952"/>
      <c r="QKL50" s="952"/>
      <c r="QKM50" s="952"/>
      <c r="QKN50" s="952"/>
      <c r="QKO50" s="952"/>
      <c r="QKP50" s="952"/>
      <c r="QKQ50" s="952"/>
      <c r="QKR50" s="952"/>
      <c r="QKS50" s="952"/>
      <c r="QKT50" s="952"/>
      <c r="QKU50" s="952"/>
      <c r="QKV50" s="952"/>
      <c r="QKW50" s="952"/>
      <c r="QKX50" s="952"/>
      <c r="QKY50" s="952"/>
      <c r="QKZ50" s="952"/>
      <c r="QLA50" s="952"/>
      <c r="QLB50" s="952"/>
      <c r="QLC50" s="952"/>
      <c r="QLD50" s="952"/>
      <c r="QLE50" s="952"/>
      <c r="QLF50" s="952"/>
      <c r="QLG50" s="952"/>
      <c r="QLH50" s="952"/>
      <c r="QLI50" s="952"/>
      <c r="QLJ50" s="952"/>
      <c r="QLK50" s="952"/>
      <c r="QLL50" s="952"/>
      <c r="QLM50" s="952"/>
      <c r="QLN50" s="952"/>
      <c r="QLO50" s="952"/>
      <c r="QLP50" s="952"/>
      <c r="QLQ50" s="952"/>
      <c r="QLR50" s="952"/>
      <c r="QLS50" s="952"/>
      <c r="QLT50" s="952"/>
      <c r="QLU50" s="952"/>
      <c r="QLV50" s="952"/>
      <c r="QLW50" s="952"/>
      <c r="QLX50" s="952"/>
      <c r="QLY50" s="952"/>
      <c r="QLZ50" s="952"/>
      <c r="QMA50" s="952"/>
      <c r="QMB50" s="952"/>
      <c r="QMC50" s="952"/>
      <c r="QMD50" s="952"/>
      <c r="QME50" s="952"/>
      <c r="QMF50" s="952"/>
      <c r="QMG50" s="952"/>
      <c r="QMH50" s="952"/>
      <c r="QMI50" s="952"/>
      <c r="QMJ50" s="952"/>
      <c r="QMK50" s="952"/>
      <c r="QML50" s="952"/>
      <c r="QMM50" s="952"/>
      <c r="QMN50" s="952"/>
      <c r="QMO50" s="952"/>
      <c r="QMP50" s="952"/>
      <c r="QMQ50" s="952"/>
      <c r="QMR50" s="952"/>
      <c r="QMS50" s="952"/>
      <c r="QMT50" s="952"/>
      <c r="QMU50" s="952"/>
      <c r="QMV50" s="952"/>
      <c r="QMW50" s="952"/>
      <c r="QMX50" s="952"/>
      <c r="QMY50" s="952"/>
      <c r="QMZ50" s="952"/>
      <c r="QNA50" s="952"/>
      <c r="QNB50" s="952"/>
      <c r="QNC50" s="952"/>
      <c r="QND50" s="952"/>
      <c r="QNE50" s="952"/>
      <c r="QNF50" s="952"/>
      <c r="QNG50" s="952"/>
      <c r="QNH50" s="952"/>
      <c r="QNI50" s="952"/>
      <c r="QNJ50" s="952"/>
      <c r="QNK50" s="952"/>
      <c r="QNL50" s="952"/>
      <c r="QNM50" s="952"/>
      <c r="QNN50" s="952"/>
      <c r="QNO50" s="952"/>
      <c r="QNP50" s="952"/>
      <c r="QNQ50" s="952"/>
      <c r="QNR50" s="952"/>
      <c r="QNS50" s="952"/>
      <c r="QNT50" s="952"/>
      <c r="QNU50" s="952"/>
      <c r="QNV50" s="952"/>
      <c r="QNW50" s="952"/>
      <c r="QNX50" s="952"/>
      <c r="QNY50" s="952"/>
      <c r="QNZ50" s="952"/>
      <c r="QOA50" s="952"/>
      <c r="QOB50" s="952"/>
      <c r="QOC50" s="952"/>
      <c r="QOD50" s="952"/>
      <c r="QOE50" s="952"/>
      <c r="QOF50" s="952"/>
      <c r="QOG50" s="952"/>
      <c r="QOH50" s="952"/>
      <c r="QOI50" s="952"/>
      <c r="QOJ50" s="952"/>
      <c r="QOK50" s="952"/>
      <c r="QOL50" s="952"/>
      <c r="QOM50" s="952"/>
      <c r="QON50" s="952"/>
      <c r="QOO50" s="952"/>
      <c r="QOP50" s="952"/>
      <c r="QOQ50" s="952"/>
      <c r="QOR50" s="952"/>
      <c r="QOS50" s="952"/>
      <c r="QOT50" s="952"/>
      <c r="QOU50" s="952"/>
      <c r="QOV50" s="952"/>
      <c r="QOW50" s="952"/>
      <c r="QOX50" s="952"/>
      <c r="QOY50" s="952"/>
      <c r="QOZ50" s="952"/>
      <c r="QPA50" s="952"/>
      <c r="QPB50" s="952"/>
      <c r="QPC50" s="952"/>
      <c r="QPD50" s="952"/>
      <c r="QPE50" s="952"/>
      <c r="QPF50" s="952"/>
      <c r="QPG50" s="952"/>
      <c r="QPH50" s="952"/>
      <c r="QPI50" s="952"/>
      <c r="QPJ50" s="952"/>
      <c r="QPK50" s="952"/>
      <c r="QPL50" s="952"/>
      <c r="QPM50" s="952"/>
      <c r="QPN50" s="952"/>
      <c r="QPO50" s="952"/>
      <c r="QPP50" s="952"/>
      <c r="QPQ50" s="952"/>
      <c r="QPR50" s="952"/>
      <c r="QPS50" s="952"/>
      <c r="QPT50" s="952"/>
      <c r="QPU50" s="952"/>
      <c r="QPV50" s="952"/>
      <c r="QPW50" s="952"/>
      <c r="QPX50" s="952"/>
      <c r="QPY50" s="952"/>
      <c r="QPZ50" s="952"/>
      <c r="QQA50" s="952"/>
      <c r="QQB50" s="952"/>
      <c r="QQC50" s="952"/>
      <c r="QQD50" s="952"/>
      <c r="QQE50" s="952"/>
      <c r="QQF50" s="952"/>
      <c r="QQG50" s="952"/>
      <c r="QQH50" s="952"/>
      <c r="QQI50" s="952"/>
      <c r="QQJ50" s="952"/>
      <c r="QQK50" s="952"/>
      <c r="QQL50" s="952"/>
      <c r="QQM50" s="952"/>
      <c r="QQN50" s="952"/>
      <c r="QQO50" s="952"/>
      <c r="QQP50" s="952"/>
      <c r="QQQ50" s="952"/>
      <c r="QQR50" s="952"/>
      <c r="QQS50" s="952"/>
      <c r="QQT50" s="952"/>
      <c r="QQU50" s="952"/>
      <c r="QQV50" s="952"/>
      <c r="QQW50" s="952"/>
      <c r="QQX50" s="952"/>
      <c r="QQY50" s="952"/>
      <c r="QQZ50" s="952"/>
      <c r="QRA50" s="952"/>
      <c r="QRB50" s="952"/>
      <c r="QRC50" s="952"/>
      <c r="QRD50" s="952"/>
      <c r="QRE50" s="952"/>
      <c r="QRF50" s="952"/>
      <c r="QRG50" s="952"/>
      <c r="QRH50" s="952"/>
      <c r="QRI50" s="952"/>
      <c r="QRJ50" s="952"/>
      <c r="QRK50" s="952"/>
      <c r="QRL50" s="952"/>
      <c r="QRM50" s="952"/>
      <c r="QRN50" s="952"/>
      <c r="QRO50" s="952"/>
      <c r="QRP50" s="952"/>
      <c r="QRQ50" s="952"/>
      <c r="QRR50" s="952"/>
      <c r="QRS50" s="952"/>
      <c r="QRT50" s="952"/>
      <c r="QRU50" s="952"/>
      <c r="QRV50" s="952"/>
      <c r="QRW50" s="952"/>
      <c r="QRX50" s="952"/>
      <c r="QRY50" s="952"/>
      <c r="QRZ50" s="952"/>
      <c r="QSA50" s="952"/>
      <c r="QSB50" s="952"/>
      <c r="QSC50" s="952"/>
      <c r="QSD50" s="952"/>
      <c r="QSE50" s="952"/>
      <c r="QSF50" s="952"/>
      <c r="QSG50" s="952"/>
      <c r="QSH50" s="952"/>
      <c r="QSI50" s="952"/>
      <c r="QSJ50" s="952"/>
      <c r="QSK50" s="952"/>
      <c r="QSL50" s="952"/>
      <c r="QSM50" s="952"/>
      <c r="QSN50" s="952"/>
      <c r="QSO50" s="952"/>
      <c r="QSP50" s="952"/>
      <c r="QSQ50" s="952"/>
      <c r="QSR50" s="952"/>
      <c r="QSS50" s="952"/>
      <c r="QST50" s="952"/>
      <c r="QSU50" s="952"/>
      <c r="QSV50" s="952"/>
      <c r="QSW50" s="952"/>
      <c r="QSX50" s="952"/>
      <c r="QSY50" s="952"/>
      <c r="QSZ50" s="952"/>
      <c r="QTA50" s="952"/>
      <c r="QTB50" s="952"/>
      <c r="QTC50" s="952"/>
      <c r="QTD50" s="952"/>
      <c r="QTE50" s="952"/>
      <c r="QTF50" s="952"/>
      <c r="QTG50" s="952"/>
      <c r="QTH50" s="952"/>
      <c r="QTI50" s="952"/>
      <c r="QTJ50" s="952"/>
      <c r="QTK50" s="952"/>
      <c r="QTL50" s="952"/>
      <c r="QTM50" s="952"/>
      <c r="QTN50" s="952"/>
      <c r="QTO50" s="952"/>
      <c r="QTP50" s="952"/>
      <c r="QTQ50" s="952"/>
      <c r="QTR50" s="952"/>
      <c r="QTS50" s="952"/>
      <c r="QTT50" s="952"/>
      <c r="QTU50" s="952"/>
      <c r="QTV50" s="952"/>
      <c r="QTW50" s="952"/>
      <c r="QTX50" s="952"/>
      <c r="QTY50" s="952"/>
      <c r="QTZ50" s="952"/>
      <c r="QUA50" s="952"/>
      <c r="QUB50" s="952"/>
      <c r="QUC50" s="952"/>
      <c r="QUD50" s="952"/>
      <c r="QUE50" s="952"/>
      <c r="QUF50" s="952"/>
      <c r="QUG50" s="952"/>
      <c r="QUH50" s="952"/>
      <c r="QUI50" s="952"/>
      <c r="QUJ50" s="952"/>
      <c r="QUK50" s="952"/>
      <c r="QUL50" s="952"/>
      <c r="QUM50" s="952"/>
      <c r="QUN50" s="952"/>
      <c r="QUO50" s="952"/>
      <c r="QUP50" s="952"/>
      <c r="QUQ50" s="952"/>
      <c r="QUR50" s="952"/>
      <c r="QUS50" s="952"/>
      <c r="QUT50" s="952"/>
      <c r="QUU50" s="952"/>
      <c r="QUV50" s="952"/>
      <c r="QUW50" s="952"/>
      <c r="QUX50" s="952"/>
      <c r="QUY50" s="952"/>
      <c r="QUZ50" s="952"/>
      <c r="QVA50" s="952"/>
      <c r="QVB50" s="952"/>
      <c r="QVC50" s="952"/>
      <c r="QVD50" s="952"/>
      <c r="QVE50" s="952"/>
      <c r="QVF50" s="952"/>
      <c r="QVG50" s="952"/>
      <c r="QVH50" s="952"/>
      <c r="QVI50" s="952"/>
      <c r="QVJ50" s="952"/>
      <c r="QVK50" s="952"/>
      <c r="QVL50" s="952"/>
      <c r="QVM50" s="952"/>
      <c r="QVN50" s="952"/>
      <c r="QVO50" s="952"/>
      <c r="QVP50" s="952"/>
      <c r="QVQ50" s="952"/>
      <c r="QVR50" s="952"/>
      <c r="QVS50" s="952"/>
      <c r="QVT50" s="952"/>
      <c r="QVU50" s="952"/>
      <c r="QVV50" s="952"/>
      <c r="QVW50" s="952"/>
      <c r="QVX50" s="952"/>
      <c r="QVY50" s="952"/>
      <c r="QVZ50" s="952"/>
      <c r="QWA50" s="952"/>
      <c r="QWB50" s="952"/>
      <c r="QWC50" s="952"/>
      <c r="QWD50" s="952"/>
      <c r="QWE50" s="952"/>
      <c r="QWF50" s="952"/>
      <c r="QWG50" s="952"/>
      <c r="QWH50" s="952"/>
      <c r="QWI50" s="952"/>
      <c r="QWJ50" s="952"/>
      <c r="QWK50" s="952"/>
      <c r="QWL50" s="952"/>
      <c r="QWM50" s="952"/>
      <c r="QWN50" s="952"/>
      <c r="QWO50" s="952"/>
      <c r="QWP50" s="952"/>
      <c r="QWQ50" s="952"/>
      <c r="QWR50" s="952"/>
      <c r="QWS50" s="952"/>
      <c r="QWT50" s="952"/>
      <c r="QWU50" s="952"/>
      <c r="QWV50" s="952"/>
      <c r="QWW50" s="952"/>
      <c r="QWX50" s="952"/>
      <c r="QWY50" s="952"/>
      <c r="QWZ50" s="952"/>
      <c r="QXA50" s="952"/>
      <c r="QXB50" s="952"/>
      <c r="QXC50" s="952"/>
      <c r="QXD50" s="952"/>
      <c r="QXE50" s="952"/>
      <c r="QXF50" s="952"/>
      <c r="QXG50" s="952"/>
      <c r="QXH50" s="952"/>
      <c r="QXI50" s="952"/>
      <c r="QXJ50" s="952"/>
      <c r="QXK50" s="952"/>
      <c r="QXL50" s="952"/>
      <c r="QXM50" s="952"/>
      <c r="QXN50" s="952"/>
      <c r="QXO50" s="952"/>
      <c r="QXP50" s="952"/>
      <c r="QXQ50" s="952"/>
      <c r="QXR50" s="952"/>
      <c r="QXS50" s="952"/>
      <c r="QXT50" s="952"/>
      <c r="QXU50" s="952"/>
      <c r="QXV50" s="952"/>
      <c r="QXW50" s="952"/>
      <c r="QXX50" s="952"/>
      <c r="QXY50" s="952"/>
      <c r="QXZ50" s="952"/>
      <c r="QYA50" s="952"/>
      <c r="QYB50" s="952"/>
      <c r="QYC50" s="952"/>
      <c r="QYD50" s="952"/>
      <c r="QYE50" s="952"/>
      <c r="QYF50" s="952"/>
      <c r="QYG50" s="952"/>
      <c r="QYH50" s="952"/>
      <c r="QYI50" s="952"/>
      <c r="QYJ50" s="952"/>
      <c r="QYK50" s="952"/>
      <c r="QYL50" s="952"/>
      <c r="QYM50" s="952"/>
      <c r="QYN50" s="952"/>
      <c r="QYO50" s="952"/>
      <c r="QYP50" s="952"/>
      <c r="QYQ50" s="952"/>
      <c r="QYR50" s="952"/>
      <c r="QYS50" s="952"/>
      <c r="QYT50" s="952"/>
      <c r="QYU50" s="952"/>
      <c r="QYV50" s="952"/>
      <c r="QYW50" s="952"/>
      <c r="QYX50" s="952"/>
      <c r="QYY50" s="952"/>
      <c r="QYZ50" s="952"/>
      <c r="QZA50" s="952"/>
      <c r="QZB50" s="952"/>
      <c r="QZC50" s="952"/>
      <c r="QZD50" s="952"/>
      <c r="QZE50" s="952"/>
      <c r="QZF50" s="952"/>
      <c r="QZG50" s="952"/>
      <c r="QZH50" s="952"/>
      <c r="QZI50" s="952"/>
      <c r="QZJ50" s="952"/>
      <c r="QZK50" s="952"/>
      <c r="QZL50" s="952"/>
      <c r="QZM50" s="952"/>
      <c r="QZN50" s="952"/>
      <c r="QZO50" s="952"/>
      <c r="QZP50" s="952"/>
      <c r="QZQ50" s="952"/>
      <c r="QZR50" s="952"/>
      <c r="QZS50" s="952"/>
      <c r="QZT50" s="952"/>
      <c r="QZU50" s="952"/>
      <c r="QZV50" s="952"/>
      <c r="QZW50" s="952"/>
      <c r="QZX50" s="952"/>
      <c r="QZY50" s="952"/>
      <c r="QZZ50" s="952"/>
      <c r="RAA50" s="952"/>
      <c r="RAB50" s="952"/>
      <c r="RAC50" s="952"/>
      <c r="RAD50" s="952"/>
      <c r="RAE50" s="952"/>
      <c r="RAF50" s="952"/>
      <c r="RAG50" s="952"/>
      <c r="RAH50" s="952"/>
      <c r="RAI50" s="952"/>
      <c r="RAJ50" s="952"/>
      <c r="RAK50" s="952"/>
      <c r="RAL50" s="952"/>
      <c r="RAM50" s="952"/>
      <c r="RAN50" s="952"/>
      <c r="RAO50" s="952"/>
      <c r="RAP50" s="952"/>
      <c r="RAQ50" s="952"/>
      <c r="RAR50" s="952"/>
      <c r="RAS50" s="952"/>
      <c r="RAT50" s="952"/>
      <c r="RAU50" s="952"/>
      <c r="RAV50" s="952"/>
      <c r="RAW50" s="952"/>
      <c r="RAX50" s="952"/>
      <c r="RAY50" s="952"/>
      <c r="RAZ50" s="952"/>
      <c r="RBA50" s="952"/>
      <c r="RBB50" s="952"/>
      <c r="RBC50" s="952"/>
      <c r="RBD50" s="952"/>
      <c r="RBE50" s="952"/>
      <c r="RBF50" s="952"/>
      <c r="RBG50" s="952"/>
      <c r="RBH50" s="952"/>
      <c r="RBI50" s="952"/>
      <c r="RBJ50" s="952"/>
      <c r="RBK50" s="952"/>
      <c r="RBL50" s="952"/>
      <c r="RBM50" s="952"/>
      <c r="RBN50" s="952"/>
      <c r="RBO50" s="952"/>
      <c r="RBP50" s="952"/>
      <c r="RBQ50" s="952"/>
      <c r="RBR50" s="952"/>
      <c r="RBS50" s="952"/>
      <c r="RBT50" s="952"/>
      <c r="RBU50" s="952"/>
      <c r="RBV50" s="952"/>
      <c r="RBW50" s="952"/>
      <c r="RBX50" s="952"/>
      <c r="RBY50" s="952"/>
      <c r="RBZ50" s="952"/>
      <c r="RCA50" s="952"/>
      <c r="RCB50" s="952"/>
      <c r="RCC50" s="952"/>
      <c r="RCD50" s="952"/>
      <c r="RCE50" s="952"/>
      <c r="RCF50" s="952"/>
      <c r="RCG50" s="952"/>
      <c r="RCH50" s="952"/>
      <c r="RCI50" s="952"/>
      <c r="RCJ50" s="952"/>
      <c r="RCK50" s="952"/>
      <c r="RCL50" s="952"/>
      <c r="RCM50" s="952"/>
      <c r="RCN50" s="952"/>
      <c r="RCO50" s="952"/>
      <c r="RCP50" s="952"/>
      <c r="RCQ50" s="952"/>
      <c r="RCR50" s="952"/>
      <c r="RCS50" s="952"/>
      <c r="RCT50" s="952"/>
      <c r="RCU50" s="952"/>
      <c r="RCV50" s="952"/>
      <c r="RCW50" s="952"/>
      <c r="RCX50" s="952"/>
      <c r="RCY50" s="952"/>
      <c r="RCZ50" s="952"/>
      <c r="RDA50" s="952"/>
      <c r="RDB50" s="952"/>
      <c r="RDC50" s="952"/>
      <c r="RDD50" s="952"/>
      <c r="RDE50" s="952"/>
      <c r="RDF50" s="952"/>
      <c r="RDG50" s="952"/>
      <c r="RDH50" s="952"/>
      <c r="RDI50" s="952"/>
      <c r="RDJ50" s="952"/>
      <c r="RDK50" s="952"/>
      <c r="RDL50" s="952"/>
      <c r="RDM50" s="952"/>
      <c r="RDN50" s="952"/>
      <c r="RDO50" s="952"/>
      <c r="RDP50" s="952"/>
      <c r="RDQ50" s="952"/>
      <c r="RDR50" s="952"/>
      <c r="RDS50" s="952"/>
      <c r="RDT50" s="952"/>
      <c r="RDU50" s="952"/>
      <c r="RDV50" s="952"/>
      <c r="RDW50" s="952"/>
      <c r="RDX50" s="952"/>
      <c r="RDY50" s="952"/>
      <c r="RDZ50" s="952"/>
      <c r="REA50" s="952"/>
      <c r="REB50" s="952"/>
      <c r="REC50" s="952"/>
      <c r="RED50" s="952"/>
      <c r="REE50" s="952"/>
      <c r="REF50" s="952"/>
      <c r="REG50" s="952"/>
      <c r="REH50" s="952"/>
      <c r="REI50" s="952"/>
      <c r="REJ50" s="952"/>
      <c r="REK50" s="952"/>
      <c r="REL50" s="952"/>
      <c r="REM50" s="952"/>
      <c r="REN50" s="952"/>
      <c r="REO50" s="952"/>
      <c r="REP50" s="952"/>
      <c r="REQ50" s="952"/>
      <c r="RER50" s="952"/>
      <c r="RES50" s="952"/>
      <c r="RET50" s="952"/>
      <c r="REU50" s="952"/>
      <c r="REV50" s="952"/>
      <c r="REW50" s="952"/>
      <c r="REX50" s="952"/>
      <c r="REY50" s="952"/>
      <c r="REZ50" s="952"/>
      <c r="RFA50" s="952"/>
      <c r="RFB50" s="952"/>
      <c r="RFC50" s="952"/>
      <c r="RFD50" s="952"/>
      <c r="RFE50" s="952"/>
      <c r="RFF50" s="952"/>
      <c r="RFG50" s="952"/>
      <c r="RFH50" s="952"/>
      <c r="RFI50" s="952"/>
      <c r="RFJ50" s="952"/>
      <c r="RFK50" s="952"/>
      <c r="RFL50" s="952"/>
      <c r="RFM50" s="952"/>
      <c r="RFN50" s="952"/>
      <c r="RFO50" s="952"/>
      <c r="RFP50" s="952"/>
      <c r="RFQ50" s="952"/>
      <c r="RFR50" s="952"/>
      <c r="RFS50" s="952"/>
      <c r="RFT50" s="952"/>
      <c r="RFU50" s="952"/>
      <c r="RFV50" s="952"/>
      <c r="RFW50" s="952"/>
      <c r="RFX50" s="952"/>
      <c r="RFY50" s="952"/>
      <c r="RFZ50" s="952"/>
      <c r="RGA50" s="952"/>
      <c r="RGB50" s="952"/>
      <c r="RGC50" s="952"/>
      <c r="RGD50" s="952"/>
      <c r="RGE50" s="952"/>
      <c r="RGF50" s="952"/>
      <c r="RGG50" s="952"/>
      <c r="RGH50" s="952"/>
      <c r="RGI50" s="952"/>
      <c r="RGJ50" s="952"/>
      <c r="RGK50" s="952"/>
      <c r="RGL50" s="952"/>
      <c r="RGM50" s="952"/>
      <c r="RGN50" s="952"/>
      <c r="RGO50" s="952"/>
      <c r="RGP50" s="952"/>
      <c r="RGQ50" s="952"/>
      <c r="RGR50" s="952"/>
      <c r="RGS50" s="952"/>
      <c r="RGT50" s="952"/>
      <c r="RGU50" s="952"/>
      <c r="RGV50" s="952"/>
      <c r="RGW50" s="952"/>
      <c r="RGX50" s="952"/>
      <c r="RGY50" s="952"/>
      <c r="RGZ50" s="952"/>
      <c r="RHA50" s="952"/>
      <c r="RHB50" s="952"/>
      <c r="RHC50" s="952"/>
      <c r="RHD50" s="952"/>
      <c r="RHE50" s="952"/>
      <c r="RHF50" s="952"/>
      <c r="RHG50" s="952"/>
      <c r="RHH50" s="952"/>
      <c r="RHI50" s="952"/>
      <c r="RHJ50" s="952"/>
      <c r="RHK50" s="952"/>
      <c r="RHL50" s="952"/>
      <c r="RHM50" s="952"/>
      <c r="RHN50" s="952"/>
      <c r="RHO50" s="952"/>
      <c r="RHP50" s="952"/>
      <c r="RHQ50" s="952"/>
      <c r="RHR50" s="952"/>
      <c r="RHS50" s="952"/>
      <c r="RHT50" s="952"/>
      <c r="RHU50" s="952"/>
      <c r="RHV50" s="952"/>
      <c r="RHW50" s="952"/>
      <c r="RHX50" s="952"/>
      <c r="RHY50" s="952"/>
      <c r="RHZ50" s="952"/>
      <c r="RIA50" s="952"/>
      <c r="RIB50" s="952"/>
      <c r="RIC50" s="952"/>
      <c r="RID50" s="952"/>
      <c r="RIE50" s="952"/>
      <c r="RIF50" s="952"/>
      <c r="RIG50" s="952"/>
      <c r="RIH50" s="952"/>
      <c r="RII50" s="952"/>
      <c r="RIJ50" s="952"/>
      <c r="RIK50" s="952"/>
      <c r="RIL50" s="952"/>
      <c r="RIM50" s="952"/>
      <c r="RIN50" s="952"/>
      <c r="RIO50" s="952"/>
      <c r="RIP50" s="952"/>
      <c r="RIQ50" s="952"/>
      <c r="RIR50" s="952"/>
      <c r="RIS50" s="952"/>
      <c r="RIT50" s="952"/>
      <c r="RIU50" s="952"/>
      <c r="RIV50" s="952"/>
      <c r="RIW50" s="952"/>
      <c r="RIX50" s="952"/>
      <c r="RIY50" s="952"/>
      <c r="RIZ50" s="952"/>
      <c r="RJA50" s="952"/>
      <c r="RJB50" s="952"/>
      <c r="RJC50" s="952"/>
      <c r="RJD50" s="952"/>
      <c r="RJE50" s="952"/>
      <c r="RJF50" s="952"/>
      <c r="RJG50" s="952"/>
      <c r="RJH50" s="952"/>
      <c r="RJI50" s="952"/>
      <c r="RJJ50" s="952"/>
      <c r="RJK50" s="952"/>
      <c r="RJL50" s="952"/>
      <c r="RJM50" s="952"/>
      <c r="RJN50" s="952"/>
      <c r="RJO50" s="952"/>
      <c r="RJP50" s="952"/>
      <c r="RJQ50" s="952"/>
      <c r="RJR50" s="952"/>
      <c r="RJS50" s="952"/>
      <c r="RJT50" s="952"/>
      <c r="RJU50" s="952"/>
      <c r="RJV50" s="952"/>
      <c r="RJW50" s="952"/>
      <c r="RJX50" s="952"/>
      <c r="RJY50" s="952"/>
      <c r="RJZ50" s="952"/>
      <c r="RKA50" s="952"/>
      <c r="RKB50" s="952"/>
      <c r="RKC50" s="952"/>
      <c r="RKD50" s="952"/>
      <c r="RKE50" s="952"/>
      <c r="RKF50" s="952"/>
      <c r="RKG50" s="952"/>
      <c r="RKH50" s="952"/>
      <c r="RKI50" s="952"/>
      <c r="RKJ50" s="952"/>
      <c r="RKK50" s="952"/>
      <c r="RKL50" s="952"/>
      <c r="RKM50" s="952"/>
      <c r="RKN50" s="952"/>
      <c r="RKO50" s="952"/>
      <c r="RKP50" s="952"/>
      <c r="RKQ50" s="952"/>
      <c r="RKR50" s="952"/>
      <c r="RKS50" s="952"/>
      <c r="RKT50" s="952"/>
      <c r="RKU50" s="952"/>
      <c r="RKV50" s="952"/>
      <c r="RKW50" s="952"/>
      <c r="RKX50" s="952"/>
      <c r="RKY50" s="952"/>
      <c r="RKZ50" s="952"/>
      <c r="RLA50" s="952"/>
      <c r="RLB50" s="952"/>
      <c r="RLC50" s="952"/>
      <c r="RLD50" s="952"/>
      <c r="RLE50" s="952"/>
      <c r="RLF50" s="952"/>
      <c r="RLG50" s="952"/>
      <c r="RLH50" s="952"/>
      <c r="RLI50" s="952"/>
      <c r="RLJ50" s="952"/>
      <c r="RLK50" s="952"/>
      <c r="RLL50" s="952"/>
      <c r="RLM50" s="952"/>
      <c r="RLN50" s="952"/>
      <c r="RLO50" s="952"/>
      <c r="RLP50" s="952"/>
      <c r="RLQ50" s="952"/>
      <c r="RLR50" s="952"/>
      <c r="RLS50" s="952"/>
      <c r="RLT50" s="952"/>
      <c r="RLU50" s="952"/>
      <c r="RLV50" s="952"/>
      <c r="RLW50" s="952"/>
      <c r="RLX50" s="952"/>
      <c r="RLY50" s="952"/>
      <c r="RLZ50" s="952"/>
      <c r="RMA50" s="952"/>
      <c r="RMB50" s="952"/>
      <c r="RMC50" s="952"/>
      <c r="RMD50" s="952"/>
      <c r="RME50" s="952"/>
      <c r="RMF50" s="952"/>
      <c r="RMG50" s="952"/>
      <c r="RMH50" s="952"/>
      <c r="RMI50" s="952"/>
      <c r="RMJ50" s="952"/>
      <c r="RMK50" s="952"/>
      <c r="RML50" s="952"/>
      <c r="RMM50" s="952"/>
      <c r="RMN50" s="952"/>
      <c r="RMO50" s="952"/>
      <c r="RMP50" s="952"/>
      <c r="RMQ50" s="952"/>
      <c r="RMR50" s="952"/>
      <c r="RMS50" s="952"/>
      <c r="RMT50" s="952"/>
      <c r="RMU50" s="952"/>
      <c r="RMV50" s="952"/>
      <c r="RMW50" s="952"/>
      <c r="RMX50" s="952"/>
      <c r="RMY50" s="952"/>
      <c r="RMZ50" s="952"/>
      <c r="RNA50" s="952"/>
      <c r="RNB50" s="952"/>
      <c r="RNC50" s="952"/>
      <c r="RND50" s="952"/>
      <c r="RNE50" s="952"/>
      <c r="RNF50" s="952"/>
      <c r="RNG50" s="952"/>
      <c r="RNH50" s="952"/>
      <c r="RNI50" s="952"/>
      <c r="RNJ50" s="952"/>
      <c r="RNK50" s="952"/>
      <c r="RNL50" s="952"/>
      <c r="RNM50" s="952"/>
      <c r="RNN50" s="952"/>
      <c r="RNO50" s="952"/>
      <c r="RNP50" s="952"/>
      <c r="RNQ50" s="952"/>
      <c r="RNR50" s="952"/>
      <c r="RNS50" s="952"/>
      <c r="RNT50" s="952"/>
      <c r="RNU50" s="952"/>
      <c r="RNV50" s="952"/>
      <c r="RNW50" s="952"/>
      <c r="RNX50" s="952"/>
      <c r="RNY50" s="952"/>
      <c r="RNZ50" s="952"/>
      <c r="ROA50" s="952"/>
      <c r="ROB50" s="952"/>
      <c r="ROC50" s="952"/>
      <c r="ROD50" s="952"/>
      <c r="ROE50" s="952"/>
      <c r="ROF50" s="952"/>
      <c r="ROG50" s="952"/>
      <c r="ROH50" s="952"/>
      <c r="ROI50" s="952"/>
      <c r="ROJ50" s="952"/>
      <c r="ROK50" s="952"/>
      <c r="ROL50" s="952"/>
      <c r="ROM50" s="952"/>
      <c r="RON50" s="952"/>
      <c r="ROO50" s="952"/>
      <c r="ROP50" s="952"/>
      <c r="ROQ50" s="952"/>
      <c r="ROR50" s="952"/>
      <c r="ROS50" s="952"/>
      <c r="ROT50" s="952"/>
      <c r="ROU50" s="952"/>
      <c r="ROV50" s="952"/>
      <c r="ROW50" s="952"/>
      <c r="ROX50" s="952"/>
      <c r="ROY50" s="952"/>
      <c r="ROZ50" s="952"/>
      <c r="RPA50" s="952"/>
      <c r="RPB50" s="952"/>
      <c r="RPC50" s="952"/>
      <c r="RPD50" s="952"/>
      <c r="RPE50" s="952"/>
      <c r="RPF50" s="952"/>
      <c r="RPG50" s="952"/>
      <c r="RPH50" s="952"/>
      <c r="RPI50" s="952"/>
      <c r="RPJ50" s="952"/>
      <c r="RPK50" s="952"/>
      <c r="RPL50" s="952"/>
      <c r="RPM50" s="952"/>
      <c r="RPN50" s="952"/>
      <c r="RPO50" s="952"/>
      <c r="RPP50" s="952"/>
      <c r="RPQ50" s="952"/>
      <c r="RPR50" s="952"/>
      <c r="RPS50" s="952"/>
      <c r="RPT50" s="952"/>
      <c r="RPU50" s="952"/>
      <c r="RPV50" s="952"/>
      <c r="RPW50" s="952"/>
      <c r="RPX50" s="952"/>
      <c r="RPY50" s="952"/>
      <c r="RPZ50" s="952"/>
      <c r="RQA50" s="952"/>
      <c r="RQB50" s="952"/>
      <c r="RQC50" s="952"/>
      <c r="RQD50" s="952"/>
      <c r="RQE50" s="952"/>
      <c r="RQF50" s="952"/>
      <c r="RQG50" s="952"/>
      <c r="RQH50" s="952"/>
      <c r="RQI50" s="952"/>
      <c r="RQJ50" s="952"/>
      <c r="RQK50" s="952"/>
      <c r="RQL50" s="952"/>
      <c r="RQM50" s="952"/>
      <c r="RQN50" s="952"/>
      <c r="RQO50" s="952"/>
      <c r="RQP50" s="952"/>
      <c r="RQQ50" s="952"/>
      <c r="RQR50" s="952"/>
      <c r="RQS50" s="952"/>
      <c r="RQT50" s="952"/>
      <c r="RQU50" s="952"/>
      <c r="RQV50" s="952"/>
      <c r="RQW50" s="952"/>
      <c r="RQX50" s="952"/>
      <c r="RQY50" s="952"/>
      <c r="RQZ50" s="952"/>
      <c r="RRA50" s="952"/>
      <c r="RRB50" s="952"/>
      <c r="RRC50" s="952"/>
      <c r="RRD50" s="952"/>
      <c r="RRE50" s="952"/>
      <c r="RRF50" s="952"/>
      <c r="RRG50" s="952"/>
      <c r="RRH50" s="952"/>
      <c r="RRI50" s="952"/>
      <c r="RRJ50" s="952"/>
      <c r="RRK50" s="952"/>
      <c r="RRL50" s="952"/>
      <c r="RRM50" s="952"/>
      <c r="RRN50" s="952"/>
      <c r="RRO50" s="952"/>
      <c r="RRP50" s="952"/>
      <c r="RRQ50" s="952"/>
      <c r="RRR50" s="952"/>
      <c r="RRS50" s="952"/>
      <c r="RRT50" s="952"/>
      <c r="RRU50" s="952"/>
      <c r="RRV50" s="952"/>
      <c r="RRW50" s="952"/>
      <c r="RRX50" s="952"/>
      <c r="RRY50" s="952"/>
      <c r="RRZ50" s="952"/>
      <c r="RSA50" s="952"/>
      <c r="RSB50" s="952"/>
      <c r="RSC50" s="952"/>
      <c r="RSD50" s="952"/>
      <c r="RSE50" s="952"/>
      <c r="RSF50" s="952"/>
      <c r="RSG50" s="952"/>
      <c r="RSH50" s="952"/>
      <c r="RSI50" s="952"/>
      <c r="RSJ50" s="952"/>
      <c r="RSK50" s="952"/>
      <c r="RSL50" s="952"/>
      <c r="RSM50" s="952"/>
      <c r="RSN50" s="952"/>
      <c r="RSO50" s="952"/>
      <c r="RSP50" s="952"/>
      <c r="RSQ50" s="952"/>
      <c r="RSR50" s="952"/>
      <c r="RSS50" s="952"/>
      <c r="RST50" s="952"/>
      <c r="RSU50" s="952"/>
      <c r="RSV50" s="952"/>
      <c r="RSW50" s="952"/>
      <c r="RSX50" s="952"/>
      <c r="RSY50" s="952"/>
      <c r="RSZ50" s="952"/>
      <c r="RTA50" s="952"/>
      <c r="RTB50" s="952"/>
      <c r="RTC50" s="952"/>
      <c r="RTD50" s="952"/>
      <c r="RTE50" s="952"/>
      <c r="RTF50" s="952"/>
      <c r="RTG50" s="952"/>
      <c r="RTH50" s="952"/>
      <c r="RTI50" s="952"/>
      <c r="RTJ50" s="952"/>
      <c r="RTK50" s="952"/>
      <c r="RTL50" s="952"/>
      <c r="RTM50" s="952"/>
      <c r="RTN50" s="952"/>
      <c r="RTO50" s="952"/>
      <c r="RTP50" s="952"/>
      <c r="RTQ50" s="952"/>
      <c r="RTR50" s="952"/>
      <c r="RTS50" s="952"/>
      <c r="RTT50" s="952"/>
      <c r="RTU50" s="952"/>
      <c r="RTV50" s="952"/>
      <c r="RTW50" s="952"/>
      <c r="RTX50" s="952"/>
      <c r="RTY50" s="952"/>
      <c r="RTZ50" s="952"/>
      <c r="RUA50" s="952"/>
      <c r="RUB50" s="952"/>
      <c r="RUC50" s="952"/>
      <c r="RUD50" s="952"/>
      <c r="RUE50" s="952"/>
      <c r="RUF50" s="952"/>
      <c r="RUG50" s="952"/>
      <c r="RUH50" s="952"/>
      <c r="RUI50" s="952"/>
      <c r="RUJ50" s="952"/>
      <c r="RUK50" s="952"/>
      <c r="RUL50" s="952"/>
      <c r="RUM50" s="952"/>
      <c r="RUN50" s="952"/>
      <c r="RUO50" s="952"/>
      <c r="RUP50" s="952"/>
      <c r="RUQ50" s="952"/>
      <c r="RUR50" s="952"/>
      <c r="RUS50" s="952"/>
      <c r="RUT50" s="952"/>
      <c r="RUU50" s="952"/>
      <c r="RUV50" s="952"/>
      <c r="RUW50" s="952"/>
      <c r="RUX50" s="952"/>
      <c r="RUY50" s="952"/>
      <c r="RUZ50" s="952"/>
      <c r="RVA50" s="952"/>
      <c r="RVB50" s="952"/>
      <c r="RVC50" s="952"/>
      <c r="RVD50" s="952"/>
      <c r="RVE50" s="952"/>
      <c r="RVF50" s="952"/>
      <c r="RVG50" s="952"/>
      <c r="RVH50" s="952"/>
      <c r="RVI50" s="952"/>
      <c r="RVJ50" s="952"/>
      <c r="RVK50" s="952"/>
      <c r="RVL50" s="952"/>
      <c r="RVM50" s="952"/>
      <c r="RVN50" s="952"/>
      <c r="RVO50" s="952"/>
      <c r="RVP50" s="952"/>
      <c r="RVQ50" s="952"/>
      <c r="RVR50" s="952"/>
      <c r="RVS50" s="952"/>
      <c r="RVT50" s="952"/>
      <c r="RVU50" s="952"/>
      <c r="RVV50" s="952"/>
      <c r="RVW50" s="952"/>
      <c r="RVX50" s="952"/>
      <c r="RVY50" s="952"/>
      <c r="RVZ50" s="952"/>
      <c r="RWA50" s="952"/>
      <c r="RWB50" s="952"/>
      <c r="RWC50" s="952"/>
      <c r="RWD50" s="952"/>
      <c r="RWE50" s="952"/>
      <c r="RWF50" s="952"/>
      <c r="RWG50" s="952"/>
      <c r="RWH50" s="952"/>
      <c r="RWI50" s="952"/>
      <c r="RWJ50" s="952"/>
      <c r="RWK50" s="952"/>
      <c r="RWL50" s="952"/>
      <c r="RWM50" s="952"/>
      <c r="RWN50" s="952"/>
      <c r="RWO50" s="952"/>
      <c r="RWP50" s="952"/>
      <c r="RWQ50" s="952"/>
      <c r="RWR50" s="952"/>
      <c r="RWS50" s="952"/>
      <c r="RWT50" s="952"/>
      <c r="RWU50" s="952"/>
      <c r="RWV50" s="952"/>
      <c r="RWW50" s="952"/>
      <c r="RWX50" s="952"/>
      <c r="RWY50" s="952"/>
      <c r="RWZ50" s="952"/>
      <c r="RXA50" s="952"/>
      <c r="RXB50" s="952"/>
      <c r="RXC50" s="952"/>
      <c r="RXD50" s="952"/>
      <c r="RXE50" s="952"/>
      <c r="RXF50" s="952"/>
      <c r="RXG50" s="952"/>
      <c r="RXH50" s="952"/>
      <c r="RXI50" s="952"/>
      <c r="RXJ50" s="952"/>
      <c r="RXK50" s="952"/>
      <c r="RXL50" s="952"/>
      <c r="RXM50" s="952"/>
      <c r="RXN50" s="952"/>
      <c r="RXO50" s="952"/>
      <c r="RXP50" s="952"/>
      <c r="RXQ50" s="952"/>
      <c r="RXR50" s="952"/>
      <c r="RXS50" s="952"/>
      <c r="RXT50" s="952"/>
      <c r="RXU50" s="952"/>
      <c r="RXV50" s="952"/>
      <c r="RXW50" s="952"/>
      <c r="RXX50" s="952"/>
      <c r="RXY50" s="952"/>
      <c r="RXZ50" s="952"/>
      <c r="RYA50" s="952"/>
      <c r="RYB50" s="952"/>
      <c r="RYC50" s="952"/>
      <c r="RYD50" s="952"/>
      <c r="RYE50" s="952"/>
      <c r="RYF50" s="952"/>
      <c r="RYG50" s="952"/>
      <c r="RYH50" s="952"/>
      <c r="RYI50" s="952"/>
      <c r="RYJ50" s="952"/>
      <c r="RYK50" s="952"/>
      <c r="RYL50" s="952"/>
      <c r="RYM50" s="952"/>
      <c r="RYN50" s="952"/>
      <c r="RYO50" s="952"/>
      <c r="RYP50" s="952"/>
      <c r="RYQ50" s="952"/>
      <c r="RYR50" s="952"/>
      <c r="RYS50" s="952"/>
      <c r="RYT50" s="952"/>
      <c r="RYU50" s="952"/>
      <c r="RYV50" s="952"/>
      <c r="RYW50" s="952"/>
      <c r="RYX50" s="952"/>
      <c r="RYY50" s="952"/>
      <c r="RYZ50" s="952"/>
      <c r="RZA50" s="952"/>
      <c r="RZB50" s="952"/>
      <c r="RZC50" s="952"/>
      <c r="RZD50" s="952"/>
      <c r="RZE50" s="952"/>
      <c r="RZF50" s="952"/>
      <c r="RZG50" s="952"/>
      <c r="RZH50" s="952"/>
      <c r="RZI50" s="952"/>
      <c r="RZJ50" s="952"/>
      <c r="RZK50" s="952"/>
      <c r="RZL50" s="952"/>
      <c r="RZM50" s="952"/>
      <c r="RZN50" s="952"/>
      <c r="RZO50" s="952"/>
      <c r="RZP50" s="952"/>
      <c r="RZQ50" s="952"/>
      <c r="RZR50" s="952"/>
      <c r="RZS50" s="952"/>
      <c r="RZT50" s="952"/>
      <c r="RZU50" s="952"/>
      <c r="RZV50" s="952"/>
      <c r="RZW50" s="952"/>
      <c r="RZX50" s="952"/>
      <c r="RZY50" s="952"/>
      <c r="RZZ50" s="952"/>
      <c r="SAA50" s="952"/>
      <c r="SAB50" s="952"/>
      <c r="SAC50" s="952"/>
      <c r="SAD50" s="952"/>
      <c r="SAE50" s="952"/>
      <c r="SAF50" s="952"/>
      <c r="SAG50" s="952"/>
      <c r="SAH50" s="952"/>
      <c r="SAI50" s="952"/>
      <c r="SAJ50" s="952"/>
      <c r="SAK50" s="952"/>
      <c r="SAL50" s="952"/>
      <c r="SAM50" s="952"/>
      <c r="SAN50" s="952"/>
      <c r="SAO50" s="952"/>
      <c r="SAP50" s="952"/>
      <c r="SAQ50" s="952"/>
      <c r="SAR50" s="952"/>
      <c r="SAS50" s="952"/>
      <c r="SAT50" s="952"/>
      <c r="SAU50" s="952"/>
      <c r="SAV50" s="952"/>
      <c r="SAW50" s="952"/>
      <c r="SAX50" s="952"/>
      <c r="SAY50" s="952"/>
      <c r="SAZ50" s="952"/>
      <c r="SBA50" s="952"/>
      <c r="SBB50" s="952"/>
      <c r="SBC50" s="952"/>
      <c r="SBD50" s="952"/>
      <c r="SBE50" s="952"/>
      <c r="SBF50" s="952"/>
      <c r="SBG50" s="952"/>
      <c r="SBH50" s="952"/>
      <c r="SBI50" s="952"/>
      <c r="SBJ50" s="952"/>
      <c r="SBK50" s="952"/>
      <c r="SBL50" s="952"/>
      <c r="SBM50" s="952"/>
      <c r="SBN50" s="952"/>
      <c r="SBO50" s="952"/>
      <c r="SBP50" s="952"/>
      <c r="SBQ50" s="952"/>
      <c r="SBR50" s="952"/>
      <c r="SBS50" s="952"/>
      <c r="SBT50" s="952"/>
      <c r="SBU50" s="952"/>
      <c r="SBV50" s="952"/>
      <c r="SBW50" s="952"/>
      <c r="SBX50" s="952"/>
      <c r="SBY50" s="952"/>
      <c r="SBZ50" s="952"/>
      <c r="SCA50" s="952"/>
      <c r="SCB50" s="952"/>
      <c r="SCC50" s="952"/>
      <c r="SCD50" s="952"/>
      <c r="SCE50" s="952"/>
      <c r="SCF50" s="952"/>
      <c r="SCG50" s="952"/>
      <c r="SCH50" s="952"/>
      <c r="SCI50" s="952"/>
      <c r="SCJ50" s="952"/>
      <c r="SCK50" s="952"/>
      <c r="SCL50" s="952"/>
      <c r="SCM50" s="952"/>
      <c r="SCN50" s="952"/>
      <c r="SCO50" s="952"/>
      <c r="SCP50" s="952"/>
      <c r="SCQ50" s="952"/>
      <c r="SCR50" s="952"/>
      <c r="SCS50" s="952"/>
      <c r="SCT50" s="952"/>
      <c r="SCU50" s="952"/>
      <c r="SCV50" s="952"/>
      <c r="SCW50" s="952"/>
      <c r="SCX50" s="952"/>
      <c r="SCY50" s="952"/>
      <c r="SCZ50" s="952"/>
      <c r="SDA50" s="952"/>
      <c r="SDB50" s="952"/>
      <c r="SDC50" s="952"/>
      <c r="SDD50" s="952"/>
      <c r="SDE50" s="952"/>
      <c r="SDF50" s="952"/>
      <c r="SDG50" s="952"/>
      <c r="SDH50" s="952"/>
      <c r="SDI50" s="952"/>
      <c r="SDJ50" s="952"/>
      <c r="SDK50" s="952"/>
      <c r="SDL50" s="952"/>
      <c r="SDM50" s="952"/>
      <c r="SDN50" s="952"/>
      <c r="SDO50" s="952"/>
      <c r="SDP50" s="952"/>
      <c r="SDQ50" s="952"/>
      <c r="SDR50" s="952"/>
      <c r="SDS50" s="952"/>
      <c r="SDT50" s="952"/>
      <c r="SDU50" s="952"/>
      <c r="SDV50" s="952"/>
      <c r="SDW50" s="952"/>
      <c r="SDX50" s="952"/>
      <c r="SDY50" s="952"/>
      <c r="SDZ50" s="952"/>
      <c r="SEA50" s="952"/>
      <c r="SEB50" s="952"/>
      <c r="SEC50" s="952"/>
      <c r="SED50" s="952"/>
      <c r="SEE50" s="952"/>
      <c r="SEF50" s="952"/>
      <c r="SEG50" s="952"/>
      <c r="SEH50" s="952"/>
      <c r="SEI50" s="952"/>
      <c r="SEJ50" s="952"/>
      <c r="SEK50" s="952"/>
      <c r="SEL50" s="952"/>
      <c r="SEM50" s="952"/>
      <c r="SEN50" s="952"/>
      <c r="SEO50" s="952"/>
      <c r="SEP50" s="952"/>
      <c r="SEQ50" s="952"/>
      <c r="SER50" s="952"/>
      <c r="SES50" s="952"/>
      <c r="SET50" s="952"/>
      <c r="SEU50" s="952"/>
      <c r="SEV50" s="952"/>
      <c r="SEW50" s="952"/>
      <c r="SEX50" s="952"/>
      <c r="SEY50" s="952"/>
      <c r="SEZ50" s="952"/>
      <c r="SFA50" s="952"/>
      <c r="SFB50" s="952"/>
      <c r="SFC50" s="952"/>
      <c r="SFD50" s="952"/>
      <c r="SFE50" s="952"/>
      <c r="SFF50" s="952"/>
      <c r="SFG50" s="952"/>
      <c r="SFH50" s="952"/>
      <c r="SFI50" s="952"/>
      <c r="SFJ50" s="952"/>
      <c r="SFK50" s="952"/>
      <c r="SFL50" s="952"/>
      <c r="SFM50" s="952"/>
      <c r="SFN50" s="952"/>
      <c r="SFO50" s="952"/>
      <c r="SFP50" s="952"/>
      <c r="SFQ50" s="952"/>
      <c r="SFR50" s="952"/>
      <c r="SFS50" s="952"/>
      <c r="SFT50" s="952"/>
      <c r="SFU50" s="952"/>
      <c r="SFV50" s="952"/>
      <c r="SFW50" s="952"/>
      <c r="SFX50" s="952"/>
      <c r="SFY50" s="952"/>
      <c r="SFZ50" s="952"/>
      <c r="SGA50" s="952"/>
      <c r="SGB50" s="952"/>
      <c r="SGC50" s="952"/>
      <c r="SGD50" s="952"/>
      <c r="SGE50" s="952"/>
      <c r="SGF50" s="952"/>
      <c r="SGG50" s="952"/>
      <c r="SGH50" s="952"/>
      <c r="SGI50" s="952"/>
      <c r="SGJ50" s="952"/>
      <c r="SGK50" s="952"/>
      <c r="SGL50" s="952"/>
      <c r="SGM50" s="952"/>
      <c r="SGN50" s="952"/>
      <c r="SGO50" s="952"/>
      <c r="SGP50" s="952"/>
      <c r="SGQ50" s="952"/>
      <c r="SGR50" s="952"/>
      <c r="SGS50" s="952"/>
      <c r="SGT50" s="952"/>
      <c r="SGU50" s="952"/>
      <c r="SGV50" s="952"/>
      <c r="SGW50" s="952"/>
      <c r="SGX50" s="952"/>
      <c r="SGY50" s="952"/>
      <c r="SGZ50" s="952"/>
      <c r="SHA50" s="952"/>
      <c r="SHB50" s="952"/>
      <c r="SHC50" s="952"/>
      <c r="SHD50" s="952"/>
      <c r="SHE50" s="952"/>
      <c r="SHF50" s="952"/>
      <c r="SHG50" s="952"/>
      <c r="SHH50" s="952"/>
      <c r="SHI50" s="952"/>
      <c r="SHJ50" s="952"/>
      <c r="SHK50" s="952"/>
      <c r="SHL50" s="952"/>
      <c r="SHM50" s="952"/>
      <c r="SHN50" s="952"/>
      <c r="SHO50" s="952"/>
      <c r="SHP50" s="952"/>
      <c r="SHQ50" s="952"/>
      <c r="SHR50" s="952"/>
      <c r="SHS50" s="952"/>
      <c r="SHT50" s="952"/>
      <c r="SHU50" s="952"/>
      <c r="SHV50" s="952"/>
      <c r="SHW50" s="952"/>
      <c r="SHX50" s="952"/>
      <c r="SHY50" s="952"/>
      <c r="SHZ50" s="952"/>
      <c r="SIA50" s="952"/>
      <c r="SIB50" s="952"/>
      <c r="SIC50" s="952"/>
      <c r="SID50" s="952"/>
      <c r="SIE50" s="952"/>
      <c r="SIF50" s="952"/>
      <c r="SIG50" s="952"/>
      <c r="SIH50" s="952"/>
      <c r="SII50" s="952"/>
      <c r="SIJ50" s="952"/>
      <c r="SIK50" s="952"/>
      <c r="SIL50" s="952"/>
      <c r="SIM50" s="952"/>
      <c r="SIN50" s="952"/>
      <c r="SIO50" s="952"/>
      <c r="SIP50" s="952"/>
      <c r="SIQ50" s="952"/>
      <c r="SIR50" s="952"/>
      <c r="SIS50" s="952"/>
      <c r="SIT50" s="952"/>
      <c r="SIU50" s="952"/>
      <c r="SIV50" s="952"/>
      <c r="SIW50" s="952"/>
      <c r="SIX50" s="952"/>
      <c r="SIY50" s="952"/>
      <c r="SIZ50" s="952"/>
      <c r="SJA50" s="952"/>
      <c r="SJB50" s="952"/>
      <c r="SJC50" s="952"/>
      <c r="SJD50" s="952"/>
      <c r="SJE50" s="952"/>
      <c r="SJF50" s="952"/>
      <c r="SJG50" s="952"/>
      <c r="SJH50" s="952"/>
      <c r="SJI50" s="952"/>
      <c r="SJJ50" s="952"/>
      <c r="SJK50" s="952"/>
      <c r="SJL50" s="952"/>
      <c r="SJM50" s="952"/>
      <c r="SJN50" s="952"/>
      <c r="SJO50" s="952"/>
      <c r="SJP50" s="952"/>
      <c r="SJQ50" s="952"/>
      <c r="SJR50" s="952"/>
      <c r="SJS50" s="952"/>
      <c r="SJT50" s="952"/>
      <c r="SJU50" s="952"/>
      <c r="SJV50" s="952"/>
      <c r="SJW50" s="952"/>
      <c r="SJX50" s="952"/>
      <c r="SJY50" s="952"/>
      <c r="SJZ50" s="952"/>
      <c r="SKA50" s="952"/>
      <c r="SKB50" s="952"/>
      <c r="SKC50" s="952"/>
      <c r="SKD50" s="952"/>
      <c r="SKE50" s="952"/>
      <c r="SKF50" s="952"/>
      <c r="SKG50" s="952"/>
      <c r="SKH50" s="952"/>
      <c r="SKI50" s="952"/>
      <c r="SKJ50" s="952"/>
      <c r="SKK50" s="952"/>
      <c r="SKL50" s="952"/>
      <c r="SKM50" s="952"/>
      <c r="SKN50" s="952"/>
      <c r="SKO50" s="952"/>
      <c r="SKP50" s="952"/>
      <c r="SKQ50" s="952"/>
      <c r="SKR50" s="952"/>
      <c r="SKS50" s="952"/>
      <c r="SKT50" s="952"/>
      <c r="SKU50" s="952"/>
      <c r="SKV50" s="952"/>
      <c r="SKW50" s="952"/>
      <c r="SKX50" s="952"/>
      <c r="SKY50" s="952"/>
      <c r="SKZ50" s="952"/>
      <c r="SLA50" s="952"/>
      <c r="SLB50" s="952"/>
      <c r="SLC50" s="952"/>
      <c r="SLD50" s="952"/>
      <c r="SLE50" s="952"/>
      <c r="SLF50" s="952"/>
      <c r="SLG50" s="952"/>
      <c r="SLH50" s="952"/>
      <c r="SLI50" s="952"/>
      <c r="SLJ50" s="952"/>
      <c r="SLK50" s="952"/>
      <c r="SLL50" s="952"/>
      <c r="SLM50" s="952"/>
      <c r="SLN50" s="952"/>
      <c r="SLO50" s="952"/>
      <c r="SLP50" s="952"/>
      <c r="SLQ50" s="952"/>
      <c r="SLR50" s="952"/>
      <c r="SLS50" s="952"/>
      <c r="SLT50" s="952"/>
      <c r="SLU50" s="952"/>
      <c r="SLV50" s="952"/>
      <c r="SLW50" s="952"/>
      <c r="SLX50" s="952"/>
      <c r="SLY50" s="952"/>
      <c r="SLZ50" s="952"/>
      <c r="SMA50" s="952"/>
      <c r="SMB50" s="952"/>
      <c r="SMC50" s="952"/>
      <c r="SMD50" s="952"/>
      <c r="SME50" s="952"/>
      <c r="SMF50" s="952"/>
      <c r="SMG50" s="952"/>
      <c r="SMH50" s="952"/>
      <c r="SMI50" s="952"/>
      <c r="SMJ50" s="952"/>
      <c r="SMK50" s="952"/>
      <c r="SML50" s="952"/>
      <c r="SMM50" s="952"/>
      <c r="SMN50" s="952"/>
      <c r="SMO50" s="952"/>
      <c r="SMP50" s="952"/>
      <c r="SMQ50" s="952"/>
      <c r="SMR50" s="952"/>
      <c r="SMS50" s="952"/>
      <c r="SMT50" s="952"/>
      <c r="SMU50" s="952"/>
      <c r="SMV50" s="952"/>
      <c r="SMW50" s="952"/>
      <c r="SMX50" s="952"/>
      <c r="SMY50" s="952"/>
      <c r="SMZ50" s="952"/>
      <c r="SNA50" s="952"/>
      <c r="SNB50" s="952"/>
      <c r="SNC50" s="952"/>
      <c r="SND50" s="952"/>
      <c r="SNE50" s="952"/>
      <c r="SNF50" s="952"/>
      <c r="SNG50" s="952"/>
      <c r="SNH50" s="952"/>
      <c r="SNI50" s="952"/>
      <c r="SNJ50" s="952"/>
      <c r="SNK50" s="952"/>
      <c r="SNL50" s="952"/>
      <c r="SNM50" s="952"/>
      <c r="SNN50" s="952"/>
      <c r="SNO50" s="952"/>
      <c r="SNP50" s="952"/>
      <c r="SNQ50" s="952"/>
      <c r="SNR50" s="952"/>
      <c r="SNS50" s="952"/>
      <c r="SNT50" s="952"/>
      <c r="SNU50" s="952"/>
      <c r="SNV50" s="952"/>
      <c r="SNW50" s="952"/>
      <c r="SNX50" s="952"/>
      <c r="SNY50" s="952"/>
      <c r="SNZ50" s="952"/>
      <c r="SOA50" s="952"/>
      <c r="SOB50" s="952"/>
      <c r="SOC50" s="952"/>
      <c r="SOD50" s="952"/>
      <c r="SOE50" s="952"/>
      <c r="SOF50" s="952"/>
      <c r="SOG50" s="952"/>
      <c r="SOH50" s="952"/>
      <c r="SOI50" s="952"/>
      <c r="SOJ50" s="952"/>
      <c r="SOK50" s="952"/>
      <c r="SOL50" s="952"/>
      <c r="SOM50" s="952"/>
      <c r="SON50" s="952"/>
      <c r="SOO50" s="952"/>
      <c r="SOP50" s="952"/>
      <c r="SOQ50" s="952"/>
      <c r="SOR50" s="952"/>
      <c r="SOS50" s="952"/>
      <c r="SOT50" s="952"/>
      <c r="SOU50" s="952"/>
      <c r="SOV50" s="952"/>
      <c r="SOW50" s="952"/>
      <c r="SOX50" s="952"/>
      <c r="SOY50" s="952"/>
      <c r="SOZ50" s="952"/>
      <c r="SPA50" s="952"/>
      <c r="SPB50" s="952"/>
      <c r="SPC50" s="952"/>
      <c r="SPD50" s="952"/>
      <c r="SPE50" s="952"/>
      <c r="SPF50" s="952"/>
      <c r="SPG50" s="952"/>
      <c r="SPH50" s="952"/>
      <c r="SPI50" s="952"/>
      <c r="SPJ50" s="952"/>
      <c r="SPK50" s="952"/>
      <c r="SPL50" s="952"/>
      <c r="SPM50" s="952"/>
      <c r="SPN50" s="952"/>
      <c r="SPO50" s="952"/>
      <c r="SPP50" s="952"/>
      <c r="SPQ50" s="952"/>
      <c r="SPR50" s="952"/>
      <c r="SPS50" s="952"/>
      <c r="SPT50" s="952"/>
      <c r="SPU50" s="952"/>
      <c r="SPV50" s="952"/>
      <c r="SPW50" s="952"/>
      <c r="SPX50" s="952"/>
      <c r="SPY50" s="952"/>
      <c r="SPZ50" s="952"/>
      <c r="SQA50" s="952"/>
      <c r="SQB50" s="952"/>
      <c r="SQC50" s="952"/>
      <c r="SQD50" s="952"/>
      <c r="SQE50" s="952"/>
      <c r="SQF50" s="952"/>
      <c r="SQG50" s="952"/>
      <c r="SQH50" s="952"/>
      <c r="SQI50" s="952"/>
      <c r="SQJ50" s="952"/>
      <c r="SQK50" s="952"/>
      <c r="SQL50" s="952"/>
      <c r="SQM50" s="952"/>
      <c r="SQN50" s="952"/>
      <c r="SQO50" s="952"/>
      <c r="SQP50" s="952"/>
      <c r="SQQ50" s="952"/>
      <c r="SQR50" s="952"/>
      <c r="SQS50" s="952"/>
      <c r="SQT50" s="952"/>
      <c r="SQU50" s="952"/>
      <c r="SQV50" s="952"/>
      <c r="SQW50" s="952"/>
      <c r="SQX50" s="952"/>
      <c r="SQY50" s="952"/>
      <c r="SQZ50" s="952"/>
      <c r="SRA50" s="952"/>
      <c r="SRB50" s="952"/>
      <c r="SRC50" s="952"/>
      <c r="SRD50" s="952"/>
      <c r="SRE50" s="952"/>
      <c r="SRF50" s="952"/>
      <c r="SRG50" s="952"/>
      <c r="SRH50" s="952"/>
      <c r="SRI50" s="952"/>
      <c r="SRJ50" s="952"/>
      <c r="SRK50" s="952"/>
      <c r="SRL50" s="952"/>
      <c r="SRM50" s="952"/>
      <c r="SRN50" s="952"/>
      <c r="SRO50" s="952"/>
      <c r="SRP50" s="952"/>
      <c r="SRQ50" s="952"/>
      <c r="SRR50" s="952"/>
      <c r="SRS50" s="952"/>
      <c r="SRT50" s="952"/>
      <c r="SRU50" s="952"/>
      <c r="SRV50" s="952"/>
      <c r="SRW50" s="952"/>
      <c r="SRX50" s="952"/>
      <c r="SRY50" s="952"/>
      <c r="SRZ50" s="952"/>
      <c r="SSA50" s="952"/>
      <c r="SSB50" s="952"/>
      <c r="SSC50" s="952"/>
      <c r="SSD50" s="952"/>
      <c r="SSE50" s="952"/>
      <c r="SSF50" s="952"/>
      <c r="SSG50" s="952"/>
      <c r="SSH50" s="952"/>
      <c r="SSI50" s="952"/>
      <c r="SSJ50" s="952"/>
      <c r="SSK50" s="952"/>
      <c r="SSL50" s="952"/>
      <c r="SSM50" s="952"/>
      <c r="SSN50" s="952"/>
      <c r="SSO50" s="952"/>
      <c r="SSP50" s="952"/>
      <c r="SSQ50" s="952"/>
      <c r="SSR50" s="952"/>
      <c r="SSS50" s="952"/>
      <c r="SST50" s="952"/>
      <c r="SSU50" s="952"/>
      <c r="SSV50" s="952"/>
      <c r="SSW50" s="952"/>
      <c r="SSX50" s="952"/>
      <c r="SSY50" s="952"/>
      <c r="SSZ50" s="952"/>
      <c r="STA50" s="952"/>
      <c r="STB50" s="952"/>
      <c r="STC50" s="952"/>
      <c r="STD50" s="952"/>
      <c r="STE50" s="952"/>
      <c r="STF50" s="952"/>
      <c r="STG50" s="952"/>
      <c r="STH50" s="952"/>
      <c r="STI50" s="952"/>
      <c r="STJ50" s="952"/>
      <c r="STK50" s="952"/>
      <c r="STL50" s="952"/>
      <c r="STM50" s="952"/>
      <c r="STN50" s="952"/>
      <c r="STO50" s="952"/>
      <c r="STP50" s="952"/>
      <c r="STQ50" s="952"/>
      <c r="STR50" s="952"/>
      <c r="STS50" s="952"/>
      <c r="STT50" s="952"/>
      <c r="STU50" s="952"/>
      <c r="STV50" s="952"/>
      <c r="STW50" s="952"/>
      <c r="STX50" s="952"/>
      <c r="STY50" s="952"/>
      <c r="STZ50" s="952"/>
      <c r="SUA50" s="952"/>
      <c r="SUB50" s="952"/>
      <c r="SUC50" s="952"/>
      <c r="SUD50" s="952"/>
      <c r="SUE50" s="952"/>
      <c r="SUF50" s="952"/>
      <c r="SUG50" s="952"/>
      <c r="SUH50" s="952"/>
      <c r="SUI50" s="952"/>
      <c r="SUJ50" s="952"/>
      <c r="SUK50" s="952"/>
      <c r="SUL50" s="952"/>
      <c r="SUM50" s="952"/>
      <c r="SUN50" s="952"/>
      <c r="SUO50" s="952"/>
      <c r="SUP50" s="952"/>
      <c r="SUQ50" s="952"/>
      <c r="SUR50" s="952"/>
      <c r="SUS50" s="952"/>
      <c r="SUT50" s="952"/>
      <c r="SUU50" s="952"/>
      <c r="SUV50" s="952"/>
      <c r="SUW50" s="952"/>
      <c r="SUX50" s="952"/>
      <c r="SUY50" s="952"/>
      <c r="SUZ50" s="952"/>
      <c r="SVA50" s="952"/>
      <c r="SVB50" s="952"/>
      <c r="SVC50" s="952"/>
      <c r="SVD50" s="952"/>
      <c r="SVE50" s="952"/>
      <c r="SVF50" s="952"/>
      <c r="SVG50" s="952"/>
      <c r="SVH50" s="952"/>
      <c r="SVI50" s="952"/>
      <c r="SVJ50" s="952"/>
      <c r="SVK50" s="952"/>
      <c r="SVL50" s="952"/>
      <c r="SVM50" s="952"/>
      <c r="SVN50" s="952"/>
      <c r="SVO50" s="952"/>
      <c r="SVP50" s="952"/>
      <c r="SVQ50" s="952"/>
      <c r="SVR50" s="952"/>
      <c r="SVS50" s="952"/>
      <c r="SVT50" s="952"/>
      <c r="SVU50" s="952"/>
      <c r="SVV50" s="952"/>
      <c r="SVW50" s="952"/>
      <c r="SVX50" s="952"/>
      <c r="SVY50" s="952"/>
      <c r="SVZ50" s="952"/>
      <c r="SWA50" s="952"/>
      <c r="SWB50" s="952"/>
      <c r="SWC50" s="952"/>
      <c r="SWD50" s="952"/>
      <c r="SWE50" s="952"/>
      <c r="SWF50" s="952"/>
      <c r="SWG50" s="952"/>
      <c r="SWH50" s="952"/>
      <c r="SWI50" s="952"/>
      <c r="SWJ50" s="952"/>
      <c r="SWK50" s="952"/>
      <c r="SWL50" s="952"/>
      <c r="SWM50" s="952"/>
      <c r="SWN50" s="952"/>
      <c r="SWO50" s="952"/>
      <c r="SWP50" s="952"/>
      <c r="SWQ50" s="952"/>
      <c r="SWR50" s="952"/>
      <c r="SWS50" s="952"/>
      <c r="SWT50" s="952"/>
      <c r="SWU50" s="952"/>
      <c r="SWV50" s="952"/>
      <c r="SWW50" s="952"/>
      <c r="SWX50" s="952"/>
      <c r="SWY50" s="952"/>
      <c r="SWZ50" s="952"/>
      <c r="SXA50" s="952"/>
      <c r="SXB50" s="952"/>
      <c r="SXC50" s="952"/>
      <c r="SXD50" s="952"/>
      <c r="SXE50" s="952"/>
      <c r="SXF50" s="952"/>
      <c r="SXG50" s="952"/>
      <c r="SXH50" s="952"/>
      <c r="SXI50" s="952"/>
      <c r="SXJ50" s="952"/>
      <c r="SXK50" s="952"/>
      <c r="SXL50" s="952"/>
      <c r="SXM50" s="952"/>
      <c r="SXN50" s="952"/>
      <c r="SXO50" s="952"/>
      <c r="SXP50" s="952"/>
      <c r="SXQ50" s="952"/>
      <c r="SXR50" s="952"/>
      <c r="SXS50" s="952"/>
      <c r="SXT50" s="952"/>
      <c r="SXU50" s="952"/>
      <c r="SXV50" s="952"/>
      <c r="SXW50" s="952"/>
      <c r="SXX50" s="952"/>
      <c r="SXY50" s="952"/>
      <c r="SXZ50" s="952"/>
      <c r="SYA50" s="952"/>
      <c r="SYB50" s="952"/>
      <c r="SYC50" s="952"/>
      <c r="SYD50" s="952"/>
      <c r="SYE50" s="952"/>
      <c r="SYF50" s="952"/>
      <c r="SYG50" s="952"/>
      <c r="SYH50" s="952"/>
      <c r="SYI50" s="952"/>
      <c r="SYJ50" s="952"/>
      <c r="SYK50" s="952"/>
      <c r="SYL50" s="952"/>
      <c r="SYM50" s="952"/>
      <c r="SYN50" s="952"/>
      <c r="SYO50" s="952"/>
      <c r="SYP50" s="952"/>
      <c r="SYQ50" s="952"/>
      <c r="SYR50" s="952"/>
      <c r="SYS50" s="952"/>
      <c r="SYT50" s="952"/>
      <c r="SYU50" s="952"/>
      <c r="SYV50" s="952"/>
      <c r="SYW50" s="952"/>
      <c r="SYX50" s="952"/>
      <c r="SYY50" s="952"/>
      <c r="SYZ50" s="952"/>
      <c r="SZA50" s="952"/>
      <c r="SZB50" s="952"/>
      <c r="SZC50" s="952"/>
      <c r="SZD50" s="952"/>
      <c r="SZE50" s="952"/>
      <c r="SZF50" s="952"/>
      <c r="SZG50" s="952"/>
      <c r="SZH50" s="952"/>
      <c r="SZI50" s="952"/>
      <c r="SZJ50" s="952"/>
      <c r="SZK50" s="952"/>
      <c r="SZL50" s="952"/>
      <c r="SZM50" s="952"/>
      <c r="SZN50" s="952"/>
      <c r="SZO50" s="952"/>
      <c r="SZP50" s="952"/>
      <c r="SZQ50" s="952"/>
      <c r="SZR50" s="952"/>
      <c r="SZS50" s="952"/>
      <c r="SZT50" s="952"/>
      <c r="SZU50" s="952"/>
      <c r="SZV50" s="952"/>
      <c r="SZW50" s="952"/>
      <c r="SZX50" s="952"/>
      <c r="SZY50" s="952"/>
      <c r="SZZ50" s="952"/>
      <c r="TAA50" s="952"/>
      <c r="TAB50" s="952"/>
      <c r="TAC50" s="952"/>
      <c r="TAD50" s="952"/>
      <c r="TAE50" s="952"/>
      <c r="TAF50" s="952"/>
      <c r="TAG50" s="952"/>
      <c r="TAH50" s="952"/>
      <c r="TAI50" s="952"/>
      <c r="TAJ50" s="952"/>
      <c r="TAK50" s="952"/>
      <c r="TAL50" s="952"/>
      <c r="TAM50" s="952"/>
      <c r="TAN50" s="952"/>
      <c r="TAO50" s="952"/>
      <c r="TAP50" s="952"/>
      <c r="TAQ50" s="952"/>
      <c r="TAR50" s="952"/>
      <c r="TAS50" s="952"/>
      <c r="TAT50" s="952"/>
      <c r="TAU50" s="952"/>
      <c r="TAV50" s="952"/>
      <c r="TAW50" s="952"/>
      <c r="TAX50" s="952"/>
      <c r="TAY50" s="952"/>
      <c r="TAZ50" s="952"/>
      <c r="TBA50" s="952"/>
      <c r="TBB50" s="952"/>
      <c r="TBC50" s="952"/>
      <c r="TBD50" s="952"/>
      <c r="TBE50" s="952"/>
      <c r="TBF50" s="952"/>
      <c r="TBG50" s="952"/>
      <c r="TBH50" s="952"/>
      <c r="TBI50" s="952"/>
      <c r="TBJ50" s="952"/>
      <c r="TBK50" s="952"/>
      <c r="TBL50" s="952"/>
      <c r="TBM50" s="952"/>
      <c r="TBN50" s="952"/>
      <c r="TBO50" s="952"/>
      <c r="TBP50" s="952"/>
      <c r="TBQ50" s="952"/>
      <c r="TBR50" s="952"/>
      <c r="TBS50" s="952"/>
      <c r="TBT50" s="952"/>
      <c r="TBU50" s="952"/>
      <c r="TBV50" s="952"/>
      <c r="TBW50" s="952"/>
      <c r="TBX50" s="952"/>
      <c r="TBY50" s="952"/>
      <c r="TBZ50" s="952"/>
      <c r="TCA50" s="952"/>
      <c r="TCB50" s="952"/>
      <c r="TCC50" s="952"/>
      <c r="TCD50" s="952"/>
      <c r="TCE50" s="952"/>
      <c r="TCF50" s="952"/>
      <c r="TCG50" s="952"/>
      <c r="TCH50" s="952"/>
      <c r="TCI50" s="952"/>
      <c r="TCJ50" s="952"/>
      <c r="TCK50" s="952"/>
      <c r="TCL50" s="952"/>
      <c r="TCM50" s="952"/>
      <c r="TCN50" s="952"/>
      <c r="TCO50" s="952"/>
      <c r="TCP50" s="952"/>
      <c r="TCQ50" s="952"/>
      <c r="TCR50" s="952"/>
      <c r="TCS50" s="952"/>
      <c r="TCT50" s="952"/>
      <c r="TCU50" s="952"/>
      <c r="TCV50" s="952"/>
      <c r="TCW50" s="952"/>
      <c r="TCX50" s="952"/>
      <c r="TCY50" s="952"/>
      <c r="TCZ50" s="952"/>
      <c r="TDA50" s="952"/>
      <c r="TDB50" s="952"/>
      <c r="TDC50" s="952"/>
      <c r="TDD50" s="952"/>
      <c r="TDE50" s="952"/>
      <c r="TDF50" s="952"/>
      <c r="TDG50" s="952"/>
      <c r="TDH50" s="952"/>
      <c r="TDI50" s="952"/>
      <c r="TDJ50" s="952"/>
      <c r="TDK50" s="952"/>
      <c r="TDL50" s="952"/>
      <c r="TDM50" s="952"/>
      <c r="TDN50" s="952"/>
      <c r="TDO50" s="952"/>
      <c r="TDP50" s="952"/>
      <c r="TDQ50" s="952"/>
      <c r="TDR50" s="952"/>
      <c r="TDS50" s="952"/>
      <c r="TDT50" s="952"/>
      <c r="TDU50" s="952"/>
      <c r="TDV50" s="952"/>
      <c r="TDW50" s="952"/>
      <c r="TDX50" s="952"/>
      <c r="TDY50" s="952"/>
      <c r="TDZ50" s="952"/>
      <c r="TEA50" s="952"/>
      <c r="TEB50" s="952"/>
      <c r="TEC50" s="952"/>
      <c r="TED50" s="952"/>
      <c r="TEE50" s="952"/>
      <c r="TEF50" s="952"/>
      <c r="TEG50" s="952"/>
      <c r="TEH50" s="952"/>
      <c r="TEI50" s="952"/>
      <c r="TEJ50" s="952"/>
      <c r="TEK50" s="952"/>
      <c r="TEL50" s="952"/>
      <c r="TEM50" s="952"/>
      <c r="TEN50" s="952"/>
      <c r="TEO50" s="952"/>
      <c r="TEP50" s="952"/>
      <c r="TEQ50" s="952"/>
      <c r="TER50" s="952"/>
      <c r="TES50" s="952"/>
      <c r="TET50" s="952"/>
      <c r="TEU50" s="952"/>
      <c r="TEV50" s="952"/>
      <c r="TEW50" s="952"/>
      <c r="TEX50" s="952"/>
      <c r="TEY50" s="952"/>
      <c r="TEZ50" s="952"/>
      <c r="TFA50" s="952"/>
      <c r="TFB50" s="952"/>
      <c r="TFC50" s="952"/>
      <c r="TFD50" s="952"/>
      <c r="TFE50" s="952"/>
      <c r="TFF50" s="952"/>
      <c r="TFG50" s="952"/>
      <c r="TFH50" s="952"/>
      <c r="TFI50" s="952"/>
      <c r="TFJ50" s="952"/>
      <c r="TFK50" s="952"/>
      <c r="TFL50" s="952"/>
      <c r="TFM50" s="952"/>
      <c r="TFN50" s="952"/>
      <c r="TFO50" s="952"/>
      <c r="TFP50" s="952"/>
      <c r="TFQ50" s="952"/>
      <c r="TFR50" s="952"/>
      <c r="TFS50" s="952"/>
      <c r="TFT50" s="952"/>
      <c r="TFU50" s="952"/>
      <c r="TFV50" s="952"/>
      <c r="TFW50" s="952"/>
      <c r="TFX50" s="952"/>
      <c r="TFY50" s="952"/>
      <c r="TFZ50" s="952"/>
      <c r="TGA50" s="952"/>
      <c r="TGB50" s="952"/>
      <c r="TGC50" s="952"/>
      <c r="TGD50" s="952"/>
      <c r="TGE50" s="952"/>
      <c r="TGF50" s="952"/>
      <c r="TGG50" s="952"/>
      <c r="TGH50" s="952"/>
      <c r="TGI50" s="952"/>
      <c r="TGJ50" s="952"/>
      <c r="TGK50" s="952"/>
      <c r="TGL50" s="952"/>
      <c r="TGM50" s="952"/>
      <c r="TGN50" s="952"/>
      <c r="TGO50" s="952"/>
      <c r="TGP50" s="952"/>
      <c r="TGQ50" s="952"/>
      <c r="TGR50" s="952"/>
      <c r="TGS50" s="952"/>
      <c r="TGT50" s="952"/>
      <c r="TGU50" s="952"/>
      <c r="TGV50" s="952"/>
      <c r="TGW50" s="952"/>
      <c r="TGX50" s="952"/>
      <c r="TGY50" s="952"/>
      <c r="TGZ50" s="952"/>
      <c r="THA50" s="952"/>
      <c r="THB50" s="952"/>
      <c r="THC50" s="952"/>
      <c r="THD50" s="952"/>
      <c r="THE50" s="952"/>
      <c r="THF50" s="952"/>
      <c r="THG50" s="952"/>
      <c r="THH50" s="952"/>
      <c r="THI50" s="952"/>
      <c r="THJ50" s="952"/>
      <c r="THK50" s="952"/>
      <c r="THL50" s="952"/>
      <c r="THM50" s="952"/>
      <c r="THN50" s="952"/>
      <c r="THO50" s="952"/>
      <c r="THP50" s="952"/>
      <c r="THQ50" s="952"/>
      <c r="THR50" s="952"/>
      <c r="THS50" s="952"/>
      <c r="THT50" s="952"/>
      <c r="THU50" s="952"/>
      <c r="THV50" s="952"/>
      <c r="THW50" s="952"/>
      <c r="THX50" s="952"/>
      <c r="THY50" s="952"/>
      <c r="THZ50" s="952"/>
      <c r="TIA50" s="952"/>
      <c r="TIB50" s="952"/>
      <c r="TIC50" s="952"/>
      <c r="TID50" s="952"/>
      <c r="TIE50" s="952"/>
      <c r="TIF50" s="952"/>
      <c r="TIG50" s="952"/>
      <c r="TIH50" s="952"/>
      <c r="TII50" s="952"/>
      <c r="TIJ50" s="952"/>
      <c r="TIK50" s="952"/>
      <c r="TIL50" s="952"/>
      <c r="TIM50" s="952"/>
      <c r="TIN50" s="952"/>
      <c r="TIO50" s="952"/>
      <c r="TIP50" s="952"/>
      <c r="TIQ50" s="952"/>
      <c r="TIR50" s="952"/>
      <c r="TIS50" s="952"/>
      <c r="TIT50" s="952"/>
      <c r="TIU50" s="952"/>
      <c r="TIV50" s="952"/>
      <c r="TIW50" s="952"/>
      <c r="TIX50" s="952"/>
      <c r="TIY50" s="952"/>
      <c r="TIZ50" s="952"/>
      <c r="TJA50" s="952"/>
      <c r="TJB50" s="952"/>
      <c r="TJC50" s="952"/>
      <c r="TJD50" s="952"/>
      <c r="TJE50" s="952"/>
      <c r="TJF50" s="952"/>
      <c r="TJG50" s="952"/>
      <c r="TJH50" s="952"/>
      <c r="TJI50" s="952"/>
      <c r="TJJ50" s="952"/>
      <c r="TJK50" s="952"/>
      <c r="TJL50" s="952"/>
      <c r="TJM50" s="952"/>
      <c r="TJN50" s="952"/>
      <c r="TJO50" s="952"/>
      <c r="TJP50" s="952"/>
      <c r="TJQ50" s="952"/>
      <c r="TJR50" s="952"/>
      <c r="TJS50" s="952"/>
      <c r="TJT50" s="952"/>
      <c r="TJU50" s="952"/>
      <c r="TJV50" s="952"/>
      <c r="TJW50" s="952"/>
      <c r="TJX50" s="952"/>
      <c r="TJY50" s="952"/>
      <c r="TJZ50" s="952"/>
      <c r="TKA50" s="952"/>
      <c r="TKB50" s="952"/>
      <c r="TKC50" s="952"/>
      <c r="TKD50" s="952"/>
      <c r="TKE50" s="952"/>
      <c r="TKF50" s="952"/>
      <c r="TKG50" s="952"/>
      <c r="TKH50" s="952"/>
      <c r="TKI50" s="952"/>
      <c r="TKJ50" s="952"/>
      <c r="TKK50" s="952"/>
      <c r="TKL50" s="952"/>
      <c r="TKM50" s="952"/>
      <c r="TKN50" s="952"/>
      <c r="TKO50" s="952"/>
      <c r="TKP50" s="952"/>
      <c r="TKQ50" s="952"/>
      <c r="TKR50" s="952"/>
      <c r="TKS50" s="952"/>
      <c r="TKT50" s="952"/>
      <c r="TKU50" s="952"/>
      <c r="TKV50" s="952"/>
      <c r="TKW50" s="952"/>
      <c r="TKX50" s="952"/>
      <c r="TKY50" s="952"/>
      <c r="TKZ50" s="952"/>
      <c r="TLA50" s="952"/>
      <c r="TLB50" s="952"/>
      <c r="TLC50" s="952"/>
      <c r="TLD50" s="952"/>
      <c r="TLE50" s="952"/>
      <c r="TLF50" s="952"/>
      <c r="TLG50" s="952"/>
      <c r="TLH50" s="952"/>
      <c r="TLI50" s="952"/>
      <c r="TLJ50" s="952"/>
      <c r="TLK50" s="952"/>
      <c r="TLL50" s="952"/>
      <c r="TLM50" s="952"/>
      <c r="TLN50" s="952"/>
      <c r="TLO50" s="952"/>
      <c r="TLP50" s="952"/>
      <c r="TLQ50" s="952"/>
      <c r="TLR50" s="952"/>
      <c r="TLS50" s="952"/>
      <c r="TLT50" s="952"/>
      <c r="TLU50" s="952"/>
      <c r="TLV50" s="952"/>
      <c r="TLW50" s="952"/>
      <c r="TLX50" s="952"/>
      <c r="TLY50" s="952"/>
      <c r="TLZ50" s="952"/>
      <c r="TMA50" s="952"/>
      <c r="TMB50" s="952"/>
      <c r="TMC50" s="952"/>
      <c r="TMD50" s="952"/>
      <c r="TME50" s="952"/>
      <c r="TMF50" s="952"/>
      <c r="TMG50" s="952"/>
      <c r="TMH50" s="952"/>
      <c r="TMI50" s="952"/>
      <c r="TMJ50" s="952"/>
      <c r="TMK50" s="952"/>
      <c r="TML50" s="952"/>
      <c r="TMM50" s="952"/>
      <c r="TMN50" s="952"/>
      <c r="TMO50" s="952"/>
      <c r="TMP50" s="952"/>
      <c r="TMQ50" s="952"/>
      <c r="TMR50" s="952"/>
      <c r="TMS50" s="952"/>
      <c r="TMT50" s="952"/>
      <c r="TMU50" s="952"/>
      <c r="TMV50" s="952"/>
      <c r="TMW50" s="952"/>
      <c r="TMX50" s="952"/>
      <c r="TMY50" s="952"/>
      <c r="TMZ50" s="952"/>
      <c r="TNA50" s="952"/>
      <c r="TNB50" s="952"/>
      <c r="TNC50" s="952"/>
      <c r="TND50" s="952"/>
      <c r="TNE50" s="952"/>
      <c r="TNF50" s="952"/>
      <c r="TNG50" s="952"/>
      <c r="TNH50" s="952"/>
      <c r="TNI50" s="952"/>
      <c r="TNJ50" s="952"/>
      <c r="TNK50" s="952"/>
      <c r="TNL50" s="952"/>
      <c r="TNM50" s="952"/>
      <c r="TNN50" s="952"/>
      <c r="TNO50" s="952"/>
      <c r="TNP50" s="952"/>
      <c r="TNQ50" s="952"/>
      <c r="TNR50" s="952"/>
      <c r="TNS50" s="952"/>
      <c r="TNT50" s="952"/>
      <c r="TNU50" s="952"/>
      <c r="TNV50" s="952"/>
      <c r="TNW50" s="952"/>
      <c r="TNX50" s="952"/>
      <c r="TNY50" s="952"/>
      <c r="TNZ50" s="952"/>
      <c r="TOA50" s="952"/>
      <c r="TOB50" s="952"/>
      <c r="TOC50" s="952"/>
      <c r="TOD50" s="952"/>
      <c r="TOE50" s="952"/>
      <c r="TOF50" s="952"/>
      <c r="TOG50" s="952"/>
      <c r="TOH50" s="952"/>
      <c r="TOI50" s="952"/>
      <c r="TOJ50" s="952"/>
      <c r="TOK50" s="952"/>
      <c r="TOL50" s="952"/>
      <c r="TOM50" s="952"/>
      <c r="TON50" s="952"/>
      <c r="TOO50" s="952"/>
      <c r="TOP50" s="952"/>
      <c r="TOQ50" s="952"/>
      <c r="TOR50" s="952"/>
      <c r="TOS50" s="952"/>
      <c r="TOT50" s="952"/>
      <c r="TOU50" s="952"/>
      <c r="TOV50" s="952"/>
      <c r="TOW50" s="952"/>
      <c r="TOX50" s="952"/>
      <c r="TOY50" s="952"/>
      <c r="TOZ50" s="952"/>
      <c r="TPA50" s="952"/>
      <c r="TPB50" s="952"/>
      <c r="TPC50" s="952"/>
      <c r="TPD50" s="952"/>
      <c r="TPE50" s="952"/>
      <c r="TPF50" s="952"/>
      <c r="TPG50" s="952"/>
      <c r="TPH50" s="952"/>
      <c r="TPI50" s="952"/>
      <c r="TPJ50" s="952"/>
      <c r="TPK50" s="952"/>
      <c r="TPL50" s="952"/>
      <c r="TPM50" s="952"/>
      <c r="TPN50" s="952"/>
      <c r="TPO50" s="952"/>
      <c r="TPP50" s="952"/>
      <c r="TPQ50" s="952"/>
      <c r="TPR50" s="952"/>
      <c r="TPS50" s="952"/>
      <c r="TPT50" s="952"/>
      <c r="TPU50" s="952"/>
      <c r="TPV50" s="952"/>
      <c r="TPW50" s="952"/>
      <c r="TPX50" s="952"/>
      <c r="TPY50" s="952"/>
      <c r="TPZ50" s="952"/>
      <c r="TQA50" s="952"/>
      <c r="TQB50" s="952"/>
      <c r="TQC50" s="952"/>
      <c r="TQD50" s="952"/>
      <c r="TQE50" s="952"/>
      <c r="TQF50" s="952"/>
      <c r="TQG50" s="952"/>
      <c r="TQH50" s="952"/>
      <c r="TQI50" s="952"/>
      <c r="TQJ50" s="952"/>
      <c r="TQK50" s="952"/>
      <c r="TQL50" s="952"/>
      <c r="TQM50" s="952"/>
      <c r="TQN50" s="952"/>
      <c r="TQO50" s="952"/>
      <c r="TQP50" s="952"/>
      <c r="TQQ50" s="952"/>
      <c r="TQR50" s="952"/>
      <c r="TQS50" s="952"/>
      <c r="TQT50" s="952"/>
      <c r="TQU50" s="952"/>
      <c r="TQV50" s="952"/>
      <c r="TQW50" s="952"/>
      <c r="TQX50" s="952"/>
      <c r="TQY50" s="952"/>
      <c r="TQZ50" s="952"/>
      <c r="TRA50" s="952"/>
      <c r="TRB50" s="952"/>
      <c r="TRC50" s="952"/>
      <c r="TRD50" s="952"/>
      <c r="TRE50" s="952"/>
      <c r="TRF50" s="952"/>
      <c r="TRG50" s="952"/>
      <c r="TRH50" s="952"/>
      <c r="TRI50" s="952"/>
      <c r="TRJ50" s="952"/>
      <c r="TRK50" s="952"/>
      <c r="TRL50" s="952"/>
      <c r="TRM50" s="952"/>
      <c r="TRN50" s="952"/>
      <c r="TRO50" s="952"/>
      <c r="TRP50" s="952"/>
      <c r="TRQ50" s="952"/>
      <c r="TRR50" s="952"/>
      <c r="TRS50" s="952"/>
      <c r="TRT50" s="952"/>
      <c r="TRU50" s="952"/>
      <c r="TRV50" s="952"/>
      <c r="TRW50" s="952"/>
      <c r="TRX50" s="952"/>
      <c r="TRY50" s="952"/>
      <c r="TRZ50" s="952"/>
      <c r="TSA50" s="952"/>
      <c r="TSB50" s="952"/>
      <c r="TSC50" s="952"/>
      <c r="TSD50" s="952"/>
      <c r="TSE50" s="952"/>
      <c r="TSF50" s="952"/>
      <c r="TSG50" s="952"/>
      <c r="TSH50" s="952"/>
      <c r="TSI50" s="952"/>
      <c r="TSJ50" s="952"/>
      <c r="TSK50" s="952"/>
      <c r="TSL50" s="952"/>
      <c r="TSM50" s="952"/>
      <c r="TSN50" s="952"/>
      <c r="TSO50" s="952"/>
      <c r="TSP50" s="952"/>
      <c r="TSQ50" s="952"/>
      <c r="TSR50" s="952"/>
      <c r="TSS50" s="952"/>
      <c r="TST50" s="952"/>
      <c r="TSU50" s="952"/>
      <c r="TSV50" s="952"/>
      <c r="TSW50" s="952"/>
      <c r="TSX50" s="952"/>
      <c r="TSY50" s="952"/>
      <c r="TSZ50" s="952"/>
      <c r="TTA50" s="952"/>
      <c r="TTB50" s="952"/>
      <c r="TTC50" s="952"/>
      <c r="TTD50" s="952"/>
      <c r="TTE50" s="952"/>
      <c r="TTF50" s="952"/>
      <c r="TTG50" s="952"/>
      <c r="TTH50" s="952"/>
      <c r="TTI50" s="952"/>
      <c r="TTJ50" s="952"/>
      <c r="TTK50" s="952"/>
      <c r="TTL50" s="952"/>
      <c r="TTM50" s="952"/>
      <c r="TTN50" s="952"/>
      <c r="TTO50" s="952"/>
      <c r="TTP50" s="952"/>
      <c r="TTQ50" s="952"/>
      <c r="TTR50" s="952"/>
      <c r="TTS50" s="952"/>
      <c r="TTT50" s="952"/>
      <c r="TTU50" s="952"/>
      <c r="TTV50" s="952"/>
      <c r="TTW50" s="952"/>
      <c r="TTX50" s="952"/>
      <c r="TTY50" s="952"/>
      <c r="TTZ50" s="952"/>
      <c r="TUA50" s="952"/>
      <c r="TUB50" s="952"/>
      <c r="TUC50" s="952"/>
      <c r="TUD50" s="952"/>
      <c r="TUE50" s="952"/>
      <c r="TUF50" s="952"/>
      <c r="TUG50" s="952"/>
      <c r="TUH50" s="952"/>
      <c r="TUI50" s="952"/>
      <c r="TUJ50" s="952"/>
      <c r="TUK50" s="952"/>
      <c r="TUL50" s="952"/>
      <c r="TUM50" s="952"/>
      <c r="TUN50" s="952"/>
      <c r="TUO50" s="952"/>
      <c r="TUP50" s="952"/>
      <c r="TUQ50" s="952"/>
      <c r="TUR50" s="952"/>
      <c r="TUS50" s="952"/>
      <c r="TUT50" s="952"/>
      <c r="TUU50" s="952"/>
      <c r="TUV50" s="952"/>
      <c r="TUW50" s="952"/>
      <c r="TUX50" s="952"/>
      <c r="TUY50" s="952"/>
      <c r="TUZ50" s="952"/>
      <c r="TVA50" s="952"/>
      <c r="TVB50" s="952"/>
      <c r="TVC50" s="952"/>
      <c r="TVD50" s="952"/>
      <c r="TVE50" s="952"/>
      <c r="TVF50" s="952"/>
      <c r="TVG50" s="952"/>
      <c r="TVH50" s="952"/>
      <c r="TVI50" s="952"/>
      <c r="TVJ50" s="952"/>
      <c r="TVK50" s="952"/>
      <c r="TVL50" s="952"/>
      <c r="TVM50" s="952"/>
      <c r="TVN50" s="952"/>
      <c r="TVO50" s="952"/>
      <c r="TVP50" s="952"/>
      <c r="TVQ50" s="952"/>
      <c r="TVR50" s="952"/>
      <c r="TVS50" s="952"/>
      <c r="TVT50" s="952"/>
      <c r="TVU50" s="952"/>
      <c r="TVV50" s="952"/>
      <c r="TVW50" s="952"/>
      <c r="TVX50" s="952"/>
      <c r="TVY50" s="952"/>
      <c r="TVZ50" s="952"/>
      <c r="TWA50" s="952"/>
      <c r="TWB50" s="952"/>
      <c r="TWC50" s="952"/>
      <c r="TWD50" s="952"/>
      <c r="TWE50" s="952"/>
      <c r="TWF50" s="952"/>
      <c r="TWG50" s="952"/>
      <c r="TWH50" s="952"/>
      <c r="TWI50" s="952"/>
      <c r="TWJ50" s="952"/>
      <c r="TWK50" s="952"/>
      <c r="TWL50" s="952"/>
      <c r="TWM50" s="952"/>
      <c r="TWN50" s="952"/>
      <c r="TWO50" s="952"/>
      <c r="TWP50" s="952"/>
      <c r="TWQ50" s="952"/>
      <c r="TWR50" s="952"/>
      <c r="TWS50" s="952"/>
      <c r="TWT50" s="952"/>
      <c r="TWU50" s="952"/>
      <c r="TWV50" s="952"/>
      <c r="TWW50" s="952"/>
      <c r="TWX50" s="952"/>
      <c r="TWY50" s="952"/>
      <c r="TWZ50" s="952"/>
      <c r="TXA50" s="952"/>
      <c r="TXB50" s="952"/>
      <c r="TXC50" s="952"/>
      <c r="TXD50" s="952"/>
      <c r="TXE50" s="952"/>
      <c r="TXF50" s="952"/>
      <c r="TXG50" s="952"/>
      <c r="TXH50" s="952"/>
      <c r="TXI50" s="952"/>
      <c r="TXJ50" s="952"/>
      <c r="TXK50" s="952"/>
      <c r="TXL50" s="952"/>
      <c r="TXM50" s="952"/>
      <c r="TXN50" s="952"/>
      <c r="TXO50" s="952"/>
      <c r="TXP50" s="952"/>
      <c r="TXQ50" s="952"/>
      <c r="TXR50" s="952"/>
      <c r="TXS50" s="952"/>
      <c r="TXT50" s="952"/>
      <c r="TXU50" s="952"/>
      <c r="TXV50" s="952"/>
      <c r="TXW50" s="952"/>
      <c r="TXX50" s="952"/>
      <c r="TXY50" s="952"/>
      <c r="TXZ50" s="952"/>
      <c r="TYA50" s="952"/>
      <c r="TYB50" s="952"/>
      <c r="TYC50" s="952"/>
      <c r="TYD50" s="952"/>
      <c r="TYE50" s="952"/>
      <c r="TYF50" s="952"/>
      <c r="TYG50" s="952"/>
      <c r="TYH50" s="952"/>
      <c r="TYI50" s="952"/>
      <c r="TYJ50" s="952"/>
      <c r="TYK50" s="952"/>
      <c r="TYL50" s="952"/>
      <c r="TYM50" s="952"/>
      <c r="TYN50" s="952"/>
      <c r="TYO50" s="952"/>
      <c r="TYP50" s="952"/>
      <c r="TYQ50" s="952"/>
      <c r="TYR50" s="952"/>
      <c r="TYS50" s="952"/>
      <c r="TYT50" s="952"/>
      <c r="TYU50" s="952"/>
      <c r="TYV50" s="952"/>
      <c r="TYW50" s="952"/>
      <c r="TYX50" s="952"/>
      <c r="TYY50" s="952"/>
      <c r="TYZ50" s="952"/>
      <c r="TZA50" s="952"/>
      <c r="TZB50" s="952"/>
      <c r="TZC50" s="952"/>
      <c r="TZD50" s="952"/>
      <c r="TZE50" s="952"/>
      <c r="TZF50" s="952"/>
      <c r="TZG50" s="952"/>
      <c r="TZH50" s="952"/>
      <c r="TZI50" s="952"/>
      <c r="TZJ50" s="952"/>
      <c r="TZK50" s="952"/>
      <c r="TZL50" s="952"/>
      <c r="TZM50" s="952"/>
      <c r="TZN50" s="952"/>
      <c r="TZO50" s="952"/>
      <c r="TZP50" s="952"/>
      <c r="TZQ50" s="952"/>
      <c r="TZR50" s="952"/>
      <c r="TZS50" s="952"/>
      <c r="TZT50" s="952"/>
      <c r="TZU50" s="952"/>
      <c r="TZV50" s="952"/>
      <c r="TZW50" s="952"/>
      <c r="TZX50" s="952"/>
      <c r="TZY50" s="952"/>
      <c r="TZZ50" s="952"/>
      <c r="UAA50" s="952"/>
      <c r="UAB50" s="952"/>
      <c r="UAC50" s="952"/>
      <c r="UAD50" s="952"/>
      <c r="UAE50" s="952"/>
      <c r="UAF50" s="952"/>
      <c r="UAG50" s="952"/>
      <c r="UAH50" s="952"/>
      <c r="UAI50" s="952"/>
      <c r="UAJ50" s="952"/>
      <c r="UAK50" s="952"/>
      <c r="UAL50" s="952"/>
      <c r="UAM50" s="952"/>
      <c r="UAN50" s="952"/>
      <c r="UAO50" s="952"/>
      <c r="UAP50" s="952"/>
      <c r="UAQ50" s="952"/>
      <c r="UAR50" s="952"/>
      <c r="UAS50" s="952"/>
      <c r="UAT50" s="952"/>
      <c r="UAU50" s="952"/>
      <c r="UAV50" s="952"/>
      <c r="UAW50" s="952"/>
      <c r="UAX50" s="952"/>
      <c r="UAY50" s="952"/>
      <c r="UAZ50" s="952"/>
      <c r="UBA50" s="952"/>
      <c r="UBB50" s="952"/>
      <c r="UBC50" s="952"/>
      <c r="UBD50" s="952"/>
      <c r="UBE50" s="952"/>
      <c r="UBF50" s="952"/>
      <c r="UBG50" s="952"/>
      <c r="UBH50" s="952"/>
      <c r="UBI50" s="952"/>
      <c r="UBJ50" s="952"/>
      <c r="UBK50" s="952"/>
      <c r="UBL50" s="952"/>
      <c r="UBM50" s="952"/>
      <c r="UBN50" s="952"/>
      <c r="UBO50" s="952"/>
      <c r="UBP50" s="952"/>
      <c r="UBQ50" s="952"/>
      <c r="UBR50" s="952"/>
      <c r="UBS50" s="952"/>
      <c r="UBT50" s="952"/>
      <c r="UBU50" s="952"/>
      <c r="UBV50" s="952"/>
      <c r="UBW50" s="952"/>
      <c r="UBX50" s="952"/>
      <c r="UBY50" s="952"/>
      <c r="UBZ50" s="952"/>
      <c r="UCA50" s="952"/>
      <c r="UCB50" s="952"/>
      <c r="UCC50" s="952"/>
      <c r="UCD50" s="952"/>
      <c r="UCE50" s="952"/>
      <c r="UCF50" s="952"/>
      <c r="UCG50" s="952"/>
      <c r="UCH50" s="952"/>
      <c r="UCI50" s="952"/>
      <c r="UCJ50" s="952"/>
      <c r="UCK50" s="952"/>
      <c r="UCL50" s="952"/>
      <c r="UCM50" s="952"/>
      <c r="UCN50" s="952"/>
      <c r="UCO50" s="952"/>
      <c r="UCP50" s="952"/>
      <c r="UCQ50" s="952"/>
      <c r="UCR50" s="952"/>
      <c r="UCS50" s="952"/>
      <c r="UCT50" s="952"/>
      <c r="UCU50" s="952"/>
      <c r="UCV50" s="952"/>
      <c r="UCW50" s="952"/>
      <c r="UCX50" s="952"/>
      <c r="UCY50" s="952"/>
      <c r="UCZ50" s="952"/>
      <c r="UDA50" s="952"/>
      <c r="UDB50" s="952"/>
      <c r="UDC50" s="952"/>
      <c r="UDD50" s="952"/>
      <c r="UDE50" s="952"/>
      <c r="UDF50" s="952"/>
      <c r="UDG50" s="952"/>
      <c r="UDH50" s="952"/>
      <c r="UDI50" s="952"/>
      <c r="UDJ50" s="952"/>
      <c r="UDK50" s="952"/>
      <c r="UDL50" s="952"/>
      <c r="UDM50" s="952"/>
      <c r="UDN50" s="952"/>
      <c r="UDO50" s="952"/>
      <c r="UDP50" s="952"/>
      <c r="UDQ50" s="952"/>
      <c r="UDR50" s="952"/>
      <c r="UDS50" s="952"/>
      <c r="UDT50" s="952"/>
      <c r="UDU50" s="952"/>
      <c r="UDV50" s="952"/>
      <c r="UDW50" s="952"/>
      <c r="UDX50" s="952"/>
      <c r="UDY50" s="952"/>
      <c r="UDZ50" s="952"/>
      <c r="UEA50" s="952"/>
      <c r="UEB50" s="952"/>
      <c r="UEC50" s="952"/>
      <c r="UED50" s="952"/>
      <c r="UEE50" s="952"/>
      <c r="UEF50" s="952"/>
      <c r="UEG50" s="952"/>
      <c r="UEH50" s="952"/>
      <c r="UEI50" s="952"/>
      <c r="UEJ50" s="952"/>
      <c r="UEK50" s="952"/>
      <c r="UEL50" s="952"/>
      <c r="UEM50" s="952"/>
      <c r="UEN50" s="952"/>
      <c r="UEO50" s="952"/>
      <c r="UEP50" s="952"/>
      <c r="UEQ50" s="952"/>
      <c r="UER50" s="952"/>
      <c r="UES50" s="952"/>
      <c r="UET50" s="952"/>
      <c r="UEU50" s="952"/>
      <c r="UEV50" s="952"/>
      <c r="UEW50" s="952"/>
      <c r="UEX50" s="952"/>
      <c r="UEY50" s="952"/>
      <c r="UEZ50" s="952"/>
      <c r="UFA50" s="952"/>
      <c r="UFB50" s="952"/>
      <c r="UFC50" s="952"/>
      <c r="UFD50" s="952"/>
      <c r="UFE50" s="952"/>
      <c r="UFF50" s="952"/>
      <c r="UFG50" s="952"/>
      <c r="UFH50" s="952"/>
      <c r="UFI50" s="952"/>
      <c r="UFJ50" s="952"/>
      <c r="UFK50" s="952"/>
      <c r="UFL50" s="952"/>
      <c r="UFM50" s="952"/>
      <c r="UFN50" s="952"/>
      <c r="UFO50" s="952"/>
      <c r="UFP50" s="952"/>
      <c r="UFQ50" s="952"/>
      <c r="UFR50" s="952"/>
      <c r="UFS50" s="952"/>
      <c r="UFT50" s="952"/>
      <c r="UFU50" s="952"/>
      <c r="UFV50" s="952"/>
      <c r="UFW50" s="952"/>
      <c r="UFX50" s="952"/>
      <c r="UFY50" s="952"/>
      <c r="UFZ50" s="952"/>
      <c r="UGA50" s="952"/>
      <c r="UGB50" s="952"/>
      <c r="UGC50" s="952"/>
      <c r="UGD50" s="952"/>
      <c r="UGE50" s="952"/>
      <c r="UGF50" s="952"/>
      <c r="UGG50" s="952"/>
      <c r="UGH50" s="952"/>
      <c r="UGI50" s="952"/>
      <c r="UGJ50" s="952"/>
      <c r="UGK50" s="952"/>
      <c r="UGL50" s="952"/>
      <c r="UGM50" s="952"/>
      <c r="UGN50" s="952"/>
      <c r="UGO50" s="952"/>
      <c r="UGP50" s="952"/>
      <c r="UGQ50" s="952"/>
      <c r="UGR50" s="952"/>
      <c r="UGS50" s="952"/>
      <c r="UGT50" s="952"/>
      <c r="UGU50" s="952"/>
      <c r="UGV50" s="952"/>
      <c r="UGW50" s="952"/>
      <c r="UGX50" s="952"/>
      <c r="UGY50" s="952"/>
      <c r="UGZ50" s="952"/>
      <c r="UHA50" s="952"/>
      <c r="UHB50" s="952"/>
      <c r="UHC50" s="952"/>
      <c r="UHD50" s="952"/>
      <c r="UHE50" s="952"/>
      <c r="UHF50" s="952"/>
      <c r="UHG50" s="952"/>
      <c r="UHH50" s="952"/>
      <c r="UHI50" s="952"/>
      <c r="UHJ50" s="952"/>
      <c r="UHK50" s="952"/>
      <c r="UHL50" s="952"/>
      <c r="UHM50" s="952"/>
      <c r="UHN50" s="952"/>
      <c r="UHO50" s="952"/>
      <c r="UHP50" s="952"/>
      <c r="UHQ50" s="952"/>
      <c r="UHR50" s="952"/>
      <c r="UHS50" s="952"/>
      <c r="UHT50" s="952"/>
      <c r="UHU50" s="952"/>
      <c r="UHV50" s="952"/>
      <c r="UHW50" s="952"/>
      <c r="UHX50" s="952"/>
      <c r="UHY50" s="952"/>
      <c r="UHZ50" s="952"/>
      <c r="UIA50" s="952"/>
      <c r="UIB50" s="952"/>
      <c r="UIC50" s="952"/>
      <c r="UID50" s="952"/>
      <c r="UIE50" s="952"/>
      <c r="UIF50" s="952"/>
      <c r="UIG50" s="952"/>
      <c r="UIH50" s="952"/>
      <c r="UII50" s="952"/>
      <c r="UIJ50" s="952"/>
      <c r="UIK50" s="952"/>
      <c r="UIL50" s="952"/>
      <c r="UIM50" s="952"/>
      <c r="UIN50" s="952"/>
      <c r="UIO50" s="952"/>
      <c r="UIP50" s="952"/>
      <c r="UIQ50" s="952"/>
      <c r="UIR50" s="952"/>
      <c r="UIS50" s="952"/>
      <c r="UIT50" s="952"/>
      <c r="UIU50" s="952"/>
      <c r="UIV50" s="952"/>
      <c r="UIW50" s="952"/>
      <c r="UIX50" s="952"/>
      <c r="UIY50" s="952"/>
      <c r="UIZ50" s="952"/>
      <c r="UJA50" s="952"/>
      <c r="UJB50" s="952"/>
      <c r="UJC50" s="952"/>
      <c r="UJD50" s="952"/>
      <c r="UJE50" s="952"/>
      <c r="UJF50" s="952"/>
      <c r="UJG50" s="952"/>
      <c r="UJH50" s="952"/>
      <c r="UJI50" s="952"/>
      <c r="UJJ50" s="952"/>
      <c r="UJK50" s="952"/>
      <c r="UJL50" s="952"/>
      <c r="UJM50" s="952"/>
      <c r="UJN50" s="952"/>
      <c r="UJO50" s="952"/>
      <c r="UJP50" s="952"/>
      <c r="UJQ50" s="952"/>
      <c r="UJR50" s="952"/>
      <c r="UJS50" s="952"/>
      <c r="UJT50" s="952"/>
      <c r="UJU50" s="952"/>
      <c r="UJV50" s="952"/>
      <c r="UJW50" s="952"/>
      <c r="UJX50" s="952"/>
      <c r="UJY50" s="952"/>
      <c r="UJZ50" s="952"/>
      <c r="UKA50" s="952"/>
      <c r="UKB50" s="952"/>
      <c r="UKC50" s="952"/>
      <c r="UKD50" s="952"/>
      <c r="UKE50" s="952"/>
      <c r="UKF50" s="952"/>
      <c r="UKG50" s="952"/>
      <c r="UKH50" s="952"/>
      <c r="UKI50" s="952"/>
      <c r="UKJ50" s="952"/>
      <c r="UKK50" s="952"/>
      <c r="UKL50" s="952"/>
      <c r="UKM50" s="952"/>
      <c r="UKN50" s="952"/>
      <c r="UKO50" s="952"/>
      <c r="UKP50" s="952"/>
      <c r="UKQ50" s="952"/>
      <c r="UKR50" s="952"/>
      <c r="UKS50" s="952"/>
      <c r="UKT50" s="952"/>
      <c r="UKU50" s="952"/>
      <c r="UKV50" s="952"/>
      <c r="UKW50" s="952"/>
      <c r="UKX50" s="952"/>
      <c r="UKY50" s="952"/>
      <c r="UKZ50" s="952"/>
      <c r="ULA50" s="952"/>
      <c r="ULB50" s="952"/>
      <c r="ULC50" s="952"/>
      <c r="ULD50" s="952"/>
      <c r="ULE50" s="952"/>
      <c r="ULF50" s="952"/>
      <c r="ULG50" s="952"/>
      <c r="ULH50" s="952"/>
      <c r="ULI50" s="952"/>
      <c r="ULJ50" s="952"/>
      <c r="ULK50" s="952"/>
      <c r="ULL50" s="952"/>
      <c r="ULM50" s="952"/>
      <c r="ULN50" s="952"/>
      <c r="ULO50" s="952"/>
      <c r="ULP50" s="952"/>
      <c r="ULQ50" s="952"/>
      <c r="ULR50" s="952"/>
      <c r="ULS50" s="952"/>
      <c r="ULT50" s="952"/>
      <c r="ULU50" s="952"/>
      <c r="ULV50" s="952"/>
      <c r="ULW50" s="952"/>
      <c r="ULX50" s="952"/>
      <c r="ULY50" s="952"/>
      <c r="ULZ50" s="952"/>
      <c r="UMA50" s="952"/>
      <c r="UMB50" s="952"/>
      <c r="UMC50" s="952"/>
      <c r="UMD50" s="952"/>
      <c r="UME50" s="952"/>
      <c r="UMF50" s="952"/>
      <c r="UMG50" s="952"/>
      <c r="UMH50" s="952"/>
      <c r="UMI50" s="952"/>
      <c r="UMJ50" s="952"/>
      <c r="UMK50" s="952"/>
      <c r="UML50" s="952"/>
      <c r="UMM50" s="952"/>
      <c r="UMN50" s="952"/>
      <c r="UMO50" s="952"/>
      <c r="UMP50" s="952"/>
      <c r="UMQ50" s="952"/>
      <c r="UMR50" s="952"/>
      <c r="UMS50" s="952"/>
      <c r="UMT50" s="952"/>
      <c r="UMU50" s="952"/>
      <c r="UMV50" s="952"/>
      <c r="UMW50" s="952"/>
      <c r="UMX50" s="952"/>
      <c r="UMY50" s="952"/>
      <c r="UMZ50" s="952"/>
      <c r="UNA50" s="952"/>
      <c r="UNB50" s="952"/>
      <c r="UNC50" s="952"/>
      <c r="UND50" s="952"/>
      <c r="UNE50" s="952"/>
      <c r="UNF50" s="952"/>
      <c r="UNG50" s="952"/>
      <c r="UNH50" s="952"/>
      <c r="UNI50" s="952"/>
      <c r="UNJ50" s="952"/>
      <c r="UNK50" s="952"/>
      <c r="UNL50" s="952"/>
      <c r="UNM50" s="952"/>
      <c r="UNN50" s="952"/>
      <c r="UNO50" s="952"/>
      <c r="UNP50" s="952"/>
      <c r="UNQ50" s="952"/>
      <c r="UNR50" s="952"/>
      <c r="UNS50" s="952"/>
      <c r="UNT50" s="952"/>
      <c r="UNU50" s="952"/>
      <c r="UNV50" s="952"/>
      <c r="UNW50" s="952"/>
      <c r="UNX50" s="952"/>
      <c r="UNY50" s="952"/>
      <c r="UNZ50" s="952"/>
      <c r="UOA50" s="952"/>
      <c r="UOB50" s="952"/>
      <c r="UOC50" s="952"/>
      <c r="UOD50" s="952"/>
      <c r="UOE50" s="952"/>
      <c r="UOF50" s="952"/>
      <c r="UOG50" s="952"/>
      <c r="UOH50" s="952"/>
      <c r="UOI50" s="952"/>
      <c r="UOJ50" s="952"/>
      <c r="UOK50" s="952"/>
      <c r="UOL50" s="952"/>
      <c r="UOM50" s="952"/>
      <c r="UON50" s="952"/>
      <c r="UOO50" s="952"/>
      <c r="UOP50" s="952"/>
      <c r="UOQ50" s="952"/>
      <c r="UOR50" s="952"/>
      <c r="UOS50" s="952"/>
      <c r="UOT50" s="952"/>
      <c r="UOU50" s="952"/>
      <c r="UOV50" s="952"/>
      <c r="UOW50" s="952"/>
      <c r="UOX50" s="952"/>
      <c r="UOY50" s="952"/>
      <c r="UOZ50" s="952"/>
      <c r="UPA50" s="952"/>
      <c r="UPB50" s="952"/>
      <c r="UPC50" s="952"/>
      <c r="UPD50" s="952"/>
      <c r="UPE50" s="952"/>
      <c r="UPF50" s="952"/>
      <c r="UPG50" s="952"/>
      <c r="UPH50" s="952"/>
      <c r="UPI50" s="952"/>
      <c r="UPJ50" s="952"/>
      <c r="UPK50" s="952"/>
      <c r="UPL50" s="952"/>
      <c r="UPM50" s="952"/>
      <c r="UPN50" s="952"/>
      <c r="UPO50" s="952"/>
      <c r="UPP50" s="952"/>
      <c r="UPQ50" s="952"/>
      <c r="UPR50" s="952"/>
      <c r="UPS50" s="952"/>
      <c r="UPT50" s="952"/>
      <c r="UPU50" s="952"/>
      <c r="UPV50" s="952"/>
      <c r="UPW50" s="952"/>
      <c r="UPX50" s="952"/>
      <c r="UPY50" s="952"/>
      <c r="UPZ50" s="952"/>
      <c r="UQA50" s="952"/>
      <c r="UQB50" s="952"/>
      <c r="UQC50" s="952"/>
      <c r="UQD50" s="952"/>
      <c r="UQE50" s="952"/>
      <c r="UQF50" s="952"/>
      <c r="UQG50" s="952"/>
      <c r="UQH50" s="952"/>
      <c r="UQI50" s="952"/>
      <c r="UQJ50" s="952"/>
      <c r="UQK50" s="952"/>
      <c r="UQL50" s="952"/>
      <c r="UQM50" s="952"/>
      <c r="UQN50" s="952"/>
      <c r="UQO50" s="952"/>
      <c r="UQP50" s="952"/>
      <c r="UQQ50" s="952"/>
      <c r="UQR50" s="952"/>
      <c r="UQS50" s="952"/>
      <c r="UQT50" s="952"/>
      <c r="UQU50" s="952"/>
      <c r="UQV50" s="952"/>
      <c r="UQW50" s="952"/>
      <c r="UQX50" s="952"/>
      <c r="UQY50" s="952"/>
      <c r="UQZ50" s="952"/>
      <c r="URA50" s="952"/>
      <c r="URB50" s="952"/>
      <c r="URC50" s="952"/>
      <c r="URD50" s="952"/>
      <c r="URE50" s="952"/>
      <c r="URF50" s="952"/>
      <c r="URG50" s="952"/>
      <c r="URH50" s="952"/>
      <c r="URI50" s="952"/>
      <c r="URJ50" s="952"/>
      <c r="URK50" s="952"/>
      <c r="URL50" s="952"/>
      <c r="URM50" s="952"/>
      <c r="URN50" s="952"/>
      <c r="URO50" s="952"/>
      <c r="URP50" s="952"/>
      <c r="URQ50" s="952"/>
      <c r="URR50" s="952"/>
      <c r="URS50" s="952"/>
      <c r="URT50" s="952"/>
      <c r="URU50" s="952"/>
      <c r="URV50" s="952"/>
      <c r="URW50" s="952"/>
      <c r="URX50" s="952"/>
      <c r="URY50" s="952"/>
      <c r="URZ50" s="952"/>
      <c r="USA50" s="952"/>
      <c r="USB50" s="952"/>
      <c r="USC50" s="952"/>
      <c r="USD50" s="952"/>
      <c r="USE50" s="952"/>
      <c r="USF50" s="952"/>
      <c r="USG50" s="952"/>
      <c r="USH50" s="952"/>
      <c r="USI50" s="952"/>
      <c r="USJ50" s="952"/>
      <c r="USK50" s="952"/>
      <c r="USL50" s="952"/>
      <c r="USM50" s="952"/>
      <c r="USN50" s="952"/>
      <c r="USO50" s="952"/>
      <c r="USP50" s="952"/>
      <c r="USQ50" s="952"/>
      <c r="USR50" s="952"/>
      <c r="USS50" s="952"/>
      <c r="UST50" s="952"/>
      <c r="USU50" s="952"/>
      <c r="USV50" s="952"/>
      <c r="USW50" s="952"/>
      <c r="USX50" s="952"/>
      <c r="USY50" s="952"/>
      <c r="USZ50" s="952"/>
      <c r="UTA50" s="952"/>
      <c r="UTB50" s="952"/>
      <c r="UTC50" s="952"/>
      <c r="UTD50" s="952"/>
      <c r="UTE50" s="952"/>
      <c r="UTF50" s="952"/>
      <c r="UTG50" s="952"/>
      <c r="UTH50" s="952"/>
      <c r="UTI50" s="952"/>
      <c r="UTJ50" s="952"/>
      <c r="UTK50" s="952"/>
      <c r="UTL50" s="952"/>
      <c r="UTM50" s="952"/>
      <c r="UTN50" s="952"/>
      <c r="UTO50" s="952"/>
      <c r="UTP50" s="952"/>
      <c r="UTQ50" s="952"/>
      <c r="UTR50" s="952"/>
      <c r="UTS50" s="952"/>
      <c r="UTT50" s="952"/>
      <c r="UTU50" s="952"/>
      <c r="UTV50" s="952"/>
      <c r="UTW50" s="952"/>
      <c r="UTX50" s="952"/>
      <c r="UTY50" s="952"/>
      <c r="UTZ50" s="952"/>
      <c r="UUA50" s="952"/>
      <c r="UUB50" s="952"/>
      <c r="UUC50" s="952"/>
      <c r="UUD50" s="952"/>
      <c r="UUE50" s="952"/>
      <c r="UUF50" s="952"/>
      <c r="UUG50" s="952"/>
      <c r="UUH50" s="952"/>
      <c r="UUI50" s="952"/>
      <c r="UUJ50" s="952"/>
      <c r="UUK50" s="952"/>
      <c r="UUL50" s="952"/>
      <c r="UUM50" s="952"/>
      <c r="UUN50" s="952"/>
      <c r="UUO50" s="952"/>
      <c r="UUP50" s="952"/>
      <c r="UUQ50" s="952"/>
      <c r="UUR50" s="952"/>
      <c r="UUS50" s="952"/>
      <c r="UUT50" s="952"/>
      <c r="UUU50" s="952"/>
      <c r="UUV50" s="952"/>
      <c r="UUW50" s="952"/>
      <c r="UUX50" s="952"/>
      <c r="UUY50" s="952"/>
      <c r="UUZ50" s="952"/>
      <c r="UVA50" s="952"/>
      <c r="UVB50" s="952"/>
      <c r="UVC50" s="952"/>
      <c r="UVD50" s="952"/>
      <c r="UVE50" s="952"/>
      <c r="UVF50" s="952"/>
      <c r="UVG50" s="952"/>
      <c r="UVH50" s="952"/>
      <c r="UVI50" s="952"/>
      <c r="UVJ50" s="952"/>
      <c r="UVK50" s="952"/>
      <c r="UVL50" s="952"/>
      <c r="UVM50" s="952"/>
      <c r="UVN50" s="952"/>
      <c r="UVO50" s="952"/>
      <c r="UVP50" s="952"/>
      <c r="UVQ50" s="952"/>
      <c r="UVR50" s="952"/>
      <c r="UVS50" s="952"/>
      <c r="UVT50" s="952"/>
      <c r="UVU50" s="952"/>
      <c r="UVV50" s="952"/>
      <c r="UVW50" s="952"/>
      <c r="UVX50" s="952"/>
      <c r="UVY50" s="952"/>
      <c r="UVZ50" s="952"/>
      <c r="UWA50" s="952"/>
      <c r="UWB50" s="952"/>
      <c r="UWC50" s="952"/>
      <c r="UWD50" s="952"/>
      <c r="UWE50" s="952"/>
      <c r="UWF50" s="952"/>
      <c r="UWG50" s="952"/>
      <c r="UWH50" s="952"/>
      <c r="UWI50" s="952"/>
      <c r="UWJ50" s="952"/>
      <c r="UWK50" s="952"/>
      <c r="UWL50" s="952"/>
      <c r="UWM50" s="952"/>
      <c r="UWN50" s="952"/>
      <c r="UWO50" s="952"/>
      <c r="UWP50" s="952"/>
      <c r="UWQ50" s="952"/>
      <c r="UWR50" s="952"/>
      <c r="UWS50" s="952"/>
      <c r="UWT50" s="952"/>
      <c r="UWU50" s="952"/>
      <c r="UWV50" s="952"/>
      <c r="UWW50" s="952"/>
      <c r="UWX50" s="952"/>
      <c r="UWY50" s="952"/>
      <c r="UWZ50" s="952"/>
      <c r="UXA50" s="952"/>
      <c r="UXB50" s="952"/>
      <c r="UXC50" s="952"/>
      <c r="UXD50" s="952"/>
      <c r="UXE50" s="952"/>
      <c r="UXF50" s="952"/>
      <c r="UXG50" s="952"/>
      <c r="UXH50" s="952"/>
      <c r="UXI50" s="952"/>
      <c r="UXJ50" s="952"/>
      <c r="UXK50" s="952"/>
      <c r="UXL50" s="952"/>
      <c r="UXM50" s="952"/>
      <c r="UXN50" s="952"/>
      <c r="UXO50" s="952"/>
      <c r="UXP50" s="952"/>
      <c r="UXQ50" s="952"/>
      <c r="UXR50" s="952"/>
      <c r="UXS50" s="952"/>
      <c r="UXT50" s="952"/>
      <c r="UXU50" s="952"/>
      <c r="UXV50" s="952"/>
      <c r="UXW50" s="952"/>
      <c r="UXX50" s="952"/>
      <c r="UXY50" s="952"/>
      <c r="UXZ50" s="952"/>
      <c r="UYA50" s="952"/>
      <c r="UYB50" s="952"/>
      <c r="UYC50" s="952"/>
      <c r="UYD50" s="952"/>
      <c r="UYE50" s="952"/>
      <c r="UYF50" s="952"/>
      <c r="UYG50" s="952"/>
      <c r="UYH50" s="952"/>
      <c r="UYI50" s="952"/>
      <c r="UYJ50" s="952"/>
      <c r="UYK50" s="952"/>
      <c r="UYL50" s="952"/>
      <c r="UYM50" s="952"/>
      <c r="UYN50" s="952"/>
      <c r="UYO50" s="952"/>
      <c r="UYP50" s="952"/>
      <c r="UYQ50" s="952"/>
      <c r="UYR50" s="952"/>
      <c r="UYS50" s="952"/>
      <c r="UYT50" s="952"/>
      <c r="UYU50" s="952"/>
      <c r="UYV50" s="952"/>
      <c r="UYW50" s="952"/>
      <c r="UYX50" s="952"/>
      <c r="UYY50" s="952"/>
      <c r="UYZ50" s="952"/>
      <c r="UZA50" s="952"/>
      <c r="UZB50" s="952"/>
      <c r="UZC50" s="952"/>
      <c r="UZD50" s="952"/>
      <c r="UZE50" s="952"/>
      <c r="UZF50" s="952"/>
      <c r="UZG50" s="952"/>
      <c r="UZH50" s="952"/>
      <c r="UZI50" s="952"/>
      <c r="UZJ50" s="952"/>
      <c r="UZK50" s="952"/>
      <c r="UZL50" s="952"/>
      <c r="UZM50" s="952"/>
      <c r="UZN50" s="952"/>
      <c r="UZO50" s="952"/>
      <c r="UZP50" s="952"/>
      <c r="UZQ50" s="952"/>
      <c r="UZR50" s="952"/>
      <c r="UZS50" s="952"/>
      <c r="UZT50" s="952"/>
      <c r="UZU50" s="952"/>
      <c r="UZV50" s="952"/>
      <c r="UZW50" s="952"/>
      <c r="UZX50" s="952"/>
      <c r="UZY50" s="952"/>
      <c r="UZZ50" s="952"/>
      <c r="VAA50" s="952"/>
      <c r="VAB50" s="952"/>
      <c r="VAC50" s="952"/>
      <c r="VAD50" s="952"/>
      <c r="VAE50" s="952"/>
      <c r="VAF50" s="952"/>
      <c r="VAG50" s="952"/>
      <c r="VAH50" s="952"/>
      <c r="VAI50" s="952"/>
      <c r="VAJ50" s="952"/>
      <c r="VAK50" s="952"/>
      <c r="VAL50" s="952"/>
      <c r="VAM50" s="952"/>
      <c r="VAN50" s="952"/>
      <c r="VAO50" s="952"/>
      <c r="VAP50" s="952"/>
      <c r="VAQ50" s="952"/>
      <c r="VAR50" s="952"/>
      <c r="VAS50" s="952"/>
      <c r="VAT50" s="952"/>
      <c r="VAU50" s="952"/>
      <c r="VAV50" s="952"/>
      <c r="VAW50" s="952"/>
      <c r="VAX50" s="952"/>
      <c r="VAY50" s="952"/>
      <c r="VAZ50" s="952"/>
      <c r="VBA50" s="952"/>
      <c r="VBB50" s="952"/>
      <c r="VBC50" s="952"/>
      <c r="VBD50" s="952"/>
      <c r="VBE50" s="952"/>
      <c r="VBF50" s="952"/>
      <c r="VBG50" s="952"/>
      <c r="VBH50" s="952"/>
      <c r="VBI50" s="952"/>
      <c r="VBJ50" s="952"/>
      <c r="VBK50" s="952"/>
      <c r="VBL50" s="952"/>
      <c r="VBM50" s="952"/>
      <c r="VBN50" s="952"/>
      <c r="VBO50" s="952"/>
      <c r="VBP50" s="952"/>
      <c r="VBQ50" s="952"/>
      <c r="VBR50" s="952"/>
      <c r="VBS50" s="952"/>
      <c r="VBT50" s="952"/>
      <c r="VBU50" s="952"/>
      <c r="VBV50" s="952"/>
      <c r="VBW50" s="952"/>
      <c r="VBX50" s="952"/>
      <c r="VBY50" s="952"/>
      <c r="VBZ50" s="952"/>
      <c r="VCA50" s="952"/>
      <c r="VCB50" s="952"/>
      <c r="VCC50" s="952"/>
      <c r="VCD50" s="952"/>
      <c r="VCE50" s="952"/>
      <c r="VCF50" s="952"/>
      <c r="VCG50" s="952"/>
      <c r="VCH50" s="952"/>
      <c r="VCI50" s="952"/>
      <c r="VCJ50" s="952"/>
      <c r="VCK50" s="952"/>
      <c r="VCL50" s="952"/>
      <c r="VCM50" s="952"/>
      <c r="VCN50" s="952"/>
      <c r="VCO50" s="952"/>
      <c r="VCP50" s="952"/>
      <c r="VCQ50" s="952"/>
      <c r="VCR50" s="952"/>
      <c r="VCS50" s="952"/>
      <c r="VCT50" s="952"/>
      <c r="VCU50" s="952"/>
      <c r="VCV50" s="952"/>
      <c r="VCW50" s="952"/>
      <c r="VCX50" s="952"/>
      <c r="VCY50" s="952"/>
      <c r="VCZ50" s="952"/>
      <c r="VDA50" s="952"/>
      <c r="VDB50" s="952"/>
      <c r="VDC50" s="952"/>
      <c r="VDD50" s="952"/>
      <c r="VDE50" s="952"/>
      <c r="VDF50" s="952"/>
      <c r="VDG50" s="952"/>
      <c r="VDH50" s="952"/>
      <c r="VDI50" s="952"/>
      <c r="VDJ50" s="952"/>
      <c r="VDK50" s="952"/>
      <c r="VDL50" s="952"/>
      <c r="VDM50" s="952"/>
      <c r="VDN50" s="952"/>
      <c r="VDO50" s="952"/>
      <c r="VDP50" s="952"/>
      <c r="VDQ50" s="952"/>
      <c r="VDR50" s="952"/>
      <c r="VDS50" s="952"/>
      <c r="VDT50" s="952"/>
      <c r="VDU50" s="952"/>
      <c r="VDV50" s="952"/>
      <c r="VDW50" s="952"/>
      <c r="VDX50" s="952"/>
      <c r="VDY50" s="952"/>
      <c r="VDZ50" s="952"/>
      <c r="VEA50" s="952"/>
      <c r="VEB50" s="952"/>
      <c r="VEC50" s="952"/>
      <c r="VED50" s="952"/>
      <c r="VEE50" s="952"/>
      <c r="VEF50" s="952"/>
      <c r="VEG50" s="952"/>
      <c r="VEH50" s="952"/>
      <c r="VEI50" s="952"/>
      <c r="VEJ50" s="952"/>
      <c r="VEK50" s="952"/>
      <c r="VEL50" s="952"/>
      <c r="VEM50" s="952"/>
      <c r="VEN50" s="952"/>
      <c r="VEO50" s="952"/>
      <c r="VEP50" s="952"/>
      <c r="VEQ50" s="952"/>
      <c r="VER50" s="952"/>
      <c r="VES50" s="952"/>
      <c r="VET50" s="952"/>
      <c r="VEU50" s="952"/>
      <c r="VEV50" s="952"/>
      <c r="VEW50" s="952"/>
      <c r="VEX50" s="952"/>
      <c r="VEY50" s="952"/>
      <c r="VEZ50" s="952"/>
      <c r="VFA50" s="952"/>
      <c r="VFB50" s="952"/>
      <c r="VFC50" s="952"/>
      <c r="VFD50" s="952"/>
      <c r="VFE50" s="952"/>
      <c r="VFF50" s="952"/>
      <c r="VFG50" s="952"/>
      <c r="VFH50" s="952"/>
      <c r="VFI50" s="952"/>
      <c r="VFJ50" s="952"/>
      <c r="VFK50" s="952"/>
      <c r="VFL50" s="952"/>
      <c r="VFM50" s="952"/>
      <c r="VFN50" s="952"/>
      <c r="VFO50" s="952"/>
      <c r="VFP50" s="952"/>
      <c r="VFQ50" s="952"/>
      <c r="VFR50" s="952"/>
      <c r="VFS50" s="952"/>
      <c r="VFT50" s="952"/>
      <c r="VFU50" s="952"/>
      <c r="VFV50" s="952"/>
      <c r="VFW50" s="952"/>
      <c r="VFX50" s="952"/>
      <c r="VFY50" s="952"/>
      <c r="VFZ50" s="952"/>
      <c r="VGA50" s="952"/>
      <c r="VGB50" s="952"/>
      <c r="VGC50" s="952"/>
      <c r="VGD50" s="952"/>
      <c r="VGE50" s="952"/>
      <c r="VGF50" s="952"/>
      <c r="VGG50" s="952"/>
      <c r="VGH50" s="952"/>
      <c r="VGI50" s="952"/>
      <c r="VGJ50" s="952"/>
      <c r="VGK50" s="952"/>
      <c r="VGL50" s="952"/>
      <c r="VGM50" s="952"/>
      <c r="VGN50" s="952"/>
      <c r="VGO50" s="952"/>
      <c r="VGP50" s="952"/>
      <c r="VGQ50" s="952"/>
      <c r="VGR50" s="952"/>
      <c r="VGS50" s="952"/>
      <c r="VGT50" s="952"/>
      <c r="VGU50" s="952"/>
      <c r="VGV50" s="952"/>
      <c r="VGW50" s="952"/>
      <c r="VGX50" s="952"/>
      <c r="VGY50" s="952"/>
      <c r="VGZ50" s="952"/>
      <c r="VHA50" s="952"/>
      <c r="VHB50" s="952"/>
      <c r="VHC50" s="952"/>
      <c r="VHD50" s="952"/>
      <c r="VHE50" s="952"/>
      <c r="VHF50" s="952"/>
      <c r="VHG50" s="952"/>
      <c r="VHH50" s="952"/>
      <c r="VHI50" s="952"/>
      <c r="VHJ50" s="952"/>
      <c r="VHK50" s="952"/>
      <c r="VHL50" s="952"/>
      <c r="VHM50" s="952"/>
      <c r="VHN50" s="952"/>
      <c r="VHO50" s="952"/>
      <c r="VHP50" s="952"/>
      <c r="VHQ50" s="952"/>
      <c r="VHR50" s="952"/>
      <c r="VHS50" s="952"/>
      <c r="VHT50" s="952"/>
      <c r="VHU50" s="952"/>
      <c r="VHV50" s="952"/>
      <c r="VHW50" s="952"/>
      <c r="VHX50" s="952"/>
      <c r="VHY50" s="952"/>
      <c r="VHZ50" s="952"/>
      <c r="VIA50" s="952"/>
      <c r="VIB50" s="952"/>
      <c r="VIC50" s="952"/>
      <c r="VID50" s="952"/>
      <c r="VIE50" s="952"/>
      <c r="VIF50" s="952"/>
      <c r="VIG50" s="952"/>
      <c r="VIH50" s="952"/>
      <c r="VII50" s="952"/>
      <c r="VIJ50" s="952"/>
      <c r="VIK50" s="952"/>
      <c r="VIL50" s="952"/>
      <c r="VIM50" s="952"/>
      <c r="VIN50" s="952"/>
      <c r="VIO50" s="952"/>
      <c r="VIP50" s="952"/>
      <c r="VIQ50" s="952"/>
      <c r="VIR50" s="952"/>
      <c r="VIS50" s="952"/>
      <c r="VIT50" s="952"/>
      <c r="VIU50" s="952"/>
      <c r="VIV50" s="952"/>
      <c r="VIW50" s="952"/>
      <c r="VIX50" s="952"/>
      <c r="VIY50" s="952"/>
      <c r="VIZ50" s="952"/>
      <c r="VJA50" s="952"/>
      <c r="VJB50" s="952"/>
      <c r="VJC50" s="952"/>
      <c r="VJD50" s="952"/>
      <c r="VJE50" s="952"/>
      <c r="VJF50" s="952"/>
      <c r="VJG50" s="952"/>
      <c r="VJH50" s="952"/>
      <c r="VJI50" s="952"/>
      <c r="VJJ50" s="952"/>
      <c r="VJK50" s="952"/>
      <c r="VJL50" s="952"/>
      <c r="VJM50" s="952"/>
      <c r="VJN50" s="952"/>
      <c r="VJO50" s="952"/>
      <c r="VJP50" s="952"/>
      <c r="VJQ50" s="952"/>
      <c r="VJR50" s="952"/>
      <c r="VJS50" s="952"/>
      <c r="VJT50" s="952"/>
      <c r="VJU50" s="952"/>
      <c r="VJV50" s="952"/>
      <c r="VJW50" s="952"/>
      <c r="VJX50" s="952"/>
      <c r="VJY50" s="952"/>
      <c r="VJZ50" s="952"/>
      <c r="VKA50" s="952"/>
      <c r="VKB50" s="952"/>
      <c r="VKC50" s="952"/>
      <c r="VKD50" s="952"/>
      <c r="VKE50" s="952"/>
      <c r="VKF50" s="952"/>
      <c r="VKG50" s="952"/>
      <c r="VKH50" s="952"/>
      <c r="VKI50" s="952"/>
      <c r="VKJ50" s="952"/>
      <c r="VKK50" s="952"/>
      <c r="VKL50" s="952"/>
      <c r="VKM50" s="952"/>
      <c r="VKN50" s="952"/>
      <c r="VKO50" s="952"/>
      <c r="VKP50" s="952"/>
      <c r="VKQ50" s="952"/>
      <c r="VKR50" s="952"/>
      <c r="VKS50" s="952"/>
      <c r="VKT50" s="952"/>
      <c r="VKU50" s="952"/>
      <c r="VKV50" s="952"/>
      <c r="VKW50" s="952"/>
      <c r="VKX50" s="952"/>
      <c r="VKY50" s="952"/>
      <c r="VKZ50" s="952"/>
      <c r="VLA50" s="952"/>
      <c r="VLB50" s="952"/>
      <c r="VLC50" s="952"/>
      <c r="VLD50" s="952"/>
      <c r="VLE50" s="952"/>
      <c r="VLF50" s="952"/>
      <c r="VLG50" s="952"/>
      <c r="VLH50" s="952"/>
      <c r="VLI50" s="952"/>
      <c r="VLJ50" s="952"/>
      <c r="VLK50" s="952"/>
      <c r="VLL50" s="952"/>
      <c r="VLM50" s="952"/>
      <c r="VLN50" s="952"/>
      <c r="VLO50" s="952"/>
      <c r="VLP50" s="952"/>
      <c r="VLQ50" s="952"/>
      <c r="VLR50" s="952"/>
      <c r="VLS50" s="952"/>
      <c r="VLT50" s="952"/>
      <c r="VLU50" s="952"/>
      <c r="VLV50" s="952"/>
      <c r="VLW50" s="952"/>
      <c r="VLX50" s="952"/>
      <c r="VLY50" s="952"/>
      <c r="VLZ50" s="952"/>
      <c r="VMA50" s="952"/>
      <c r="VMB50" s="952"/>
      <c r="VMC50" s="952"/>
      <c r="VMD50" s="952"/>
      <c r="VME50" s="952"/>
      <c r="VMF50" s="952"/>
      <c r="VMG50" s="952"/>
      <c r="VMH50" s="952"/>
      <c r="VMI50" s="952"/>
      <c r="VMJ50" s="952"/>
      <c r="VMK50" s="952"/>
      <c r="VML50" s="952"/>
      <c r="VMM50" s="952"/>
      <c r="VMN50" s="952"/>
      <c r="VMO50" s="952"/>
      <c r="VMP50" s="952"/>
      <c r="VMQ50" s="952"/>
      <c r="VMR50" s="952"/>
      <c r="VMS50" s="952"/>
      <c r="VMT50" s="952"/>
      <c r="VMU50" s="952"/>
      <c r="VMV50" s="952"/>
      <c r="VMW50" s="952"/>
      <c r="VMX50" s="952"/>
      <c r="VMY50" s="952"/>
      <c r="VMZ50" s="952"/>
      <c r="VNA50" s="952"/>
      <c r="VNB50" s="952"/>
      <c r="VNC50" s="952"/>
      <c r="VND50" s="952"/>
      <c r="VNE50" s="952"/>
      <c r="VNF50" s="952"/>
      <c r="VNG50" s="952"/>
      <c r="VNH50" s="952"/>
      <c r="VNI50" s="952"/>
      <c r="VNJ50" s="952"/>
      <c r="VNK50" s="952"/>
      <c r="VNL50" s="952"/>
      <c r="VNM50" s="952"/>
      <c r="VNN50" s="952"/>
      <c r="VNO50" s="952"/>
      <c r="VNP50" s="952"/>
      <c r="VNQ50" s="952"/>
      <c r="VNR50" s="952"/>
      <c r="VNS50" s="952"/>
      <c r="VNT50" s="952"/>
      <c r="VNU50" s="952"/>
      <c r="VNV50" s="952"/>
      <c r="VNW50" s="952"/>
      <c r="VNX50" s="952"/>
      <c r="VNY50" s="952"/>
      <c r="VNZ50" s="952"/>
      <c r="VOA50" s="952"/>
      <c r="VOB50" s="952"/>
      <c r="VOC50" s="952"/>
      <c r="VOD50" s="952"/>
      <c r="VOE50" s="952"/>
      <c r="VOF50" s="952"/>
      <c r="VOG50" s="952"/>
      <c r="VOH50" s="952"/>
      <c r="VOI50" s="952"/>
      <c r="VOJ50" s="952"/>
      <c r="VOK50" s="952"/>
      <c r="VOL50" s="952"/>
      <c r="VOM50" s="952"/>
      <c r="VON50" s="952"/>
      <c r="VOO50" s="952"/>
      <c r="VOP50" s="952"/>
      <c r="VOQ50" s="952"/>
      <c r="VOR50" s="952"/>
      <c r="VOS50" s="952"/>
      <c r="VOT50" s="952"/>
      <c r="VOU50" s="952"/>
      <c r="VOV50" s="952"/>
      <c r="VOW50" s="952"/>
      <c r="VOX50" s="952"/>
      <c r="VOY50" s="952"/>
      <c r="VOZ50" s="952"/>
      <c r="VPA50" s="952"/>
      <c r="VPB50" s="952"/>
      <c r="VPC50" s="952"/>
      <c r="VPD50" s="952"/>
      <c r="VPE50" s="952"/>
      <c r="VPF50" s="952"/>
      <c r="VPG50" s="952"/>
      <c r="VPH50" s="952"/>
      <c r="VPI50" s="952"/>
      <c r="VPJ50" s="952"/>
      <c r="VPK50" s="952"/>
      <c r="VPL50" s="952"/>
      <c r="VPM50" s="952"/>
      <c r="VPN50" s="952"/>
      <c r="VPO50" s="952"/>
      <c r="VPP50" s="952"/>
      <c r="VPQ50" s="952"/>
      <c r="VPR50" s="952"/>
      <c r="VPS50" s="952"/>
      <c r="VPT50" s="952"/>
      <c r="VPU50" s="952"/>
      <c r="VPV50" s="952"/>
      <c r="VPW50" s="952"/>
      <c r="VPX50" s="952"/>
      <c r="VPY50" s="952"/>
      <c r="VPZ50" s="952"/>
      <c r="VQA50" s="952"/>
      <c r="VQB50" s="952"/>
      <c r="VQC50" s="952"/>
      <c r="VQD50" s="952"/>
      <c r="VQE50" s="952"/>
      <c r="VQF50" s="952"/>
      <c r="VQG50" s="952"/>
      <c r="VQH50" s="952"/>
      <c r="VQI50" s="952"/>
      <c r="VQJ50" s="952"/>
      <c r="VQK50" s="952"/>
      <c r="VQL50" s="952"/>
      <c r="VQM50" s="952"/>
      <c r="VQN50" s="952"/>
      <c r="VQO50" s="952"/>
      <c r="VQP50" s="952"/>
      <c r="VQQ50" s="952"/>
      <c r="VQR50" s="952"/>
      <c r="VQS50" s="952"/>
      <c r="VQT50" s="952"/>
      <c r="VQU50" s="952"/>
      <c r="VQV50" s="952"/>
      <c r="VQW50" s="952"/>
      <c r="VQX50" s="952"/>
      <c r="VQY50" s="952"/>
      <c r="VQZ50" s="952"/>
      <c r="VRA50" s="952"/>
      <c r="VRB50" s="952"/>
      <c r="VRC50" s="952"/>
      <c r="VRD50" s="952"/>
      <c r="VRE50" s="952"/>
      <c r="VRF50" s="952"/>
      <c r="VRG50" s="952"/>
      <c r="VRH50" s="952"/>
      <c r="VRI50" s="952"/>
      <c r="VRJ50" s="952"/>
      <c r="VRK50" s="952"/>
      <c r="VRL50" s="952"/>
      <c r="VRM50" s="952"/>
      <c r="VRN50" s="952"/>
      <c r="VRO50" s="952"/>
      <c r="VRP50" s="952"/>
      <c r="VRQ50" s="952"/>
      <c r="VRR50" s="952"/>
      <c r="VRS50" s="952"/>
      <c r="VRT50" s="952"/>
      <c r="VRU50" s="952"/>
      <c r="VRV50" s="952"/>
      <c r="VRW50" s="952"/>
      <c r="VRX50" s="952"/>
      <c r="VRY50" s="952"/>
      <c r="VRZ50" s="952"/>
      <c r="VSA50" s="952"/>
      <c r="VSB50" s="952"/>
      <c r="VSC50" s="952"/>
      <c r="VSD50" s="952"/>
      <c r="VSE50" s="952"/>
      <c r="VSF50" s="952"/>
      <c r="VSG50" s="952"/>
      <c r="VSH50" s="952"/>
      <c r="VSI50" s="952"/>
      <c r="VSJ50" s="952"/>
      <c r="VSK50" s="952"/>
      <c r="VSL50" s="952"/>
      <c r="VSM50" s="952"/>
      <c r="VSN50" s="952"/>
      <c r="VSO50" s="952"/>
      <c r="VSP50" s="952"/>
      <c r="VSQ50" s="952"/>
      <c r="VSR50" s="952"/>
      <c r="VSS50" s="952"/>
      <c r="VST50" s="952"/>
      <c r="VSU50" s="952"/>
      <c r="VSV50" s="952"/>
      <c r="VSW50" s="952"/>
      <c r="VSX50" s="952"/>
      <c r="VSY50" s="952"/>
      <c r="VSZ50" s="952"/>
      <c r="VTA50" s="952"/>
      <c r="VTB50" s="952"/>
      <c r="VTC50" s="952"/>
      <c r="VTD50" s="952"/>
      <c r="VTE50" s="952"/>
      <c r="VTF50" s="952"/>
      <c r="VTG50" s="952"/>
      <c r="VTH50" s="952"/>
      <c r="VTI50" s="952"/>
      <c r="VTJ50" s="952"/>
      <c r="VTK50" s="952"/>
      <c r="VTL50" s="952"/>
      <c r="VTM50" s="952"/>
      <c r="VTN50" s="952"/>
      <c r="VTO50" s="952"/>
      <c r="VTP50" s="952"/>
      <c r="VTQ50" s="952"/>
      <c r="VTR50" s="952"/>
      <c r="VTS50" s="952"/>
      <c r="VTT50" s="952"/>
      <c r="VTU50" s="952"/>
      <c r="VTV50" s="952"/>
      <c r="VTW50" s="952"/>
      <c r="VTX50" s="952"/>
      <c r="VTY50" s="952"/>
      <c r="VTZ50" s="952"/>
      <c r="VUA50" s="952"/>
      <c r="VUB50" s="952"/>
      <c r="VUC50" s="952"/>
      <c r="VUD50" s="952"/>
      <c r="VUE50" s="952"/>
      <c r="VUF50" s="952"/>
      <c r="VUG50" s="952"/>
      <c r="VUH50" s="952"/>
      <c r="VUI50" s="952"/>
      <c r="VUJ50" s="952"/>
      <c r="VUK50" s="952"/>
      <c r="VUL50" s="952"/>
      <c r="VUM50" s="952"/>
      <c r="VUN50" s="952"/>
      <c r="VUO50" s="952"/>
      <c r="VUP50" s="952"/>
      <c r="VUQ50" s="952"/>
      <c r="VUR50" s="952"/>
      <c r="VUS50" s="952"/>
      <c r="VUT50" s="952"/>
      <c r="VUU50" s="952"/>
      <c r="VUV50" s="952"/>
      <c r="VUW50" s="952"/>
      <c r="VUX50" s="952"/>
      <c r="VUY50" s="952"/>
      <c r="VUZ50" s="952"/>
      <c r="VVA50" s="952"/>
      <c r="VVB50" s="952"/>
      <c r="VVC50" s="952"/>
      <c r="VVD50" s="952"/>
      <c r="VVE50" s="952"/>
      <c r="VVF50" s="952"/>
      <c r="VVG50" s="952"/>
      <c r="VVH50" s="952"/>
      <c r="VVI50" s="952"/>
      <c r="VVJ50" s="952"/>
      <c r="VVK50" s="952"/>
      <c r="VVL50" s="952"/>
      <c r="VVM50" s="952"/>
      <c r="VVN50" s="952"/>
      <c r="VVO50" s="952"/>
      <c r="VVP50" s="952"/>
      <c r="VVQ50" s="952"/>
      <c r="VVR50" s="952"/>
      <c r="VVS50" s="952"/>
      <c r="VVT50" s="952"/>
      <c r="VVU50" s="952"/>
      <c r="VVV50" s="952"/>
      <c r="VVW50" s="952"/>
      <c r="VVX50" s="952"/>
      <c r="VVY50" s="952"/>
      <c r="VVZ50" s="952"/>
      <c r="VWA50" s="952"/>
      <c r="VWB50" s="952"/>
      <c r="VWC50" s="952"/>
      <c r="VWD50" s="952"/>
      <c r="VWE50" s="952"/>
      <c r="VWF50" s="952"/>
      <c r="VWG50" s="952"/>
      <c r="VWH50" s="952"/>
      <c r="VWI50" s="952"/>
      <c r="VWJ50" s="952"/>
      <c r="VWK50" s="952"/>
      <c r="VWL50" s="952"/>
      <c r="VWM50" s="952"/>
      <c r="VWN50" s="952"/>
      <c r="VWO50" s="952"/>
      <c r="VWP50" s="952"/>
      <c r="VWQ50" s="952"/>
      <c r="VWR50" s="952"/>
      <c r="VWS50" s="952"/>
      <c r="VWT50" s="952"/>
      <c r="VWU50" s="952"/>
      <c r="VWV50" s="952"/>
      <c r="VWW50" s="952"/>
      <c r="VWX50" s="952"/>
      <c r="VWY50" s="952"/>
      <c r="VWZ50" s="952"/>
      <c r="VXA50" s="952"/>
      <c r="VXB50" s="952"/>
      <c r="VXC50" s="952"/>
      <c r="VXD50" s="952"/>
      <c r="VXE50" s="952"/>
      <c r="VXF50" s="952"/>
      <c r="VXG50" s="952"/>
      <c r="VXH50" s="952"/>
      <c r="VXI50" s="952"/>
      <c r="VXJ50" s="952"/>
      <c r="VXK50" s="952"/>
      <c r="VXL50" s="952"/>
      <c r="VXM50" s="952"/>
      <c r="VXN50" s="952"/>
      <c r="VXO50" s="952"/>
      <c r="VXP50" s="952"/>
      <c r="VXQ50" s="952"/>
      <c r="VXR50" s="952"/>
      <c r="VXS50" s="952"/>
      <c r="VXT50" s="952"/>
      <c r="VXU50" s="952"/>
      <c r="VXV50" s="952"/>
      <c r="VXW50" s="952"/>
      <c r="VXX50" s="952"/>
      <c r="VXY50" s="952"/>
      <c r="VXZ50" s="952"/>
      <c r="VYA50" s="952"/>
      <c r="VYB50" s="952"/>
      <c r="VYC50" s="952"/>
      <c r="VYD50" s="952"/>
      <c r="VYE50" s="952"/>
      <c r="VYF50" s="952"/>
      <c r="VYG50" s="952"/>
      <c r="VYH50" s="952"/>
      <c r="VYI50" s="952"/>
      <c r="VYJ50" s="952"/>
      <c r="VYK50" s="952"/>
      <c r="VYL50" s="952"/>
      <c r="VYM50" s="952"/>
      <c r="VYN50" s="952"/>
      <c r="VYO50" s="952"/>
      <c r="VYP50" s="952"/>
      <c r="VYQ50" s="952"/>
      <c r="VYR50" s="952"/>
      <c r="VYS50" s="952"/>
      <c r="VYT50" s="952"/>
      <c r="VYU50" s="952"/>
      <c r="VYV50" s="952"/>
      <c r="VYW50" s="952"/>
      <c r="VYX50" s="952"/>
      <c r="VYY50" s="952"/>
      <c r="VYZ50" s="952"/>
      <c r="VZA50" s="952"/>
      <c r="VZB50" s="952"/>
      <c r="VZC50" s="952"/>
      <c r="VZD50" s="952"/>
      <c r="VZE50" s="952"/>
      <c r="VZF50" s="952"/>
      <c r="VZG50" s="952"/>
      <c r="VZH50" s="952"/>
      <c r="VZI50" s="952"/>
      <c r="VZJ50" s="952"/>
      <c r="VZK50" s="952"/>
      <c r="VZL50" s="952"/>
      <c r="VZM50" s="952"/>
      <c r="VZN50" s="952"/>
      <c r="VZO50" s="952"/>
      <c r="VZP50" s="952"/>
      <c r="VZQ50" s="952"/>
      <c r="VZR50" s="952"/>
      <c r="VZS50" s="952"/>
      <c r="VZT50" s="952"/>
      <c r="VZU50" s="952"/>
      <c r="VZV50" s="952"/>
      <c r="VZW50" s="952"/>
      <c r="VZX50" s="952"/>
      <c r="VZY50" s="952"/>
      <c r="VZZ50" s="952"/>
      <c r="WAA50" s="952"/>
      <c r="WAB50" s="952"/>
      <c r="WAC50" s="952"/>
      <c r="WAD50" s="952"/>
      <c r="WAE50" s="952"/>
      <c r="WAF50" s="952"/>
      <c r="WAG50" s="952"/>
      <c r="WAH50" s="952"/>
      <c r="WAI50" s="952"/>
      <c r="WAJ50" s="952"/>
      <c r="WAK50" s="952"/>
      <c r="WAL50" s="952"/>
      <c r="WAM50" s="952"/>
      <c r="WAN50" s="952"/>
      <c r="WAO50" s="952"/>
      <c r="WAP50" s="952"/>
      <c r="WAQ50" s="952"/>
      <c r="WAR50" s="952"/>
      <c r="WAS50" s="952"/>
      <c r="WAT50" s="952"/>
      <c r="WAU50" s="952"/>
      <c r="WAV50" s="952"/>
      <c r="WAW50" s="952"/>
      <c r="WAX50" s="952"/>
      <c r="WAY50" s="952"/>
      <c r="WAZ50" s="952"/>
      <c r="WBA50" s="952"/>
      <c r="WBB50" s="952"/>
      <c r="WBC50" s="952"/>
      <c r="WBD50" s="952"/>
      <c r="WBE50" s="952"/>
      <c r="WBF50" s="952"/>
      <c r="WBG50" s="952"/>
      <c r="WBH50" s="952"/>
      <c r="WBI50" s="952"/>
      <c r="WBJ50" s="952"/>
      <c r="WBK50" s="952"/>
      <c r="WBL50" s="952"/>
      <c r="WBM50" s="952"/>
      <c r="WBN50" s="952"/>
      <c r="WBO50" s="952"/>
      <c r="WBP50" s="952"/>
      <c r="WBQ50" s="952"/>
      <c r="WBR50" s="952"/>
      <c r="WBS50" s="952"/>
      <c r="WBT50" s="952"/>
      <c r="WBU50" s="952"/>
      <c r="WBV50" s="952"/>
      <c r="WBW50" s="952"/>
      <c r="WBX50" s="952"/>
      <c r="WBY50" s="952"/>
      <c r="WBZ50" s="952"/>
      <c r="WCA50" s="952"/>
      <c r="WCB50" s="952"/>
      <c r="WCC50" s="952"/>
      <c r="WCD50" s="952"/>
      <c r="WCE50" s="952"/>
      <c r="WCF50" s="952"/>
      <c r="WCG50" s="952"/>
      <c r="WCH50" s="952"/>
      <c r="WCI50" s="952"/>
      <c r="WCJ50" s="952"/>
      <c r="WCK50" s="952"/>
      <c r="WCL50" s="952"/>
      <c r="WCM50" s="952"/>
      <c r="WCN50" s="952"/>
      <c r="WCO50" s="952"/>
      <c r="WCP50" s="952"/>
      <c r="WCQ50" s="952"/>
      <c r="WCR50" s="952"/>
      <c r="WCS50" s="952"/>
      <c r="WCT50" s="952"/>
      <c r="WCU50" s="952"/>
      <c r="WCV50" s="952"/>
      <c r="WCW50" s="952"/>
      <c r="WCX50" s="952"/>
      <c r="WCY50" s="952"/>
      <c r="WCZ50" s="952"/>
      <c r="WDA50" s="952"/>
      <c r="WDB50" s="952"/>
      <c r="WDC50" s="952"/>
      <c r="WDD50" s="952"/>
      <c r="WDE50" s="952"/>
      <c r="WDF50" s="952"/>
      <c r="WDG50" s="952"/>
      <c r="WDH50" s="952"/>
      <c r="WDI50" s="952"/>
      <c r="WDJ50" s="952"/>
      <c r="WDK50" s="952"/>
      <c r="WDL50" s="952"/>
      <c r="WDM50" s="952"/>
      <c r="WDN50" s="952"/>
      <c r="WDO50" s="952"/>
      <c r="WDP50" s="952"/>
      <c r="WDQ50" s="952"/>
      <c r="WDR50" s="952"/>
      <c r="WDS50" s="952"/>
      <c r="WDT50" s="952"/>
      <c r="WDU50" s="952"/>
      <c r="WDV50" s="952"/>
      <c r="WDW50" s="952"/>
      <c r="WDX50" s="952"/>
      <c r="WDY50" s="952"/>
      <c r="WDZ50" s="952"/>
      <c r="WEA50" s="952"/>
      <c r="WEB50" s="952"/>
      <c r="WEC50" s="952"/>
      <c r="WED50" s="952"/>
      <c r="WEE50" s="952"/>
      <c r="WEF50" s="952"/>
      <c r="WEG50" s="952"/>
      <c r="WEH50" s="952"/>
      <c r="WEI50" s="952"/>
      <c r="WEJ50" s="952"/>
      <c r="WEK50" s="952"/>
      <c r="WEL50" s="952"/>
      <c r="WEM50" s="952"/>
      <c r="WEN50" s="952"/>
      <c r="WEO50" s="952"/>
      <c r="WEP50" s="952"/>
      <c r="WEQ50" s="952"/>
      <c r="WER50" s="952"/>
      <c r="WES50" s="952"/>
      <c r="WET50" s="952"/>
      <c r="WEU50" s="952"/>
      <c r="WEV50" s="952"/>
      <c r="WEW50" s="952"/>
      <c r="WEX50" s="952"/>
      <c r="WEY50" s="952"/>
      <c r="WEZ50" s="952"/>
      <c r="WFA50" s="952"/>
      <c r="WFB50" s="952"/>
      <c r="WFC50" s="952"/>
      <c r="WFD50" s="952"/>
      <c r="WFE50" s="952"/>
      <c r="WFF50" s="952"/>
      <c r="WFG50" s="952"/>
      <c r="WFH50" s="952"/>
      <c r="WFI50" s="952"/>
      <c r="WFJ50" s="952"/>
      <c r="WFK50" s="952"/>
      <c r="WFL50" s="952"/>
      <c r="WFM50" s="952"/>
      <c r="WFN50" s="952"/>
      <c r="WFO50" s="952"/>
      <c r="WFP50" s="952"/>
      <c r="WFQ50" s="952"/>
      <c r="WFR50" s="952"/>
      <c r="WFS50" s="952"/>
      <c r="WFT50" s="952"/>
      <c r="WFU50" s="952"/>
      <c r="WFV50" s="952"/>
      <c r="WFW50" s="952"/>
      <c r="WFX50" s="952"/>
      <c r="WFY50" s="952"/>
      <c r="WFZ50" s="952"/>
      <c r="WGA50" s="952"/>
      <c r="WGB50" s="952"/>
      <c r="WGC50" s="952"/>
      <c r="WGD50" s="952"/>
      <c r="WGE50" s="952"/>
      <c r="WGF50" s="952"/>
      <c r="WGG50" s="952"/>
      <c r="WGH50" s="952"/>
      <c r="WGI50" s="952"/>
      <c r="WGJ50" s="952"/>
      <c r="WGK50" s="952"/>
      <c r="WGL50" s="952"/>
      <c r="WGM50" s="952"/>
      <c r="WGN50" s="952"/>
      <c r="WGO50" s="952"/>
      <c r="WGP50" s="952"/>
      <c r="WGQ50" s="952"/>
      <c r="WGR50" s="952"/>
      <c r="WGS50" s="952"/>
      <c r="WGT50" s="952"/>
      <c r="WGU50" s="952"/>
      <c r="WGV50" s="952"/>
      <c r="WGW50" s="952"/>
      <c r="WGX50" s="952"/>
      <c r="WGY50" s="952"/>
      <c r="WGZ50" s="952"/>
      <c r="WHA50" s="952"/>
      <c r="WHB50" s="952"/>
      <c r="WHC50" s="952"/>
      <c r="WHD50" s="952"/>
      <c r="WHE50" s="952"/>
      <c r="WHF50" s="952"/>
      <c r="WHG50" s="952"/>
      <c r="WHH50" s="952"/>
      <c r="WHI50" s="952"/>
      <c r="WHJ50" s="952"/>
      <c r="WHK50" s="952"/>
      <c r="WHL50" s="952"/>
      <c r="WHM50" s="952"/>
      <c r="WHN50" s="952"/>
      <c r="WHO50" s="952"/>
      <c r="WHP50" s="952"/>
      <c r="WHQ50" s="952"/>
      <c r="WHR50" s="952"/>
      <c r="WHS50" s="952"/>
      <c r="WHT50" s="952"/>
      <c r="WHU50" s="952"/>
      <c r="WHV50" s="952"/>
      <c r="WHW50" s="952"/>
      <c r="WHX50" s="952"/>
      <c r="WHY50" s="952"/>
      <c r="WHZ50" s="952"/>
      <c r="WIA50" s="952"/>
      <c r="WIB50" s="952"/>
      <c r="WIC50" s="952"/>
      <c r="WID50" s="952"/>
      <c r="WIE50" s="952"/>
      <c r="WIF50" s="952"/>
      <c r="WIG50" s="952"/>
      <c r="WIH50" s="952"/>
      <c r="WII50" s="952"/>
      <c r="WIJ50" s="952"/>
      <c r="WIK50" s="952"/>
      <c r="WIL50" s="952"/>
      <c r="WIM50" s="952"/>
      <c r="WIN50" s="952"/>
      <c r="WIO50" s="952"/>
      <c r="WIP50" s="952"/>
      <c r="WIQ50" s="952"/>
      <c r="WIR50" s="952"/>
      <c r="WIS50" s="952"/>
      <c r="WIT50" s="952"/>
      <c r="WIU50" s="952"/>
      <c r="WIV50" s="952"/>
      <c r="WIW50" s="952"/>
      <c r="WIX50" s="952"/>
      <c r="WIY50" s="952"/>
      <c r="WIZ50" s="952"/>
      <c r="WJA50" s="952"/>
      <c r="WJB50" s="952"/>
      <c r="WJC50" s="952"/>
      <c r="WJD50" s="952"/>
      <c r="WJE50" s="952"/>
      <c r="WJF50" s="952"/>
      <c r="WJG50" s="952"/>
      <c r="WJH50" s="952"/>
      <c r="WJI50" s="952"/>
      <c r="WJJ50" s="952"/>
      <c r="WJK50" s="952"/>
      <c r="WJL50" s="952"/>
      <c r="WJM50" s="952"/>
      <c r="WJN50" s="952"/>
      <c r="WJO50" s="952"/>
      <c r="WJP50" s="952"/>
      <c r="WJQ50" s="952"/>
      <c r="WJR50" s="952"/>
      <c r="WJS50" s="952"/>
      <c r="WJT50" s="952"/>
      <c r="WJU50" s="952"/>
      <c r="WJV50" s="952"/>
      <c r="WJW50" s="952"/>
      <c r="WJX50" s="952"/>
      <c r="WJY50" s="952"/>
      <c r="WJZ50" s="952"/>
      <c r="WKA50" s="952"/>
      <c r="WKB50" s="952"/>
      <c r="WKC50" s="952"/>
      <c r="WKD50" s="952"/>
      <c r="WKE50" s="952"/>
      <c r="WKF50" s="952"/>
      <c r="WKG50" s="952"/>
      <c r="WKH50" s="952"/>
      <c r="WKI50" s="952"/>
      <c r="WKJ50" s="952"/>
      <c r="WKK50" s="952"/>
      <c r="WKL50" s="952"/>
      <c r="WKM50" s="952"/>
      <c r="WKN50" s="952"/>
      <c r="WKO50" s="952"/>
      <c r="WKP50" s="952"/>
      <c r="WKQ50" s="952"/>
      <c r="WKR50" s="952"/>
      <c r="WKS50" s="952"/>
      <c r="WKT50" s="952"/>
      <c r="WKU50" s="952"/>
      <c r="WKV50" s="952"/>
      <c r="WKW50" s="952"/>
      <c r="WKX50" s="952"/>
      <c r="WKY50" s="952"/>
      <c r="WKZ50" s="952"/>
      <c r="WLA50" s="952"/>
      <c r="WLB50" s="952"/>
      <c r="WLC50" s="952"/>
      <c r="WLD50" s="952"/>
      <c r="WLE50" s="952"/>
      <c r="WLF50" s="952"/>
      <c r="WLG50" s="952"/>
      <c r="WLH50" s="952"/>
      <c r="WLI50" s="952"/>
      <c r="WLJ50" s="952"/>
      <c r="WLK50" s="952"/>
      <c r="WLL50" s="952"/>
      <c r="WLM50" s="952"/>
      <c r="WLN50" s="952"/>
      <c r="WLO50" s="952"/>
      <c r="WLP50" s="952"/>
      <c r="WLQ50" s="952"/>
      <c r="WLR50" s="952"/>
      <c r="WLS50" s="952"/>
      <c r="WLT50" s="952"/>
      <c r="WLU50" s="952"/>
      <c r="WLV50" s="952"/>
      <c r="WLW50" s="952"/>
      <c r="WLX50" s="952"/>
      <c r="WLY50" s="952"/>
      <c r="WLZ50" s="952"/>
      <c r="WMA50" s="952"/>
      <c r="WMB50" s="952"/>
      <c r="WMC50" s="952"/>
      <c r="WMD50" s="952"/>
      <c r="WME50" s="952"/>
      <c r="WMF50" s="952"/>
      <c r="WMG50" s="952"/>
      <c r="WMH50" s="952"/>
      <c r="WMI50" s="952"/>
      <c r="WMJ50" s="952"/>
      <c r="WMK50" s="952"/>
      <c r="WML50" s="952"/>
      <c r="WMM50" s="952"/>
      <c r="WMN50" s="952"/>
      <c r="WMO50" s="952"/>
      <c r="WMP50" s="952"/>
      <c r="WMQ50" s="952"/>
      <c r="WMR50" s="952"/>
      <c r="WMS50" s="952"/>
      <c r="WMT50" s="952"/>
      <c r="WMU50" s="952"/>
      <c r="WMV50" s="952"/>
      <c r="WMW50" s="952"/>
      <c r="WMX50" s="952"/>
      <c r="WMY50" s="952"/>
      <c r="WMZ50" s="952"/>
      <c r="WNA50" s="952"/>
      <c r="WNB50" s="952"/>
      <c r="WNC50" s="952"/>
      <c r="WND50" s="952"/>
      <c r="WNE50" s="952"/>
      <c r="WNF50" s="952"/>
      <c r="WNG50" s="952"/>
      <c r="WNH50" s="952"/>
      <c r="WNI50" s="952"/>
      <c r="WNJ50" s="952"/>
      <c r="WNK50" s="952"/>
      <c r="WNL50" s="952"/>
      <c r="WNM50" s="952"/>
      <c r="WNN50" s="952"/>
      <c r="WNO50" s="952"/>
      <c r="WNP50" s="952"/>
      <c r="WNQ50" s="952"/>
      <c r="WNR50" s="952"/>
      <c r="WNS50" s="952"/>
      <c r="WNT50" s="952"/>
      <c r="WNU50" s="952"/>
      <c r="WNV50" s="952"/>
      <c r="WNW50" s="952"/>
      <c r="WNX50" s="952"/>
      <c r="WNY50" s="952"/>
      <c r="WNZ50" s="952"/>
      <c r="WOA50" s="952"/>
      <c r="WOB50" s="952"/>
      <c r="WOC50" s="952"/>
      <c r="WOD50" s="952"/>
      <c r="WOE50" s="952"/>
      <c r="WOF50" s="952"/>
      <c r="WOG50" s="952"/>
      <c r="WOH50" s="952"/>
      <c r="WOI50" s="952"/>
      <c r="WOJ50" s="952"/>
      <c r="WOK50" s="952"/>
      <c r="WOL50" s="952"/>
      <c r="WOM50" s="952"/>
      <c r="WON50" s="952"/>
      <c r="WOO50" s="952"/>
      <c r="WOP50" s="952"/>
      <c r="WOQ50" s="952"/>
      <c r="WOR50" s="952"/>
      <c r="WOS50" s="952"/>
      <c r="WOT50" s="952"/>
      <c r="WOU50" s="952"/>
      <c r="WOV50" s="952"/>
      <c r="WOW50" s="952"/>
      <c r="WOX50" s="952"/>
      <c r="WOY50" s="952"/>
      <c r="WOZ50" s="952"/>
      <c r="WPA50" s="952"/>
      <c r="WPB50" s="952"/>
      <c r="WPC50" s="952"/>
      <c r="WPD50" s="952"/>
      <c r="WPE50" s="952"/>
      <c r="WPF50" s="952"/>
      <c r="WPG50" s="952"/>
      <c r="WPH50" s="952"/>
      <c r="WPI50" s="952"/>
      <c r="WPJ50" s="952"/>
      <c r="WPK50" s="952"/>
      <c r="WPL50" s="952"/>
      <c r="WPM50" s="952"/>
      <c r="WPN50" s="952"/>
      <c r="WPO50" s="952"/>
      <c r="WPP50" s="952"/>
      <c r="WPQ50" s="952"/>
      <c r="WPR50" s="952"/>
      <c r="WPS50" s="952"/>
      <c r="WPT50" s="952"/>
      <c r="WPU50" s="952"/>
      <c r="WPV50" s="952"/>
      <c r="WPW50" s="952"/>
      <c r="WPX50" s="952"/>
      <c r="WPY50" s="952"/>
      <c r="WPZ50" s="952"/>
      <c r="WQA50" s="952"/>
      <c r="WQB50" s="952"/>
      <c r="WQC50" s="952"/>
      <c r="WQD50" s="952"/>
      <c r="WQE50" s="952"/>
      <c r="WQF50" s="952"/>
      <c r="WQG50" s="952"/>
      <c r="WQH50" s="952"/>
      <c r="WQI50" s="952"/>
      <c r="WQJ50" s="952"/>
      <c r="WQK50" s="952"/>
      <c r="WQL50" s="952"/>
      <c r="WQM50" s="952"/>
      <c r="WQN50" s="952"/>
      <c r="WQO50" s="952"/>
      <c r="WQP50" s="952"/>
      <c r="WQQ50" s="952"/>
      <c r="WQR50" s="952"/>
      <c r="WQS50" s="952"/>
      <c r="WQT50" s="952"/>
      <c r="WQU50" s="952"/>
      <c r="WQV50" s="952"/>
      <c r="WQW50" s="952"/>
      <c r="WQX50" s="952"/>
      <c r="WQY50" s="952"/>
      <c r="WQZ50" s="952"/>
      <c r="WRA50" s="952"/>
      <c r="WRB50" s="952"/>
      <c r="WRC50" s="952"/>
      <c r="WRD50" s="952"/>
      <c r="WRE50" s="952"/>
      <c r="WRF50" s="952"/>
      <c r="WRG50" s="952"/>
      <c r="WRH50" s="952"/>
      <c r="WRI50" s="952"/>
      <c r="WRJ50" s="952"/>
      <c r="WRK50" s="952"/>
      <c r="WRL50" s="952"/>
      <c r="WRM50" s="952"/>
      <c r="WRN50" s="952"/>
      <c r="WRO50" s="952"/>
      <c r="WRP50" s="952"/>
      <c r="WRQ50" s="952"/>
      <c r="WRR50" s="952"/>
      <c r="WRS50" s="952"/>
      <c r="WRT50" s="952"/>
      <c r="WRU50" s="952"/>
      <c r="WRV50" s="952"/>
      <c r="WRW50" s="952"/>
      <c r="WRX50" s="952"/>
      <c r="WRY50" s="952"/>
      <c r="WRZ50" s="952"/>
      <c r="WSA50" s="952"/>
      <c r="WSB50" s="952"/>
      <c r="WSC50" s="952"/>
      <c r="WSD50" s="952"/>
      <c r="WSE50" s="952"/>
      <c r="WSF50" s="952"/>
      <c r="WSG50" s="952"/>
      <c r="WSH50" s="952"/>
      <c r="WSI50" s="952"/>
      <c r="WSJ50" s="952"/>
      <c r="WSK50" s="952"/>
      <c r="WSL50" s="952"/>
      <c r="WSM50" s="952"/>
      <c r="WSN50" s="952"/>
      <c r="WSO50" s="952"/>
      <c r="WSP50" s="952"/>
      <c r="WSQ50" s="952"/>
      <c r="WSR50" s="952"/>
      <c r="WSS50" s="952"/>
      <c r="WST50" s="952"/>
      <c r="WSU50" s="952"/>
      <c r="WSV50" s="952"/>
      <c r="WSW50" s="952"/>
      <c r="WSX50" s="952"/>
      <c r="WSY50" s="952"/>
      <c r="WSZ50" s="952"/>
      <c r="WTA50" s="952"/>
      <c r="WTB50" s="952"/>
      <c r="WTC50" s="952"/>
      <c r="WTD50" s="952"/>
      <c r="WTE50" s="952"/>
      <c r="WTF50" s="952"/>
      <c r="WTG50" s="952"/>
      <c r="WTH50" s="952"/>
      <c r="WTI50" s="952"/>
      <c r="WTJ50" s="952"/>
      <c r="WTK50" s="952"/>
      <c r="WTL50" s="952"/>
      <c r="WTM50" s="952"/>
      <c r="WTN50" s="952"/>
      <c r="WTO50" s="952"/>
      <c r="WTP50" s="952"/>
      <c r="WTQ50" s="952"/>
      <c r="WTR50" s="952"/>
      <c r="WTS50" s="952"/>
      <c r="WTT50" s="952"/>
      <c r="WTU50" s="952"/>
      <c r="WTV50" s="952"/>
      <c r="WTW50" s="952"/>
      <c r="WTX50" s="952"/>
      <c r="WTY50" s="952"/>
      <c r="WTZ50" s="952"/>
      <c r="WUA50" s="952"/>
      <c r="WUB50" s="952"/>
      <c r="WUC50" s="952"/>
      <c r="WUD50" s="952"/>
      <c r="WUE50" s="952"/>
      <c r="WUF50" s="952"/>
      <c r="WUG50" s="952"/>
      <c r="WUH50" s="952"/>
      <c r="WUI50" s="952"/>
      <c r="WUJ50" s="952"/>
      <c r="WUK50" s="952"/>
      <c r="WUL50" s="952"/>
      <c r="WUM50" s="952"/>
      <c r="WUN50" s="952"/>
      <c r="WUO50" s="952"/>
      <c r="WUP50" s="952"/>
      <c r="WUQ50" s="952"/>
      <c r="WUR50" s="952"/>
      <c r="WUS50" s="952"/>
      <c r="WUT50" s="952"/>
      <c r="WUU50" s="952"/>
      <c r="WUV50" s="952"/>
      <c r="WUW50" s="952"/>
      <c r="WUX50" s="952"/>
      <c r="WUY50" s="952"/>
      <c r="WUZ50" s="952"/>
      <c r="WVA50" s="952"/>
      <c r="WVB50" s="952"/>
      <c r="WVC50" s="952"/>
      <c r="WVD50" s="952"/>
      <c r="WVE50" s="952"/>
      <c r="WVF50" s="952"/>
      <c r="WVG50" s="952"/>
      <c r="WVH50" s="952"/>
      <c r="WVI50" s="952"/>
      <c r="WVJ50" s="952"/>
      <c r="WVK50" s="952"/>
      <c r="WVL50" s="952"/>
      <c r="WVM50" s="952"/>
      <c r="WVN50" s="952"/>
      <c r="WVO50" s="952"/>
      <c r="WVP50" s="952"/>
      <c r="WVQ50" s="952"/>
      <c r="WVR50" s="952"/>
      <c r="WVS50" s="952"/>
      <c r="WVT50" s="952"/>
      <c r="WVU50" s="952"/>
      <c r="WVV50" s="952"/>
      <c r="WVW50" s="952"/>
      <c r="WVX50" s="952"/>
      <c r="WVY50" s="952"/>
      <c r="WVZ50" s="952"/>
      <c r="WWA50" s="952"/>
      <c r="WWB50" s="952"/>
      <c r="WWC50" s="952"/>
      <c r="WWD50" s="952"/>
      <c r="WWE50" s="952"/>
      <c r="WWF50" s="952"/>
      <c r="WWG50" s="952"/>
      <c r="WWH50" s="952"/>
      <c r="WWI50" s="952"/>
      <c r="WWJ50" s="952"/>
      <c r="WWK50" s="952"/>
      <c r="WWL50" s="952"/>
      <c r="WWM50" s="952"/>
      <c r="WWN50" s="952"/>
      <c r="WWO50" s="952"/>
      <c r="WWP50" s="952"/>
      <c r="WWQ50" s="952"/>
      <c r="WWR50" s="952"/>
      <c r="WWS50" s="952"/>
      <c r="WWT50" s="952"/>
      <c r="WWU50" s="952"/>
      <c r="WWV50" s="952"/>
      <c r="WWW50" s="952"/>
      <c r="WWX50" s="952"/>
      <c r="WWY50" s="952"/>
      <c r="WWZ50" s="952"/>
      <c r="WXA50" s="952"/>
      <c r="WXB50" s="952"/>
      <c r="WXC50" s="952"/>
      <c r="WXD50" s="952"/>
      <c r="WXE50" s="952"/>
      <c r="WXF50" s="952"/>
      <c r="WXG50" s="952"/>
      <c r="WXH50" s="952"/>
      <c r="WXI50" s="952"/>
      <c r="WXJ50" s="952"/>
      <c r="WXK50" s="952"/>
      <c r="WXL50" s="952"/>
      <c r="WXM50" s="952"/>
      <c r="WXN50" s="952"/>
      <c r="WXO50" s="952"/>
      <c r="WXP50" s="952"/>
      <c r="WXQ50" s="952"/>
      <c r="WXR50" s="952"/>
      <c r="WXS50" s="952"/>
      <c r="WXT50" s="952"/>
      <c r="WXU50" s="952"/>
      <c r="WXV50" s="952"/>
      <c r="WXW50" s="952"/>
      <c r="WXX50" s="952"/>
      <c r="WXY50" s="952"/>
      <c r="WXZ50" s="952"/>
      <c r="WYA50" s="952"/>
      <c r="WYB50" s="952"/>
      <c r="WYC50" s="952"/>
      <c r="WYD50" s="952"/>
      <c r="WYE50" s="952"/>
      <c r="WYF50" s="952"/>
      <c r="WYG50" s="952"/>
      <c r="WYH50" s="952"/>
      <c r="WYI50" s="952"/>
      <c r="WYJ50" s="952"/>
      <c r="WYK50" s="952"/>
      <c r="WYL50" s="952"/>
      <c r="WYM50" s="952"/>
      <c r="WYN50" s="952"/>
      <c r="WYO50" s="952"/>
      <c r="WYP50" s="952"/>
      <c r="WYQ50" s="952"/>
      <c r="WYR50" s="952"/>
      <c r="WYS50" s="952"/>
      <c r="WYT50" s="952"/>
      <c r="WYU50" s="952"/>
      <c r="WYV50" s="952"/>
      <c r="WYW50" s="952"/>
      <c r="WYX50" s="952"/>
      <c r="WYY50" s="952"/>
      <c r="WYZ50" s="952"/>
      <c r="WZA50" s="952"/>
      <c r="WZB50" s="952"/>
      <c r="WZC50" s="952"/>
      <c r="WZD50" s="952"/>
      <c r="WZE50" s="952"/>
      <c r="WZF50" s="952"/>
      <c r="WZG50" s="952"/>
      <c r="WZH50" s="952"/>
      <c r="WZI50" s="952"/>
      <c r="WZJ50" s="952"/>
      <c r="WZK50" s="952"/>
      <c r="WZL50" s="952"/>
      <c r="WZM50" s="952"/>
      <c r="WZN50" s="952"/>
      <c r="WZO50" s="952"/>
      <c r="WZP50" s="952"/>
      <c r="WZQ50" s="952"/>
      <c r="WZR50" s="952"/>
      <c r="WZS50" s="952"/>
      <c r="WZT50" s="952"/>
      <c r="WZU50" s="952"/>
      <c r="WZV50" s="952"/>
      <c r="WZW50" s="952"/>
      <c r="WZX50" s="952"/>
      <c r="WZY50" s="952"/>
      <c r="WZZ50" s="952"/>
      <c r="XAA50" s="952"/>
      <c r="XAB50" s="952"/>
      <c r="XAC50" s="952"/>
      <c r="XAD50" s="952"/>
      <c r="XAE50" s="952"/>
      <c r="XAF50" s="952"/>
      <c r="XAG50" s="952"/>
      <c r="XAH50" s="952"/>
      <c r="XAI50" s="952"/>
      <c r="XAJ50" s="952"/>
      <c r="XAK50" s="952"/>
      <c r="XAL50" s="952"/>
      <c r="XAM50" s="952"/>
      <c r="XAN50" s="952"/>
      <c r="XAO50" s="952"/>
      <c r="XAP50" s="952"/>
      <c r="XAQ50" s="952"/>
      <c r="XAR50" s="952"/>
      <c r="XAS50" s="952"/>
      <c r="XAT50" s="952"/>
      <c r="XAU50" s="952"/>
      <c r="XAV50" s="952"/>
      <c r="XAW50" s="952"/>
      <c r="XAX50" s="952"/>
      <c r="XAY50" s="952"/>
      <c r="XAZ50" s="952"/>
      <c r="XBA50" s="952"/>
      <c r="XBB50" s="952"/>
      <c r="XBC50" s="952"/>
      <c r="XBD50" s="952"/>
      <c r="XBE50" s="952"/>
      <c r="XBF50" s="952"/>
      <c r="XBG50" s="952"/>
      <c r="XBH50" s="952"/>
      <c r="XBI50" s="952"/>
      <c r="XBJ50" s="952"/>
      <c r="XBK50" s="952"/>
      <c r="XBL50" s="952"/>
      <c r="XBM50" s="952"/>
      <c r="XBN50" s="952"/>
      <c r="XBO50" s="952"/>
      <c r="XBP50" s="952"/>
      <c r="XBQ50" s="952"/>
      <c r="XBR50" s="952"/>
      <c r="XBS50" s="952"/>
      <c r="XBT50" s="952"/>
      <c r="XBU50" s="952"/>
      <c r="XBV50" s="952"/>
      <c r="XBW50" s="952"/>
      <c r="XBX50" s="952"/>
      <c r="XBY50" s="952"/>
      <c r="XBZ50" s="952"/>
      <c r="XCA50" s="952"/>
      <c r="XCB50" s="952"/>
      <c r="XCC50" s="952"/>
      <c r="XCD50" s="952"/>
      <c r="XCE50" s="952"/>
      <c r="XCF50" s="952"/>
      <c r="XCG50" s="952"/>
      <c r="XCH50" s="952"/>
      <c r="XCI50" s="952"/>
      <c r="XCJ50" s="952"/>
      <c r="XCK50" s="952"/>
      <c r="XCL50" s="952"/>
      <c r="XCM50" s="952"/>
      <c r="XCN50" s="952"/>
      <c r="XCO50" s="952"/>
      <c r="XCP50" s="952"/>
      <c r="XCQ50" s="952"/>
      <c r="XCR50" s="952"/>
      <c r="XCS50" s="952"/>
      <c r="XCT50" s="952"/>
      <c r="XCU50" s="952"/>
      <c r="XCV50" s="952"/>
      <c r="XCW50" s="952"/>
      <c r="XCX50" s="952"/>
      <c r="XCY50" s="952"/>
      <c r="XCZ50" s="952"/>
      <c r="XDA50" s="952"/>
      <c r="XDB50" s="952"/>
      <c r="XDC50" s="952"/>
      <c r="XDD50" s="952"/>
      <c r="XDE50" s="952"/>
      <c r="XDF50" s="952"/>
      <c r="XDG50" s="952"/>
      <c r="XDH50" s="952"/>
      <c r="XDI50" s="952"/>
      <c r="XDJ50" s="952"/>
      <c r="XDK50" s="952"/>
      <c r="XDL50" s="952"/>
      <c r="XDM50" s="952"/>
      <c r="XDN50" s="952"/>
      <c r="XDO50" s="952"/>
      <c r="XDP50" s="952"/>
      <c r="XDQ50" s="952"/>
      <c r="XDR50" s="952"/>
      <c r="XDS50" s="952"/>
      <c r="XDT50" s="952"/>
      <c r="XDU50" s="952"/>
      <c r="XDV50" s="952"/>
      <c r="XDW50" s="952"/>
      <c r="XDX50" s="952"/>
      <c r="XDY50" s="952"/>
      <c r="XDZ50" s="952"/>
      <c r="XEA50" s="952"/>
      <c r="XEB50" s="952"/>
      <c r="XEC50" s="952"/>
    </row>
    <row r="51" spans="1:16357" ht="30" customHeight="1">
      <c r="A51" s="97" t="s">
        <v>104</v>
      </c>
      <c r="B51" s="101" t="s">
        <v>105</v>
      </c>
      <c r="C51" s="100"/>
      <c r="D51" s="100"/>
      <c r="E51" s="100"/>
      <c r="F51" s="100"/>
      <c r="G51" s="100"/>
      <c r="H51" s="100"/>
      <c r="I51" s="100"/>
      <c r="J51" s="100"/>
      <c r="K51" s="100"/>
      <c r="L51" s="100"/>
      <c r="M51" s="100"/>
      <c r="N51" s="100"/>
      <c r="O51" s="5"/>
      <c r="P51" s="5"/>
      <c r="Q51" s="5"/>
      <c r="R51" s="5"/>
      <c r="S51" s="5"/>
      <c r="T51" s="5"/>
      <c r="U51" s="7"/>
      <c r="V51" s="7"/>
      <c r="W51" s="7"/>
      <c r="X51" s="7"/>
      <c r="Y51" s="35"/>
      <c r="Z51" s="7"/>
      <c r="AA51" s="7"/>
      <c r="AB51" s="7"/>
      <c r="AC51" s="7"/>
      <c r="AD51" s="35"/>
      <c r="AE51" s="7"/>
      <c r="AF51" s="7"/>
      <c r="AG51" s="7"/>
      <c r="AH51" s="7"/>
      <c r="AI51" s="35"/>
      <c r="AJ51" s="7"/>
      <c r="AK51" s="90"/>
      <c r="AL51" s="5"/>
      <c r="AM51" s="168"/>
      <c r="AN51" s="168"/>
      <c r="AO51" s="168"/>
      <c r="AP51" s="168"/>
      <c r="AQ51" s="168"/>
      <c r="AR51" s="168"/>
      <c r="AS51" s="168"/>
      <c r="AT51" s="168"/>
      <c r="AU51" s="168"/>
      <c r="AV51" s="168"/>
      <c r="AW51" s="168"/>
      <c r="AX51" s="168"/>
      <c r="AY51" s="168"/>
      <c r="AZ51" s="168"/>
      <c r="BA51" s="168"/>
      <c r="BB51" s="168"/>
      <c r="BC51" s="168"/>
      <c r="BD51" s="168"/>
      <c r="BE51" s="168"/>
      <c r="BF51" s="634"/>
      <c r="BG51" s="168"/>
      <c r="BH51" s="168"/>
      <c r="BI51" s="168"/>
      <c r="BJ51" s="168"/>
      <c r="BK51" s="629"/>
      <c r="BL51" s="168"/>
      <c r="BM51" s="168"/>
      <c r="BN51" s="168"/>
      <c r="BO51" s="168"/>
      <c r="BP51" s="629"/>
      <c r="BQ51" s="168"/>
      <c r="BR51" s="168"/>
      <c r="BS51" s="168"/>
      <c r="BT51" s="168"/>
      <c r="BV51" s="168"/>
      <c r="BW51" s="168"/>
      <c r="BX51" s="168"/>
      <c r="CA51" s="168"/>
      <c r="CB51" s="168"/>
      <c r="CC51" s="168"/>
    </row>
    <row r="52" spans="1:16357" ht="52">
      <c r="A52" s="112" t="s">
        <v>789</v>
      </c>
      <c r="B52" s="112" t="s">
        <v>790</v>
      </c>
      <c r="U52" s="6"/>
      <c r="V52" s="6"/>
      <c r="W52" s="6"/>
      <c r="X52" s="6"/>
      <c r="Y52" s="38"/>
      <c r="Z52" s="6"/>
      <c r="AA52" s="6"/>
      <c r="AB52" s="6"/>
      <c r="AC52" s="6"/>
      <c r="AD52" s="38"/>
      <c r="AE52" s="6"/>
      <c r="AF52" s="6"/>
      <c r="AG52" s="6"/>
      <c r="AH52" s="6"/>
      <c r="AI52" s="38"/>
      <c r="AJ52" s="6"/>
      <c r="AK52" s="89"/>
      <c r="AL52" s="5"/>
      <c r="AM52" s="6"/>
      <c r="AN52" s="6"/>
      <c r="AO52" s="38"/>
      <c r="AP52" s="6"/>
      <c r="AQ52" s="6"/>
      <c r="AR52" s="6"/>
      <c r="AS52" s="6"/>
      <c r="AT52" s="38"/>
      <c r="AU52" s="6"/>
      <c r="AV52" s="6"/>
      <c r="AW52" s="6"/>
      <c r="AX52" s="6"/>
      <c r="AY52" s="38"/>
      <c r="AZ52" s="6"/>
      <c r="BA52" s="6"/>
      <c r="BB52" s="6"/>
      <c r="BC52" s="6"/>
      <c r="BD52" s="38"/>
      <c r="BE52" s="6"/>
      <c r="BF52" s="635"/>
      <c r="BG52" s="6"/>
      <c r="BH52" s="6"/>
      <c r="BI52" s="38"/>
      <c r="BJ52" s="6"/>
      <c r="BK52" s="630"/>
      <c r="BL52" s="6"/>
      <c r="BM52" s="6"/>
      <c r="BN52" s="38"/>
      <c r="BO52" s="6"/>
      <c r="BP52" s="630"/>
      <c r="BQ52" s="6"/>
      <c r="BR52" s="6"/>
      <c r="BS52" s="38"/>
      <c r="BT52" s="6"/>
    </row>
    <row r="53" spans="1:16357" ht="13">
      <c r="A53" s="953"/>
      <c r="B53" s="953"/>
      <c r="C53" s="953"/>
      <c r="D53" s="953"/>
      <c r="E53" s="953"/>
      <c r="F53" s="953"/>
      <c r="G53" s="953"/>
      <c r="H53" s="953"/>
      <c r="I53" s="953"/>
      <c r="J53" s="953"/>
      <c r="K53" s="953"/>
      <c r="L53" s="953"/>
      <c r="M53" s="953"/>
      <c r="N53" s="953"/>
      <c r="O53" s="5"/>
      <c r="P53" s="5"/>
      <c r="Q53" s="5"/>
      <c r="R53" s="5"/>
      <c r="S53" s="5"/>
      <c r="T53" s="5"/>
      <c r="U53" s="7"/>
      <c r="V53" s="7"/>
      <c r="W53" s="7"/>
      <c r="X53" s="7"/>
      <c r="Y53" s="35"/>
      <c r="Z53" s="7"/>
      <c r="AA53" s="7"/>
      <c r="AB53" s="7"/>
      <c r="AC53" s="7"/>
      <c r="AD53" s="35"/>
      <c r="AE53" s="7"/>
      <c r="AF53" s="7"/>
      <c r="AG53" s="7"/>
      <c r="AH53" s="7"/>
      <c r="AI53" s="35"/>
      <c r="AJ53" s="7"/>
      <c r="AK53" s="90"/>
      <c r="AL53" s="5"/>
      <c r="AM53" s="7"/>
      <c r="AN53" s="7"/>
      <c r="AO53" s="35"/>
      <c r="AP53" s="7"/>
      <c r="AQ53" s="7"/>
      <c r="AR53" s="7"/>
      <c r="AS53" s="7"/>
      <c r="AT53" s="35"/>
      <c r="AU53" s="7"/>
      <c r="AV53" s="7"/>
      <c r="AW53" s="7"/>
      <c r="AX53" s="7"/>
      <c r="AY53" s="35"/>
      <c r="AZ53" s="7"/>
      <c r="BA53" s="7"/>
      <c r="BB53" s="7"/>
      <c r="BC53" s="7"/>
      <c r="BD53" s="35"/>
      <c r="BE53" s="7"/>
      <c r="BF53" s="636"/>
      <c r="BG53" s="7"/>
      <c r="BH53" s="7"/>
      <c r="BI53" s="35"/>
      <c r="BJ53" s="7"/>
      <c r="BK53" s="8"/>
      <c r="BL53" s="7"/>
      <c r="BM53" s="7"/>
      <c r="BN53" s="35"/>
      <c r="BO53" s="7"/>
      <c r="BP53" s="8"/>
      <c r="BQ53" s="7"/>
      <c r="BR53" s="7"/>
      <c r="BS53" s="35"/>
      <c r="BT53" s="7"/>
    </row>
    <row r="54" spans="1:16357" ht="15" customHeight="1">
      <c r="U54" s="6"/>
      <c r="V54" s="6"/>
      <c r="W54" s="6"/>
      <c r="X54" s="6"/>
      <c r="Y54" s="38"/>
      <c r="Z54" s="6"/>
      <c r="AA54" s="6"/>
      <c r="AB54" s="6"/>
      <c r="AC54" s="6"/>
      <c r="AD54" s="38"/>
      <c r="AE54" s="6"/>
      <c r="AF54" s="6"/>
      <c r="AG54" s="6"/>
      <c r="AH54" s="6"/>
      <c r="AI54" s="38"/>
      <c r="AJ54" s="6"/>
      <c r="AK54" s="89"/>
      <c r="AL54" s="5"/>
      <c r="AM54" s="6"/>
      <c r="AN54" s="6"/>
      <c r="AO54" s="38"/>
      <c r="AP54" s="6"/>
      <c r="AQ54" s="6"/>
      <c r="AR54" s="6"/>
      <c r="AS54" s="6"/>
      <c r="AT54" s="38"/>
      <c r="AU54" s="6"/>
      <c r="AV54" s="6"/>
      <c r="AW54" s="6"/>
      <c r="AX54" s="6"/>
      <c r="AY54" s="38"/>
      <c r="AZ54" s="6"/>
      <c r="BA54" s="6"/>
      <c r="BB54" s="6"/>
      <c r="BC54" s="6"/>
      <c r="BD54" s="38"/>
      <c r="BE54" s="6"/>
      <c r="BF54" s="635"/>
      <c r="BG54" s="6"/>
      <c r="BH54" s="6"/>
      <c r="BI54" s="38"/>
      <c r="BJ54" s="6"/>
      <c r="BK54" s="630"/>
      <c r="BL54" s="6"/>
      <c r="BM54" s="6"/>
      <c r="BN54" s="38"/>
      <c r="BO54" s="6"/>
      <c r="BP54" s="630"/>
      <c r="BQ54" s="6"/>
      <c r="BR54" s="6"/>
      <c r="BS54" s="38"/>
      <c r="BT54" s="6"/>
    </row>
    <row r="55" spans="1:16357" ht="28.5" customHeight="1">
      <c r="U55" s="6"/>
      <c r="V55" s="6"/>
      <c r="W55" s="6"/>
      <c r="X55" s="6"/>
      <c r="Y55" s="38"/>
      <c r="Z55" s="6"/>
      <c r="AA55" s="6"/>
      <c r="AB55" s="6"/>
      <c r="AC55" s="6"/>
      <c r="AD55" s="38"/>
      <c r="AE55" s="6"/>
      <c r="AF55" s="6"/>
      <c r="AG55" s="6"/>
      <c r="AH55" s="6"/>
      <c r="AI55" s="38"/>
      <c r="AJ55" s="6"/>
      <c r="AK55" s="89"/>
      <c r="AL55" s="5"/>
      <c r="AM55" s="6"/>
      <c r="AN55" s="6"/>
      <c r="AO55" s="38"/>
      <c r="AP55" s="6"/>
      <c r="AQ55" s="6"/>
      <c r="AR55" s="6"/>
      <c r="AS55" s="6"/>
      <c r="AT55" s="38"/>
      <c r="AU55" s="6"/>
      <c r="AV55" s="6"/>
      <c r="AW55" s="6"/>
      <c r="AX55" s="6"/>
      <c r="AY55" s="38"/>
      <c r="AZ55" s="6"/>
      <c r="BA55" s="6"/>
      <c r="BB55" s="6"/>
      <c r="BC55" s="6"/>
      <c r="BD55" s="38"/>
      <c r="BE55" s="6"/>
      <c r="BF55" s="635"/>
      <c r="BG55" s="6"/>
      <c r="BH55" s="6"/>
      <c r="BI55" s="38"/>
      <c r="BJ55" s="6"/>
      <c r="BK55" s="630"/>
      <c r="BL55" s="6"/>
      <c r="BM55" s="6"/>
      <c r="BN55" s="38"/>
      <c r="BO55" s="6"/>
      <c r="BP55" s="630"/>
      <c r="BQ55" s="6"/>
      <c r="BR55" s="6"/>
      <c r="BS55" s="38"/>
      <c r="BT55" s="6"/>
    </row>
    <row r="56" spans="1:16357" ht="28.5" customHeight="1">
      <c r="U56" s="6"/>
      <c r="V56" s="6"/>
      <c r="W56" s="6"/>
      <c r="X56" s="6"/>
      <c r="Y56" s="38"/>
      <c r="Z56" s="6"/>
      <c r="AA56" s="6"/>
      <c r="AB56" s="6"/>
      <c r="AC56" s="6"/>
      <c r="AD56" s="38"/>
      <c r="AE56" s="6"/>
      <c r="AF56" s="6"/>
      <c r="AG56" s="6"/>
      <c r="AH56" s="6"/>
      <c r="AI56" s="38"/>
      <c r="AJ56" s="6"/>
      <c r="AK56" s="89"/>
      <c r="AL56" s="5"/>
      <c r="AM56" s="6"/>
      <c r="AN56" s="6"/>
      <c r="AO56" s="38"/>
      <c r="AP56" s="6"/>
      <c r="AQ56" s="6"/>
      <c r="AR56" s="6"/>
      <c r="AS56" s="6"/>
      <c r="AT56" s="38"/>
      <c r="AU56" s="6"/>
      <c r="AV56" s="6"/>
      <c r="AW56" s="6"/>
      <c r="AX56" s="6"/>
      <c r="AY56" s="38"/>
      <c r="AZ56" s="6"/>
      <c r="BA56" s="6"/>
      <c r="BB56" s="6"/>
      <c r="BC56" s="6"/>
      <c r="BD56" s="38"/>
      <c r="BE56" s="6"/>
      <c r="BF56" s="635"/>
      <c r="BG56" s="6"/>
      <c r="BH56" s="6"/>
      <c r="BI56" s="38"/>
      <c r="BJ56" s="6"/>
      <c r="BK56" s="630"/>
      <c r="BL56" s="6"/>
      <c r="BM56" s="6"/>
      <c r="BN56" s="38"/>
      <c r="BO56" s="6"/>
      <c r="BP56" s="630"/>
      <c r="BQ56" s="6"/>
      <c r="BR56" s="6"/>
      <c r="BS56" s="38"/>
      <c r="BT56" s="6"/>
    </row>
    <row r="57" spans="1:16357" ht="28.5" customHeight="1">
      <c r="U57" s="6"/>
      <c r="V57" s="6"/>
      <c r="W57" s="6"/>
      <c r="X57" s="6"/>
      <c r="Y57" s="38"/>
      <c r="Z57" s="6"/>
      <c r="AA57" s="6"/>
      <c r="AB57" s="6"/>
      <c r="AC57" s="6"/>
      <c r="AD57" s="38"/>
      <c r="AE57" s="6"/>
      <c r="AF57" s="6"/>
      <c r="AG57" s="6"/>
      <c r="AH57" s="6"/>
      <c r="AI57" s="38"/>
      <c r="AJ57" s="6"/>
      <c r="AK57" s="89"/>
      <c r="AL57" s="5"/>
      <c r="AM57" s="6"/>
      <c r="AN57" s="6"/>
      <c r="AO57" s="38"/>
      <c r="AP57" s="6"/>
      <c r="AQ57" s="6"/>
      <c r="AR57" s="6"/>
      <c r="AS57" s="6"/>
      <c r="AT57" s="38"/>
      <c r="AU57" s="6"/>
      <c r="AV57" s="6"/>
      <c r="AW57" s="6"/>
      <c r="AX57" s="6"/>
      <c r="AY57" s="38"/>
      <c r="AZ57" s="6"/>
      <c r="BA57" s="6"/>
      <c r="BB57" s="6"/>
      <c r="BC57" s="6"/>
      <c r="BD57" s="38"/>
      <c r="BE57" s="6"/>
      <c r="BF57" s="635"/>
      <c r="BG57" s="6"/>
      <c r="BH57" s="6"/>
      <c r="BI57" s="38"/>
      <c r="BJ57" s="6"/>
      <c r="BK57" s="630"/>
      <c r="BL57" s="6"/>
      <c r="BM57" s="6"/>
      <c r="BN57" s="38"/>
      <c r="BO57" s="6"/>
      <c r="BP57" s="630"/>
      <c r="BQ57" s="6"/>
      <c r="BR57" s="6"/>
      <c r="BS57" s="38"/>
      <c r="BT57" s="6"/>
    </row>
    <row r="58" spans="1:16357" ht="28.5" customHeight="1">
      <c r="U58" s="6"/>
      <c r="V58" s="6"/>
      <c r="W58" s="6"/>
      <c r="X58" s="6"/>
      <c r="Y58" s="38"/>
      <c r="Z58" s="6"/>
      <c r="AA58" s="6"/>
      <c r="AB58" s="6"/>
      <c r="AC58" s="6"/>
      <c r="AD58" s="38"/>
      <c r="AE58" s="6"/>
      <c r="AF58" s="6"/>
      <c r="AG58" s="6"/>
      <c r="AH58" s="6"/>
      <c r="AI58" s="38"/>
      <c r="AJ58" s="6"/>
      <c r="AK58" s="89"/>
      <c r="AL58" s="5"/>
      <c r="AM58" s="6"/>
      <c r="AN58" s="6"/>
      <c r="AO58" s="38"/>
      <c r="AP58" s="6"/>
      <c r="AQ58" s="6"/>
      <c r="AR58" s="6"/>
      <c r="AS58" s="6"/>
      <c r="AT58" s="38"/>
      <c r="AU58" s="6"/>
      <c r="AV58" s="6"/>
      <c r="AW58" s="6"/>
      <c r="AX58" s="6"/>
      <c r="AY58" s="38"/>
      <c r="AZ58" s="6"/>
      <c r="BA58" s="6"/>
      <c r="BB58" s="6"/>
      <c r="BC58" s="6"/>
      <c r="BD58" s="38"/>
      <c r="BE58" s="6"/>
      <c r="BF58" s="635"/>
      <c r="BG58" s="6"/>
      <c r="BH58" s="6"/>
      <c r="BI58" s="38"/>
      <c r="BJ58" s="6"/>
      <c r="BK58" s="630"/>
      <c r="BL58" s="6"/>
      <c r="BM58" s="6"/>
      <c r="BN58" s="38"/>
      <c r="BO58" s="6"/>
      <c r="BP58" s="630"/>
      <c r="BQ58" s="6"/>
      <c r="BR58" s="6"/>
      <c r="BS58" s="38"/>
      <c r="BT58" s="6"/>
    </row>
    <row r="59" spans="1:16357" ht="28.5" customHeight="1">
      <c r="U59" s="6"/>
      <c r="V59" s="6"/>
      <c r="W59" s="6"/>
      <c r="X59" s="6"/>
      <c r="Y59" s="38"/>
      <c r="Z59" s="6"/>
      <c r="AA59" s="6"/>
      <c r="AB59" s="6"/>
      <c r="AC59" s="6"/>
      <c r="AD59" s="38"/>
      <c r="AE59" s="6"/>
      <c r="AF59" s="6"/>
      <c r="AG59" s="6"/>
      <c r="AH59" s="6"/>
      <c r="AI59" s="38"/>
      <c r="AJ59" s="6"/>
      <c r="AK59" s="89"/>
      <c r="AL59" s="5"/>
      <c r="AM59" s="6"/>
      <c r="AN59" s="6"/>
      <c r="AO59" s="38"/>
      <c r="AP59" s="6"/>
      <c r="AQ59" s="6"/>
      <c r="AR59" s="6"/>
      <c r="AS59" s="6"/>
      <c r="AT59" s="38"/>
      <c r="AU59" s="6"/>
      <c r="AV59" s="6"/>
      <c r="AW59" s="6"/>
      <c r="AX59" s="6"/>
      <c r="AY59" s="38"/>
      <c r="AZ59" s="6"/>
      <c r="BA59" s="6"/>
      <c r="BB59" s="6"/>
      <c r="BC59" s="6"/>
      <c r="BD59" s="38"/>
      <c r="BE59" s="6"/>
      <c r="BF59" s="635"/>
      <c r="BG59" s="6"/>
      <c r="BH59" s="6"/>
      <c r="BI59" s="38"/>
      <c r="BJ59" s="6"/>
      <c r="BK59" s="630"/>
      <c r="BL59" s="6"/>
      <c r="BM59" s="6"/>
      <c r="BN59" s="38"/>
      <c r="BO59" s="6"/>
      <c r="BP59" s="630"/>
      <c r="BQ59" s="6"/>
      <c r="BR59" s="6"/>
      <c r="BS59" s="38"/>
      <c r="BT59" s="6"/>
    </row>
    <row r="60" spans="1:16357" ht="28.5" customHeight="1">
      <c r="U60" s="6"/>
      <c r="V60" s="6"/>
      <c r="W60" s="6"/>
      <c r="X60" s="6"/>
      <c r="Y60" s="38"/>
      <c r="Z60" s="6"/>
      <c r="AA60" s="6"/>
      <c r="AB60" s="6"/>
      <c r="AC60" s="6"/>
      <c r="AD60" s="38"/>
      <c r="AE60" s="6"/>
      <c r="AF60" s="6"/>
      <c r="AG60" s="6"/>
      <c r="AH60" s="6"/>
      <c r="AI60" s="38"/>
      <c r="AJ60" s="6"/>
      <c r="AK60" s="89"/>
      <c r="AL60" s="5"/>
      <c r="AM60" s="6"/>
      <c r="AN60" s="6"/>
      <c r="AO60" s="38"/>
      <c r="AP60" s="6"/>
      <c r="AQ60" s="6"/>
      <c r="AR60" s="6"/>
      <c r="AS60" s="6"/>
      <c r="AT60" s="38"/>
      <c r="AU60" s="6"/>
      <c r="AV60" s="6"/>
      <c r="AW60" s="6"/>
      <c r="AX60" s="6"/>
      <c r="AY60" s="38"/>
      <c r="AZ60" s="6"/>
      <c r="BA60" s="6"/>
      <c r="BB60" s="6"/>
      <c r="BC60" s="6"/>
      <c r="BD60" s="38"/>
      <c r="BE60" s="6"/>
      <c r="BF60" s="635"/>
      <c r="BG60" s="6"/>
      <c r="BH60" s="6"/>
      <c r="BI60" s="38"/>
      <c r="BJ60" s="6"/>
      <c r="BK60" s="630"/>
      <c r="BL60" s="6"/>
      <c r="BM60" s="6"/>
      <c r="BN60" s="38"/>
      <c r="BO60" s="6"/>
      <c r="BP60" s="630"/>
      <c r="BQ60" s="6"/>
      <c r="BR60" s="6"/>
      <c r="BS60" s="38"/>
      <c r="BT60" s="6"/>
    </row>
    <row r="61" spans="1:16357" ht="28.5" customHeight="1">
      <c r="U61" s="6"/>
      <c r="V61" s="6"/>
      <c r="W61" s="6"/>
      <c r="X61" s="6"/>
      <c r="Y61" s="38"/>
      <c r="Z61" s="6"/>
      <c r="AA61" s="6"/>
      <c r="AB61" s="6"/>
      <c r="AC61" s="6"/>
      <c r="AD61" s="38"/>
      <c r="AE61" s="6"/>
      <c r="AF61" s="6"/>
      <c r="AG61" s="6"/>
      <c r="AH61" s="6"/>
      <c r="AI61" s="38"/>
      <c r="AJ61" s="6"/>
      <c r="AK61" s="89"/>
      <c r="AL61" s="5"/>
      <c r="AM61" s="6"/>
      <c r="AN61" s="6"/>
      <c r="AO61" s="38"/>
      <c r="AP61" s="6"/>
      <c r="AQ61" s="6"/>
      <c r="AR61" s="6"/>
      <c r="AS61" s="6"/>
      <c r="AT61" s="38"/>
      <c r="AU61" s="6"/>
      <c r="AV61" s="6"/>
      <c r="AW61" s="6"/>
      <c r="AX61" s="6"/>
      <c r="AY61" s="38"/>
      <c r="AZ61" s="6"/>
      <c r="BA61" s="6"/>
      <c r="BB61" s="6"/>
      <c r="BC61" s="6"/>
      <c r="BD61" s="38"/>
      <c r="BE61" s="6"/>
      <c r="BF61" s="635"/>
      <c r="BG61" s="6"/>
      <c r="BH61" s="6"/>
      <c r="BI61" s="38"/>
      <c r="BJ61" s="6"/>
      <c r="BK61" s="630"/>
      <c r="BL61" s="6"/>
      <c r="BM61" s="6"/>
      <c r="BN61" s="38"/>
      <c r="BO61" s="6"/>
      <c r="BP61" s="630"/>
      <c r="BQ61" s="6"/>
      <c r="BR61" s="6"/>
      <c r="BS61" s="38"/>
      <c r="BT61" s="6"/>
    </row>
    <row r="62" spans="1:16357" ht="28.5" customHeight="1">
      <c r="U62" s="6"/>
      <c r="V62" s="6"/>
      <c r="W62" s="6"/>
      <c r="X62" s="6"/>
      <c r="Y62" s="38"/>
      <c r="Z62" s="6"/>
      <c r="AA62" s="6"/>
      <c r="AB62" s="6"/>
      <c r="AC62" s="6"/>
      <c r="AD62" s="38"/>
      <c r="AE62" s="6"/>
      <c r="AF62" s="6"/>
      <c r="AG62" s="6"/>
      <c r="AH62" s="6"/>
      <c r="AI62" s="38"/>
      <c r="AJ62" s="6"/>
      <c r="AK62" s="89"/>
      <c r="AL62" s="5"/>
      <c r="AM62" s="6"/>
      <c r="AN62" s="6"/>
      <c r="AO62" s="38"/>
      <c r="AP62" s="6"/>
      <c r="AQ62" s="6"/>
      <c r="AR62" s="6"/>
      <c r="AS62" s="6"/>
      <c r="AT62" s="38"/>
      <c r="AU62" s="6"/>
      <c r="AV62" s="6"/>
      <c r="AW62" s="6"/>
      <c r="AX62" s="6"/>
      <c r="AY62" s="38"/>
      <c r="AZ62" s="6"/>
      <c r="BA62" s="6"/>
      <c r="BB62" s="6"/>
      <c r="BC62" s="6"/>
      <c r="BD62" s="38"/>
      <c r="BE62" s="6"/>
      <c r="BF62" s="635"/>
      <c r="BG62" s="6"/>
      <c r="BH62" s="6"/>
      <c r="BI62" s="38"/>
      <c r="BJ62" s="6"/>
      <c r="BK62" s="630"/>
      <c r="BL62" s="6"/>
      <c r="BM62" s="6"/>
      <c r="BN62" s="38"/>
      <c r="BO62" s="6"/>
      <c r="BP62" s="630"/>
      <c r="BQ62" s="6"/>
      <c r="BR62" s="6"/>
      <c r="BS62" s="38"/>
      <c r="BT62" s="6"/>
    </row>
    <row r="63" spans="1:16357" ht="28.5" customHeight="1">
      <c r="U63" s="6"/>
      <c r="V63" s="6"/>
      <c r="W63" s="6"/>
      <c r="X63" s="6"/>
      <c r="Y63" s="38"/>
      <c r="Z63" s="6"/>
      <c r="AA63" s="6"/>
      <c r="AB63" s="6"/>
      <c r="AC63" s="6"/>
      <c r="AD63" s="38"/>
      <c r="AE63" s="6"/>
      <c r="AF63" s="6"/>
      <c r="AG63" s="6"/>
      <c r="AH63" s="6"/>
      <c r="AI63" s="38"/>
      <c r="AJ63" s="6"/>
      <c r="AK63" s="89"/>
      <c r="AL63" s="5"/>
      <c r="AM63" s="6"/>
      <c r="AN63" s="6"/>
      <c r="AO63" s="38"/>
      <c r="AP63" s="6"/>
      <c r="AQ63" s="6"/>
      <c r="AR63" s="6"/>
      <c r="AS63" s="6"/>
      <c r="AT63" s="38"/>
      <c r="AU63" s="6"/>
      <c r="AV63" s="6"/>
      <c r="AW63" s="6"/>
      <c r="AX63" s="6"/>
      <c r="AY63" s="38"/>
      <c r="AZ63" s="6"/>
      <c r="BA63" s="6"/>
      <c r="BB63" s="6"/>
      <c r="BC63" s="6"/>
      <c r="BD63" s="38"/>
      <c r="BE63" s="6"/>
      <c r="BF63" s="635"/>
      <c r="BG63" s="6"/>
      <c r="BH63" s="6"/>
      <c r="BI63" s="38"/>
      <c r="BJ63" s="6"/>
      <c r="BK63" s="630"/>
      <c r="BL63" s="6"/>
      <c r="BM63" s="6"/>
      <c r="BN63" s="38"/>
      <c r="BO63" s="6"/>
      <c r="BP63" s="630"/>
      <c r="BQ63" s="6"/>
      <c r="BR63" s="6"/>
      <c r="BS63" s="38"/>
      <c r="BT63" s="6"/>
    </row>
    <row r="64" spans="1:16357" ht="28.5" customHeight="1">
      <c r="AL64" s="5"/>
    </row>
    <row r="65" spans="1:16357" ht="28.5" customHeight="1">
      <c r="AL65" s="5"/>
    </row>
    <row r="66" spans="1:16357" s="4" customFormat="1" ht="28.5" customHeight="1">
      <c r="A66" s="5"/>
      <c r="B66" s="5"/>
      <c r="I66" s="58"/>
      <c r="Y66" s="39"/>
      <c r="AD66" s="39"/>
      <c r="AI66" s="39"/>
      <c r="AK66" s="91"/>
      <c r="AL66" s="5"/>
      <c r="AO66" s="39"/>
      <c r="AT66" s="39"/>
      <c r="AY66" s="39"/>
      <c r="BD66" s="39"/>
      <c r="BF66" s="637"/>
      <c r="BI66" s="39"/>
      <c r="BK66" s="631"/>
      <c r="BN66" s="39"/>
      <c r="BP66" s="631"/>
      <c r="BS66" s="39"/>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c r="BHB66" s="5"/>
      <c r="BHC66" s="5"/>
      <c r="BHD66" s="5"/>
      <c r="BHE66" s="5"/>
      <c r="BHF66" s="5"/>
      <c r="BHG66" s="5"/>
      <c r="BHH66" s="5"/>
      <c r="BHI66" s="5"/>
      <c r="BHJ66" s="5"/>
      <c r="BHK66" s="5"/>
      <c r="BHL66" s="5"/>
      <c r="BHM66" s="5"/>
      <c r="BHN66" s="5"/>
      <c r="BHO66" s="5"/>
      <c r="BHP66" s="5"/>
      <c r="BHQ66" s="5"/>
      <c r="BHR66" s="5"/>
      <c r="BHS66" s="5"/>
      <c r="BHT66" s="5"/>
      <c r="BHU66" s="5"/>
      <c r="BHV66" s="5"/>
      <c r="BHW66" s="5"/>
      <c r="BHX66" s="5"/>
      <c r="BHY66" s="5"/>
      <c r="BHZ66" s="5"/>
      <c r="BIA66" s="5"/>
      <c r="BIB66" s="5"/>
      <c r="BIC66" s="5"/>
      <c r="BID66" s="5"/>
      <c r="BIE66" s="5"/>
      <c r="BIF66" s="5"/>
      <c r="BIG66" s="5"/>
      <c r="BIH66" s="5"/>
      <c r="BII66" s="5"/>
      <c r="BIJ66" s="5"/>
      <c r="BIK66" s="5"/>
      <c r="BIL66" s="5"/>
      <c r="BIM66" s="5"/>
      <c r="BIN66" s="5"/>
      <c r="BIO66" s="5"/>
      <c r="BIP66" s="5"/>
      <c r="BIQ66" s="5"/>
      <c r="BIR66" s="5"/>
      <c r="BIS66" s="5"/>
      <c r="BIT66" s="5"/>
      <c r="BIU66" s="5"/>
      <c r="BIV66" s="5"/>
      <c r="BIW66" s="5"/>
      <c r="BIX66" s="5"/>
      <c r="BIY66" s="5"/>
      <c r="BIZ66" s="5"/>
      <c r="BJA66" s="5"/>
      <c r="BJB66" s="5"/>
      <c r="BJC66" s="5"/>
      <c r="BJD66" s="5"/>
      <c r="BJE66" s="5"/>
      <c r="BJF66" s="5"/>
      <c r="BJG66" s="5"/>
      <c r="BJH66" s="5"/>
      <c r="BJI66" s="5"/>
      <c r="BJJ66" s="5"/>
      <c r="BJK66" s="5"/>
      <c r="BJL66" s="5"/>
      <c r="BJM66" s="5"/>
      <c r="BJN66" s="5"/>
      <c r="BJO66" s="5"/>
      <c r="BJP66" s="5"/>
      <c r="BJQ66" s="5"/>
      <c r="BJR66" s="5"/>
      <c r="BJS66" s="5"/>
      <c r="BJT66" s="5"/>
      <c r="BJU66" s="5"/>
      <c r="BJV66" s="5"/>
      <c r="BJW66" s="5"/>
      <c r="BJX66" s="5"/>
      <c r="BJY66" s="5"/>
      <c r="BJZ66" s="5"/>
      <c r="BKA66" s="5"/>
      <c r="BKB66" s="5"/>
      <c r="BKC66" s="5"/>
      <c r="BKD66" s="5"/>
      <c r="BKE66" s="5"/>
      <c r="BKF66" s="5"/>
      <c r="BKG66" s="5"/>
      <c r="BKH66" s="5"/>
      <c r="BKI66" s="5"/>
      <c r="BKJ66" s="5"/>
      <c r="BKK66" s="5"/>
      <c r="BKL66" s="5"/>
      <c r="BKM66" s="5"/>
      <c r="BKN66" s="5"/>
      <c r="BKO66" s="5"/>
      <c r="BKP66" s="5"/>
      <c r="BKQ66" s="5"/>
      <c r="BKR66" s="5"/>
      <c r="BKS66" s="5"/>
      <c r="BKT66" s="5"/>
      <c r="BKU66" s="5"/>
      <c r="BKV66" s="5"/>
      <c r="BKW66" s="5"/>
      <c r="BKX66" s="5"/>
      <c r="BKY66" s="5"/>
      <c r="BKZ66" s="5"/>
      <c r="BLA66" s="5"/>
      <c r="BLB66" s="5"/>
      <c r="BLC66" s="5"/>
      <c r="BLD66" s="5"/>
      <c r="BLE66" s="5"/>
      <c r="BLF66" s="5"/>
      <c r="BLG66" s="5"/>
      <c r="BLH66" s="5"/>
      <c r="BLI66" s="5"/>
      <c r="BLJ66" s="5"/>
      <c r="BLK66" s="5"/>
      <c r="BLL66" s="5"/>
      <c r="BLM66" s="5"/>
      <c r="BLN66" s="5"/>
      <c r="BLO66" s="5"/>
      <c r="BLP66" s="5"/>
      <c r="BLQ66" s="5"/>
      <c r="BLR66" s="5"/>
      <c r="BLS66" s="5"/>
      <c r="BLT66" s="5"/>
      <c r="BLU66" s="5"/>
      <c r="BLV66" s="5"/>
      <c r="BLW66" s="5"/>
      <c r="BLX66" s="5"/>
      <c r="BLY66" s="5"/>
      <c r="BLZ66" s="5"/>
      <c r="BMA66" s="5"/>
      <c r="BMB66" s="5"/>
      <c r="BMC66" s="5"/>
      <c r="BMD66" s="5"/>
      <c r="BME66" s="5"/>
      <c r="BMF66" s="5"/>
      <c r="BMG66" s="5"/>
      <c r="BMH66" s="5"/>
      <c r="BMI66" s="5"/>
      <c r="BMJ66" s="5"/>
      <c r="BMK66" s="5"/>
      <c r="BML66" s="5"/>
      <c r="BMM66" s="5"/>
      <c r="BMN66" s="5"/>
      <c r="BMO66" s="5"/>
      <c r="BMP66" s="5"/>
      <c r="BMQ66" s="5"/>
      <c r="BMR66" s="5"/>
      <c r="BMS66" s="5"/>
      <c r="BMT66" s="5"/>
      <c r="BMU66" s="5"/>
      <c r="BMV66" s="5"/>
      <c r="BMW66" s="5"/>
      <c r="BMX66" s="5"/>
      <c r="BMY66" s="5"/>
      <c r="BMZ66" s="5"/>
      <c r="BNA66" s="5"/>
      <c r="BNB66" s="5"/>
      <c r="BNC66" s="5"/>
      <c r="BND66" s="5"/>
      <c r="BNE66" s="5"/>
      <c r="BNF66" s="5"/>
      <c r="BNG66" s="5"/>
      <c r="BNH66" s="5"/>
      <c r="BNI66" s="5"/>
      <c r="BNJ66" s="5"/>
      <c r="BNK66" s="5"/>
      <c r="BNL66" s="5"/>
      <c r="BNM66" s="5"/>
      <c r="BNN66" s="5"/>
      <c r="BNO66" s="5"/>
      <c r="BNP66" s="5"/>
      <c r="BNQ66" s="5"/>
      <c r="BNR66" s="5"/>
      <c r="BNS66" s="5"/>
      <c r="BNT66" s="5"/>
      <c r="BNU66" s="5"/>
      <c r="BNV66" s="5"/>
      <c r="BNW66" s="5"/>
      <c r="BNX66" s="5"/>
      <c r="BNY66" s="5"/>
      <c r="BNZ66" s="5"/>
      <c r="BOA66" s="5"/>
      <c r="BOB66" s="5"/>
      <c r="BOC66" s="5"/>
      <c r="BOD66" s="5"/>
      <c r="BOE66" s="5"/>
      <c r="BOF66" s="5"/>
      <c r="BOG66" s="5"/>
      <c r="BOH66" s="5"/>
      <c r="BOI66" s="5"/>
      <c r="BOJ66" s="5"/>
      <c r="BOK66" s="5"/>
      <c r="BOL66" s="5"/>
      <c r="BOM66" s="5"/>
      <c r="BON66" s="5"/>
      <c r="BOO66" s="5"/>
      <c r="BOP66" s="5"/>
      <c r="BOQ66" s="5"/>
      <c r="BOR66" s="5"/>
      <c r="BOS66" s="5"/>
      <c r="BOT66" s="5"/>
      <c r="BOU66" s="5"/>
      <c r="BOV66" s="5"/>
      <c r="BOW66" s="5"/>
      <c r="BOX66" s="5"/>
      <c r="BOY66" s="5"/>
      <c r="BOZ66" s="5"/>
      <c r="BPA66" s="5"/>
      <c r="BPB66" s="5"/>
      <c r="BPC66" s="5"/>
      <c r="BPD66" s="5"/>
      <c r="BPE66" s="5"/>
      <c r="BPF66" s="5"/>
      <c r="BPG66" s="5"/>
      <c r="BPH66" s="5"/>
      <c r="BPI66" s="5"/>
      <c r="BPJ66" s="5"/>
      <c r="BPK66" s="5"/>
      <c r="BPL66" s="5"/>
      <c r="BPM66" s="5"/>
      <c r="BPN66" s="5"/>
      <c r="BPO66" s="5"/>
      <c r="BPP66" s="5"/>
      <c r="BPQ66" s="5"/>
      <c r="BPR66" s="5"/>
      <c r="BPS66" s="5"/>
      <c r="BPT66" s="5"/>
      <c r="BPU66" s="5"/>
      <c r="BPV66" s="5"/>
      <c r="BPW66" s="5"/>
      <c r="BPX66" s="5"/>
      <c r="BPY66" s="5"/>
      <c r="BPZ66" s="5"/>
      <c r="BQA66" s="5"/>
      <c r="BQB66" s="5"/>
      <c r="BQC66" s="5"/>
      <c r="BQD66" s="5"/>
      <c r="BQE66" s="5"/>
      <c r="BQF66" s="5"/>
      <c r="BQG66" s="5"/>
      <c r="BQH66" s="5"/>
      <c r="BQI66" s="5"/>
      <c r="BQJ66" s="5"/>
      <c r="BQK66" s="5"/>
      <c r="BQL66" s="5"/>
      <c r="BQM66" s="5"/>
      <c r="BQN66" s="5"/>
      <c r="BQO66" s="5"/>
      <c r="BQP66" s="5"/>
      <c r="BQQ66" s="5"/>
      <c r="BQR66" s="5"/>
      <c r="BQS66" s="5"/>
      <c r="BQT66" s="5"/>
      <c r="BQU66" s="5"/>
      <c r="BQV66" s="5"/>
      <c r="BQW66" s="5"/>
      <c r="BQX66" s="5"/>
      <c r="BQY66" s="5"/>
      <c r="BQZ66" s="5"/>
      <c r="BRA66" s="5"/>
      <c r="BRB66" s="5"/>
      <c r="BRC66" s="5"/>
      <c r="BRD66" s="5"/>
      <c r="BRE66" s="5"/>
      <c r="BRF66" s="5"/>
      <c r="BRG66" s="5"/>
      <c r="BRH66" s="5"/>
      <c r="BRI66" s="5"/>
      <c r="BRJ66" s="5"/>
      <c r="BRK66" s="5"/>
      <c r="BRL66" s="5"/>
      <c r="BRM66" s="5"/>
      <c r="BRN66" s="5"/>
      <c r="BRO66" s="5"/>
      <c r="BRP66" s="5"/>
      <c r="BRQ66" s="5"/>
      <c r="BRR66" s="5"/>
      <c r="BRS66" s="5"/>
      <c r="BRT66" s="5"/>
      <c r="BRU66" s="5"/>
      <c r="BRV66" s="5"/>
      <c r="BRW66" s="5"/>
      <c r="BRX66" s="5"/>
      <c r="BRY66" s="5"/>
      <c r="BRZ66" s="5"/>
      <c r="BSA66" s="5"/>
      <c r="BSB66" s="5"/>
      <c r="BSC66" s="5"/>
      <c r="BSD66" s="5"/>
      <c r="BSE66" s="5"/>
      <c r="BSF66" s="5"/>
      <c r="BSG66" s="5"/>
      <c r="BSH66" s="5"/>
      <c r="BSI66" s="5"/>
      <c r="BSJ66" s="5"/>
      <c r="BSK66" s="5"/>
      <c r="BSL66" s="5"/>
      <c r="BSM66" s="5"/>
      <c r="BSN66" s="5"/>
      <c r="BSO66" s="5"/>
      <c r="BSP66" s="5"/>
      <c r="BSQ66" s="5"/>
      <c r="BSR66" s="5"/>
      <c r="BSS66" s="5"/>
      <c r="BST66" s="5"/>
      <c r="BSU66" s="5"/>
      <c r="BSV66" s="5"/>
      <c r="BSW66" s="5"/>
      <c r="BSX66" s="5"/>
      <c r="BSY66" s="5"/>
      <c r="BSZ66" s="5"/>
      <c r="BTA66" s="5"/>
      <c r="BTB66" s="5"/>
      <c r="BTC66" s="5"/>
      <c r="BTD66" s="5"/>
      <c r="BTE66" s="5"/>
      <c r="BTF66" s="5"/>
      <c r="BTG66" s="5"/>
      <c r="BTH66" s="5"/>
      <c r="BTI66" s="5"/>
      <c r="BTJ66" s="5"/>
      <c r="BTK66" s="5"/>
      <c r="BTL66" s="5"/>
      <c r="BTM66" s="5"/>
      <c r="BTN66" s="5"/>
      <c r="BTO66" s="5"/>
      <c r="BTP66" s="5"/>
      <c r="BTQ66" s="5"/>
      <c r="BTR66" s="5"/>
      <c r="BTS66" s="5"/>
      <c r="BTT66" s="5"/>
      <c r="BTU66" s="5"/>
      <c r="BTV66" s="5"/>
      <c r="BTW66" s="5"/>
      <c r="BTX66" s="5"/>
      <c r="BTY66" s="5"/>
      <c r="BTZ66" s="5"/>
      <c r="BUA66" s="5"/>
      <c r="BUB66" s="5"/>
      <c r="BUC66" s="5"/>
      <c r="BUD66" s="5"/>
      <c r="BUE66" s="5"/>
      <c r="BUF66" s="5"/>
      <c r="BUG66" s="5"/>
      <c r="BUH66" s="5"/>
      <c r="BUI66" s="5"/>
      <c r="BUJ66" s="5"/>
      <c r="BUK66" s="5"/>
      <c r="BUL66" s="5"/>
      <c r="BUM66" s="5"/>
      <c r="BUN66" s="5"/>
      <c r="BUO66" s="5"/>
      <c r="BUP66" s="5"/>
      <c r="BUQ66" s="5"/>
      <c r="BUR66" s="5"/>
      <c r="BUS66" s="5"/>
      <c r="BUT66" s="5"/>
      <c r="BUU66" s="5"/>
      <c r="BUV66" s="5"/>
      <c r="BUW66" s="5"/>
      <c r="BUX66" s="5"/>
      <c r="BUY66" s="5"/>
      <c r="BUZ66" s="5"/>
      <c r="BVA66" s="5"/>
      <c r="BVB66" s="5"/>
      <c r="BVC66" s="5"/>
      <c r="BVD66" s="5"/>
      <c r="BVE66" s="5"/>
      <c r="BVF66" s="5"/>
      <c r="BVG66" s="5"/>
      <c r="BVH66" s="5"/>
      <c r="BVI66" s="5"/>
      <c r="BVJ66" s="5"/>
      <c r="BVK66" s="5"/>
      <c r="BVL66" s="5"/>
      <c r="BVM66" s="5"/>
      <c r="BVN66" s="5"/>
      <c r="BVO66" s="5"/>
      <c r="BVP66" s="5"/>
      <c r="BVQ66" s="5"/>
      <c r="BVR66" s="5"/>
      <c r="BVS66" s="5"/>
      <c r="BVT66" s="5"/>
      <c r="BVU66" s="5"/>
      <c r="BVV66" s="5"/>
      <c r="BVW66" s="5"/>
      <c r="BVX66" s="5"/>
      <c r="BVY66" s="5"/>
      <c r="BVZ66" s="5"/>
      <c r="BWA66" s="5"/>
      <c r="BWB66" s="5"/>
      <c r="BWC66" s="5"/>
      <c r="BWD66" s="5"/>
      <c r="BWE66" s="5"/>
      <c r="BWF66" s="5"/>
      <c r="BWG66" s="5"/>
      <c r="BWH66" s="5"/>
      <c r="BWI66" s="5"/>
      <c r="BWJ66" s="5"/>
      <c r="BWK66" s="5"/>
      <c r="BWL66" s="5"/>
      <c r="BWM66" s="5"/>
      <c r="BWN66" s="5"/>
      <c r="BWO66" s="5"/>
      <c r="BWP66" s="5"/>
      <c r="BWQ66" s="5"/>
      <c r="BWR66" s="5"/>
      <c r="BWS66" s="5"/>
      <c r="BWT66" s="5"/>
      <c r="BWU66" s="5"/>
      <c r="BWV66" s="5"/>
      <c r="BWW66" s="5"/>
      <c r="BWX66" s="5"/>
      <c r="BWY66" s="5"/>
      <c r="BWZ66" s="5"/>
      <c r="BXA66" s="5"/>
      <c r="BXB66" s="5"/>
      <c r="BXC66" s="5"/>
      <c r="BXD66" s="5"/>
      <c r="BXE66" s="5"/>
      <c r="BXF66" s="5"/>
      <c r="BXG66" s="5"/>
      <c r="BXH66" s="5"/>
      <c r="BXI66" s="5"/>
      <c r="BXJ66" s="5"/>
      <c r="BXK66" s="5"/>
      <c r="BXL66" s="5"/>
      <c r="BXM66" s="5"/>
      <c r="BXN66" s="5"/>
      <c r="BXO66" s="5"/>
      <c r="BXP66" s="5"/>
      <c r="BXQ66" s="5"/>
      <c r="BXR66" s="5"/>
      <c r="BXS66" s="5"/>
      <c r="BXT66" s="5"/>
      <c r="BXU66" s="5"/>
      <c r="BXV66" s="5"/>
      <c r="BXW66" s="5"/>
      <c r="BXX66" s="5"/>
      <c r="BXY66" s="5"/>
      <c r="BXZ66" s="5"/>
      <c r="BYA66" s="5"/>
      <c r="BYB66" s="5"/>
      <c r="BYC66" s="5"/>
      <c r="BYD66" s="5"/>
      <c r="BYE66" s="5"/>
      <c r="BYF66" s="5"/>
      <c r="BYG66" s="5"/>
      <c r="BYH66" s="5"/>
      <c r="BYI66" s="5"/>
      <c r="BYJ66" s="5"/>
      <c r="BYK66" s="5"/>
      <c r="BYL66" s="5"/>
      <c r="BYM66" s="5"/>
      <c r="BYN66" s="5"/>
      <c r="BYO66" s="5"/>
      <c r="BYP66" s="5"/>
      <c r="BYQ66" s="5"/>
      <c r="BYR66" s="5"/>
      <c r="BYS66" s="5"/>
      <c r="BYT66" s="5"/>
      <c r="BYU66" s="5"/>
      <c r="BYV66" s="5"/>
      <c r="BYW66" s="5"/>
      <c r="BYX66" s="5"/>
      <c r="BYY66" s="5"/>
      <c r="BYZ66" s="5"/>
      <c r="BZA66" s="5"/>
      <c r="BZB66" s="5"/>
      <c r="BZC66" s="5"/>
      <c r="BZD66" s="5"/>
      <c r="BZE66" s="5"/>
      <c r="BZF66" s="5"/>
      <c r="BZG66" s="5"/>
      <c r="BZH66" s="5"/>
      <c r="BZI66" s="5"/>
      <c r="BZJ66" s="5"/>
      <c r="BZK66" s="5"/>
      <c r="BZL66" s="5"/>
      <c r="BZM66" s="5"/>
      <c r="BZN66" s="5"/>
      <c r="BZO66" s="5"/>
      <c r="BZP66" s="5"/>
      <c r="BZQ66" s="5"/>
      <c r="BZR66" s="5"/>
      <c r="BZS66" s="5"/>
      <c r="BZT66" s="5"/>
      <c r="BZU66" s="5"/>
      <c r="BZV66" s="5"/>
      <c r="BZW66" s="5"/>
      <c r="BZX66" s="5"/>
      <c r="BZY66" s="5"/>
      <c r="BZZ66" s="5"/>
      <c r="CAA66" s="5"/>
      <c r="CAB66" s="5"/>
      <c r="CAC66" s="5"/>
      <c r="CAD66" s="5"/>
      <c r="CAE66" s="5"/>
      <c r="CAF66" s="5"/>
      <c r="CAG66" s="5"/>
      <c r="CAH66" s="5"/>
      <c r="CAI66" s="5"/>
      <c r="CAJ66" s="5"/>
      <c r="CAK66" s="5"/>
      <c r="CAL66" s="5"/>
      <c r="CAM66" s="5"/>
      <c r="CAN66" s="5"/>
      <c r="CAO66" s="5"/>
      <c r="CAP66" s="5"/>
      <c r="CAQ66" s="5"/>
      <c r="CAR66" s="5"/>
      <c r="CAS66" s="5"/>
      <c r="CAT66" s="5"/>
      <c r="CAU66" s="5"/>
      <c r="CAV66" s="5"/>
      <c r="CAW66" s="5"/>
      <c r="CAX66" s="5"/>
      <c r="CAY66" s="5"/>
      <c r="CAZ66" s="5"/>
      <c r="CBA66" s="5"/>
      <c r="CBB66" s="5"/>
      <c r="CBC66" s="5"/>
      <c r="CBD66" s="5"/>
      <c r="CBE66" s="5"/>
      <c r="CBF66" s="5"/>
      <c r="CBG66" s="5"/>
      <c r="CBH66" s="5"/>
      <c r="CBI66" s="5"/>
      <c r="CBJ66" s="5"/>
      <c r="CBK66" s="5"/>
      <c r="CBL66" s="5"/>
      <c r="CBM66" s="5"/>
      <c r="CBN66" s="5"/>
      <c r="CBO66" s="5"/>
      <c r="CBP66" s="5"/>
      <c r="CBQ66" s="5"/>
      <c r="CBR66" s="5"/>
      <c r="CBS66" s="5"/>
      <c r="CBT66" s="5"/>
      <c r="CBU66" s="5"/>
      <c r="CBV66" s="5"/>
      <c r="CBW66" s="5"/>
      <c r="CBX66" s="5"/>
      <c r="CBY66" s="5"/>
      <c r="CBZ66" s="5"/>
      <c r="CCA66" s="5"/>
      <c r="CCB66" s="5"/>
      <c r="CCC66" s="5"/>
      <c r="CCD66" s="5"/>
      <c r="CCE66" s="5"/>
      <c r="CCF66" s="5"/>
      <c r="CCG66" s="5"/>
      <c r="CCH66" s="5"/>
      <c r="CCI66" s="5"/>
      <c r="CCJ66" s="5"/>
      <c r="CCK66" s="5"/>
      <c r="CCL66" s="5"/>
      <c r="CCM66" s="5"/>
      <c r="CCN66" s="5"/>
      <c r="CCO66" s="5"/>
      <c r="CCP66" s="5"/>
      <c r="CCQ66" s="5"/>
      <c r="CCR66" s="5"/>
      <c r="CCS66" s="5"/>
      <c r="CCT66" s="5"/>
      <c r="CCU66" s="5"/>
      <c r="CCV66" s="5"/>
      <c r="CCW66" s="5"/>
      <c r="CCX66" s="5"/>
      <c r="CCY66" s="5"/>
      <c r="CCZ66" s="5"/>
      <c r="CDA66" s="5"/>
      <c r="CDB66" s="5"/>
      <c r="CDC66" s="5"/>
      <c r="CDD66" s="5"/>
      <c r="CDE66" s="5"/>
      <c r="CDF66" s="5"/>
      <c r="CDG66" s="5"/>
      <c r="CDH66" s="5"/>
      <c r="CDI66" s="5"/>
      <c r="CDJ66" s="5"/>
      <c r="CDK66" s="5"/>
      <c r="CDL66" s="5"/>
      <c r="CDM66" s="5"/>
      <c r="CDN66" s="5"/>
      <c r="CDO66" s="5"/>
      <c r="CDP66" s="5"/>
      <c r="CDQ66" s="5"/>
      <c r="CDR66" s="5"/>
      <c r="CDS66" s="5"/>
      <c r="CDT66" s="5"/>
      <c r="CDU66" s="5"/>
      <c r="CDV66" s="5"/>
      <c r="CDW66" s="5"/>
      <c r="CDX66" s="5"/>
      <c r="CDY66" s="5"/>
      <c r="CDZ66" s="5"/>
      <c r="CEA66" s="5"/>
      <c r="CEB66" s="5"/>
      <c r="CEC66" s="5"/>
      <c r="CED66" s="5"/>
      <c r="CEE66" s="5"/>
      <c r="CEF66" s="5"/>
      <c r="CEG66" s="5"/>
      <c r="CEH66" s="5"/>
      <c r="CEI66" s="5"/>
      <c r="CEJ66" s="5"/>
      <c r="CEK66" s="5"/>
      <c r="CEL66" s="5"/>
      <c r="CEM66" s="5"/>
      <c r="CEN66" s="5"/>
      <c r="CEO66" s="5"/>
      <c r="CEP66" s="5"/>
      <c r="CEQ66" s="5"/>
      <c r="CER66" s="5"/>
      <c r="CES66" s="5"/>
      <c r="CET66" s="5"/>
      <c r="CEU66" s="5"/>
      <c r="CEV66" s="5"/>
      <c r="CEW66" s="5"/>
      <c r="CEX66" s="5"/>
      <c r="CEY66" s="5"/>
      <c r="CEZ66" s="5"/>
      <c r="CFA66" s="5"/>
      <c r="CFB66" s="5"/>
      <c r="CFC66" s="5"/>
      <c r="CFD66" s="5"/>
      <c r="CFE66" s="5"/>
      <c r="CFF66" s="5"/>
      <c r="CFG66" s="5"/>
      <c r="CFH66" s="5"/>
      <c r="CFI66" s="5"/>
      <c r="CFJ66" s="5"/>
      <c r="CFK66" s="5"/>
      <c r="CFL66" s="5"/>
      <c r="CFM66" s="5"/>
      <c r="CFN66" s="5"/>
      <c r="CFO66" s="5"/>
      <c r="CFP66" s="5"/>
      <c r="CFQ66" s="5"/>
      <c r="CFR66" s="5"/>
      <c r="CFS66" s="5"/>
      <c r="CFT66" s="5"/>
      <c r="CFU66" s="5"/>
      <c r="CFV66" s="5"/>
      <c r="CFW66" s="5"/>
      <c r="CFX66" s="5"/>
      <c r="CFY66" s="5"/>
      <c r="CFZ66" s="5"/>
      <c r="CGA66" s="5"/>
      <c r="CGB66" s="5"/>
      <c r="CGC66" s="5"/>
      <c r="CGD66" s="5"/>
      <c r="CGE66" s="5"/>
      <c r="CGF66" s="5"/>
      <c r="CGG66" s="5"/>
      <c r="CGH66" s="5"/>
      <c r="CGI66" s="5"/>
      <c r="CGJ66" s="5"/>
      <c r="CGK66" s="5"/>
      <c r="CGL66" s="5"/>
      <c r="CGM66" s="5"/>
      <c r="CGN66" s="5"/>
      <c r="CGO66" s="5"/>
      <c r="CGP66" s="5"/>
      <c r="CGQ66" s="5"/>
      <c r="CGR66" s="5"/>
      <c r="CGS66" s="5"/>
      <c r="CGT66" s="5"/>
      <c r="CGU66" s="5"/>
      <c r="CGV66" s="5"/>
      <c r="CGW66" s="5"/>
      <c r="CGX66" s="5"/>
      <c r="CGY66" s="5"/>
      <c r="CGZ66" s="5"/>
      <c r="CHA66" s="5"/>
      <c r="CHB66" s="5"/>
      <c r="CHC66" s="5"/>
      <c r="CHD66" s="5"/>
      <c r="CHE66" s="5"/>
      <c r="CHF66" s="5"/>
      <c r="CHG66" s="5"/>
      <c r="CHH66" s="5"/>
      <c r="CHI66" s="5"/>
      <c r="CHJ66" s="5"/>
      <c r="CHK66" s="5"/>
      <c r="CHL66" s="5"/>
      <c r="CHM66" s="5"/>
      <c r="CHN66" s="5"/>
      <c r="CHO66" s="5"/>
      <c r="CHP66" s="5"/>
      <c r="CHQ66" s="5"/>
      <c r="CHR66" s="5"/>
      <c r="CHS66" s="5"/>
      <c r="CHT66" s="5"/>
      <c r="CHU66" s="5"/>
      <c r="CHV66" s="5"/>
      <c r="CHW66" s="5"/>
      <c r="CHX66" s="5"/>
      <c r="CHY66" s="5"/>
      <c r="CHZ66" s="5"/>
      <c r="CIA66" s="5"/>
      <c r="CIB66" s="5"/>
      <c r="CIC66" s="5"/>
      <c r="CID66" s="5"/>
      <c r="CIE66" s="5"/>
      <c r="CIF66" s="5"/>
      <c r="CIG66" s="5"/>
      <c r="CIH66" s="5"/>
      <c r="CII66" s="5"/>
      <c r="CIJ66" s="5"/>
      <c r="CIK66" s="5"/>
      <c r="CIL66" s="5"/>
      <c r="CIM66" s="5"/>
      <c r="CIN66" s="5"/>
      <c r="CIO66" s="5"/>
      <c r="CIP66" s="5"/>
      <c r="CIQ66" s="5"/>
      <c r="CIR66" s="5"/>
      <c r="CIS66" s="5"/>
      <c r="CIT66" s="5"/>
      <c r="CIU66" s="5"/>
      <c r="CIV66" s="5"/>
      <c r="CIW66" s="5"/>
      <c r="CIX66" s="5"/>
      <c r="CIY66" s="5"/>
      <c r="CIZ66" s="5"/>
      <c r="CJA66" s="5"/>
      <c r="CJB66" s="5"/>
      <c r="CJC66" s="5"/>
      <c r="CJD66" s="5"/>
      <c r="CJE66" s="5"/>
      <c r="CJF66" s="5"/>
      <c r="CJG66" s="5"/>
      <c r="CJH66" s="5"/>
      <c r="CJI66" s="5"/>
      <c r="CJJ66" s="5"/>
      <c r="CJK66" s="5"/>
      <c r="CJL66" s="5"/>
      <c r="CJM66" s="5"/>
      <c r="CJN66" s="5"/>
      <c r="CJO66" s="5"/>
      <c r="CJP66" s="5"/>
      <c r="CJQ66" s="5"/>
      <c r="CJR66" s="5"/>
      <c r="CJS66" s="5"/>
      <c r="CJT66" s="5"/>
      <c r="CJU66" s="5"/>
      <c r="CJV66" s="5"/>
      <c r="CJW66" s="5"/>
      <c r="CJX66" s="5"/>
      <c r="CJY66" s="5"/>
      <c r="CJZ66" s="5"/>
      <c r="CKA66" s="5"/>
      <c r="CKB66" s="5"/>
      <c r="CKC66" s="5"/>
      <c r="CKD66" s="5"/>
      <c r="CKE66" s="5"/>
      <c r="CKF66" s="5"/>
      <c r="CKG66" s="5"/>
      <c r="CKH66" s="5"/>
      <c r="CKI66" s="5"/>
      <c r="CKJ66" s="5"/>
      <c r="CKK66" s="5"/>
      <c r="CKL66" s="5"/>
      <c r="CKM66" s="5"/>
      <c r="CKN66" s="5"/>
      <c r="CKO66" s="5"/>
      <c r="CKP66" s="5"/>
      <c r="CKQ66" s="5"/>
      <c r="CKR66" s="5"/>
      <c r="CKS66" s="5"/>
      <c r="CKT66" s="5"/>
      <c r="CKU66" s="5"/>
      <c r="CKV66" s="5"/>
      <c r="CKW66" s="5"/>
      <c r="CKX66" s="5"/>
      <c r="CKY66" s="5"/>
      <c r="CKZ66" s="5"/>
      <c r="CLA66" s="5"/>
      <c r="CLB66" s="5"/>
      <c r="CLC66" s="5"/>
      <c r="CLD66" s="5"/>
      <c r="CLE66" s="5"/>
      <c r="CLF66" s="5"/>
      <c r="CLG66" s="5"/>
      <c r="CLH66" s="5"/>
      <c r="CLI66" s="5"/>
      <c r="CLJ66" s="5"/>
      <c r="CLK66" s="5"/>
      <c r="CLL66" s="5"/>
      <c r="CLM66" s="5"/>
      <c r="CLN66" s="5"/>
      <c r="CLO66" s="5"/>
      <c r="CLP66" s="5"/>
      <c r="CLQ66" s="5"/>
      <c r="CLR66" s="5"/>
      <c r="CLS66" s="5"/>
      <c r="CLT66" s="5"/>
      <c r="CLU66" s="5"/>
      <c r="CLV66" s="5"/>
      <c r="CLW66" s="5"/>
      <c r="CLX66" s="5"/>
      <c r="CLY66" s="5"/>
      <c r="CLZ66" s="5"/>
      <c r="CMA66" s="5"/>
      <c r="CMB66" s="5"/>
      <c r="CMC66" s="5"/>
      <c r="CMD66" s="5"/>
      <c r="CME66" s="5"/>
      <c r="CMF66" s="5"/>
      <c r="CMG66" s="5"/>
      <c r="CMH66" s="5"/>
      <c r="CMI66" s="5"/>
      <c r="CMJ66" s="5"/>
      <c r="CMK66" s="5"/>
      <c r="CML66" s="5"/>
      <c r="CMM66" s="5"/>
      <c r="CMN66" s="5"/>
      <c r="CMO66" s="5"/>
      <c r="CMP66" s="5"/>
      <c r="CMQ66" s="5"/>
      <c r="CMR66" s="5"/>
      <c r="CMS66" s="5"/>
      <c r="CMT66" s="5"/>
      <c r="CMU66" s="5"/>
      <c r="CMV66" s="5"/>
      <c r="CMW66" s="5"/>
      <c r="CMX66" s="5"/>
      <c r="CMY66" s="5"/>
      <c r="CMZ66" s="5"/>
      <c r="CNA66" s="5"/>
      <c r="CNB66" s="5"/>
      <c r="CNC66" s="5"/>
      <c r="CND66" s="5"/>
      <c r="CNE66" s="5"/>
      <c r="CNF66" s="5"/>
      <c r="CNG66" s="5"/>
      <c r="CNH66" s="5"/>
      <c r="CNI66" s="5"/>
      <c r="CNJ66" s="5"/>
      <c r="CNK66" s="5"/>
      <c r="CNL66" s="5"/>
      <c r="CNM66" s="5"/>
      <c r="CNN66" s="5"/>
      <c r="CNO66" s="5"/>
      <c r="CNP66" s="5"/>
      <c r="CNQ66" s="5"/>
      <c r="CNR66" s="5"/>
      <c r="CNS66" s="5"/>
      <c r="CNT66" s="5"/>
      <c r="CNU66" s="5"/>
      <c r="CNV66" s="5"/>
      <c r="CNW66" s="5"/>
      <c r="CNX66" s="5"/>
      <c r="CNY66" s="5"/>
      <c r="CNZ66" s="5"/>
      <c r="COA66" s="5"/>
      <c r="COB66" s="5"/>
      <c r="COC66" s="5"/>
      <c r="COD66" s="5"/>
      <c r="COE66" s="5"/>
      <c r="COF66" s="5"/>
      <c r="COG66" s="5"/>
      <c r="COH66" s="5"/>
      <c r="COI66" s="5"/>
      <c r="COJ66" s="5"/>
      <c r="COK66" s="5"/>
      <c r="COL66" s="5"/>
      <c r="COM66" s="5"/>
      <c r="CON66" s="5"/>
      <c r="COO66" s="5"/>
      <c r="COP66" s="5"/>
      <c r="COQ66" s="5"/>
      <c r="COR66" s="5"/>
      <c r="COS66" s="5"/>
      <c r="COT66" s="5"/>
      <c r="COU66" s="5"/>
      <c r="COV66" s="5"/>
      <c r="COW66" s="5"/>
      <c r="COX66" s="5"/>
      <c r="COY66" s="5"/>
      <c r="COZ66" s="5"/>
      <c r="CPA66" s="5"/>
      <c r="CPB66" s="5"/>
      <c r="CPC66" s="5"/>
      <c r="CPD66" s="5"/>
      <c r="CPE66" s="5"/>
      <c r="CPF66" s="5"/>
      <c r="CPG66" s="5"/>
      <c r="CPH66" s="5"/>
      <c r="CPI66" s="5"/>
      <c r="CPJ66" s="5"/>
      <c r="CPK66" s="5"/>
      <c r="CPL66" s="5"/>
      <c r="CPM66" s="5"/>
      <c r="CPN66" s="5"/>
      <c r="CPO66" s="5"/>
      <c r="CPP66" s="5"/>
      <c r="CPQ66" s="5"/>
      <c r="CPR66" s="5"/>
      <c r="CPS66" s="5"/>
      <c r="CPT66" s="5"/>
      <c r="CPU66" s="5"/>
      <c r="CPV66" s="5"/>
      <c r="CPW66" s="5"/>
      <c r="CPX66" s="5"/>
      <c r="CPY66" s="5"/>
      <c r="CPZ66" s="5"/>
      <c r="CQA66" s="5"/>
      <c r="CQB66" s="5"/>
      <c r="CQC66" s="5"/>
      <c r="CQD66" s="5"/>
      <c r="CQE66" s="5"/>
      <c r="CQF66" s="5"/>
      <c r="CQG66" s="5"/>
      <c r="CQH66" s="5"/>
      <c r="CQI66" s="5"/>
      <c r="CQJ66" s="5"/>
      <c r="CQK66" s="5"/>
      <c r="CQL66" s="5"/>
      <c r="CQM66" s="5"/>
      <c r="CQN66" s="5"/>
      <c r="CQO66" s="5"/>
      <c r="CQP66" s="5"/>
      <c r="CQQ66" s="5"/>
      <c r="CQR66" s="5"/>
      <c r="CQS66" s="5"/>
      <c r="CQT66" s="5"/>
      <c r="CQU66" s="5"/>
      <c r="CQV66" s="5"/>
      <c r="CQW66" s="5"/>
      <c r="CQX66" s="5"/>
      <c r="CQY66" s="5"/>
      <c r="CQZ66" s="5"/>
      <c r="CRA66" s="5"/>
      <c r="CRB66" s="5"/>
      <c r="CRC66" s="5"/>
      <c r="CRD66" s="5"/>
      <c r="CRE66" s="5"/>
      <c r="CRF66" s="5"/>
      <c r="CRG66" s="5"/>
      <c r="CRH66" s="5"/>
      <c r="CRI66" s="5"/>
      <c r="CRJ66" s="5"/>
      <c r="CRK66" s="5"/>
      <c r="CRL66" s="5"/>
      <c r="CRM66" s="5"/>
      <c r="CRN66" s="5"/>
      <c r="CRO66" s="5"/>
      <c r="CRP66" s="5"/>
      <c r="CRQ66" s="5"/>
      <c r="CRR66" s="5"/>
      <c r="CRS66" s="5"/>
      <c r="CRT66" s="5"/>
      <c r="CRU66" s="5"/>
      <c r="CRV66" s="5"/>
      <c r="CRW66" s="5"/>
      <c r="CRX66" s="5"/>
      <c r="CRY66" s="5"/>
      <c r="CRZ66" s="5"/>
      <c r="CSA66" s="5"/>
      <c r="CSB66" s="5"/>
      <c r="CSC66" s="5"/>
      <c r="CSD66" s="5"/>
      <c r="CSE66" s="5"/>
      <c r="CSF66" s="5"/>
      <c r="CSG66" s="5"/>
      <c r="CSH66" s="5"/>
      <c r="CSI66" s="5"/>
      <c r="CSJ66" s="5"/>
      <c r="CSK66" s="5"/>
      <c r="CSL66" s="5"/>
      <c r="CSM66" s="5"/>
      <c r="CSN66" s="5"/>
      <c r="CSO66" s="5"/>
      <c r="CSP66" s="5"/>
      <c r="CSQ66" s="5"/>
      <c r="CSR66" s="5"/>
      <c r="CSS66" s="5"/>
      <c r="CST66" s="5"/>
      <c r="CSU66" s="5"/>
      <c r="CSV66" s="5"/>
      <c r="CSW66" s="5"/>
      <c r="CSX66" s="5"/>
      <c r="CSY66" s="5"/>
      <c r="CSZ66" s="5"/>
      <c r="CTA66" s="5"/>
      <c r="CTB66" s="5"/>
      <c r="CTC66" s="5"/>
      <c r="CTD66" s="5"/>
      <c r="CTE66" s="5"/>
      <c r="CTF66" s="5"/>
      <c r="CTG66" s="5"/>
      <c r="CTH66" s="5"/>
      <c r="CTI66" s="5"/>
      <c r="CTJ66" s="5"/>
      <c r="CTK66" s="5"/>
      <c r="CTL66" s="5"/>
      <c r="CTM66" s="5"/>
      <c r="CTN66" s="5"/>
      <c r="CTO66" s="5"/>
      <c r="CTP66" s="5"/>
      <c r="CTQ66" s="5"/>
      <c r="CTR66" s="5"/>
      <c r="CTS66" s="5"/>
      <c r="CTT66" s="5"/>
      <c r="CTU66" s="5"/>
      <c r="CTV66" s="5"/>
      <c r="CTW66" s="5"/>
      <c r="CTX66" s="5"/>
      <c r="CTY66" s="5"/>
      <c r="CTZ66" s="5"/>
      <c r="CUA66" s="5"/>
      <c r="CUB66" s="5"/>
      <c r="CUC66" s="5"/>
      <c r="CUD66" s="5"/>
      <c r="CUE66" s="5"/>
      <c r="CUF66" s="5"/>
      <c r="CUG66" s="5"/>
      <c r="CUH66" s="5"/>
      <c r="CUI66" s="5"/>
      <c r="CUJ66" s="5"/>
      <c r="CUK66" s="5"/>
      <c r="CUL66" s="5"/>
      <c r="CUM66" s="5"/>
      <c r="CUN66" s="5"/>
      <c r="CUO66" s="5"/>
      <c r="CUP66" s="5"/>
      <c r="CUQ66" s="5"/>
      <c r="CUR66" s="5"/>
      <c r="CUS66" s="5"/>
      <c r="CUT66" s="5"/>
      <c r="CUU66" s="5"/>
      <c r="CUV66" s="5"/>
      <c r="CUW66" s="5"/>
      <c r="CUX66" s="5"/>
      <c r="CUY66" s="5"/>
      <c r="CUZ66" s="5"/>
      <c r="CVA66" s="5"/>
      <c r="CVB66" s="5"/>
      <c r="CVC66" s="5"/>
      <c r="CVD66" s="5"/>
      <c r="CVE66" s="5"/>
      <c r="CVF66" s="5"/>
      <c r="CVG66" s="5"/>
      <c r="CVH66" s="5"/>
      <c r="CVI66" s="5"/>
      <c r="CVJ66" s="5"/>
      <c r="CVK66" s="5"/>
      <c r="CVL66" s="5"/>
      <c r="CVM66" s="5"/>
      <c r="CVN66" s="5"/>
      <c r="CVO66" s="5"/>
      <c r="CVP66" s="5"/>
      <c r="CVQ66" s="5"/>
      <c r="CVR66" s="5"/>
      <c r="CVS66" s="5"/>
      <c r="CVT66" s="5"/>
      <c r="CVU66" s="5"/>
      <c r="CVV66" s="5"/>
      <c r="CVW66" s="5"/>
      <c r="CVX66" s="5"/>
      <c r="CVY66" s="5"/>
      <c r="CVZ66" s="5"/>
      <c r="CWA66" s="5"/>
      <c r="CWB66" s="5"/>
      <c r="CWC66" s="5"/>
      <c r="CWD66" s="5"/>
      <c r="CWE66" s="5"/>
      <c r="CWF66" s="5"/>
      <c r="CWG66" s="5"/>
      <c r="CWH66" s="5"/>
      <c r="CWI66" s="5"/>
      <c r="CWJ66" s="5"/>
      <c r="CWK66" s="5"/>
      <c r="CWL66" s="5"/>
      <c r="CWM66" s="5"/>
      <c r="CWN66" s="5"/>
      <c r="CWO66" s="5"/>
      <c r="CWP66" s="5"/>
      <c r="CWQ66" s="5"/>
      <c r="CWR66" s="5"/>
      <c r="CWS66" s="5"/>
      <c r="CWT66" s="5"/>
      <c r="CWU66" s="5"/>
      <c r="CWV66" s="5"/>
      <c r="CWW66" s="5"/>
      <c r="CWX66" s="5"/>
      <c r="CWY66" s="5"/>
      <c r="CWZ66" s="5"/>
      <c r="CXA66" s="5"/>
      <c r="CXB66" s="5"/>
      <c r="CXC66" s="5"/>
      <c r="CXD66" s="5"/>
      <c r="CXE66" s="5"/>
      <c r="CXF66" s="5"/>
      <c r="CXG66" s="5"/>
      <c r="CXH66" s="5"/>
      <c r="CXI66" s="5"/>
      <c r="CXJ66" s="5"/>
      <c r="CXK66" s="5"/>
      <c r="CXL66" s="5"/>
      <c r="CXM66" s="5"/>
      <c r="CXN66" s="5"/>
      <c r="CXO66" s="5"/>
      <c r="CXP66" s="5"/>
      <c r="CXQ66" s="5"/>
      <c r="CXR66" s="5"/>
      <c r="CXS66" s="5"/>
      <c r="CXT66" s="5"/>
      <c r="CXU66" s="5"/>
      <c r="CXV66" s="5"/>
      <c r="CXW66" s="5"/>
      <c r="CXX66" s="5"/>
      <c r="CXY66" s="5"/>
      <c r="CXZ66" s="5"/>
      <c r="CYA66" s="5"/>
      <c r="CYB66" s="5"/>
      <c r="CYC66" s="5"/>
      <c r="CYD66" s="5"/>
      <c r="CYE66" s="5"/>
      <c r="CYF66" s="5"/>
      <c r="CYG66" s="5"/>
      <c r="CYH66" s="5"/>
      <c r="CYI66" s="5"/>
      <c r="CYJ66" s="5"/>
      <c r="CYK66" s="5"/>
      <c r="CYL66" s="5"/>
      <c r="CYM66" s="5"/>
      <c r="CYN66" s="5"/>
      <c r="CYO66" s="5"/>
      <c r="CYP66" s="5"/>
      <c r="CYQ66" s="5"/>
      <c r="CYR66" s="5"/>
      <c r="CYS66" s="5"/>
      <c r="CYT66" s="5"/>
      <c r="CYU66" s="5"/>
      <c r="CYV66" s="5"/>
      <c r="CYW66" s="5"/>
      <c r="CYX66" s="5"/>
      <c r="CYY66" s="5"/>
      <c r="CYZ66" s="5"/>
      <c r="CZA66" s="5"/>
      <c r="CZB66" s="5"/>
      <c r="CZC66" s="5"/>
      <c r="CZD66" s="5"/>
      <c r="CZE66" s="5"/>
      <c r="CZF66" s="5"/>
      <c r="CZG66" s="5"/>
      <c r="CZH66" s="5"/>
      <c r="CZI66" s="5"/>
      <c r="CZJ66" s="5"/>
      <c r="CZK66" s="5"/>
      <c r="CZL66" s="5"/>
      <c r="CZM66" s="5"/>
      <c r="CZN66" s="5"/>
      <c r="CZO66" s="5"/>
      <c r="CZP66" s="5"/>
      <c r="CZQ66" s="5"/>
      <c r="CZR66" s="5"/>
      <c r="CZS66" s="5"/>
      <c r="CZT66" s="5"/>
      <c r="CZU66" s="5"/>
      <c r="CZV66" s="5"/>
      <c r="CZW66" s="5"/>
      <c r="CZX66" s="5"/>
      <c r="CZY66" s="5"/>
      <c r="CZZ66" s="5"/>
      <c r="DAA66" s="5"/>
      <c r="DAB66" s="5"/>
      <c r="DAC66" s="5"/>
      <c r="DAD66" s="5"/>
      <c r="DAE66" s="5"/>
      <c r="DAF66" s="5"/>
      <c r="DAG66" s="5"/>
      <c r="DAH66" s="5"/>
      <c r="DAI66" s="5"/>
      <c r="DAJ66" s="5"/>
      <c r="DAK66" s="5"/>
      <c r="DAL66" s="5"/>
      <c r="DAM66" s="5"/>
      <c r="DAN66" s="5"/>
      <c r="DAO66" s="5"/>
      <c r="DAP66" s="5"/>
      <c r="DAQ66" s="5"/>
      <c r="DAR66" s="5"/>
      <c r="DAS66" s="5"/>
      <c r="DAT66" s="5"/>
      <c r="DAU66" s="5"/>
      <c r="DAV66" s="5"/>
      <c r="DAW66" s="5"/>
      <c r="DAX66" s="5"/>
      <c r="DAY66" s="5"/>
      <c r="DAZ66" s="5"/>
      <c r="DBA66" s="5"/>
      <c r="DBB66" s="5"/>
      <c r="DBC66" s="5"/>
      <c r="DBD66" s="5"/>
      <c r="DBE66" s="5"/>
      <c r="DBF66" s="5"/>
      <c r="DBG66" s="5"/>
      <c r="DBH66" s="5"/>
      <c r="DBI66" s="5"/>
      <c r="DBJ66" s="5"/>
      <c r="DBK66" s="5"/>
      <c r="DBL66" s="5"/>
      <c r="DBM66" s="5"/>
      <c r="DBN66" s="5"/>
      <c r="DBO66" s="5"/>
      <c r="DBP66" s="5"/>
      <c r="DBQ66" s="5"/>
      <c r="DBR66" s="5"/>
      <c r="DBS66" s="5"/>
      <c r="DBT66" s="5"/>
      <c r="DBU66" s="5"/>
      <c r="DBV66" s="5"/>
      <c r="DBW66" s="5"/>
      <c r="DBX66" s="5"/>
      <c r="DBY66" s="5"/>
      <c r="DBZ66" s="5"/>
      <c r="DCA66" s="5"/>
      <c r="DCB66" s="5"/>
      <c r="DCC66" s="5"/>
      <c r="DCD66" s="5"/>
      <c r="DCE66" s="5"/>
      <c r="DCF66" s="5"/>
      <c r="DCG66" s="5"/>
      <c r="DCH66" s="5"/>
      <c r="DCI66" s="5"/>
      <c r="DCJ66" s="5"/>
      <c r="DCK66" s="5"/>
      <c r="DCL66" s="5"/>
      <c r="DCM66" s="5"/>
      <c r="DCN66" s="5"/>
      <c r="DCO66" s="5"/>
      <c r="DCP66" s="5"/>
      <c r="DCQ66" s="5"/>
      <c r="DCR66" s="5"/>
      <c r="DCS66" s="5"/>
      <c r="DCT66" s="5"/>
      <c r="DCU66" s="5"/>
      <c r="DCV66" s="5"/>
      <c r="DCW66" s="5"/>
      <c r="DCX66" s="5"/>
      <c r="DCY66" s="5"/>
      <c r="DCZ66" s="5"/>
      <c r="DDA66" s="5"/>
      <c r="DDB66" s="5"/>
      <c r="DDC66" s="5"/>
      <c r="DDD66" s="5"/>
      <c r="DDE66" s="5"/>
      <c r="DDF66" s="5"/>
      <c r="DDG66" s="5"/>
      <c r="DDH66" s="5"/>
      <c r="DDI66" s="5"/>
      <c r="DDJ66" s="5"/>
      <c r="DDK66" s="5"/>
      <c r="DDL66" s="5"/>
      <c r="DDM66" s="5"/>
      <c r="DDN66" s="5"/>
      <c r="DDO66" s="5"/>
      <c r="DDP66" s="5"/>
      <c r="DDQ66" s="5"/>
      <c r="DDR66" s="5"/>
      <c r="DDS66" s="5"/>
      <c r="DDT66" s="5"/>
      <c r="DDU66" s="5"/>
      <c r="DDV66" s="5"/>
      <c r="DDW66" s="5"/>
      <c r="DDX66" s="5"/>
      <c r="DDY66" s="5"/>
      <c r="DDZ66" s="5"/>
      <c r="DEA66" s="5"/>
      <c r="DEB66" s="5"/>
      <c r="DEC66" s="5"/>
      <c r="DED66" s="5"/>
      <c r="DEE66" s="5"/>
      <c r="DEF66" s="5"/>
      <c r="DEG66" s="5"/>
      <c r="DEH66" s="5"/>
      <c r="DEI66" s="5"/>
      <c r="DEJ66" s="5"/>
      <c r="DEK66" s="5"/>
      <c r="DEL66" s="5"/>
      <c r="DEM66" s="5"/>
      <c r="DEN66" s="5"/>
      <c r="DEO66" s="5"/>
      <c r="DEP66" s="5"/>
      <c r="DEQ66" s="5"/>
      <c r="DER66" s="5"/>
      <c r="DES66" s="5"/>
      <c r="DET66" s="5"/>
      <c r="DEU66" s="5"/>
      <c r="DEV66" s="5"/>
      <c r="DEW66" s="5"/>
      <c r="DEX66" s="5"/>
      <c r="DEY66" s="5"/>
      <c r="DEZ66" s="5"/>
      <c r="DFA66" s="5"/>
      <c r="DFB66" s="5"/>
      <c r="DFC66" s="5"/>
      <c r="DFD66" s="5"/>
      <c r="DFE66" s="5"/>
      <c r="DFF66" s="5"/>
      <c r="DFG66" s="5"/>
      <c r="DFH66" s="5"/>
      <c r="DFI66" s="5"/>
      <c r="DFJ66" s="5"/>
      <c r="DFK66" s="5"/>
      <c r="DFL66" s="5"/>
      <c r="DFM66" s="5"/>
      <c r="DFN66" s="5"/>
      <c r="DFO66" s="5"/>
      <c r="DFP66" s="5"/>
      <c r="DFQ66" s="5"/>
      <c r="DFR66" s="5"/>
      <c r="DFS66" s="5"/>
      <c r="DFT66" s="5"/>
      <c r="DFU66" s="5"/>
      <c r="DFV66" s="5"/>
      <c r="DFW66" s="5"/>
      <c r="DFX66" s="5"/>
      <c r="DFY66" s="5"/>
      <c r="DFZ66" s="5"/>
      <c r="DGA66" s="5"/>
      <c r="DGB66" s="5"/>
      <c r="DGC66" s="5"/>
      <c r="DGD66" s="5"/>
      <c r="DGE66" s="5"/>
      <c r="DGF66" s="5"/>
      <c r="DGG66" s="5"/>
      <c r="DGH66" s="5"/>
      <c r="DGI66" s="5"/>
      <c r="DGJ66" s="5"/>
      <c r="DGK66" s="5"/>
      <c r="DGL66" s="5"/>
      <c r="DGM66" s="5"/>
      <c r="DGN66" s="5"/>
      <c r="DGO66" s="5"/>
      <c r="DGP66" s="5"/>
      <c r="DGQ66" s="5"/>
      <c r="DGR66" s="5"/>
      <c r="DGS66" s="5"/>
      <c r="DGT66" s="5"/>
      <c r="DGU66" s="5"/>
      <c r="DGV66" s="5"/>
      <c r="DGW66" s="5"/>
      <c r="DGX66" s="5"/>
      <c r="DGY66" s="5"/>
      <c r="DGZ66" s="5"/>
      <c r="DHA66" s="5"/>
      <c r="DHB66" s="5"/>
      <c r="DHC66" s="5"/>
      <c r="DHD66" s="5"/>
      <c r="DHE66" s="5"/>
      <c r="DHF66" s="5"/>
      <c r="DHG66" s="5"/>
      <c r="DHH66" s="5"/>
      <c r="DHI66" s="5"/>
      <c r="DHJ66" s="5"/>
      <c r="DHK66" s="5"/>
      <c r="DHL66" s="5"/>
      <c r="DHM66" s="5"/>
      <c r="DHN66" s="5"/>
      <c r="DHO66" s="5"/>
      <c r="DHP66" s="5"/>
      <c r="DHQ66" s="5"/>
      <c r="DHR66" s="5"/>
      <c r="DHS66" s="5"/>
      <c r="DHT66" s="5"/>
      <c r="DHU66" s="5"/>
      <c r="DHV66" s="5"/>
      <c r="DHW66" s="5"/>
      <c r="DHX66" s="5"/>
      <c r="DHY66" s="5"/>
      <c r="DHZ66" s="5"/>
      <c r="DIA66" s="5"/>
      <c r="DIB66" s="5"/>
      <c r="DIC66" s="5"/>
      <c r="DID66" s="5"/>
      <c r="DIE66" s="5"/>
      <c r="DIF66" s="5"/>
      <c r="DIG66" s="5"/>
      <c r="DIH66" s="5"/>
      <c r="DII66" s="5"/>
      <c r="DIJ66" s="5"/>
      <c r="DIK66" s="5"/>
      <c r="DIL66" s="5"/>
      <c r="DIM66" s="5"/>
      <c r="DIN66" s="5"/>
      <c r="DIO66" s="5"/>
      <c r="DIP66" s="5"/>
      <c r="DIQ66" s="5"/>
      <c r="DIR66" s="5"/>
      <c r="DIS66" s="5"/>
      <c r="DIT66" s="5"/>
      <c r="DIU66" s="5"/>
      <c r="DIV66" s="5"/>
      <c r="DIW66" s="5"/>
      <c r="DIX66" s="5"/>
      <c r="DIY66" s="5"/>
      <c r="DIZ66" s="5"/>
      <c r="DJA66" s="5"/>
      <c r="DJB66" s="5"/>
      <c r="DJC66" s="5"/>
      <c r="DJD66" s="5"/>
      <c r="DJE66" s="5"/>
      <c r="DJF66" s="5"/>
      <c r="DJG66" s="5"/>
      <c r="DJH66" s="5"/>
      <c r="DJI66" s="5"/>
      <c r="DJJ66" s="5"/>
      <c r="DJK66" s="5"/>
      <c r="DJL66" s="5"/>
      <c r="DJM66" s="5"/>
      <c r="DJN66" s="5"/>
      <c r="DJO66" s="5"/>
      <c r="DJP66" s="5"/>
      <c r="DJQ66" s="5"/>
      <c r="DJR66" s="5"/>
      <c r="DJS66" s="5"/>
      <c r="DJT66" s="5"/>
      <c r="DJU66" s="5"/>
      <c r="DJV66" s="5"/>
      <c r="DJW66" s="5"/>
      <c r="DJX66" s="5"/>
      <c r="DJY66" s="5"/>
      <c r="DJZ66" s="5"/>
      <c r="DKA66" s="5"/>
      <c r="DKB66" s="5"/>
      <c r="DKC66" s="5"/>
      <c r="DKD66" s="5"/>
      <c r="DKE66" s="5"/>
      <c r="DKF66" s="5"/>
      <c r="DKG66" s="5"/>
      <c r="DKH66" s="5"/>
      <c r="DKI66" s="5"/>
      <c r="DKJ66" s="5"/>
      <c r="DKK66" s="5"/>
      <c r="DKL66" s="5"/>
      <c r="DKM66" s="5"/>
      <c r="DKN66" s="5"/>
      <c r="DKO66" s="5"/>
      <c r="DKP66" s="5"/>
      <c r="DKQ66" s="5"/>
      <c r="DKR66" s="5"/>
      <c r="DKS66" s="5"/>
      <c r="DKT66" s="5"/>
      <c r="DKU66" s="5"/>
      <c r="DKV66" s="5"/>
      <c r="DKW66" s="5"/>
      <c r="DKX66" s="5"/>
      <c r="DKY66" s="5"/>
      <c r="DKZ66" s="5"/>
      <c r="DLA66" s="5"/>
      <c r="DLB66" s="5"/>
      <c r="DLC66" s="5"/>
      <c r="DLD66" s="5"/>
      <c r="DLE66" s="5"/>
      <c r="DLF66" s="5"/>
      <c r="DLG66" s="5"/>
      <c r="DLH66" s="5"/>
      <c r="DLI66" s="5"/>
      <c r="DLJ66" s="5"/>
      <c r="DLK66" s="5"/>
      <c r="DLL66" s="5"/>
      <c r="DLM66" s="5"/>
      <c r="DLN66" s="5"/>
      <c r="DLO66" s="5"/>
      <c r="DLP66" s="5"/>
      <c r="DLQ66" s="5"/>
      <c r="DLR66" s="5"/>
      <c r="DLS66" s="5"/>
      <c r="DLT66" s="5"/>
      <c r="DLU66" s="5"/>
      <c r="DLV66" s="5"/>
      <c r="DLW66" s="5"/>
      <c r="DLX66" s="5"/>
      <c r="DLY66" s="5"/>
      <c r="DLZ66" s="5"/>
      <c r="DMA66" s="5"/>
      <c r="DMB66" s="5"/>
      <c r="DMC66" s="5"/>
      <c r="DMD66" s="5"/>
      <c r="DME66" s="5"/>
      <c r="DMF66" s="5"/>
      <c r="DMG66" s="5"/>
      <c r="DMH66" s="5"/>
      <c r="DMI66" s="5"/>
      <c r="DMJ66" s="5"/>
      <c r="DMK66" s="5"/>
      <c r="DML66" s="5"/>
      <c r="DMM66" s="5"/>
      <c r="DMN66" s="5"/>
      <c r="DMO66" s="5"/>
      <c r="DMP66" s="5"/>
      <c r="DMQ66" s="5"/>
      <c r="DMR66" s="5"/>
      <c r="DMS66" s="5"/>
      <c r="DMT66" s="5"/>
      <c r="DMU66" s="5"/>
      <c r="DMV66" s="5"/>
      <c r="DMW66" s="5"/>
      <c r="DMX66" s="5"/>
      <c r="DMY66" s="5"/>
      <c r="DMZ66" s="5"/>
      <c r="DNA66" s="5"/>
      <c r="DNB66" s="5"/>
      <c r="DNC66" s="5"/>
      <c r="DND66" s="5"/>
      <c r="DNE66" s="5"/>
      <c r="DNF66" s="5"/>
      <c r="DNG66" s="5"/>
      <c r="DNH66" s="5"/>
      <c r="DNI66" s="5"/>
      <c r="DNJ66" s="5"/>
      <c r="DNK66" s="5"/>
      <c r="DNL66" s="5"/>
      <c r="DNM66" s="5"/>
      <c r="DNN66" s="5"/>
      <c r="DNO66" s="5"/>
      <c r="DNP66" s="5"/>
      <c r="DNQ66" s="5"/>
      <c r="DNR66" s="5"/>
      <c r="DNS66" s="5"/>
      <c r="DNT66" s="5"/>
      <c r="DNU66" s="5"/>
      <c r="DNV66" s="5"/>
      <c r="DNW66" s="5"/>
      <c r="DNX66" s="5"/>
      <c r="DNY66" s="5"/>
      <c r="DNZ66" s="5"/>
      <c r="DOA66" s="5"/>
      <c r="DOB66" s="5"/>
      <c r="DOC66" s="5"/>
      <c r="DOD66" s="5"/>
      <c r="DOE66" s="5"/>
      <c r="DOF66" s="5"/>
      <c r="DOG66" s="5"/>
      <c r="DOH66" s="5"/>
      <c r="DOI66" s="5"/>
      <c r="DOJ66" s="5"/>
      <c r="DOK66" s="5"/>
      <c r="DOL66" s="5"/>
      <c r="DOM66" s="5"/>
      <c r="DON66" s="5"/>
      <c r="DOO66" s="5"/>
      <c r="DOP66" s="5"/>
      <c r="DOQ66" s="5"/>
      <c r="DOR66" s="5"/>
      <c r="DOS66" s="5"/>
      <c r="DOT66" s="5"/>
      <c r="DOU66" s="5"/>
      <c r="DOV66" s="5"/>
      <c r="DOW66" s="5"/>
      <c r="DOX66" s="5"/>
      <c r="DOY66" s="5"/>
      <c r="DOZ66" s="5"/>
      <c r="DPA66" s="5"/>
      <c r="DPB66" s="5"/>
      <c r="DPC66" s="5"/>
      <c r="DPD66" s="5"/>
      <c r="DPE66" s="5"/>
      <c r="DPF66" s="5"/>
      <c r="DPG66" s="5"/>
      <c r="DPH66" s="5"/>
      <c r="DPI66" s="5"/>
      <c r="DPJ66" s="5"/>
      <c r="DPK66" s="5"/>
      <c r="DPL66" s="5"/>
      <c r="DPM66" s="5"/>
      <c r="DPN66" s="5"/>
      <c r="DPO66" s="5"/>
      <c r="DPP66" s="5"/>
      <c r="DPQ66" s="5"/>
      <c r="DPR66" s="5"/>
      <c r="DPS66" s="5"/>
      <c r="DPT66" s="5"/>
      <c r="DPU66" s="5"/>
      <c r="DPV66" s="5"/>
      <c r="DPW66" s="5"/>
      <c r="DPX66" s="5"/>
      <c r="DPY66" s="5"/>
      <c r="DPZ66" s="5"/>
      <c r="DQA66" s="5"/>
      <c r="DQB66" s="5"/>
      <c r="DQC66" s="5"/>
      <c r="DQD66" s="5"/>
      <c r="DQE66" s="5"/>
      <c r="DQF66" s="5"/>
      <c r="DQG66" s="5"/>
      <c r="DQH66" s="5"/>
      <c r="DQI66" s="5"/>
      <c r="DQJ66" s="5"/>
      <c r="DQK66" s="5"/>
      <c r="DQL66" s="5"/>
      <c r="DQM66" s="5"/>
      <c r="DQN66" s="5"/>
      <c r="DQO66" s="5"/>
      <c r="DQP66" s="5"/>
      <c r="DQQ66" s="5"/>
      <c r="DQR66" s="5"/>
      <c r="DQS66" s="5"/>
      <c r="DQT66" s="5"/>
      <c r="DQU66" s="5"/>
      <c r="DQV66" s="5"/>
      <c r="DQW66" s="5"/>
      <c r="DQX66" s="5"/>
      <c r="DQY66" s="5"/>
      <c r="DQZ66" s="5"/>
      <c r="DRA66" s="5"/>
      <c r="DRB66" s="5"/>
      <c r="DRC66" s="5"/>
      <c r="DRD66" s="5"/>
      <c r="DRE66" s="5"/>
      <c r="DRF66" s="5"/>
      <c r="DRG66" s="5"/>
      <c r="DRH66" s="5"/>
      <c r="DRI66" s="5"/>
      <c r="DRJ66" s="5"/>
      <c r="DRK66" s="5"/>
      <c r="DRL66" s="5"/>
      <c r="DRM66" s="5"/>
      <c r="DRN66" s="5"/>
      <c r="DRO66" s="5"/>
      <c r="DRP66" s="5"/>
      <c r="DRQ66" s="5"/>
      <c r="DRR66" s="5"/>
      <c r="DRS66" s="5"/>
      <c r="DRT66" s="5"/>
      <c r="DRU66" s="5"/>
      <c r="DRV66" s="5"/>
      <c r="DRW66" s="5"/>
      <c r="DRX66" s="5"/>
      <c r="DRY66" s="5"/>
      <c r="DRZ66" s="5"/>
      <c r="DSA66" s="5"/>
      <c r="DSB66" s="5"/>
      <c r="DSC66" s="5"/>
      <c r="DSD66" s="5"/>
      <c r="DSE66" s="5"/>
      <c r="DSF66" s="5"/>
      <c r="DSG66" s="5"/>
      <c r="DSH66" s="5"/>
      <c r="DSI66" s="5"/>
      <c r="DSJ66" s="5"/>
      <c r="DSK66" s="5"/>
      <c r="DSL66" s="5"/>
      <c r="DSM66" s="5"/>
      <c r="DSN66" s="5"/>
      <c r="DSO66" s="5"/>
      <c r="DSP66" s="5"/>
      <c r="DSQ66" s="5"/>
      <c r="DSR66" s="5"/>
      <c r="DSS66" s="5"/>
      <c r="DST66" s="5"/>
      <c r="DSU66" s="5"/>
      <c r="DSV66" s="5"/>
      <c r="DSW66" s="5"/>
      <c r="DSX66" s="5"/>
      <c r="DSY66" s="5"/>
      <c r="DSZ66" s="5"/>
      <c r="DTA66" s="5"/>
      <c r="DTB66" s="5"/>
      <c r="DTC66" s="5"/>
      <c r="DTD66" s="5"/>
      <c r="DTE66" s="5"/>
      <c r="DTF66" s="5"/>
      <c r="DTG66" s="5"/>
      <c r="DTH66" s="5"/>
      <c r="DTI66" s="5"/>
      <c r="DTJ66" s="5"/>
      <c r="DTK66" s="5"/>
      <c r="DTL66" s="5"/>
      <c r="DTM66" s="5"/>
      <c r="DTN66" s="5"/>
      <c r="DTO66" s="5"/>
      <c r="DTP66" s="5"/>
      <c r="DTQ66" s="5"/>
      <c r="DTR66" s="5"/>
      <c r="DTS66" s="5"/>
      <c r="DTT66" s="5"/>
      <c r="DTU66" s="5"/>
      <c r="DTV66" s="5"/>
      <c r="DTW66" s="5"/>
      <c r="DTX66" s="5"/>
      <c r="DTY66" s="5"/>
      <c r="DTZ66" s="5"/>
      <c r="DUA66" s="5"/>
      <c r="DUB66" s="5"/>
      <c r="DUC66" s="5"/>
      <c r="DUD66" s="5"/>
      <c r="DUE66" s="5"/>
      <c r="DUF66" s="5"/>
      <c r="DUG66" s="5"/>
      <c r="DUH66" s="5"/>
      <c r="DUI66" s="5"/>
      <c r="DUJ66" s="5"/>
      <c r="DUK66" s="5"/>
      <c r="DUL66" s="5"/>
      <c r="DUM66" s="5"/>
      <c r="DUN66" s="5"/>
      <c r="DUO66" s="5"/>
      <c r="DUP66" s="5"/>
      <c r="DUQ66" s="5"/>
      <c r="DUR66" s="5"/>
      <c r="DUS66" s="5"/>
      <c r="DUT66" s="5"/>
      <c r="DUU66" s="5"/>
      <c r="DUV66" s="5"/>
      <c r="DUW66" s="5"/>
      <c r="DUX66" s="5"/>
      <c r="DUY66" s="5"/>
      <c r="DUZ66" s="5"/>
      <c r="DVA66" s="5"/>
      <c r="DVB66" s="5"/>
      <c r="DVC66" s="5"/>
      <c r="DVD66" s="5"/>
      <c r="DVE66" s="5"/>
      <c r="DVF66" s="5"/>
      <c r="DVG66" s="5"/>
      <c r="DVH66" s="5"/>
      <c r="DVI66" s="5"/>
      <c r="DVJ66" s="5"/>
      <c r="DVK66" s="5"/>
      <c r="DVL66" s="5"/>
      <c r="DVM66" s="5"/>
      <c r="DVN66" s="5"/>
      <c r="DVO66" s="5"/>
      <c r="DVP66" s="5"/>
      <c r="DVQ66" s="5"/>
      <c r="DVR66" s="5"/>
      <c r="DVS66" s="5"/>
      <c r="DVT66" s="5"/>
      <c r="DVU66" s="5"/>
      <c r="DVV66" s="5"/>
      <c r="DVW66" s="5"/>
      <c r="DVX66" s="5"/>
      <c r="DVY66" s="5"/>
      <c r="DVZ66" s="5"/>
      <c r="DWA66" s="5"/>
      <c r="DWB66" s="5"/>
      <c r="DWC66" s="5"/>
      <c r="DWD66" s="5"/>
      <c r="DWE66" s="5"/>
      <c r="DWF66" s="5"/>
      <c r="DWG66" s="5"/>
      <c r="DWH66" s="5"/>
      <c r="DWI66" s="5"/>
      <c r="DWJ66" s="5"/>
      <c r="DWK66" s="5"/>
      <c r="DWL66" s="5"/>
      <c r="DWM66" s="5"/>
      <c r="DWN66" s="5"/>
      <c r="DWO66" s="5"/>
      <c r="DWP66" s="5"/>
      <c r="DWQ66" s="5"/>
      <c r="DWR66" s="5"/>
      <c r="DWS66" s="5"/>
      <c r="DWT66" s="5"/>
      <c r="DWU66" s="5"/>
      <c r="DWV66" s="5"/>
      <c r="DWW66" s="5"/>
      <c r="DWX66" s="5"/>
      <c r="DWY66" s="5"/>
      <c r="DWZ66" s="5"/>
      <c r="DXA66" s="5"/>
      <c r="DXB66" s="5"/>
      <c r="DXC66" s="5"/>
      <c r="DXD66" s="5"/>
      <c r="DXE66" s="5"/>
      <c r="DXF66" s="5"/>
      <c r="DXG66" s="5"/>
      <c r="DXH66" s="5"/>
      <c r="DXI66" s="5"/>
      <c r="DXJ66" s="5"/>
      <c r="DXK66" s="5"/>
      <c r="DXL66" s="5"/>
      <c r="DXM66" s="5"/>
      <c r="DXN66" s="5"/>
      <c r="DXO66" s="5"/>
      <c r="DXP66" s="5"/>
      <c r="DXQ66" s="5"/>
      <c r="DXR66" s="5"/>
      <c r="DXS66" s="5"/>
      <c r="DXT66" s="5"/>
      <c r="DXU66" s="5"/>
      <c r="DXV66" s="5"/>
      <c r="DXW66" s="5"/>
      <c r="DXX66" s="5"/>
      <c r="DXY66" s="5"/>
      <c r="DXZ66" s="5"/>
      <c r="DYA66" s="5"/>
      <c r="DYB66" s="5"/>
      <c r="DYC66" s="5"/>
      <c r="DYD66" s="5"/>
      <c r="DYE66" s="5"/>
      <c r="DYF66" s="5"/>
      <c r="DYG66" s="5"/>
      <c r="DYH66" s="5"/>
      <c r="DYI66" s="5"/>
      <c r="DYJ66" s="5"/>
      <c r="DYK66" s="5"/>
      <c r="DYL66" s="5"/>
      <c r="DYM66" s="5"/>
      <c r="DYN66" s="5"/>
      <c r="DYO66" s="5"/>
      <c r="DYP66" s="5"/>
      <c r="DYQ66" s="5"/>
      <c r="DYR66" s="5"/>
      <c r="DYS66" s="5"/>
      <c r="DYT66" s="5"/>
      <c r="DYU66" s="5"/>
      <c r="DYV66" s="5"/>
      <c r="DYW66" s="5"/>
      <c r="DYX66" s="5"/>
      <c r="DYY66" s="5"/>
      <c r="DYZ66" s="5"/>
      <c r="DZA66" s="5"/>
      <c r="DZB66" s="5"/>
      <c r="DZC66" s="5"/>
      <c r="DZD66" s="5"/>
      <c r="DZE66" s="5"/>
      <c r="DZF66" s="5"/>
      <c r="DZG66" s="5"/>
      <c r="DZH66" s="5"/>
      <c r="DZI66" s="5"/>
      <c r="DZJ66" s="5"/>
      <c r="DZK66" s="5"/>
      <c r="DZL66" s="5"/>
      <c r="DZM66" s="5"/>
      <c r="DZN66" s="5"/>
      <c r="DZO66" s="5"/>
      <c r="DZP66" s="5"/>
      <c r="DZQ66" s="5"/>
      <c r="DZR66" s="5"/>
      <c r="DZS66" s="5"/>
      <c r="DZT66" s="5"/>
      <c r="DZU66" s="5"/>
      <c r="DZV66" s="5"/>
      <c r="DZW66" s="5"/>
      <c r="DZX66" s="5"/>
      <c r="DZY66" s="5"/>
      <c r="DZZ66" s="5"/>
      <c r="EAA66" s="5"/>
      <c r="EAB66" s="5"/>
      <c r="EAC66" s="5"/>
      <c r="EAD66" s="5"/>
      <c r="EAE66" s="5"/>
      <c r="EAF66" s="5"/>
      <c r="EAG66" s="5"/>
      <c r="EAH66" s="5"/>
      <c r="EAI66" s="5"/>
      <c r="EAJ66" s="5"/>
      <c r="EAK66" s="5"/>
      <c r="EAL66" s="5"/>
      <c r="EAM66" s="5"/>
      <c r="EAN66" s="5"/>
      <c r="EAO66" s="5"/>
      <c r="EAP66" s="5"/>
      <c r="EAQ66" s="5"/>
      <c r="EAR66" s="5"/>
      <c r="EAS66" s="5"/>
      <c r="EAT66" s="5"/>
      <c r="EAU66" s="5"/>
      <c r="EAV66" s="5"/>
      <c r="EAW66" s="5"/>
      <c r="EAX66" s="5"/>
      <c r="EAY66" s="5"/>
      <c r="EAZ66" s="5"/>
      <c r="EBA66" s="5"/>
      <c r="EBB66" s="5"/>
      <c r="EBC66" s="5"/>
      <c r="EBD66" s="5"/>
      <c r="EBE66" s="5"/>
      <c r="EBF66" s="5"/>
      <c r="EBG66" s="5"/>
      <c r="EBH66" s="5"/>
      <c r="EBI66" s="5"/>
      <c r="EBJ66" s="5"/>
      <c r="EBK66" s="5"/>
      <c r="EBL66" s="5"/>
      <c r="EBM66" s="5"/>
      <c r="EBN66" s="5"/>
      <c r="EBO66" s="5"/>
      <c r="EBP66" s="5"/>
      <c r="EBQ66" s="5"/>
      <c r="EBR66" s="5"/>
      <c r="EBS66" s="5"/>
      <c r="EBT66" s="5"/>
      <c r="EBU66" s="5"/>
      <c r="EBV66" s="5"/>
      <c r="EBW66" s="5"/>
      <c r="EBX66" s="5"/>
      <c r="EBY66" s="5"/>
      <c r="EBZ66" s="5"/>
      <c r="ECA66" s="5"/>
      <c r="ECB66" s="5"/>
      <c r="ECC66" s="5"/>
      <c r="ECD66" s="5"/>
      <c r="ECE66" s="5"/>
      <c r="ECF66" s="5"/>
      <c r="ECG66" s="5"/>
      <c r="ECH66" s="5"/>
      <c r="ECI66" s="5"/>
      <c r="ECJ66" s="5"/>
      <c r="ECK66" s="5"/>
      <c r="ECL66" s="5"/>
      <c r="ECM66" s="5"/>
      <c r="ECN66" s="5"/>
      <c r="ECO66" s="5"/>
      <c r="ECP66" s="5"/>
      <c r="ECQ66" s="5"/>
      <c r="ECR66" s="5"/>
      <c r="ECS66" s="5"/>
      <c r="ECT66" s="5"/>
      <c r="ECU66" s="5"/>
      <c r="ECV66" s="5"/>
      <c r="ECW66" s="5"/>
      <c r="ECX66" s="5"/>
      <c r="ECY66" s="5"/>
      <c r="ECZ66" s="5"/>
      <c r="EDA66" s="5"/>
      <c r="EDB66" s="5"/>
      <c r="EDC66" s="5"/>
      <c r="EDD66" s="5"/>
      <c r="EDE66" s="5"/>
      <c r="EDF66" s="5"/>
      <c r="EDG66" s="5"/>
      <c r="EDH66" s="5"/>
      <c r="EDI66" s="5"/>
      <c r="EDJ66" s="5"/>
      <c r="EDK66" s="5"/>
      <c r="EDL66" s="5"/>
      <c r="EDM66" s="5"/>
      <c r="EDN66" s="5"/>
      <c r="EDO66" s="5"/>
      <c r="EDP66" s="5"/>
      <c r="EDQ66" s="5"/>
      <c r="EDR66" s="5"/>
      <c r="EDS66" s="5"/>
      <c r="EDT66" s="5"/>
      <c r="EDU66" s="5"/>
      <c r="EDV66" s="5"/>
      <c r="EDW66" s="5"/>
      <c r="EDX66" s="5"/>
      <c r="EDY66" s="5"/>
      <c r="EDZ66" s="5"/>
      <c r="EEA66" s="5"/>
      <c r="EEB66" s="5"/>
      <c r="EEC66" s="5"/>
      <c r="EED66" s="5"/>
      <c r="EEE66" s="5"/>
      <c r="EEF66" s="5"/>
      <c r="EEG66" s="5"/>
      <c r="EEH66" s="5"/>
      <c r="EEI66" s="5"/>
      <c r="EEJ66" s="5"/>
      <c r="EEK66" s="5"/>
      <c r="EEL66" s="5"/>
      <c r="EEM66" s="5"/>
      <c r="EEN66" s="5"/>
      <c r="EEO66" s="5"/>
      <c r="EEP66" s="5"/>
      <c r="EEQ66" s="5"/>
      <c r="EER66" s="5"/>
      <c r="EES66" s="5"/>
      <c r="EET66" s="5"/>
      <c r="EEU66" s="5"/>
      <c r="EEV66" s="5"/>
      <c r="EEW66" s="5"/>
      <c r="EEX66" s="5"/>
      <c r="EEY66" s="5"/>
      <c r="EEZ66" s="5"/>
      <c r="EFA66" s="5"/>
      <c r="EFB66" s="5"/>
      <c r="EFC66" s="5"/>
      <c r="EFD66" s="5"/>
      <c r="EFE66" s="5"/>
      <c r="EFF66" s="5"/>
      <c r="EFG66" s="5"/>
      <c r="EFH66" s="5"/>
      <c r="EFI66" s="5"/>
      <c r="EFJ66" s="5"/>
      <c r="EFK66" s="5"/>
      <c r="EFL66" s="5"/>
      <c r="EFM66" s="5"/>
      <c r="EFN66" s="5"/>
      <c r="EFO66" s="5"/>
      <c r="EFP66" s="5"/>
      <c r="EFQ66" s="5"/>
      <c r="EFR66" s="5"/>
      <c r="EFS66" s="5"/>
      <c r="EFT66" s="5"/>
      <c r="EFU66" s="5"/>
      <c r="EFV66" s="5"/>
      <c r="EFW66" s="5"/>
      <c r="EFX66" s="5"/>
      <c r="EFY66" s="5"/>
      <c r="EFZ66" s="5"/>
      <c r="EGA66" s="5"/>
      <c r="EGB66" s="5"/>
      <c r="EGC66" s="5"/>
      <c r="EGD66" s="5"/>
      <c r="EGE66" s="5"/>
      <c r="EGF66" s="5"/>
      <c r="EGG66" s="5"/>
      <c r="EGH66" s="5"/>
      <c r="EGI66" s="5"/>
      <c r="EGJ66" s="5"/>
      <c r="EGK66" s="5"/>
      <c r="EGL66" s="5"/>
      <c r="EGM66" s="5"/>
      <c r="EGN66" s="5"/>
      <c r="EGO66" s="5"/>
      <c r="EGP66" s="5"/>
      <c r="EGQ66" s="5"/>
      <c r="EGR66" s="5"/>
      <c r="EGS66" s="5"/>
      <c r="EGT66" s="5"/>
      <c r="EGU66" s="5"/>
      <c r="EGV66" s="5"/>
      <c r="EGW66" s="5"/>
      <c r="EGX66" s="5"/>
      <c r="EGY66" s="5"/>
      <c r="EGZ66" s="5"/>
      <c r="EHA66" s="5"/>
      <c r="EHB66" s="5"/>
      <c r="EHC66" s="5"/>
      <c r="EHD66" s="5"/>
      <c r="EHE66" s="5"/>
      <c r="EHF66" s="5"/>
      <c r="EHG66" s="5"/>
      <c r="EHH66" s="5"/>
      <c r="EHI66" s="5"/>
      <c r="EHJ66" s="5"/>
      <c r="EHK66" s="5"/>
      <c r="EHL66" s="5"/>
      <c r="EHM66" s="5"/>
      <c r="EHN66" s="5"/>
      <c r="EHO66" s="5"/>
      <c r="EHP66" s="5"/>
      <c r="EHQ66" s="5"/>
      <c r="EHR66" s="5"/>
      <c r="EHS66" s="5"/>
      <c r="EHT66" s="5"/>
      <c r="EHU66" s="5"/>
      <c r="EHV66" s="5"/>
      <c r="EHW66" s="5"/>
      <c r="EHX66" s="5"/>
      <c r="EHY66" s="5"/>
      <c r="EHZ66" s="5"/>
      <c r="EIA66" s="5"/>
      <c r="EIB66" s="5"/>
      <c r="EIC66" s="5"/>
      <c r="EID66" s="5"/>
      <c r="EIE66" s="5"/>
      <c r="EIF66" s="5"/>
      <c r="EIG66" s="5"/>
      <c r="EIH66" s="5"/>
      <c r="EII66" s="5"/>
      <c r="EIJ66" s="5"/>
      <c r="EIK66" s="5"/>
      <c r="EIL66" s="5"/>
      <c r="EIM66" s="5"/>
      <c r="EIN66" s="5"/>
      <c r="EIO66" s="5"/>
      <c r="EIP66" s="5"/>
      <c r="EIQ66" s="5"/>
      <c r="EIR66" s="5"/>
      <c r="EIS66" s="5"/>
      <c r="EIT66" s="5"/>
      <c r="EIU66" s="5"/>
      <c r="EIV66" s="5"/>
      <c r="EIW66" s="5"/>
      <c r="EIX66" s="5"/>
      <c r="EIY66" s="5"/>
      <c r="EIZ66" s="5"/>
      <c r="EJA66" s="5"/>
      <c r="EJB66" s="5"/>
      <c r="EJC66" s="5"/>
      <c r="EJD66" s="5"/>
      <c r="EJE66" s="5"/>
      <c r="EJF66" s="5"/>
      <c r="EJG66" s="5"/>
      <c r="EJH66" s="5"/>
      <c r="EJI66" s="5"/>
      <c r="EJJ66" s="5"/>
      <c r="EJK66" s="5"/>
      <c r="EJL66" s="5"/>
      <c r="EJM66" s="5"/>
      <c r="EJN66" s="5"/>
      <c r="EJO66" s="5"/>
      <c r="EJP66" s="5"/>
      <c r="EJQ66" s="5"/>
      <c r="EJR66" s="5"/>
      <c r="EJS66" s="5"/>
      <c r="EJT66" s="5"/>
      <c r="EJU66" s="5"/>
      <c r="EJV66" s="5"/>
      <c r="EJW66" s="5"/>
      <c r="EJX66" s="5"/>
      <c r="EJY66" s="5"/>
      <c r="EJZ66" s="5"/>
      <c r="EKA66" s="5"/>
      <c r="EKB66" s="5"/>
      <c r="EKC66" s="5"/>
      <c r="EKD66" s="5"/>
      <c r="EKE66" s="5"/>
      <c r="EKF66" s="5"/>
      <c r="EKG66" s="5"/>
      <c r="EKH66" s="5"/>
      <c r="EKI66" s="5"/>
      <c r="EKJ66" s="5"/>
      <c r="EKK66" s="5"/>
      <c r="EKL66" s="5"/>
      <c r="EKM66" s="5"/>
      <c r="EKN66" s="5"/>
      <c r="EKO66" s="5"/>
      <c r="EKP66" s="5"/>
      <c r="EKQ66" s="5"/>
      <c r="EKR66" s="5"/>
      <c r="EKS66" s="5"/>
      <c r="EKT66" s="5"/>
      <c r="EKU66" s="5"/>
      <c r="EKV66" s="5"/>
      <c r="EKW66" s="5"/>
      <c r="EKX66" s="5"/>
      <c r="EKY66" s="5"/>
      <c r="EKZ66" s="5"/>
      <c r="ELA66" s="5"/>
      <c r="ELB66" s="5"/>
      <c r="ELC66" s="5"/>
      <c r="ELD66" s="5"/>
      <c r="ELE66" s="5"/>
      <c r="ELF66" s="5"/>
      <c r="ELG66" s="5"/>
      <c r="ELH66" s="5"/>
      <c r="ELI66" s="5"/>
      <c r="ELJ66" s="5"/>
      <c r="ELK66" s="5"/>
      <c r="ELL66" s="5"/>
      <c r="ELM66" s="5"/>
      <c r="ELN66" s="5"/>
      <c r="ELO66" s="5"/>
      <c r="ELP66" s="5"/>
      <c r="ELQ66" s="5"/>
      <c r="ELR66" s="5"/>
      <c r="ELS66" s="5"/>
      <c r="ELT66" s="5"/>
      <c r="ELU66" s="5"/>
      <c r="ELV66" s="5"/>
      <c r="ELW66" s="5"/>
      <c r="ELX66" s="5"/>
      <c r="ELY66" s="5"/>
      <c r="ELZ66" s="5"/>
      <c r="EMA66" s="5"/>
      <c r="EMB66" s="5"/>
      <c r="EMC66" s="5"/>
      <c r="EMD66" s="5"/>
      <c r="EME66" s="5"/>
      <c r="EMF66" s="5"/>
      <c r="EMG66" s="5"/>
      <c r="EMH66" s="5"/>
      <c r="EMI66" s="5"/>
      <c r="EMJ66" s="5"/>
      <c r="EMK66" s="5"/>
      <c r="EML66" s="5"/>
      <c r="EMM66" s="5"/>
      <c r="EMN66" s="5"/>
      <c r="EMO66" s="5"/>
      <c r="EMP66" s="5"/>
      <c r="EMQ66" s="5"/>
      <c r="EMR66" s="5"/>
      <c r="EMS66" s="5"/>
      <c r="EMT66" s="5"/>
      <c r="EMU66" s="5"/>
      <c r="EMV66" s="5"/>
      <c r="EMW66" s="5"/>
      <c r="EMX66" s="5"/>
      <c r="EMY66" s="5"/>
      <c r="EMZ66" s="5"/>
      <c r="ENA66" s="5"/>
      <c r="ENB66" s="5"/>
      <c r="ENC66" s="5"/>
      <c r="END66" s="5"/>
      <c r="ENE66" s="5"/>
      <c r="ENF66" s="5"/>
      <c r="ENG66" s="5"/>
      <c r="ENH66" s="5"/>
      <c r="ENI66" s="5"/>
      <c r="ENJ66" s="5"/>
      <c r="ENK66" s="5"/>
      <c r="ENL66" s="5"/>
      <c r="ENM66" s="5"/>
      <c r="ENN66" s="5"/>
      <c r="ENO66" s="5"/>
      <c r="ENP66" s="5"/>
      <c r="ENQ66" s="5"/>
      <c r="ENR66" s="5"/>
      <c r="ENS66" s="5"/>
      <c r="ENT66" s="5"/>
      <c r="ENU66" s="5"/>
      <c r="ENV66" s="5"/>
      <c r="ENW66" s="5"/>
      <c r="ENX66" s="5"/>
      <c r="ENY66" s="5"/>
      <c r="ENZ66" s="5"/>
      <c r="EOA66" s="5"/>
      <c r="EOB66" s="5"/>
      <c r="EOC66" s="5"/>
      <c r="EOD66" s="5"/>
      <c r="EOE66" s="5"/>
      <c r="EOF66" s="5"/>
      <c r="EOG66" s="5"/>
      <c r="EOH66" s="5"/>
      <c r="EOI66" s="5"/>
      <c r="EOJ66" s="5"/>
      <c r="EOK66" s="5"/>
      <c r="EOL66" s="5"/>
      <c r="EOM66" s="5"/>
      <c r="EON66" s="5"/>
      <c r="EOO66" s="5"/>
      <c r="EOP66" s="5"/>
      <c r="EOQ66" s="5"/>
      <c r="EOR66" s="5"/>
      <c r="EOS66" s="5"/>
      <c r="EOT66" s="5"/>
      <c r="EOU66" s="5"/>
      <c r="EOV66" s="5"/>
      <c r="EOW66" s="5"/>
      <c r="EOX66" s="5"/>
      <c r="EOY66" s="5"/>
      <c r="EOZ66" s="5"/>
      <c r="EPA66" s="5"/>
      <c r="EPB66" s="5"/>
      <c r="EPC66" s="5"/>
      <c r="EPD66" s="5"/>
      <c r="EPE66" s="5"/>
      <c r="EPF66" s="5"/>
      <c r="EPG66" s="5"/>
      <c r="EPH66" s="5"/>
      <c r="EPI66" s="5"/>
      <c r="EPJ66" s="5"/>
      <c r="EPK66" s="5"/>
      <c r="EPL66" s="5"/>
      <c r="EPM66" s="5"/>
      <c r="EPN66" s="5"/>
      <c r="EPO66" s="5"/>
      <c r="EPP66" s="5"/>
      <c r="EPQ66" s="5"/>
      <c r="EPR66" s="5"/>
      <c r="EPS66" s="5"/>
      <c r="EPT66" s="5"/>
      <c r="EPU66" s="5"/>
      <c r="EPV66" s="5"/>
      <c r="EPW66" s="5"/>
      <c r="EPX66" s="5"/>
      <c r="EPY66" s="5"/>
      <c r="EPZ66" s="5"/>
      <c r="EQA66" s="5"/>
      <c r="EQB66" s="5"/>
      <c r="EQC66" s="5"/>
      <c r="EQD66" s="5"/>
      <c r="EQE66" s="5"/>
      <c r="EQF66" s="5"/>
      <c r="EQG66" s="5"/>
      <c r="EQH66" s="5"/>
      <c r="EQI66" s="5"/>
      <c r="EQJ66" s="5"/>
      <c r="EQK66" s="5"/>
      <c r="EQL66" s="5"/>
      <c r="EQM66" s="5"/>
      <c r="EQN66" s="5"/>
      <c r="EQO66" s="5"/>
      <c r="EQP66" s="5"/>
      <c r="EQQ66" s="5"/>
      <c r="EQR66" s="5"/>
      <c r="EQS66" s="5"/>
      <c r="EQT66" s="5"/>
      <c r="EQU66" s="5"/>
      <c r="EQV66" s="5"/>
      <c r="EQW66" s="5"/>
      <c r="EQX66" s="5"/>
      <c r="EQY66" s="5"/>
      <c r="EQZ66" s="5"/>
      <c r="ERA66" s="5"/>
      <c r="ERB66" s="5"/>
      <c r="ERC66" s="5"/>
      <c r="ERD66" s="5"/>
      <c r="ERE66" s="5"/>
      <c r="ERF66" s="5"/>
      <c r="ERG66" s="5"/>
      <c r="ERH66" s="5"/>
      <c r="ERI66" s="5"/>
      <c r="ERJ66" s="5"/>
      <c r="ERK66" s="5"/>
      <c r="ERL66" s="5"/>
      <c r="ERM66" s="5"/>
      <c r="ERN66" s="5"/>
      <c r="ERO66" s="5"/>
      <c r="ERP66" s="5"/>
      <c r="ERQ66" s="5"/>
      <c r="ERR66" s="5"/>
      <c r="ERS66" s="5"/>
      <c r="ERT66" s="5"/>
      <c r="ERU66" s="5"/>
      <c r="ERV66" s="5"/>
      <c r="ERW66" s="5"/>
      <c r="ERX66" s="5"/>
      <c r="ERY66" s="5"/>
      <c r="ERZ66" s="5"/>
      <c r="ESA66" s="5"/>
      <c r="ESB66" s="5"/>
      <c r="ESC66" s="5"/>
      <c r="ESD66" s="5"/>
      <c r="ESE66" s="5"/>
      <c r="ESF66" s="5"/>
      <c r="ESG66" s="5"/>
      <c r="ESH66" s="5"/>
      <c r="ESI66" s="5"/>
      <c r="ESJ66" s="5"/>
      <c r="ESK66" s="5"/>
      <c r="ESL66" s="5"/>
      <c r="ESM66" s="5"/>
      <c r="ESN66" s="5"/>
      <c r="ESO66" s="5"/>
      <c r="ESP66" s="5"/>
      <c r="ESQ66" s="5"/>
      <c r="ESR66" s="5"/>
      <c r="ESS66" s="5"/>
      <c r="EST66" s="5"/>
      <c r="ESU66" s="5"/>
      <c r="ESV66" s="5"/>
      <c r="ESW66" s="5"/>
      <c r="ESX66" s="5"/>
      <c r="ESY66" s="5"/>
      <c r="ESZ66" s="5"/>
      <c r="ETA66" s="5"/>
      <c r="ETB66" s="5"/>
      <c r="ETC66" s="5"/>
      <c r="ETD66" s="5"/>
      <c r="ETE66" s="5"/>
      <c r="ETF66" s="5"/>
      <c r="ETG66" s="5"/>
      <c r="ETH66" s="5"/>
      <c r="ETI66" s="5"/>
      <c r="ETJ66" s="5"/>
      <c r="ETK66" s="5"/>
      <c r="ETL66" s="5"/>
      <c r="ETM66" s="5"/>
      <c r="ETN66" s="5"/>
      <c r="ETO66" s="5"/>
      <c r="ETP66" s="5"/>
      <c r="ETQ66" s="5"/>
      <c r="ETR66" s="5"/>
      <c r="ETS66" s="5"/>
      <c r="ETT66" s="5"/>
      <c r="ETU66" s="5"/>
      <c r="ETV66" s="5"/>
      <c r="ETW66" s="5"/>
      <c r="ETX66" s="5"/>
      <c r="ETY66" s="5"/>
      <c r="ETZ66" s="5"/>
      <c r="EUA66" s="5"/>
      <c r="EUB66" s="5"/>
      <c r="EUC66" s="5"/>
      <c r="EUD66" s="5"/>
      <c r="EUE66" s="5"/>
      <c r="EUF66" s="5"/>
      <c r="EUG66" s="5"/>
      <c r="EUH66" s="5"/>
      <c r="EUI66" s="5"/>
      <c r="EUJ66" s="5"/>
      <c r="EUK66" s="5"/>
      <c r="EUL66" s="5"/>
      <c r="EUM66" s="5"/>
      <c r="EUN66" s="5"/>
      <c r="EUO66" s="5"/>
      <c r="EUP66" s="5"/>
      <c r="EUQ66" s="5"/>
      <c r="EUR66" s="5"/>
      <c r="EUS66" s="5"/>
      <c r="EUT66" s="5"/>
      <c r="EUU66" s="5"/>
      <c r="EUV66" s="5"/>
      <c r="EUW66" s="5"/>
      <c r="EUX66" s="5"/>
      <c r="EUY66" s="5"/>
      <c r="EUZ66" s="5"/>
      <c r="EVA66" s="5"/>
      <c r="EVB66" s="5"/>
      <c r="EVC66" s="5"/>
      <c r="EVD66" s="5"/>
      <c r="EVE66" s="5"/>
      <c r="EVF66" s="5"/>
      <c r="EVG66" s="5"/>
      <c r="EVH66" s="5"/>
      <c r="EVI66" s="5"/>
      <c r="EVJ66" s="5"/>
      <c r="EVK66" s="5"/>
      <c r="EVL66" s="5"/>
      <c r="EVM66" s="5"/>
      <c r="EVN66" s="5"/>
      <c r="EVO66" s="5"/>
      <c r="EVP66" s="5"/>
      <c r="EVQ66" s="5"/>
      <c r="EVR66" s="5"/>
      <c r="EVS66" s="5"/>
      <c r="EVT66" s="5"/>
      <c r="EVU66" s="5"/>
      <c r="EVV66" s="5"/>
      <c r="EVW66" s="5"/>
      <c r="EVX66" s="5"/>
      <c r="EVY66" s="5"/>
      <c r="EVZ66" s="5"/>
      <c r="EWA66" s="5"/>
      <c r="EWB66" s="5"/>
      <c r="EWC66" s="5"/>
      <c r="EWD66" s="5"/>
      <c r="EWE66" s="5"/>
      <c r="EWF66" s="5"/>
      <c r="EWG66" s="5"/>
      <c r="EWH66" s="5"/>
      <c r="EWI66" s="5"/>
      <c r="EWJ66" s="5"/>
      <c r="EWK66" s="5"/>
      <c r="EWL66" s="5"/>
      <c r="EWM66" s="5"/>
      <c r="EWN66" s="5"/>
      <c r="EWO66" s="5"/>
      <c r="EWP66" s="5"/>
      <c r="EWQ66" s="5"/>
      <c r="EWR66" s="5"/>
      <c r="EWS66" s="5"/>
      <c r="EWT66" s="5"/>
      <c r="EWU66" s="5"/>
      <c r="EWV66" s="5"/>
      <c r="EWW66" s="5"/>
      <c r="EWX66" s="5"/>
      <c r="EWY66" s="5"/>
      <c r="EWZ66" s="5"/>
      <c r="EXA66" s="5"/>
      <c r="EXB66" s="5"/>
      <c r="EXC66" s="5"/>
      <c r="EXD66" s="5"/>
      <c r="EXE66" s="5"/>
      <c r="EXF66" s="5"/>
      <c r="EXG66" s="5"/>
      <c r="EXH66" s="5"/>
      <c r="EXI66" s="5"/>
      <c r="EXJ66" s="5"/>
      <c r="EXK66" s="5"/>
      <c r="EXL66" s="5"/>
      <c r="EXM66" s="5"/>
      <c r="EXN66" s="5"/>
      <c r="EXO66" s="5"/>
      <c r="EXP66" s="5"/>
      <c r="EXQ66" s="5"/>
      <c r="EXR66" s="5"/>
      <c r="EXS66" s="5"/>
      <c r="EXT66" s="5"/>
      <c r="EXU66" s="5"/>
      <c r="EXV66" s="5"/>
      <c r="EXW66" s="5"/>
      <c r="EXX66" s="5"/>
      <c r="EXY66" s="5"/>
      <c r="EXZ66" s="5"/>
      <c r="EYA66" s="5"/>
      <c r="EYB66" s="5"/>
      <c r="EYC66" s="5"/>
      <c r="EYD66" s="5"/>
      <c r="EYE66" s="5"/>
      <c r="EYF66" s="5"/>
      <c r="EYG66" s="5"/>
      <c r="EYH66" s="5"/>
      <c r="EYI66" s="5"/>
      <c r="EYJ66" s="5"/>
      <c r="EYK66" s="5"/>
      <c r="EYL66" s="5"/>
      <c r="EYM66" s="5"/>
      <c r="EYN66" s="5"/>
      <c r="EYO66" s="5"/>
      <c r="EYP66" s="5"/>
      <c r="EYQ66" s="5"/>
      <c r="EYR66" s="5"/>
      <c r="EYS66" s="5"/>
      <c r="EYT66" s="5"/>
      <c r="EYU66" s="5"/>
      <c r="EYV66" s="5"/>
      <c r="EYW66" s="5"/>
      <c r="EYX66" s="5"/>
      <c r="EYY66" s="5"/>
      <c r="EYZ66" s="5"/>
      <c r="EZA66" s="5"/>
      <c r="EZB66" s="5"/>
      <c r="EZC66" s="5"/>
      <c r="EZD66" s="5"/>
      <c r="EZE66" s="5"/>
      <c r="EZF66" s="5"/>
      <c r="EZG66" s="5"/>
      <c r="EZH66" s="5"/>
      <c r="EZI66" s="5"/>
      <c r="EZJ66" s="5"/>
      <c r="EZK66" s="5"/>
      <c r="EZL66" s="5"/>
      <c r="EZM66" s="5"/>
      <c r="EZN66" s="5"/>
      <c r="EZO66" s="5"/>
      <c r="EZP66" s="5"/>
      <c r="EZQ66" s="5"/>
      <c r="EZR66" s="5"/>
      <c r="EZS66" s="5"/>
      <c r="EZT66" s="5"/>
      <c r="EZU66" s="5"/>
      <c r="EZV66" s="5"/>
      <c r="EZW66" s="5"/>
      <c r="EZX66" s="5"/>
      <c r="EZY66" s="5"/>
      <c r="EZZ66" s="5"/>
      <c r="FAA66" s="5"/>
      <c r="FAB66" s="5"/>
      <c r="FAC66" s="5"/>
      <c r="FAD66" s="5"/>
      <c r="FAE66" s="5"/>
      <c r="FAF66" s="5"/>
      <c r="FAG66" s="5"/>
      <c r="FAH66" s="5"/>
      <c r="FAI66" s="5"/>
      <c r="FAJ66" s="5"/>
      <c r="FAK66" s="5"/>
      <c r="FAL66" s="5"/>
      <c r="FAM66" s="5"/>
      <c r="FAN66" s="5"/>
      <c r="FAO66" s="5"/>
      <c r="FAP66" s="5"/>
      <c r="FAQ66" s="5"/>
      <c r="FAR66" s="5"/>
      <c r="FAS66" s="5"/>
      <c r="FAT66" s="5"/>
      <c r="FAU66" s="5"/>
      <c r="FAV66" s="5"/>
      <c r="FAW66" s="5"/>
      <c r="FAX66" s="5"/>
      <c r="FAY66" s="5"/>
      <c r="FAZ66" s="5"/>
      <c r="FBA66" s="5"/>
      <c r="FBB66" s="5"/>
      <c r="FBC66" s="5"/>
      <c r="FBD66" s="5"/>
      <c r="FBE66" s="5"/>
      <c r="FBF66" s="5"/>
      <c r="FBG66" s="5"/>
      <c r="FBH66" s="5"/>
      <c r="FBI66" s="5"/>
      <c r="FBJ66" s="5"/>
      <c r="FBK66" s="5"/>
      <c r="FBL66" s="5"/>
      <c r="FBM66" s="5"/>
      <c r="FBN66" s="5"/>
      <c r="FBO66" s="5"/>
      <c r="FBP66" s="5"/>
      <c r="FBQ66" s="5"/>
      <c r="FBR66" s="5"/>
      <c r="FBS66" s="5"/>
      <c r="FBT66" s="5"/>
      <c r="FBU66" s="5"/>
      <c r="FBV66" s="5"/>
      <c r="FBW66" s="5"/>
      <c r="FBX66" s="5"/>
      <c r="FBY66" s="5"/>
      <c r="FBZ66" s="5"/>
      <c r="FCA66" s="5"/>
      <c r="FCB66" s="5"/>
      <c r="FCC66" s="5"/>
      <c r="FCD66" s="5"/>
      <c r="FCE66" s="5"/>
      <c r="FCF66" s="5"/>
      <c r="FCG66" s="5"/>
      <c r="FCH66" s="5"/>
      <c r="FCI66" s="5"/>
      <c r="FCJ66" s="5"/>
      <c r="FCK66" s="5"/>
      <c r="FCL66" s="5"/>
      <c r="FCM66" s="5"/>
      <c r="FCN66" s="5"/>
      <c r="FCO66" s="5"/>
      <c r="FCP66" s="5"/>
      <c r="FCQ66" s="5"/>
      <c r="FCR66" s="5"/>
      <c r="FCS66" s="5"/>
      <c r="FCT66" s="5"/>
      <c r="FCU66" s="5"/>
      <c r="FCV66" s="5"/>
      <c r="FCW66" s="5"/>
      <c r="FCX66" s="5"/>
      <c r="FCY66" s="5"/>
      <c r="FCZ66" s="5"/>
      <c r="FDA66" s="5"/>
      <c r="FDB66" s="5"/>
      <c r="FDC66" s="5"/>
      <c r="FDD66" s="5"/>
      <c r="FDE66" s="5"/>
      <c r="FDF66" s="5"/>
      <c r="FDG66" s="5"/>
      <c r="FDH66" s="5"/>
      <c r="FDI66" s="5"/>
      <c r="FDJ66" s="5"/>
      <c r="FDK66" s="5"/>
      <c r="FDL66" s="5"/>
      <c r="FDM66" s="5"/>
      <c r="FDN66" s="5"/>
      <c r="FDO66" s="5"/>
      <c r="FDP66" s="5"/>
      <c r="FDQ66" s="5"/>
      <c r="FDR66" s="5"/>
      <c r="FDS66" s="5"/>
      <c r="FDT66" s="5"/>
      <c r="FDU66" s="5"/>
      <c r="FDV66" s="5"/>
      <c r="FDW66" s="5"/>
      <c r="FDX66" s="5"/>
      <c r="FDY66" s="5"/>
      <c r="FDZ66" s="5"/>
      <c r="FEA66" s="5"/>
      <c r="FEB66" s="5"/>
      <c r="FEC66" s="5"/>
      <c r="FED66" s="5"/>
      <c r="FEE66" s="5"/>
      <c r="FEF66" s="5"/>
      <c r="FEG66" s="5"/>
      <c r="FEH66" s="5"/>
      <c r="FEI66" s="5"/>
      <c r="FEJ66" s="5"/>
      <c r="FEK66" s="5"/>
      <c r="FEL66" s="5"/>
      <c r="FEM66" s="5"/>
      <c r="FEN66" s="5"/>
      <c r="FEO66" s="5"/>
      <c r="FEP66" s="5"/>
      <c r="FEQ66" s="5"/>
      <c r="FER66" s="5"/>
      <c r="FES66" s="5"/>
      <c r="FET66" s="5"/>
      <c r="FEU66" s="5"/>
      <c r="FEV66" s="5"/>
      <c r="FEW66" s="5"/>
      <c r="FEX66" s="5"/>
      <c r="FEY66" s="5"/>
      <c r="FEZ66" s="5"/>
      <c r="FFA66" s="5"/>
      <c r="FFB66" s="5"/>
      <c r="FFC66" s="5"/>
      <c r="FFD66" s="5"/>
      <c r="FFE66" s="5"/>
      <c r="FFF66" s="5"/>
      <c r="FFG66" s="5"/>
      <c r="FFH66" s="5"/>
      <c r="FFI66" s="5"/>
      <c r="FFJ66" s="5"/>
      <c r="FFK66" s="5"/>
      <c r="FFL66" s="5"/>
      <c r="FFM66" s="5"/>
      <c r="FFN66" s="5"/>
      <c r="FFO66" s="5"/>
      <c r="FFP66" s="5"/>
      <c r="FFQ66" s="5"/>
      <c r="FFR66" s="5"/>
      <c r="FFS66" s="5"/>
      <c r="FFT66" s="5"/>
      <c r="FFU66" s="5"/>
      <c r="FFV66" s="5"/>
      <c r="FFW66" s="5"/>
      <c r="FFX66" s="5"/>
      <c r="FFY66" s="5"/>
      <c r="FFZ66" s="5"/>
      <c r="FGA66" s="5"/>
      <c r="FGB66" s="5"/>
      <c r="FGC66" s="5"/>
      <c r="FGD66" s="5"/>
      <c r="FGE66" s="5"/>
      <c r="FGF66" s="5"/>
      <c r="FGG66" s="5"/>
      <c r="FGH66" s="5"/>
      <c r="FGI66" s="5"/>
      <c r="FGJ66" s="5"/>
      <c r="FGK66" s="5"/>
      <c r="FGL66" s="5"/>
      <c r="FGM66" s="5"/>
      <c r="FGN66" s="5"/>
      <c r="FGO66" s="5"/>
      <c r="FGP66" s="5"/>
      <c r="FGQ66" s="5"/>
      <c r="FGR66" s="5"/>
      <c r="FGS66" s="5"/>
      <c r="FGT66" s="5"/>
      <c r="FGU66" s="5"/>
      <c r="FGV66" s="5"/>
      <c r="FGW66" s="5"/>
      <c r="FGX66" s="5"/>
      <c r="FGY66" s="5"/>
      <c r="FGZ66" s="5"/>
      <c r="FHA66" s="5"/>
      <c r="FHB66" s="5"/>
      <c r="FHC66" s="5"/>
      <c r="FHD66" s="5"/>
      <c r="FHE66" s="5"/>
      <c r="FHF66" s="5"/>
      <c r="FHG66" s="5"/>
      <c r="FHH66" s="5"/>
      <c r="FHI66" s="5"/>
      <c r="FHJ66" s="5"/>
      <c r="FHK66" s="5"/>
      <c r="FHL66" s="5"/>
      <c r="FHM66" s="5"/>
      <c r="FHN66" s="5"/>
      <c r="FHO66" s="5"/>
      <c r="FHP66" s="5"/>
      <c r="FHQ66" s="5"/>
      <c r="FHR66" s="5"/>
      <c r="FHS66" s="5"/>
      <c r="FHT66" s="5"/>
      <c r="FHU66" s="5"/>
      <c r="FHV66" s="5"/>
      <c r="FHW66" s="5"/>
      <c r="FHX66" s="5"/>
      <c r="FHY66" s="5"/>
      <c r="FHZ66" s="5"/>
      <c r="FIA66" s="5"/>
      <c r="FIB66" s="5"/>
      <c r="FIC66" s="5"/>
      <c r="FID66" s="5"/>
      <c r="FIE66" s="5"/>
      <c r="FIF66" s="5"/>
      <c r="FIG66" s="5"/>
      <c r="FIH66" s="5"/>
      <c r="FII66" s="5"/>
      <c r="FIJ66" s="5"/>
      <c r="FIK66" s="5"/>
      <c r="FIL66" s="5"/>
      <c r="FIM66" s="5"/>
      <c r="FIN66" s="5"/>
      <c r="FIO66" s="5"/>
      <c r="FIP66" s="5"/>
      <c r="FIQ66" s="5"/>
      <c r="FIR66" s="5"/>
      <c r="FIS66" s="5"/>
      <c r="FIT66" s="5"/>
      <c r="FIU66" s="5"/>
      <c r="FIV66" s="5"/>
      <c r="FIW66" s="5"/>
      <c r="FIX66" s="5"/>
      <c r="FIY66" s="5"/>
      <c r="FIZ66" s="5"/>
      <c r="FJA66" s="5"/>
      <c r="FJB66" s="5"/>
      <c r="FJC66" s="5"/>
      <c r="FJD66" s="5"/>
      <c r="FJE66" s="5"/>
      <c r="FJF66" s="5"/>
      <c r="FJG66" s="5"/>
      <c r="FJH66" s="5"/>
      <c r="FJI66" s="5"/>
      <c r="FJJ66" s="5"/>
      <c r="FJK66" s="5"/>
      <c r="FJL66" s="5"/>
      <c r="FJM66" s="5"/>
      <c r="FJN66" s="5"/>
      <c r="FJO66" s="5"/>
      <c r="FJP66" s="5"/>
      <c r="FJQ66" s="5"/>
      <c r="FJR66" s="5"/>
      <c r="FJS66" s="5"/>
      <c r="FJT66" s="5"/>
      <c r="FJU66" s="5"/>
      <c r="FJV66" s="5"/>
      <c r="FJW66" s="5"/>
      <c r="FJX66" s="5"/>
      <c r="FJY66" s="5"/>
      <c r="FJZ66" s="5"/>
      <c r="FKA66" s="5"/>
      <c r="FKB66" s="5"/>
      <c r="FKC66" s="5"/>
      <c r="FKD66" s="5"/>
      <c r="FKE66" s="5"/>
      <c r="FKF66" s="5"/>
      <c r="FKG66" s="5"/>
      <c r="FKH66" s="5"/>
      <c r="FKI66" s="5"/>
      <c r="FKJ66" s="5"/>
      <c r="FKK66" s="5"/>
      <c r="FKL66" s="5"/>
      <c r="FKM66" s="5"/>
      <c r="FKN66" s="5"/>
      <c r="FKO66" s="5"/>
      <c r="FKP66" s="5"/>
      <c r="FKQ66" s="5"/>
      <c r="FKR66" s="5"/>
      <c r="FKS66" s="5"/>
      <c r="FKT66" s="5"/>
      <c r="FKU66" s="5"/>
      <c r="FKV66" s="5"/>
      <c r="FKW66" s="5"/>
      <c r="FKX66" s="5"/>
      <c r="FKY66" s="5"/>
      <c r="FKZ66" s="5"/>
      <c r="FLA66" s="5"/>
      <c r="FLB66" s="5"/>
      <c r="FLC66" s="5"/>
      <c r="FLD66" s="5"/>
      <c r="FLE66" s="5"/>
      <c r="FLF66" s="5"/>
      <c r="FLG66" s="5"/>
      <c r="FLH66" s="5"/>
      <c r="FLI66" s="5"/>
      <c r="FLJ66" s="5"/>
      <c r="FLK66" s="5"/>
      <c r="FLL66" s="5"/>
      <c r="FLM66" s="5"/>
      <c r="FLN66" s="5"/>
      <c r="FLO66" s="5"/>
      <c r="FLP66" s="5"/>
      <c r="FLQ66" s="5"/>
      <c r="FLR66" s="5"/>
      <c r="FLS66" s="5"/>
      <c r="FLT66" s="5"/>
      <c r="FLU66" s="5"/>
      <c r="FLV66" s="5"/>
      <c r="FLW66" s="5"/>
      <c r="FLX66" s="5"/>
      <c r="FLY66" s="5"/>
      <c r="FLZ66" s="5"/>
      <c r="FMA66" s="5"/>
      <c r="FMB66" s="5"/>
      <c r="FMC66" s="5"/>
      <c r="FMD66" s="5"/>
      <c r="FME66" s="5"/>
      <c r="FMF66" s="5"/>
      <c r="FMG66" s="5"/>
      <c r="FMH66" s="5"/>
      <c r="FMI66" s="5"/>
      <c r="FMJ66" s="5"/>
      <c r="FMK66" s="5"/>
      <c r="FML66" s="5"/>
      <c r="FMM66" s="5"/>
      <c r="FMN66" s="5"/>
      <c r="FMO66" s="5"/>
      <c r="FMP66" s="5"/>
      <c r="FMQ66" s="5"/>
      <c r="FMR66" s="5"/>
      <c r="FMS66" s="5"/>
      <c r="FMT66" s="5"/>
      <c r="FMU66" s="5"/>
      <c r="FMV66" s="5"/>
      <c r="FMW66" s="5"/>
      <c r="FMX66" s="5"/>
      <c r="FMY66" s="5"/>
      <c r="FMZ66" s="5"/>
      <c r="FNA66" s="5"/>
      <c r="FNB66" s="5"/>
      <c r="FNC66" s="5"/>
      <c r="FND66" s="5"/>
      <c r="FNE66" s="5"/>
      <c r="FNF66" s="5"/>
      <c r="FNG66" s="5"/>
      <c r="FNH66" s="5"/>
      <c r="FNI66" s="5"/>
      <c r="FNJ66" s="5"/>
      <c r="FNK66" s="5"/>
      <c r="FNL66" s="5"/>
      <c r="FNM66" s="5"/>
      <c r="FNN66" s="5"/>
      <c r="FNO66" s="5"/>
      <c r="FNP66" s="5"/>
      <c r="FNQ66" s="5"/>
      <c r="FNR66" s="5"/>
      <c r="FNS66" s="5"/>
      <c r="FNT66" s="5"/>
      <c r="FNU66" s="5"/>
      <c r="FNV66" s="5"/>
      <c r="FNW66" s="5"/>
      <c r="FNX66" s="5"/>
      <c r="FNY66" s="5"/>
      <c r="FNZ66" s="5"/>
      <c r="FOA66" s="5"/>
      <c r="FOB66" s="5"/>
      <c r="FOC66" s="5"/>
      <c r="FOD66" s="5"/>
      <c r="FOE66" s="5"/>
      <c r="FOF66" s="5"/>
      <c r="FOG66" s="5"/>
      <c r="FOH66" s="5"/>
      <c r="FOI66" s="5"/>
      <c r="FOJ66" s="5"/>
      <c r="FOK66" s="5"/>
      <c r="FOL66" s="5"/>
      <c r="FOM66" s="5"/>
      <c r="FON66" s="5"/>
      <c r="FOO66" s="5"/>
      <c r="FOP66" s="5"/>
      <c r="FOQ66" s="5"/>
      <c r="FOR66" s="5"/>
      <c r="FOS66" s="5"/>
      <c r="FOT66" s="5"/>
      <c r="FOU66" s="5"/>
      <c r="FOV66" s="5"/>
      <c r="FOW66" s="5"/>
      <c r="FOX66" s="5"/>
      <c r="FOY66" s="5"/>
      <c r="FOZ66" s="5"/>
      <c r="FPA66" s="5"/>
      <c r="FPB66" s="5"/>
      <c r="FPC66" s="5"/>
      <c r="FPD66" s="5"/>
      <c r="FPE66" s="5"/>
      <c r="FPF66" s="5"/>
      <c r="FPG66" s="5"/>
      <c r="FPH66" s="5"/>
      <c r="FPI66" s="5"/>
      <c r="FPJ66" s="5"/>
      <c r="FPK66" s="5"/>
      <c r="FPL66" s="5"/>
      <c r="FPM66" s="5"/>
      <c r="FPN66" s="5"/>
      <c r="FPO66" s="5"/>
      <c r="FPP66" s="5"/>
      <c r="FPQ66" s="5"/>
      <c r="FPR66" s="5"/>
      <c r="FPS66" s="5"/>
      <c r="FPT66" s="5"/>
      <c r="FPU66" s="5"/>
      <c r="FPV66" s="5"/>
      <c r="FPW66" s="5"/>
      <c r="FPX66" s="5"/>
      <c r="FPY66" s="5"/>
      <c r="FPZ66" s="5"/>
      <c r="FQA66" s="5"/>
      <c r="FQB66" s="5"/>
      <c r="FQC66" s="5"/>
      <c r="FQD66" s="5"/>
      <c r="FQE66" s="5"/>
      <c r="FQF66" s="5"/>
      <c r="FQG66" s="5"/>
      <c r="FQH66" s="5"/>
      <c r="FQI66" s="5"/>
      <c r="FQJ66" s="5"/>
      <c r="FQK66" s="5"/>
      <c r="FQL66" s="5"/>
      <c r="FQM66" s="5"/>
      <c r="FQN66" s="5"/>
      <c r="FQO66" s="5"/>
      <c r="FQP66" s="5"/>
      <c r="FQQ66" s="5"/>
      <c r="FQR66" s="5"/>
      <c r="FQS66" s="5"/>
      <c r="FQT66" s="5"/>
      <c r="FQU66" s="5"/>
      <c r="FQV66" s="5"/>
      <c r="FQW66" s="5"/>
      <c r="FQX66" s="5"/>
      <c r="FQY66" s="5"/>
      <c r="FQZ66" s="5"/>
      <c r="FRA66" s="5"/>
      <c r="FRB66" s="5"/>
      <c r="FRC66" s="5"/>
      <c r="FRD66" s="5"/>
      <c r="FRE66" s="5"/>
      <c r="FRF66" s="5"/>
      <c r="FRG66" s="5"/>
      <c r="FRH66" s="5"/>
      <c r="FRI66" s="5"/>
      <c r="FRJ66" s="5"/>
      <c r="FRK66" s="5"/>
      <c r="FRL66" s="5"/>
      <c r="FRM66" s="5"/>
      <c r="FRN66" s="5"/>
      <c r="FRO66" s="5"/>
      <c r="FRP66" s="5"/>
      <c r="FRQ66" s="5"/>
      <c r="FRR66" s="5"/>
      <c r="FRS66" s="5"/>
      <c r="FRT66" s="5"/>
      <c r="FRU66" s="5"/>
      <c r="FRV66" s="5"/>
      <c r="FRW66" s="5"/>
      <c r="FRX66" s="5"/>
      <c r="FRY66" s="5"/>
      <c r="FRZ66" s="5"/>
      <c r="FSA66" s="5"/>
      <c r="FSB66" s="5"/>
      <c r="FSC66" s="5"/>
      <c r="FSD66" s="5"/>
      <c r="FSE66" s="5"/>
      <c r="FSF66" s="5"/>
      <c r="FSG66" s="5"/>
      <c r="FSH66" s="5"/>
      <c r="FSI66" s="5"/>
      <c r="FSJ66" s="5"/>
      <c r="FSK66" s="5"/>
      <c r="FSL66" s="5"/>
      <c r="FSM66" s="5"/>
      <c r="FSN66" s="5"/>
      <c r="FSO66" s="5"/>
      <c r="FSP66" s="5"/>
      <c r="FSQ66" s="5"/>
      <c r="FSR66" s="5"/>
      <c r="FSS66" s="5"/>
      <c r="FST66" s="5"/>
      <c r="FSU66" s="5"/>
      <c r="FSV66" s="5"/>
      <c r="FSW66" s="5"/>
      <c r="FSX66" s="5"/>
      <c r="FSY66" s="5"/>
      <c r="FSZ66" s="5"/>
      <c r="FTA66" s="5"/>
      <c r="FTB66" s="5"/>
      <c r="FTC66" s="5"/>
      <c r="FTD66" s="5"/>
      <c r="FTE66" s="5"/>
      <c r="FTF66" s="5"/>
      <c r="FTG66" s="5"/>
      <c r="FTH66" s="5"/>
      <c r="FTI66" s="5"/>
      <c r="FTJ66" s="5"/>
      <c r="FTK66" s="5"/>
      <c r="FTL66" s="5"/>
      <c r="FTM66" s="5"/>
      <c r="FTN66" s="5"/>
      <c r="FTO66" s="5"/>
      <c r="FTP66" s="5"/>
      <c r="FTQ66" s="5"/>
      <c r="FTR66" s="5"/>
      <c r="FTS66" s="5"/>
      <c r="FTT66" s="5"/>
      <c r="FTU66" s="5"/>
      <c r="FTV66" s="5"/>
      <c r="FTW66" s="5"/>
      <c r="FTX66" s="5"/>
      <c r="FTY66" s="5"/>
      <c r="FTZ66" s="5"/>
      <c r="FUA66" s="5"/>
      <c r="FUB66" s="5"/>
      <c r="FUC66" s="5"/>
      <c r="FUD66" s="5"/>
      <c r="FUE66" s="5"/>
      <c r="FUF66" s="5"/>
      <c r="FUG66" s="5"/>
      <c r="FUH66" s="5"/>
      <c r="FUI66" s="5"/>
      <c r="FUJ66" s="5"/>
      <c r="FUK66" s="5"/>
      <c r="FUL66" s="5"/>
      <c r="FUM66" s="5"/>
      <c r="FUN66" s="5"/>
      <c r="FUO66" s="5"/>
      <c r="FUP66" s="5"/>
      <c r="FUQ66" s="5"/>
      <c r="FUR66" s="5"/>
      <c r="FUS66" s="5"/>
      <c r="FUT66" s="5"/>
      <c r="FUU66" s="5"/>
      <c r="FUV66" s="5"/>
      <c r="FUW66" s="5"/>
      <c r="FUX66" s="5"/>
      <c r="FUY66" s="5"/>
      <c r="FUZ66" s="5"/>
      <c r="FVA66" s="5"/>
      <c r="FVB66" s="5"/>
      <c r="FVC66" s="5"/>
      <c r="FVD66" s="5"/>
      <c r="FVE66" s="5"/>
      <c r="FVF66" s="5"/>
      <c r="FVG66" s="5"/>
      <c r="FVH66" s="5"/>
      <c r="FVI66" s="5"/>
      <c r="FVJ66" s="5"/>
      <c r="FVK66" s="5"/>
      <c r="FVL66" s="5"/>
      <c r="FVM66" s="5"/>
      <c r="FVN66" s="5"/>
      <c r="FVO66" s="5"/>
      <c r="FVP66" s="5"/>
      <c r="FVQ66" s="5"/>
      <c r="FVR66" s="5"/>
      <c r="FVS66" s="5"/>
      <c r="FVT66" s="5"/>
      <c r="FVU66" s="5"/>
      <c r="FVV66" s="5"/>
      <c r="FVW66" s="5"/>
      <c r="FVX66" s="5"/>
      <c r="FVY66" s="5"/>
      <c r="FVZ66" s="5"/>
      <c r="FWA66" s="5"/>
      <c r="FWB66" s="5"/>
      <c r="FWC66" s="5"/>
      <c r="FWD66" s="5"/>
      <c r="FWE66" s="5"/>
      <c r="FWF66" s="5"/>
      <c r="FWG66" s="5"/>
      <c r="FWH66" s="5"/>
      <c r="FWI66" s="5"/>
      <c r="FWJ66" s="5"/>
      <c r="FWK66" s="5"/>
      <c r="FWL66" s="5"/>
      <c r="FWM66" s="5"/>
      <c r="FWN66" s="5"/>
      <c r="FWO66" s="5"/>
      <c r="FWP66" s="5"/>
      <c r="FWQ66" s="5"/>
      <c r="FWR66" s="5"/>
      <c r="FWS66" s="5"/>
      <c r="FWT66" s="5"/>
      <c r="FWU66" s="5"/>
      <c r="FWV66" s="5"/>
      <c r="FWW66" s="5"/>
      <c r="FWX66" s="5"/>
      <c r="FWY66" s="5"/>
      <c r="FWZ66" s="5"/>
      <c r="FXA66" s="5"/>
      <c r="FXB66" s="5"/>
      <c r="FXC66" s="5"/>
      <c r="FXD66" s="5"/>
      <c r="FXE66" s="5"/>
      <c r="FXF66" s="5"/>
      <c r="FXG66" s="5"/>
      <c r="FXH66" s="5"/>
      <c r="FXI66" s="5"/>
      <c r="FXJ66" s="5"/>
      <c r="FXK66" s="5"/>
      <c r="FXL66" s="5"/>
      <c r="FXM66" s="5"/>
      <c r="FXN66" s="5"/>
      <c r="FXO66" s="5"/>
      <c r="FXP66" s="5"/>
      <c r="FXQ66" s="5"/>
      <c r="FXR66" s="5"/>
      <c r="FXS66" s="5"/>
      <c r="FXT66" s="5"/>
      <c r="FXU66" s="5"/>
      <c r="FXV66" s="5"/>
      <c r="FXW66" s="5"/>
      <c r="FXX66" s="5"/>
      <c r="FXY66" s="5"/>
      <c r="FXZ66" s="5"/>
      <c r="FYA66" s="5"/>
      <c r="FYB66" s="5"/>
      <c r="FYC66" s="5"/>
      <c r="FYD66" s="5"/>
      <c r="FYE66" s="5"/>
      <c r="FYF66" s="5"/>
      <c r="FYG66" s="5"/>
      <c r="FYH66" s="5"/>
      <c r="FYI66" s="5"/>
      <c r="FYJ66" s="5"/>
      <c r="FYK66" s="5"/>
      <c r="FYL66" s="5"/>
      <c r="FYM66" s="5"/>
      <c r="FYN66" s="5"/>
      <c r="FYO66" s="5"/>
      <c r="FYP66" s="5"/>
      <c r="FYQ66" s="5"/>
      <c r="FYR66" s="5"/>
      <c r="FYS66" s="5"/>
      <c r="FYT66" s="5"/>
      <c r="FYU66" s="5"/>
      <c r="FYV66" s="5"/>
      <c r="FYW66" s="5"/>
      <c r="FYX66" s="5"/>
      <c r="FYY66" s="5"/>
      <c r="FYZ66" s="5"/>
      <c r="FZA66" s="5"/>
      <c r="FZB66" s="5"/>
      <c r="FZC66" s="5"/>
      <c r="FZD66" s="5"/>
      <c r="FZE66" s="5"/>
      <c r="FZF66" s="5"/>
      <c r="FZG66" s="5"/>
      <c r="FZH66" s="5"/>
      <c r="FZI66" s="5"/>
      <c r="FZJ66" s="5"/>
      <c r="FZK66" s="5"/>
      <c r="FZL66" s="5"/>
      <c r="FZM66" s="5"/>
      <c r="FZN66" s="5"/>
      <c r="FZO66" s="5"/>
      <c r="FZP66" s="5"/>
      <c r="FZQ66" s="5"/>
      <c r="FZR66" s="5"/>
      <c r="FZS66" s="5"/>
      <c r="FZT66" s="5"/>
      <c r="FZU66" s="5"/>
      <c r="FZV66" s="5"/>
      <c r="FZW66" s="5"/>
      <c r="FZX66" s="5"/>
      <c r="FZY66" s="5"/>
      <c r="FZZ66" s="5"/>
      <c r="GAA66" s="5"/>
      <c r="GAB66" s="5"/>
      <c r="GAC66" s="5"/>
      <c r="GAD66" s="5"/>
      <c r="GAE66" s="5"/>
      <c r="GAF66" s="5"/>
      <c r="GAG66" s="5"/>
      <c r="GAH66" s="5"/>
      <c r="GAI66" s="5"/>
      <c r="GAJ66" s="5"/>
      <c r="GAK66" s="5"/>
      <c r="GAL66" s="5"/>
      <c r="GAM66" s="5"/>
      <c r="GAN66" s="5"/>
      <c r="GAO66" s="5"/>
      <c r="GAP66" s="5"/>
      <c r="GAQ66" s="5"/>
      <c r="GAR66" s="5"/>
      <c r="GAS66" s="5"/>
      <c r="GAT66" s="5"/>
      <c r="GAU66" s="5"/>
      <c r="GAV66" s="5"/>
      <c r="GAW66" s="5"/>
      <c r="GAX66" s="5"/>
      <c r="GAY66" s="5"/>
      <c r="GAZ66" s="5"/>
      <c r="GBA66" s="5"/>
      <c r="GBB66" s="5"/>
      <c r="GBC66" s="5"/>
      <c r="GBD66" s="5"/>
      <c r="GBE66" s="5"/>
      <c r="GBF66" s="5"/>
      <c r="GBG66" s="5"/>
      <c r="GBH66" s="5"/>
      <c r="GBI66" s="5"/>
      <c r="GBJ66" s="5"/>
      <c r="GBK66" s="5"/>
      <c r="GBL66" s="5"/>
      <c r="GBM66" s="5"/>
      <c r="GBN66" s="5"/>
      <c r="GBO66" s="5"/>
      <c r="GBP66" s="5"/>
      <c r="GBQ66" s="5"/>
      <c r="GBR66" s="5"/>
      <c r="GBS66" s="5"/>
      <c r="GBT66" s="5"/>
      <c r="GBU66" s="5"/>
      <c r="GBV66" s="5"/>
      <c r="GBW66" s="5"/>
      <c r="GBX66" s="5"/>
      <c r="GBY66" s="5"/>
      <c r="GBZ66" s="5"/>
      <c r="GCA66" s="5"/>
      <c r="GCB66" s="5"/>
      <c r="GCC66" s="5"/>
      <c r="GCD66" s="5"/>
      <c r="GCE66" s="5"/>
      <c r="GCF66" s="5"/>
      <c r="GCG66" s="5"/>
      <c r="GCH66" s="5"/>
      <c r="GCI66" s="5"/>
      <c r="GCJ66" s="5"/>
      <c r="GCK66" s="5"/>
      <c r="GCL66" s="5"/>
      <c r="GCM66" s="5"/>
      <c r="GCN66" s="5"/>
      <c r="GCO66" s="5"/>
      <c r="GCP66" s="5"/>
      <c r="GCQ66" s="5"/>
      <c r="GCR66" s="5"/>
      <c r="GCS66" s="5"/>
      <c r="GCT66" s="5"/>
      <c r="GCU66" s="5"/>
      <c r="GCV66" s="5"/>
      <c r="GCW66" s="5"/>
      <c r="GCX66" s="5"/>
      <c r="GCY66" s="5"/>
      <c r="GCZ66" s="5"/>
      <c r="GDA66" s="5"/>
      <c r="GDB66" s="5"/>
      <c r="GDC66" s="5"/>
      <c r="GDD66" s="5"/>
      <c r="GDE66" s="5"/>
      <c r="GDF66" s="5"/>
      <c r="GDG66" s="5"/>
      <c r="GDH66" s="5"/>
      <c r="GDI66" s="5"/>
      <c r="GDJ66" s="5"/>
      <c r="GDK66" s="5"/>
      <c r="GDL66" s="5"/>
      <c r="GDM66" s="5"/>
      <c r="GDN66" s="5"/>
      <c r="GDO66" s="5"/>
      <c r="GDP66" s="5"/>
      <c r="GDQ66" s="5"/>
      <c r="GDR66" s="5"/>
      <c r="GDS66" s="5"/>
      <c r="GDT66" s="5"/>
      <c r="GDU66" s="5"/>
      <c r="GDV66" s="5"/>
      <c r="GDW66" s="5"/>
      <c r="GDX66" s="5"/>
      <c r="GDY66" s="5"/>
      <c r="GDZ66" s="5"/>
      <c r="GEA66" s="5"/>
      <c r="GEB66" s="5"/>
      <c r="GEC66" s="5"/>
      <c r="GED66" s="5"/>
      <c r="GEE66" s="5"/>
      <c r="GEF66" s="5"/>
      <c r="GEG66" s="5"/>
      <c r="GEH66" s="5"/>
      <c r="GEI66" s="5"/>
      <c r="GEJ66" s="5"/>
      <c r="GEK66" s="5"/>
      <c r="GEL66" s="5"/>
      <c r="GEM66" s="5"/>
      <c r="GEN66" s="5"/>
      <c r="GEO66" s="5"/>
      <c r="GEP66" s="5"/>
      <c r="GEQ66" s="5"/>
      <c r="GER66" s="5"/>
      <c r="GES66" s="5"/>
      <c r="GET66" s="5"/>
      <c r="GEU66" s="5"/>
      <c r="GEV66" s="5"/>
      <c r="GEW66" s="5"/>
      <c r="GEX66" s="5"/>
      <c r="GEY66" s="5"/>
      <c r="GEZ66" s="5"/>
      <c r="GFA66" s="5"/>
      <c r="GFB66" s="5"/>
      <c r="GFC66" s="5"/>
      <c r="GFD66" s="5"/>
      <c r="GFE66" s="5"/>
      <c r="GFF66" s="5"/>
      <c r="GFG66" s="5"/>
      <c r="GFH66" s="5"/>
      <c r="GFI66" s="5"/>
      <c r="GFJ66" s="5"/>
      <c r="GFK66" s="5"/>
      <c r="GFL66" s="5"/>
      <c r="GFM66" s="5"/>
      <c r="GFN66" s="5"/>
      <c r="GFO66" s="5"/>
      <c r="GFP66" s="5"/>
      <c r="GFQ66" s="5"/>
      <c r="GFR66" s="5"/>
      <c r="GFS66" s="5"/>
      <c r="GFT66" s="5"/>
      <c r="GFU66" s="5"/>
      <c r="GFV66" s="5"/>
      <c r="GFW66" s="5"/>
      <c r="GFX66" s="5"/>
      <c r="GFY66" s="5"/>
      <c r="GFZ66" s="5"/>
      <c r="GGA66" s="5"/>
      <c r="GGB66" s="5"/>
      <c r="GGC66" s="5"/>
      <c r="GGD66" s="5"/>
      <c r="GGE66" s="5"/>
      <c r="GGF66" s="5"/>
      <c r="GGG66" s="5"/>
      <c r="GGH66" s="5"/>
      <c r="GGI66" s="5"/>
      <c r="GGJ66" s="5"/>
      <c r="GGK66" s="5"/>
      <c r="GGL66" s="5"/>
      <c r="GGM66" s="5"/>
      <c r="GGN66" s="5"/>
      <c r="GGO66" s="5"/>
      <c r="GGP66" s="5"/>
      <c r="GGQ66" s="5"/>
      <c r="GGR66" s="5"/>
      <c r="GGS66" s="5"/>
      <c r="GGT66" s="5"/>
      <c r="GGU66" s="5"/>
      <c r="GGV66" s="5"/>
      <c r="GGW66" s="5"/>
      <c r="GGX66" s="5"/>
      <c r="GGY66" s="5"/>
      <c r="GGZ66" s="5"/>
      <c r="GHA66" s="5"/>
      <c r="GHB66" s="5"/>
      <c r="GHC66" s="5"/>
      <c r="GHD66" s="5"/>
      <c r="GHE66" s="5"/>
      <c r="GHF66" s="5"/>
      <c r="GHG66" s="5"/>
      <c r="GHH66" s="5"/>
      <c r="GHI66" s="5"/>
      <c r="GHJ66" s="5"/>
      <c r="GHK66" s="5"/>
      <c r="GHL66" s="5"/>
      <c r="GHM66" s="5"/>
      <c r="GHN66" s="5"/>
      <c r="GHO66" s="5"/>
      <c r="GHP66" s="5"/>
      <c r="GHQ66" s="5"/>
      <c r="GHR66" s="5"/>
      <c r="GHS66" s="5"/>
      <c r="GHT66" s="5"/>
      <c r="GHU66" s="5"/>
      <c r="GHV66" s="5"/>
      <c r="GHW66" s="5"/>
      <c r="GHX66" s="5"/>
      <c r="GHY66" s="5"/>
      <c r="GHZ66" s="5"/>
      <c r="GIA66" s="5"/>
      <c r="GIB66" s="5"/>
      <c r="GIC66" s="5"/>
      <c r="GID66" s="5"/>
      <c r="GIE66" s="5"/>
      <c r="GIF66" s="5"/>
      <c r="GIG66" s="5"/>
      <c r="GIH66" s="5"/>
      <c r="GII66" s="5"/>
      <c r="GIJ66" s="5"/>
      <c r="GIK66" s="5"/>
      <c r="GIL66" s="5"/>
      <c r="GIM66" s="5"/>
      <c r="GIN66" s="5"/>
      <c r="GIO66" s="5"/>
      <c r="GIP66" s="5"/>
      <c r="GIQ66" s="5"/>
      <c r="GIR66" s="5"/>
      <c r="GIS66" s="5"/>
      <c r="GIT66" s="5"/>
      <c r="GIU66" s="5"/>
      <c r="GIV66" s="5"/>
      <c r="GIW66" s="5"/>
      <c r="GIX66" s="5"/>
      <c r="GIY66" s="5"/>
      <c r="GIZ66" s="5"/>
      <c r="GJA66" s="5"/>
      <c r="GJB66" s="5"/>
      <c r="GJC66" s="5"/>
      <c r="GJD66" s="5"/>
      <c r="GJE66" s="5"/>
      <c r="GJF66" s="5"/>
      <c r="GJG66" s="5"/>
      <c r="GJH66" s="5"/>
      <c r="GJI66" s="5"/>
      <c r="GJJ66" s="5"/>
      <c r="GJK66" s="5"/>
      <c r="GJL66" s="5"/>
      <c r="GJM66" s="5"/>
      <c r="GJN66" s="5"/>
      <c r="GJO66" s="5"/>
      <c r="GJP66" s="5"/>
      <c r="GJQ66" s="5"/>
      <c r="GJR66" s="5"/>
      <c r="GJS66" s="5"/>
      <c r="GJT66" s="5"/>
      <c r="GJU66" s="5"/>
      <c r="GJV66" s="5"/>
      <c r="GJW66" s="5"/>
      <c r="GJX66" s="5"/>
      <c r="GJY66" s="5"/>
      <c r="GJZ66" s="5"/>
      <c r="GKA66" s="5"/>
      <c r="GKB66" s="5"/>
      <c r="GKC66" s="5"/>
      <c r="GKD66" s="5"/>
      <c r="GKE66" s="5"/>
      <c r="GKF66" s="5"/>
      <c r="GKG66" s="5"/>
      <c r="GKH66" s="5"/>
      <c r="GKI66" s="5"/>
      <c r="GKJ66" s="5"/>
      <c r="GKK66" s="5"/>
      <c r="GKL66" s="5"/>
      <c r="GKM66" s="5"/>
      <c r="GKN66" s="5"/>
      <c r="GKO66" s="5"/>
      <c r="GKP66" s="5"/>
      <c r="GKQ66" s="5"/>
      <c r="GKR66" s="5"/>
      <c r="GKS66" s="5"/>
      <c r="GKT66" s="5"/>
      <c r="GKU66" s="5"/>
      <c r="GKV66" s="5"/>
      <c r="GKW66" s="5"/>
      <c r="GKX66" s="5"/>
      <c r="GKY66" s="5"/>
      <c r="GKZ66" s="5"/>
      <c r="GLA66" s="5"/>
      <c r="GLB66" s="5"/>
      <c r="GLC66" s="5"/>
      <c r="GLD66" s="5"/>
      <c r="GLE66" s="5"/>
      <c r="GLF66" s="5"/>
      <c r="GLG66" s="5"/>
      <c r="GLH66" s="5"/>
      <c r="GLI66" s="5"/>
      <c r="GLJ66" s="5"/>
      <c r="GLK66" s="5"/>
      <c r="GLL66" s="5"/>
      <c r="GLM66" s="5"/>
      <c r="GLN66" s="5"/>
      <c r="GLO66" s="5"/>
      <c r="GLP66" s="5"/>
      <c r="GLQ66" s="5"/>
      <c r="GLR66" s="5"/>
      <c r="GLS66" s="5"/>
      <c r="GLT66" s="5"/>
      <c r="GLU66" s="5"/>
      <c r="GLV66" s="5"/>
      <c r="GLW66" s="5"/>
      <c r="GLX66" s="5"/>
      <c r="GLY66" s="5"/>
      <c r="GLZ66" s="5"/>
      <c r="GMA66" s="5"/>
      <c r="GMB66" s="5"/>
      <c r="GMC66" s="5"/>
      <c r="GMD66" s="5"/>
      <c r="GME66" s="5"/>
      <c r="GMF66" s="5"/>
      <c r="GMG66" s="5"/>
      <c r="GMH66" s="5"/>
      <c r="GMI66" s="5"/>
      <c r="GMJ66" s="5"/>
      <c r="GMK66" s="5"/>
      <c r="GML66" s="5"/>
      <c r="GMM66" s="5"/>
      <c r="GMN66" s="5"/>
      <c r="GMO66" s="5"/>
      <c r="GMP66" s="5"/>
      <c r="GMQ66" s="5"/>
      <c r="GMR66" s="5"/>
      <c r="GMS66" s="5"/>
      <c r="GMT66" s="5"/>
      <c r="GMU66" s="5"/>
      <c r="GMV66" s="5"/>
      <c r="GMW66" s="5"/>
      <c r="GMX66" s="5"/>
      <c r="GMY66" s="5"/>
      <c r="GMZ66" s="5"/>
      <c r="GNA66" s="5"/>
      <c r="GNB66" s="5"/>
      <c r="GNC66" s="5"/>
      <c r="GND66" s="5"/>
      <c r="GNE66" s="5"/>
      <c r="GNF66" s="5"/>
      <c r="GNG66" s="5"/>
      <c r="GNH66" s="5"/>
      <c r="GNI66" s="5"/>
      <c r="GNJ66" s="5"/>
      <c r="GNK66" s="5"/>
      <c r="GNL66" s="5"/>
      <c r="GNM66" s="5"/>
      <c r="GNN66" s="5"/>
      <c r="GNO66" s="5"/>
      <c r="GNP66" s="5"/>
      <c r="GNQ66" s="5"/>
      <c r="GNR66" s="5"/>
      <c r="GNS66" s="5"/>
      <c r="GNT66" s="5"/>
      <c r="GNU66" s="5"/>
      <c r="GNV66" s="5"/>
      <c r="GNW66" s="5"/>
      <c r="GNX66" s="5"/>
      <c r="GNY66" s="5"/>
      <c r="GNZ66" s="5"/>
      <c r="GOA66" s="5"/>
      <c r="GOB66" s="5"/>
      <c r="GOC66" s="5"/>
      <c r="GOD66" s="5"/>
      <c r="GOE66" s="5"/>
      <c r="GOF66" s="5"/>
      <c r="GOG66" s="5"/>
      <c r="GOH66" s="5"/>
      <c r="GOI66" s="5"/>
      <c r="GOJ66" s="5"/>
      <c r="GOK66" s="5"/>
      <c r="GOL66" s="5"/>
      <c r="GOM66" s="5"/>
      <c r="GON66" s="5"/>
      <c r="GOO66" s="5"/>
      <c r="GOP66" s="5"/>
      <c r="GOQ66" s="5"/>
      <c r="GOR66" s="5"/>
      <c r="GOS66" s="5"/>
      <c r="GOT66" s="5"/>
      <c r="GOU66" s="5"/>
      <c r="GOV66" s="5"/>
      <c r="GOW66" s="5"/>
      <c r="GOX66" s="5"/>
      <c r="GOY66" s="5"/>
      <c r="GOZ66" s="5"/>
      <c r="GPA66" s="5"/>
      <c r="GPB66" s="5"/>
      <c r="GPC66" s="5"/>
      <c r="GPD66" s="5"/>
      <c r="GPE66" s="5"/>
      <c r="GPF66" s="5"/>
      <c r="GPG66" s="5"/>
      <c r="GPH66" s="5"/>
      <c r="GPI66" s="5"/>
      <c r="GPJ66" s="5"/>
      <c r="GPK66" s="5"/>
      <c r="GPL66" s="5"/>
      <c r="GPM66" s="5"/>
      <c r="GPN66" s="5"/>
      <c r="GPO66" s="5"/>
      <c r="GPP66" s="5"/>
      <c r="GPQ66" s="5"/>
      <c r="GPR66" s="5"/>
      <c r="GPS66" s="5"/>
      <c r="GPT66" s="5"/>
      <c r="GPU66" s="5"/>
      <c r="GPV66" s="5"/>
      <c r="GPW66" s="5"/>
      <c r="GPX66" s="5"/>
      <c r="GPY66" s="5"/>
      <c r="GPZ66" s="5"/>
      <c r="GQA66" s="5"/>
      <c r="GQB66" s="5"/>
      <c r="GQC66" s="5"/>
      <c r="GQD66" s="5"/>
      <c r="GQE66" s="5"/>
      <c r="GQF66" s="5"/>
      <c r="GQG66" s="5"/>
      <c r="GQH66" s="5"/>
      <c r="GQI66" s="5"/>
      <c r="GQJ66" s="5"/>
      <c r="GQK66" s="5"/>
      <c r="GQL66" s="5"/>
      <c r="GQM66" s="5"/>
      <c r="GQN66" s="5"/>
      <c r="GQO66" s="5"/>
      <c r="GQP66" s="5"/>
      <c r="GQQ66" s="5"/>
      <c r="GQR66" s="5"/>
      <c r="GQS66" s="5"/>
      <c r="GQT66" s="5"/>
      <c r="GQU66" s="5"/>
      <c r="GQV66" s="5"/>
      <c r="GQW66" s="5"/>
      <c r="GQX66" s="5"/>
      <c r="GQY66" s="5"/>
      <c r="GQZ66" s="5"/>
      <c r="GRA66" s="5"/>
      <c r="GRB66" s="5"/>
      <c r="GRC66" s="5"/>
      <c r="GRD66" s="5"/>
      <c r="GRE66" s="5"/>
      <c r="GRF66" s="5"/>
      <c r="GRG66" s="5"/>
      <c r="GRH66" s="5"/>
      <c r="GRI66" s="5"/>
      <c r="GRJ66" s="5"/>
      <c r="GRK66" s="5"/>
      <c r="GRL66" s="5"/>
      <c r="GRM66" s="5"/>
      <c r="GRN66" s="5"/>
      <c r="GRO66" s="5"/>
      <c r="GRP66" s="5"/>
      <c r="GRQ66" s="5"/>
      <c r="GRR66" s="5"/>
      <c r="GRS66" s="5"/>
      <c r="GRT66" s="5"/>
      <c r="GRU66" s="5"/>
      <c r="GRV66" s="5"/>
      <c r="GRW66" s="5"/>
      <c r="GRX66" s="5"/>
      <c r="GRY66" s="5"/>
      <c r="GRZ66" s="5"/>
      <c r="GSA66" s="5"/>
      <c r="GSB66" s="5"/>
      <c r="GSC66" s="5"/>
      <c r="GSD66" s="5"/>
      <c r="GSE66" s="5"/>
      <c r="GSF66" s="5"/>
      <c r="GSG66" s="5"/>
      <c r="GSH66" s="5"/>
      <c r="GSI66" s="5"/>
      <c r="GSJ66" s="5"/>
      <c r="GSK66" s="5"/>
      <c r="GSL66" s="5"/>
      <c r="GSM66" s="5"/>
      <c r="GSN66" s="5"/>
      <c r="GSO66" s="5"/>
      <c r="GSP66" s="5"/>
      <c r="GSQ66" s="5"/>
      <c r="GSR66" s="5"/>
      <c r="GSS66" s="5"/>
      <c r="GST66" s="5"/>
      <c r="GSU66" s="5"/>
      <c r="GSV66" s="5"/>
      <c r="GSW66" s="5"/>
      <c r="GSX66" s="5"/>
      <c r="GSY66" s="5"/>
      <c r="GSZ66" s="5"/>
      <c r="GTA66" s="5"/>
      <c r="GTB66" s="5"/>
      <c r="GTC66" s="5"/>
      <c r="GTD66" s="5"/>
      <c r="GTE66" s="5"/>
      <c r="GTF66" s="5"/>
      <c r="GTG66" s="5"/>
      <c r="GTH66" s="5"/>
      <c r="GTI66" s="5"/>
      <c r="GTJ66" s="5"/>
      <c r="GTK66" s="5"/>
      <c r="GTL66" s="5"/>
      <c r="GTM66" s="5"/>
      <c r="GTN66" s="5"/>
      <c r="GTO66" s="5"/>
      <c r="GTP66" s="5"/>
      <c r="GTQ66" s="5"/>
      <c r="GTR66" s="5"/>
      <c r="GTS66" s="5"/>
      <c r="GTT66" s="5"/>
      <c r="GTU66" s="5"/>
      <c r="GTV66" s="5"/>
      <c r="GTW66" s="5"/>
      <c r="GTX66" s="5"/>
      <c r="GTY66" s="5"/>
      <c r="GTZ66" s="5"/>
      <c r="GUA66" s="5"/>
      <c r="GUB66" s="5"/>
      <c r="GUC66" s="5"/>
      <c r="GUD66" s="5"/>
      <c r="GUE66" s="5"/>
      <c r="GUF66" s="5"/>
      <c r="GUG66" s="5"/>
      <c r="GUH66" s="5"/>
      <c r="GUI66" s="5"/>
      <c r="GUJ66" s="5"/>
      <c r="GUK66" s="5"/>
      <c r="GUL66" s="5"/>
      <c r="GUM66" s="5"/>
      <c r="GUN66" s="5"/>
      <c r="GUO66" s="5"/>
      <c r="GUP66" s="5"/>
      <c r="GUQ66" s="5"/>
      <c r="GUR66" s="5"/>
      <c r="GUS66" s="5"/>
      <c r="GUT66" s="5"/>
      <c r="GUU66" s="5"/>
      <c r="GUV66" s="5"/>
      <c r="GUW66" s="5"/>
      <c r="GUX66" s="5"/>
      <c r="GUY66" s="5"/>
      <c r="GUZ66" s="5"/>
      <c r="GVA66" s="5"/>
      <c r="GVB66" s="5"/>
      <c r="GVC66" s="5"/>
      <c r="GVD66" s="5"/>
      <c r="GVE66" s="5"/>
      <c r="GVF66" s="5"/>
      <c r="GVG66" s="5"/>
      <c r="GVH66" s="5"/>
      <c r="GVI66" s="5"/>
      <c r="GVJ66" s="5"/>
      <c r="GVK66" s="5"/>
      <c r="GVL66" s="5"/>
      <c r="GVM66" s="5"/>
      <c r="GVN66" s="5"/>
      <c r="GVO66" s="5"/>
      <c r="GVP66" s="5"/>
      <c r="GVQ66" s="5"/>
      <c r="GVR66" s="5"/>
      <c r="GVS66" s="5"/>
      <c r="GVT66" s="5"/>
      <c r="GVU66" s="5"/>
      <c r="GVV66" s="5"/>
      <c r="GVW66" s="5"/>
      <c r="GVX66" s="5"/>
      <c r="GVY66" s="5"/>
      <c r="GVZ66" s="5"/>
      <c r="GWA66" s="5"/>
      <c r="GWB66" s="5"/>
      <c r="GWC66" s="5"/>
      <c r="GWD66" s="5"/>
      <c r="GWE66" s="5"/>
      <c r="GWF66" s="5"/>
      <c r="GWG66" s="5"/>
      <c r="GWH66" s="5"/>
      <c r="GWI66" s="5"/>
      <c r="GWJ66" s="5"/>
      <c r="GWK66" s="5"/>
      <c r="GWL66" s="5"/>
      <c r="GWM66" s="5"/>
      <c r="GWN66" s="5"/>
      <c r="GWO66" s="5"/>
      <c r="GWP66" s="5"/>
      <c r="GWQ66" s="5"/>
      <c r="GWR66" s="5"/>
      <c r="GWS66" s="5"/>
      <c r="GWT66" s="5"/>
      <c r="GWU66" s="5"/>
      <c r="GWV66" s="5"/>
      <c r="GWW66" s="5"/>
      <c r="GWX66" s="5"/>
      <c r="GWY66" s="5"/>
      <c r="GWZ66" s="5"/>
      <c r="GXA66" s="5"/>
      <c r="GXB66" s="5"/>
      <c r="GXC66" s="5"/>
      <c r="GXD66" s="5"/>
      <c r="GXE66" s="5"/>
      <c r="GXF66" s="5"/>
      <c r="GXG66" s="5"/>
      <c r="GXH66" s="5"/>
      <c r="GXI66" s="5"/>
      <c r="GXJ66" s="5"/>
      <c r="GXK66" s="5"/>
      <c r="GXL66" s="5"/>
      <c r="GXM66" s="5"/>
      <c r="GXN66" s="5"/>
      <c r="GXO66" s="5"/>
      <c r="GXP66" s="5"/>
      <c r="GXQ66" s="5"/>
      <c r="GXR66" s="5"/>
      <c r="GXS66" s="5"/>
      <c r="GXT66" s="5"/>
      <c r="GXU66" s="5"/>
      <c r="GXV66" s="5"/>
      <c r="GXW66" s="5"/>
      <c r="GXX66" s="5"/>
      <c r="GXY66" s="5"/>
      <c r="GXZ66" s="5"/>
      <c r="GYA66" s="5"/>
      <c r="GYB66" s="5"/>
      <c r="GYC66" s="5"/>
      <c r="GYD66" s="5"/>
      <c r="GYE66" s="5"/>
      <c r="GYF66" s="5"/>
      <c r="GYG66" s="5"/>
      <c r="GYH66" s="5"/>
      <c r="GYI66" s="5"/>
      <c r="GYJ66" s="5"/>
      <c r="GYK66" s="5"/>
      <c r="GYL66" s="5"/>
      <c r="GYM66" s="5"/>
      <c r="GYN66" s="5"/>
      <c r="GYO66" s="5"/>
      <c r="GYP66" s="5"/>
      <c r="GYQ66" s="5"/>
      <c r="GYR66" s="5"/>
      <c r="GYS66" s="5"/>
      <c r="GYT66" s="5"/>
      <c r="GYU66" s="5"/>
      <c r="GYV66" s="5"/>
      <c r="GYW66" s="5"/>
      <c r="GYX66" s="5"/>
      <c r="GYY66" s="5"/>
      <c r="GYZ66" s="5"/>
      <c r="GZA66" s="5"/>
      <c r="GZB66" s="5"/>
      <c r="GZC66" s="5"/>
      <c r="GZD66" s="5"/>
      <c r="GZE66" s="5"/>
      <c r="GZF66" s="5"/>
      <c r="GZG66" s="5"/>
      <c r="GZH66" s="5"/>
      <c r="GZI66" s="5"/>
      <c r="GZJ66" s="5"/>
      <c r="GZK66" s="5"/>
      <c r="GZL66" s="5"/>
      <c r="GZM66" s="5"/>
      <c r="GZN66" s="5"/>
      <c r="GZO66" s="5"/>
      <c r="GZP66" s="5"/>
      <c r="GZQ66" s="5"/>
      <c r="GZR66" s="5"/>
      <c r="GZS66" s="5"/>
      <c r="GZT66" s="5"/>
      <c r="GZU66" s="5"/>
      <c r="GZV66" s="5"/>
      <c r="GZW66" s="5"/>
      <c r="GZX66" s="5"/>
      <c r="GZY66" s="5"/>
      <c r="GZZ66" s="5"/>
      <c r="HAA66" s="5"/>
      <c r="HAB66" s="5"/>
      <c r="HAC66" s="5"/>
      <c r="HAD66" s="5"/>
      <c r="HAE66" s="5"/>
      <c r="HAF66" s="5"/>
      <c r="HAG66" s="5"/>
      <c r="HAH66" s="5"/>
      <c r="HAI66" s="5"/>
      <c r="HAJ66" s="5"/>
      <c r="HAK66" s="5"/>
      <c r="HAL66" s="5"/>
      <c r="HAM66" s="5"/>
      <c r="HAN66" s="5"/>
      <c r="HAO66" s="5"/>
      <c r="HAP66" s="5"/>
      <c r="HAQ66" s="5"/>
      <c r="HAR66" s="5"/>
      <c r="HAS66" s="5"/>
      <c r="HAT66" s="5"/>
      <c r="HAU66" s="5"/>
      <c r="HAV66" s="5"/>
      <c r="HAW66" s="5"/>
      <c r="HAX66" s="5"/>
      <c r="HAY66" s="5"/>
      <c r="HAZ66" s="5"/>
      <c r="HBA66" s="5"/>
      <c r="HBB66" s="5"/>
      <c r="HBC66" s="5"/>
      <c r="HBD66" s="5"/>
      <c r="HBE66" s="5"/>
      <c r="HBF66" s="5"/>
      <c r="HBG66" s="5"/>
      <c r="HBH66" s="5"/>
      <c r="HBI66" s="5"/>
      <c r="HBJ66" s="5"/>
      <c r="HBK66" s="5"/>
      <c r="HBL66" s="5"/>
      <c r="HBM66" s="5"/>
      <c r="HBN66" s="5"/>
      <c r="HBO66" s="5"/>
      <c r="HBP66" s="5"/>
      <c r="HBQ66" s="5"/>
      <c r="HBR66" s="5"/>
      <c r="HBS66" s="5"/>
      <c r="HBT66" s="5"/>
      <c r="HBU66" s="5"/>
      <c r="HBV66" s="5"/>
      <c r="HBW66" s="5"/>
      <c r="HBX66" s="5"/>
      <c r="HBY66" s="5"/>
      <c r="HBZ66" s="5"/>
      <c r="HCA66" s="5"/>
      <c r="HCB66" s="5"/>
      <c r="HCC66" s="5"/>
      <c r="HCD66" s="5"/>
      <c r="HCE66" s="5"/>
      <c r="HCF66" s="5"/>
      <c r="HCG66" s="5"/>
      <c r="HCH66" s="5"/>
      <c r="HCI66" s="5"/>
      <c r="HCJ66" s="5"/>
      <c r="HCK66" s="5"/>
      <c r="HCL66" s="5"/>
      <c r="HCM66" s="5"/>
      <c r="HCN66" s="5"/>
      <c r="HCO66" s="5"/>
      <c r="HCP66" s="5"/>
      <c r="HCQ66" s="5"/>
      <c r="HCR66" s="5"/>
      <c r="HCS66" s="5"/>
      <c r="HCT66" s="5"/>
      <c r="HCU66" s="5"/>
      <c r="HCV66" s="5"/>
      <c r="HCW66" s="5"/>
      <c r="HCX66" s="5"/>
      <c r="HCY66" s="5"/>
      <c r="HCZ66" s="5"/>
      <c r="HDA66" s="5"/>
      <c r="HDB66" s="5"/>
      <c r="HDC66" s="5"/>
      <c r="HDD66" s="5"/>
      <c r="HDE66" s="5"/>
      <c r="HDF66" s="5"/>
      <c r="HDG66" s="5"/>
      <c r="HDH66" s="5"/>
      <c r="HDI66" s="5"/>
      <c r="HDJ66" s="5"/>
      <c r="HDK66" s="5"/>
      <c r="HDL66" s="5"/>
      <c r="HDM66" s="5"/>
      <c r="HDN66" s="5"/>
      <c r="HDO66" s="5"/>
      <c r="HDP66" s="5"/>
      <c r="HDQ66" s="5"/>
      <c r="HDR66" s="5"/>
      <c r="HDS66" s="5"/>
      <c r="HDT66" s="5"/>
      <c r="HDU66" s="5"/>
      <c r="HDV66" s="5"/>
      <c r="HDW66" s="5"/>
      <c r="HDX66" s="5"/>
      <c r="HDY66" s="5"/>
      <c r="HDZ66" s="5"/>
      <c r="HEA66" s="5"/>
      <c r="HEB66" s="5"/>
      <c r="HEC66" s="5"/>
      <c r="HED66" s="5"/>
      <c r="HEE66" s="5"/>
      <c r="HEF66" s="5"/>
      <c r="HEG66" s="5"/>
      <c r="HEH66" s="5"/>
      <c r="HEI66" s="5"/>
      <c r="HEJ66" s="5"/>
      <c r="HEK66" s="5"/>
      <c r="HEL66" s="5"/>
      <c r="HEM66" s="5"/>
      <c r="HEN66" s="5"/>
      <c r="HEO66" s="5"/>
      <c r="HEP66" s="5"/>
      <c r="HEQ66" s="5"/>
      <c r="HER66" s="5"/>
      <c r="HES66" s="5"/>
      <c r="HET66" s="5"/>
      <c r="HEU66" s="5"/>
      <c r="HEV66" s="5"/>
      <c r="HEW66" s="5"/>
      <c r="HEX66" s="5"/>
      <c r="HEY66" s="5"/>
      <c r="HEZ66" s="5"/>
      <c r="HFA66" s="5"/>
      <c r="HFB66" s="5"/>
      <c r="HFC66" s="5"/>
      <c r="HFD66" s="5"/>
      <c r="HFE66" s="5"/>
      <c r="HFF66" s="5"/>
      <c r="HFG66" s="5"/>
      <c r="HFH66" s="5"/>
      <c r="HFI66" s="5"/>
      <c r="HFJ66" s="5"/>
      <c r="HFK66" s="5"/>
      <c r="HFL66" s="5"/>
      <c r="HFM66" s="5"/>
      <c r="HFN66" s="5"/>
      <c r="HFO66" s="5"/>
      <c r="HFP66" s="5"/>
      <c r="HFQ66" s="5"/>
      <c r="HFR66" s="5"/>
      <c r="HFS66" s="5"/>
      <c r="HFT66" s="5"/>
      <c r="HFU66" s="5"/>
      <c r="HFV66" s="5"/>
      <c r="HFW66" s="5"/>
      <c r="HFX66" s="5"/>
      <c r="HFY66" s="5"/>
      <c r="HFZ66" s="5"/>
      <c r="HGA66" s="5"/>
      <c r="HGB66" s="5"/>
      <c r="HGC66" s="5"/>
      <c r="HGD66" s="5"/>
      <c r="HGE66" s="5"/>
      <c r="HGF66" s="5"/>
      <c r="HGG66" s="5"/>
      <c r="HGH66" s="5"/>
      <c r="HGI66" s="5"/>
      <c r="HGJ66" s="5"/>
      <c r="HGK66" s="5"/>
      <c r="HGL66" s="5"/>
      <c r="HGM66" s="5"/>
      <c r="HGN66" s="5"/>
      <c r="HGO66" s="5"/>
      <c r="HGP66" s="5"/>
      <c r="HGQ66" s="5"/>
      <c r="HGR66" s="5"/>
      <c r="HGS66" s="5"/>
      <c r="HGT66" s="5"/>
      <c r="HGU66" s="5"/>
      <c r="HGV66" s="5"/>
      <c r="HGW66" s="5"/>
      <c r="HGX66" s="5"/>
      <c r="HGY66" s="5"/>
      <c r="HGZ66" s="5"/>
      <c r="HHA66" s="5"/>
      <c r="HHB66" s="5"/>
      <c r="HHC66" s="5"/>
      <c r="HHD66" s="5"/>
      <c r="HHE66" s="5"/>
      <c r="HHF66" s="5"/>
      <c r="HHG66" s="5"/>
      <c r="HHH66" s="5"/>
      <c r="HHI66" s="5"/>
      <c r="HHJ66" s="5"/>
      <c r="HHK66" s="5"/>
      <c r="HHL66" s="5"/>
      <c r="HHM66" s="5"/>
      <c r="HHN66" s="5"/>
      <c r="HHO66" s="5"/>
      <c r="HHP66" s="5"/>
      <c r="HHQ66" s="5"/>
      <c r="HHR66" s="5"/>
      <c r="HHS66" s="5"/>
      <c r="HHT66" s="5"/>
      <c r="HHU66" s="5"/>
      <c r="HHV66" s="5"/>
      <c r="HHW66" s="5"/>
      <c r="HHX66" s="5"/>
      <c r="HHY66" s="5"/>
      <c r="HHZ66" s="5"/>
      <c r="HIA66" s="5"/>
      <c r="HIB66" s="5"/>
      <c r="HIC66" s="5"/>
      <c r="HID66" s="5"/>
      <c r="HIE66" s="5"/>
      <c r="HIF66" s="5"/>
      <c r="HIG66" s="5"/>
      <c r="HIH66" s="5"/>
      <c r="HII66" s="5"/>
      <c r="HIJ66" s="5"/>
      <c r="HIK66" s="5"/>
      <c r="HIL66" s="5"/>
      <c r="HIM66" s="5"/>
      <c r="HIN66" s="5"/>
      <c r="HIO66" s="5"/>
      <c r="HIP66" s="5"/>
      <c r="HIQ66" s="5"/>
      <c r="HIR66" s="5"/>
      <c r="HIS66" s="5"/>
      <c r="HIT66" s="5"/>
      <c r="HIU66" s="5"/>
      <c r="HIV66" s="5"/>
      <c r="HIW66" s="5"/>
      <c r="HIX66" s="5"/>
      <c r="HIY66" s="5"/>
      <c r="HIZ66" s="5"/>
      <c r="HJA66" s="5"/>
      <c r="HJB66" s="5"/>
      <c r="HJC66" s="5"/>
      <c r="HJD66" s="5"/>
      <c r="HJE66" s="5"/>
      <c r="HJF66" s="5"/>
      <c r="HJG66" s="5"/>
      <c r="HJH66" s="5"/>
      <c r="HJI66" s="5"/>
      <c r="HJJ66" s="5"/>
      <c r="HJK66" s="5"/>
      <c r="HJL66" s="5"/>
      <c r="HJM66" s="5"/>
      <c r="HJN66" s="5"/>
      <c r="HJO66" s="5"/>
      <c r="HJP66" s="5"/>
      <c r="HJQ66" s="5"/>
      <c r="HJR66" s="5"/>
      <c r="HJS66" s="5"/>
      <c r="HJT66" s="5"/>
      <c r="HJU66" s="5"/>
      <c r="HJV66" s="5"/>
      <c r="HJW66" s="5"/>
      <c r="HJX66" s="5"/>
      <c r="HJY66" s="5"/>
      <c r="HJZ66" s="5"/>
      <c r="HKA66" s="5"/>
      <c r="HKB66" s="5"/>
      <c r="HKC66" s="5"/>
      <c r="HKD66" s="5"/>
      <c r="HKE66" s="5"/>
      <c r="HKF66" s="5"/>
      <c r="HKG66" s="5"/>
      <c r="HKH66" s="5"/>
      <c r="HKI66" s="5"/>
      <c r="HKJ66" s="5"/>
      <c r="HKK66" s="5"/>
      <c r="HKL66" s="5"/>
      <c r="HKM66" s="5"/>
      <c r="HKN66" s="5"/>
      <c r="HKO66" s="5"/>
      <c r="HKP66" s="5"/>
      <c r="HKQ66" s="5"/>
      <c r="HKR66" s="5"/>
      <c r="HKS66" s="5"/>
      <c r="HKT66" s="5"/>
      <c r="HKU66" s="5"/>
      <c r="HKV66" s="5"/>
      <c r="HKW66" s="5"/>
      <c r="HKX66" s="5"/>
      <c r="HKY66" s="5"/>
      <c r="HKZ66" s="5"/>
      <c r="HLA66" s="5"/>
      <c r="HLB66" s="5"/>
      <c r="HLC66" s="5"/>
      <c r="HLD66" s="5"/>
      <c r="HLE66" s="5"/>
      <c r="HLF66" s="5"/>
      <c r="HLG66" s="5"/>
      <c r="HLH66" s="5"/>
      <c r="HLI66" s="5"/>
      <c r="HLJ66" s="5"/>
      <c r="HLK66" s="5"/>
      <c r="HLL66" s="5"/>
      <c r="HLM66" s="5"/>
      <c r="HLN66" s="5"/>
      <c r="HLO66" s="5"/>
      <c r="HLP66" s="5"/>
      <c r="HLQ66" s="5"/>
      <c r="HLR66" s="5"/>
      <c r="HLS66" s="5"/>
      <c r="HLT66" s="5"/>
      <c r="HLU66" s="5"/>
      <c r="HLV66" s="5"/>
      <c r="HLW66" s="5"/>
      <c r="HLX66" s="5"/>
      <c r="HLY66" s="5"/>
      <c r="HLZ66" s="5"/>
      <c r="HMA66" s="5"/>
      <c r="HMB66" s="5"/>
      <c r="HMC66" s="5"/>
      <c r="HMD66" s="5"/>
      <c r="HME66" s="5"/>
      <c r="HMF66" s="5"/>
      <c r="HMG66" s="5"/>
      <c r="HMH66" s="5"/>
      <c r="HMI66" s="5"/>
      <c r="HMJ66" s="5"/>
      <c r="HMK66" s="5"/>
      <c r="HML66" s="5"/>
      <c r="HMM66" s="5"/>
      <c r="HMN66" s="5"/>
      <c r="HMO66" s="5"/>
      <c r="HMP66" s="5"/>
      <c r="HMQ66" s="5"/>
      <c r="HMR66" s="5"/>
      <c r="HMS66" s="5"/>
      <c r="HMT66" s="5"/>
      <c r="HMU66" s="5"/>
      <c r="HMV66" s="5"/>
      <c r="HMW66" s="5"/>
      <c r="HMX66" s="5"/>
      <c r="HMY66" s="5"/>
      <c r="HMZ66" s="5"/>
      <c r="HNA66" s="5"/>
      <c r="HNB66" s="5"/>
      <c r="HNC66" s="5"/>
      <c r="HND66" s="5"/>
      <c r="HNE66" s="5"/>
      <c r="HNF66" s="5"/>
      <c r="HNG66" s="5"/>
      <c r="HNH66" s="5"/>
      <c r="HNI66" s="5"/>
      <c r="HNJ66" s="5"/>
      <c r="HNK66" s="5"/>
      <c r="HNL66" s="5"/>
      <c r="HNM66" s="5"/>
      <c r="HNN66" s="5"/>
      <c r="HNO66" s="5"/>
      <c r="HNP66" s="5"/>
      <c r="HNQ66" s="5"/>
      <c r="HNR66" s="5"/>
      <c r="HNS66" s="5"/>
      <c r="HNT66" s="5"/>
      <c r="HNU66" s="5"/>
      <c r="HNV66" s="5"/>
      <c r="HNW66" s="5"/>
      <c r="HNX66" s="5"/>
      <c r="HNY66" s="5"/>
      <c r="HNZ66" s="5"/>
      <c r="HOA66" s="5"/>
      <c r="HOB66" s="5"/>
      <c r="HOC66" s="5"/>
      <c r="HOD66" s="5"/>
      <c r="HOE66" s="5"/>
      <c r="HOF66" s="5"/>
      <c r="HOG66" s="5"/>
      <c r="HOH66" s="5"/>
      <c r="HOI66" s="5"/>
      <c r="HOJ66" s="5"/>
      <c r="HOK66" s="5"/>
      <c r="HOL66" s="5"/>
      <c r="HOM66" s="5"/>
      <c r="HON66" s="5"/>
      <c r="HOO66" s="5"/>
      <c r="HOP66" s="5"/>
      <c r="HOQ66" s="5"/>
      <c r="HOR66" s="5"/>
      <c r="HOS66" s="5"/>
      <c r="HOT66" s="5"/>
      <c r="HOU66" s="5"/>
      <c r="HOV66" s="5"/>
      <c r="HOW66" s="5"/>
      <c r="HOX66" s="5"/>
      <c r="HOY66" s="5"/>
      <c r="HOZ66" s="5"/>
      <c r="HPA66" s="5"/>
      <c r="HPB66" s="5"/>
      <c r="HPC66" s="5"/>
      <c r="HPD66" s="5"/>
      <c r="HPE66" s="5"/>
      <c r="HPF66" s="5"/>
      <c r="HPG66" s="5"/>
      <c r="HPH66" s="5"/>
      <c r="HPI66" s="5"/>
      <c r="HPJ66" s="5"/>
      <c r="HPK66" s="5"/>
      <c r="HPL66" s="5"/>
      <c r="HPM66" s="5"/>
      <c r="HPN66" s="5"/>
      <c r="HPO66" s="5"/>
      <c r="HPP66" s="5"/>
      <c r="HPQ66" s="5"/>
      <c r="HPR66" s="5"/>
      <c r="HPS66" s="5"/>
      <c r="HPT66" s="5"/>
      <c r="HPU66" s="5"/>
      <c r="HPV66" s="5"/>
      <c r="HPW66" s="5"/>
      <c r="HPX66" s="5"/>
      <c r="HPY66" s="5"/>
      <c r="HPZ66" s="5"/>
      <c r="HQA66" s="5"/>
      <c r="HQB66" s="5"/>
      <c r="HQC66" s="5"/>
      <c r="HQD66" s="5"/>
      <c r="HQE66" s="5"/>
      <c r="HQF66" s="5"/>
      <c r="HQG66" s="5"/>
      <c r="HQH66" s="5"/>
      <c r="HQI66" s="5"/>
      <c r="HQJ66" s="5"/>
      <c r="HQK66" s="5"/>
      <c r="HQL66" s="5"/>
      <c r="HQM66" s="5"/>
      <c r="HQN66" s="5"/>
      <c r="HQO66" s="5"/>
      <c r="HQP66" s="5"/>
      <c r="HQQ66" s="5"/>
      <c r="HQR66" s="5"/>
      <c r="HQS66" s="5"/>
      <c r="HQT66" s="5"/>
      <c r="HQU66" s="5"/>
      <c r="HQV66" s="5"/>
      <c r="HQW66" s="5"/>
      <c r="HQX66" s="5"/>
      <c r="HQY66" s="5"/>
      <c r="HQZ66" s="5"/>
      <c r="HRA66" s="5"/>
      <c r="HRB66" s="5"/>
      <c r="HRC66" s="5"/>
      <c r="HRD66" s="5"/>
      <c r="HRE66" s="5"/>
      <c r="HRF66" s="5"/>
      <c r="HRG66" s="5"/>
      <c r="HRH66" s="5"/>
      <c r="HRI66" s="5"/>
      <c r="HRJ66" s="5"/>
      <c r="HRK66" s="5"/>
      <c r="HRL66" s="5"/>
      <c r="HRM66" s="5"/>
      <c r="HRN66" s="5"/>
      <c r="HRO66" s="5"/>
      <c r="HRP66" s="5"/>
      <c r="HRQ66" s="5"/>
      <c r="HRR66" s="5"/>
      <c r="HRS66" s="5"/>
      <c r="HRT66" s="5"/>
      <c r="HRU66" s="5"/>
      <c r="HRV66" s="5"/>
      <c r="HRW66" s="5"/>
      <c r="HRX66" s="5"/>
      <c r="HRY66" s="5"/>
      <c r="HRZ66" s="5"/>
      <c r="HSA66" s="5"/>
      <c r="HSB66" s="5"/>
      <c r="HSC66" s="5"/>
      <c r="HSD66" s="5"/>
      <c r="HSE66" s="5"/>
      <c r="HSF66" s="5"/>
      <c r="HSG66" s="5"/>
      <c r="HSH66" s="5"/>
      <c r="HSI66" s="5"/>
      <c r="HSJ66" s="5"/>
      <c r="HSK66" s="5"/>
      <c r="HSL66" s="5"/>
      <c r="HSM66" s="5"/>
      <c r="HSN66" s="5"/>
      <c r="HSO66" s="5"/>
      <c r="HSP66" s="5"/>
      <c r="HSQ66" s="5"/>
      <c r="HSR66" s="5"/>
      <c r="HSS66" s="5"/>
      <c r="HST66" s="5"/>
      <c r="HSU66" s="5"/>
      <c r="HSV66" s="5"/>
      <c r="HSW66" s="5"/>
      <c r="HSX66" s="5"/>
      <c r="HSY66" s="5"/>
      <c r="HSZ66" s="5"/>
      <c r="HTA66" s="5"/>
      <c r="HTB66" s="5"/>
      <c r="HTC66" s="5"/>
      <c r="HTD66" s="5"/>
      <c r="HTE66" s="5"/>
      <c r="HTF66" s="5"/>
      <c r="HTG66" s="5"/>
      <c r="HTH66" s="5"/>
      <c r="HTI66" s="5"/>
      <c r="HTJ66" s="5"/>
      <c r="HTK66" s="5"/>
      <c r="HTL66" s="5"/>
      <c r="HTM66" s="5"/>
      <c r="HTN66" s="5"/>
      <c r="HTO66" s="5"/>
      <c r="HTP66" s="5"/>
      <c r="HTQ66" s="5"/>
      <c r="HTR66" s="5"/>
      <c r="HTS66" s="5"/>
      <c r="HTT66" s="5"/>
      <c r="HTU66" s="5"/>
      <c r="HTV66" s="5"/>
      <c r="HTW66" s="5"/>
      <c r="HTX66" s="5"/>
      <c r="HTY66" s="5"/>
      <c r="HTZ66" s="5"/>
      <c r="HUA66" s="5"/>
      <c r="HUB66" s="5"/>
      <c r="HUC66" s="5"/>
      <c r="HUD66" s="5"/>
      <c r="HUE66" s="5"/>
      <c r="HUF66" s="5"/>
      <c r="HUG66" s="5"/>
      <c r="HUH66" s="5"/>
      <c r="HUI66" s="5"/>
      <c r="HUJ66" s="5"/>
      <c r="HUK66" s="5"/>
      <c r="HUL66" s="5"/>
      <c r="HUM66" s="5"/>
      <c r="HUN66" s="5"/>
      <c r="HUO66" s="5"/>
      <c r="HUP66" s="5"/>
      <c r="HUQ66" s="5"/>
      <c r="HUR66" s="5"/>
      <c r="HUS66" s="5"/>
      <c r="HUT66" s="5"/>
      <c r="HUU66" s="5"/>
      <c r="HUV66" s="5"/>
      <c r="HUW66" s="5"/>
      <c r="HUX66" s="5"/>
      <c r="HUY66" s="5"/>
      <c r="HUZ66" s="5"/>
      <c r="HVA66" s="5"/>
      <c r="HVB66" s="5"/>
      <c r="HVC66" s="5"/>
      <c r="HVD66" s="5"/>
      <c r="HVE66" s="5"/>
      <c r="HVF66" s="5"/>
      <c r="HVG66" s="5"/>
      <c r="HVH66" s="5"/>
      <c r="HVI66" s="5"/>
      <c r="HVJ66" s="5"/>
      <c r="HVK66" s="5"/>
      <c r="HVL66" s="5"/>
      <c r="HVM66" s="5"/>
      <c r="HVN66" s="5"/>
      <c r="HVO66" s="5"/>
      <c r="HVP66" s="5"/>
      <c r="HVQ66" s="5"/>
      <c r="HVR66" s="5"/>
      <c r="HVS66" s="5"/>
      <c r="HVT66" s="5"/>
      <c r="HVU66" s="5"/>
      <c r="HVV66" s="5"/>
      <c r="HVW66" s="5"/>
      <c r="HVX66" s="5"/>
      <c r="HVY66" s="5"/>
      <c r="HVZ66" s="5"/>
      <c r="HWA66" s="5"/>
      <c r="HWB66" s="5"/>
      <c r="HWC66" s="5"/>
      <c r="HWD66" s="5"/>
      <c r="HWE66" s="5"/>
      <c r="HWF66" s="5"/>
      <c r="HWG66" s="5"/>
      <c r="HWH66" s="5"/>
      <c r="HWI66" s="5"/>
      <c r="HWJ66" s="5"/>
      <c r="HWK66" s="5"/>
      <c r="HWL66" s="5"/>
      <c r="HWM66" s="5"/>
      <c r="HWN66" s="5"/>
      <c r="HWO66" s="5"/>
      <c r="HWP66" s="5"/>
      <c r="HWQ66" s="5"/>
      <c r="HWR66" s="5"/>
      <c r="HWS66" s="5"/>
      <c r="HWT66" s="5"/>
      <c r="HWU66" s="5"/>
      <c r="HWV66" s="5"/>
      <c r="HWW66" s="5"/>
      <c r="HWX66" s="5"/>
      <c r="HWY66" s="5"/>
      <c r="HWZ66" s="5"/>
      <c r="HXA66" s="5"/>
      <c r="HXB66" s="5"/>
      <c r="HXC66" s="5"/>
      <c r="HXD66" s="5"/>
      <c r="HXE66" s="5"/>
      <c r="HXF66" s="5"/>
      <c r="HXG66" s="5"/>
      <c r="HXH66" s="5"/>
      <c r="HXI66" s="5"/>
      <c r="HXJ66" s="5"/>
      <c r="HXK66" s="5"/>
      <c r="HXL66" s="5"/>
      <c r="HXM66" s="5"/>
      <c r="HXN66" s="5"/>
      <c r="HXO66" s="5"/>
      <c r="HXP66" s="5"/>
      <c r="HXQ66" s="5"/>
      <c r="HXR66" s="5"/>
      <c r="HXS66" s="5"/>
      <c r="HXT66" s="5"/>
      <c r="HXU66" s="5"/>
      <c r="HXV66" s="5"/>
      <c r="HXW66" s="5"/>
      <c r="HXX66" s="5"/>
      <c r="HXY66" s="5"/>
      <c r="HXZ66" s="5"/>
      <c r="HYA66" s="5"/>
      <c r="HYB66" s="5"/>
      <c r="HYC66" s="5"/>
      <c r="HYD66" s="5"/>
      <c r="HYE66" s="5"/>
      <c r="HYF66" s="5"/>
      <c r="HYG66" s="5"/>
      <c r="HYH66" s="5"/>
      <c r="HYI66" s="5"/>
      <c r="HYJ66" s="5"/>
      <c r="HYK66" s="5"/>
      <c r="HYL66" s="5"/>
      <c r="HYM66" s="5"/>
      <c r="HYN66" s="5"/>
      <c r="HYO66" s="5"/>
      <c r="HYP66" s="5"/>
      <c r="HYQ66" s="5"/>
      <c r="HYR66" s="5"/>
      <c r="HYS66" s="5"/>
      <c r="HYT66" s="5"/>
      <c r="HYU66" s="5"/>
      <c r="HYV66" s="5"/>
      <c r="HYW66" s="5"/>
      <c r="HYX66" s="5"/>
      <c r="HYY66" s="5"/>
      <c r="HYZ66" s="5"/>
      <c r="HZA66" s="5"/>
      <c r="HZB66" s="5"/>
      <c r="HZC66" s="5"/>
      <c r="HZD66" s="5"/>
      <c r="HZE66" s="5"/>
      <c r="HZF66" s="5"/>
      <c r="HZG66" s="5"/>
      <c r="HZH66" s="5"/>
      <c r="HZI66" s="5"/>
      <c r="HZJ66" s="5"/>
      <c r="HZK66" s="5"/>
      <c r="HZL66" s="5"/>
      <c r="HZM66" s="5"/>
      <c r="HZN66" s="5"/>
      <c r="HZO66" s="5"/>
      <c r="HZP66" s="5"/>
      <c r="HZQ66" s="5"/>
      <c r="HZR66" s="5"/>
      <c r="HZS66" s="5"/>
      <c r="HZT66" s="5"/>
      <c r="HZU66" s="5"/>
      <c r="HZV66" s="5"/>
      <c r="HZW66" s="5"/>
      <c r="HZX66" s="5"/>
      <c r="HZY66" s="5"/>
      <c r="HZZ66" s="5"/>
      <c r="IAA66" s="5"/>
      <c r="IAB66" s="5"/>
      <c r="IAC66" s="5"/>
      <c r="IAD66" s="5"/>
      <c r="IAE66" s="5"/>
      <c r="IAF66" s="5"/>
      <c r="IAG66" s="5"/>
      <c r="IAH66" s="5"/>
      <c r="IAI66" s="5"/>
      <c r="IAJ66" s="5"/>
      <c r="IAK66" s="5"/>
      <c r="IAL66" s="5"/>
      <c r="IAM66" s="5"/>
      <c r="IAN66" s="5"/>
      <c r="IAO66" s="5"/>
      <c r="IAP66" s="5"/>
      <c r="IAQ66" s="5"/>
      <c r="IAR66" s="5"/>
      <c r="IAS66" s="5"/>
      <c r="IAT66" s="5"/>
      <c r="IAU66" s="5"/>
      <c r="IAV66" s="5"/>
      <c r="IAW66" s="5"/>
      <c r="IAX66" s="5"/>
      <c r="IAY66" s="5"/>
      <c r="IAZ66" s="5"/>
      <c r="IBA66" s="5"/>
      <c r="IBB66" s="5"/>
      <c r="IBC66" s="5"/>
      <c r="IBD66" s="5"/>
      <c r="IBE66" s="5"/>
      <c r="IBF66" s="5"/>
      <c r="IBG66" s="5"/>
      <c r="IBH66" s="5"/>
      <c r="IBI66" s="5"/>
      <c r="IBJ66" s="5"/>
      <c r="IBK66" s="5"/>
      <c r="IBL66" s="5"/>
      <c r="IBM66" s="5"/>
      <c r="IBN66" s="5"/>
      <c r="IBO66" s="5"/>
      <c r="IBP66" s="5"/>
      <c r="IBQ66" s="5"/>
      <c r="IBR66" s="5"/>
      <c r="IBS66" s="5"/>
      <c r="IBT66" s="5"/>
      <c r="IBU66" s="5"/>
      <c r="IBV66" s="5"/>
      <c r="IBW66" s="5"/>
      <c r="IBX66" s="5"/>
      <c r="IBY66" s="5"/>
      <c r="IBZ66" s="5"/>
      <c r="ICA66" s="5"/>
      <c r="ICB66" s="5"/>
      <c r="ICC66" s="5"/>
      <c r="ICD66" s="5"/>
      <c r="ICE66" s="5"/>
      <c r="ICF66" s="5"/>
      <c r="ICG66" s="5"/>
      <c r="ICH66" s="5"/>
      <c r="ICI66" s="5"/>
      <c r="ICJ66" s="5"/>
      <c r="ICK66" s="5"/>
      <c r="ICL66" s="5"/>
      <c r="ICM66" s="5"/>
      <c r="ICN66" s="5"/>
      <c r="ICO66" s="5"/>
      <c r="ICP66" s="5"/>
      <c r="ICQ66" s="5"/>
      <c r="ICR66" s="5"/>
      <c r="ICS66" s="5"/>
      <c r="ICT66" s="5"/>
      <c r="ICU66" s="5"/>
      <c r="ICV66" s="5"/>
      <c r="ICW66" s="5"/>
      <c r="ICX66" s="5"/>
      <c r="ICY66" s="5"/>
      <c r="ICZ66" s="5"/>
      <c r="IDA66" s="5"/>
      <c r="IDB66" s="5"/>
      <c r="IDC66" s="5"/>
      <c r="IDD66" s="5"/>
      <c r="IDE66" s="5"/>
      <c r="IDF66" s="5"/>
      <c r="IDG66" s="5"/>
      <c r="IDH66" s="5"/>
      <c r="IDI66" s="5"/>
      <c r="IDJ66" s="5"/>
      <c r="IDK66" s="5"/>
      <c r="IDL66" s="5"/>
      <c r="IDM66" s="5"/>
      <c r="IDN66" s="5"/>
      <c r="IDO66" s="5"/>
      <c r="IDP66" s="5"/>
      <c r="IDQ66" s="5"/>
      <c r="IDR66" s="5"/>
      <c r="IDS66" s="5"/>
      <c r="IDT66" s="5"/>
      <c r="IDU66" s="5"/>
      <c r="IDV66" s="5"/>
      <c r="IDW66" s="5"/>
      <c r="IDX66" s="5"/>
      <c r="IDY66" s="5"/>
      <c r="IDZ66" s="5"/>
      <c r="IEA66" s="5"/>
      <c r="IEB66" s="5"/>
      <c r="IEC66" s="5"/>
      <c r="IED66" s="5"/>
      <c r="IEE66" s="5"/>
      <c r="IEF66" s="5"/>
      <c r="IEG66" s="5"/>
      <c r="IEH66" s="5"/>
      <c r="IEI66" s="5"/>
      <c r="IEJ66" s="5"/>
      <c r="IEK66" s="5"/>
      <c r="IEL66" s="5"/>
      <c r="IEM66" s="5"/>
      <c r="IEN66" s="5"/>
      <c r="IEO66" s="5"/>
      <c r="IEP66" s="5"/>
      <c r="IEQ66" s="5"/>
      <c r="IER66" s="5"/>
      <c r="IES66" s="5"/>
      <c r="IET66" s="5"/>
      <c r="IEU66" s="5"/>
      <c r="IEV66" s="5"/>
      <c r="IEW66" s="5"/>
      <c r="IEX66" s="5"/>
      <c r="IEY66" s="5"/>
      <c r="IEZ66" s="5"/>
      <c r="IFA66" s="5"/>
      <c r="IFB66" s="5"/>
      <c r="IFC66" s="5"/>
      <c r="IFD66" s="5"/>
      <c r="IFE66" s="5"/>
      <c r="IFF66" s="5"/>
      <c r="IFG66" s="5"/>
      <c r="IFH66" s="5"/>
      <c r="IFI66" s="5"/>
      <c r="IFJ66" s="5"/>
      <c r="IFK66" s="5"/>
      <c r="IFL66" s="5"/>
      <c r="IFM66" s="5"/>
      <c r="IFN66" s="5"/>
      <c r="IFO66" s="5"/>
      <c r="IFP66" s="5"/>
      <c r="IFQ66" s="5"/>
      <c r="IFR66" s="5"/>
      <c r="IFS66" s="5"/>
      <c r="IFT66" s="5"/>
      <c r="IFU66" s="5"/>
      <c r="IFV66" s="5"/>
      <c r="IFW66" s="5"/>
      <c r="IFX66" s="5"/>
      <c r="IFY66" s="5"/>
      <c r="IFZ66" s="5"/>
      <c r="IGA66" s="5"/>
      <c r="IGB66" s="5"/>
      <c r="IGC66" s="5"/>
      <c r="IGD66" s="5"/>
      <c r="IGE66" s="5"/>
      <c r="IGF66" s="5"/>
      <c r="IGG66" s="5"/>
      <c r="IGH66" s="5"/>
      <c r="IGI66" s="5"/>
      <c r="IGJ66" s="5"/>
      <c r="IGK66" s="5"/>
      <c r="IGL66" s="5"/>
      <c r="IGM66" s="5"/>
      <c r="IGN66" s="5"/>
      <c r="IGO66" s="5"/>
      <c r="IGP66" s="5"/>
      <c r="IGQ66" s="5"/>
      <c r="IGR66" s="5"/>
      <c r="IGS66" s="5"/>
      <c r="IGT66" s="5"/>
      <c r="IGU66" s="5"/>
      <c r="IGV66" s="5"/>
      <c r="IGW66" s="5"/>
      <c r="IGX66" s="5"/>
      <c r="IGY66" s="5"/>
      <c r="IGZ66" s="5"/>
      <c r="IHA66" s="5"/>
      <c r="IHB66" s="5"/>
      <c r="IHC66" s="5"/>
      <c r="IHD66" s="5"/>
      <c r="IHE66" s="5"/>
      <c r="IHF66" s="5"/>
      <c r="IHG66" s="5"/>
      <c r="IHH66" s="5"/>
      <c r="IHI66" s="5"/>
      <c r="IHJ66" s="5"/>
      <c r="IHK66" s="5"/>
      <c r="IHL66" s="5"/>
      <c r="IHM66" s="5"/>
      <c r="IHN66" s="5"/>
      <c r="IHO66" s="5"/>
      <c r="IHP66" s="5"/>
      <c r="IHQ66" s="5"/>
      <c r="IHR66" s="5"/>
      <c r="IHS66" s="5"/>
      <c r="IHT66" s="5"/>
      <c r="IHU66" s="5"/>
      <c r="IHV66" s="5"/>
      <c r="IHW66" s="5"/>
      <c r="IHX66" s="5"/>
      <c r="IHY66" s="5"/>
      <c r="IHZ66" s="5"/>
      <c r="IIA66" s="5"/>
      <c r="IIB66" s="5"/>
      <c r="IIC66" s="5"/>
      <c r="IID66" s="5"/>
      <c r="IIE66" s="5"/>
      <c r="IIF66" s="5"/>
      <c r="IIG66" s="5"/>
      <c r="IIH66" s="5"/>
      <c r="III66" s="5"/>
      <c r="IIJ66" s="5"/>
      <c r="IIK66" s="5"/>
      <c r="IIL66" s="5"/>
      <c r="IIM66" s="5"/>
      <c r="IIN66" s="5"/>
      <c r="IIO66" s="5"/>
      <c r="IIP66" s="5"/>
      <c r="IIQ66" s="5"/>
      <c r="IIR66" s="5"/>
      <c r="IIS66" s="5"/>
      <c r="IIT66" s="5"/>
      <c r="IIU66" s="5"/>
      <c r="IIV66" s="5"/>
      <c r="IIW66" s="5"/>
      <c r="IIX66" s="5"/>
      <c r="IIY66" s="5"/>
      <c r="IIZ66" s="5"/>
      <c r="IJA66" s="5"/>
      <c r="IJB66" s="5"/>
      <c r="IJC66" s="5"/>
      <c r="IJD66" s="5"/>
      <c r="IJE66" s="5"/>
      <c r="IJF66" s="5"/>
      <c r="IJG66" s="5"/>
      <c r="IJH66" s="5"/>
      <c r="IJI66" s="5"/>
      <c r="IJJ66" s="5"/>
      <c r="IJK66" s="5"/>
      <c r="IJL66" s="5"/>
      <c r="IJM66" s="5"/>
      <c r="IJN66" s="5"/>
      <c r="IJO66" s="5"/>
      <c r="IJP66" s="5"/>
      <c r="IJQ66" s="5"/>
      <c r="IJR66" s="5"/>
      <c r="IJS66" s="5"/>
      <c r="IJT66" s="5"/>
      <c r="IJU66" s="5"/>
      <c r="IJV66" s="5"/>
      <c r="IJW66" s="5"/>
      <c r="IJX66" s="5"/>
      <c r="IJY66" s="5"/>
      <c r="IJZ66" s="5"/>
      <c r="IKA66" s="5"/>
      <c r="IKB66" s="5"/>
      <c r="IKC66" s="5"/>
      <c r="IKD66" s="5"/>
      <c r="IKE66" s="5"/>
      <c r="IKF66" s="5"/>
      <c r="IKG66" s="5"/>
      <c r="IKH66" s="5"/>
      <c r="IKI66" s="5"/>
      <c r="IKJ66" s="5"/>
      <c r="IKK66" s="5"/>
      <c r="IKL66" s="5"/>
      <c r="IKM66" s="5"/>
      <c r="IKN66" s="5"/>
      <c r="IKO66" s="5"/>
      <c r="IKP66" s="5"/>
      <c r="IKQ66" s="5"/>
      <c r="IKR66" s="5"/>
      <c r="IKS66" s="5"/>
      <c r="IKT66" s="5"/>
      <c r="IKU66" s="5"/>
      <c r="IKV66" s="5"/>
      <c r="IKW66" s="5"/>
      <c r="IKX66" s="5"/>
      <c r="IKY66" s="5"/>
      <c r="IKZ66" s="5"/>
      <c r="ILA66" s="5"/>
      <c r="ILB66" s="5"/>
      <c r="ILC66" s="5"/>
      <c r="ILD66" s="5"/>
      <c r="ILE66" s="5"/>
      <c r="ILF66" s="5"/>
      <c r="ILG66" s="5"/>
      <c r="ILH66" s="5"/>
      <c r="ILI66" s="5"/>
      <c r="ILJ66" s="5"/>
      <c r="ILK66" s="5"/>
      <c r="ILL66" s="5"/>
      <c r="ILM66" s="5"/>
      <c r="ILN66" s="5"/>
      <c r="ILO66" s="5"/>
      <c r="ILP66" s="5"/>
      <c r="ILQ66" s="5"/>
      <c r="ILR66" s="5"/>
      <c r="ILS66" s="5"/>
      <c r="ILT66" s="5"/>
      <c r="ILU66" s="5"/>
      <c r="ILV66" s="5"/>
      <c r="ILW66" s="5"/>
      <c r="ILX66" s="5"/>
      <c r="ILY66" s="5"/>
      <c r="ILZ66" s="5"/>
      <c r="IMA66" s="5"/>
      <c r="IMB66" s="5"/>
      <c r="IMC66" s="5"/>
      <c r="IMD66" s="5"/>
      <c r="IME66" s="5"/>
      <c r="IMF66" s="5"/>
      <c r="IMG66" s="5"/>
      <c r="IMH66" s="5"/>
      <c r="IMI66" s="5"/>
      <c r="IMJ66" s="5"/>
      <c r="IMK66" s="5"/>
      <c r="IML66" s="5"/>
      <c r="IMM66" s="5"/>
      <c r="IMN66" s="5"/>
      <c r="IMO66" s="5"/>
      <c r="IMP66" s="5"/>
      <c r="IMQ66" s="5"/>
      <c r="IMR66" s="5"/>
      <c r="IMS66" s="5"/>
      <c r="IMT66" s="5"/>
      <c r="IMU66" s="5"/>
      <c r="IMV66" s="5"/>
      <c r="IMW66" s="5"/>
      <c r="IMX66" s="5"/>
      <c r="IMY66" s="5"/>
      <c r="IMZ66" s="5"/>
      <c r="INA66" s="5"/>
      <c r="INB66" s="5"/>
      <c r="INC66" s="5"/>
      <c r="IND66" s="5"/>
      <c r="INE66" s="5"/>
      <c r="INF66" s="5"/>
      <c r="ING66" s="5"/>
      <c r="INH66" s="5"/>
      <c r="INI66" s="5"/>
      <c r="INJ66" s="5"/>
      <c r="INK66" s="5"/>
      <c r="INL66" s="5"/>
      <c r="INM66" s="5"/>
      <c r="INN66" s="5"/>
      <c r="INO66" s="5"/>
      <c r="INP66" s="5"/>
      <c r="INQ66" s="5"/>
      <c r="INR66" s="5"/>
      <c r="INS66" s="5"/>
      <c r="INT66" s="5"/>
      <c r="INU66" s="5"/>
      <c r="INV66" s="5"/>
      <c r="INW66" s="5"/>
      <c r="INX66" s="5"/>
      <c r="INY66" s="5"/>
      <c r="INZ66" s="5"/>
      <c r="IOA66" s="5"/>
      <c r="IOB66" s="5"/>
      <c r="IOC66" s="5"/>
      <c r="IOD66" s="5"/>
      <c r="IOE66" s="5"/>
      <c r="IOF66" s="5"/>
      <c r="IOG66" s="5"/>
      <c r="IOH66" s="5"/>
      <c r="IOI66" s="5"/>
      <c r="IOJ66" s="5"/>
      <c r="IOK66" s="5"/>
      <c r="IOL66" s="5"/>
      <c r="IOM66" s="5"/>
      <c r="ION66" s="5"/>
      <c r="IOO66" s="5"/>
      <c r="IOP66" s="5"/>
      <c r="IOQ66" s="5"/>
      <c r="IOR66" s="5"/>
      <c r="IOS66" s="5"/>
      <c r="IOT66" s="5"/>
      <c r="IOU66" s="5"/>
      <c r="IOV66" s="5"/>
      <c r="IOW66" s="5"/>
      <c r="IOX66" s="5"/>
      <c r="IOY66" s="5"/>
      <c r="IOZ66" s="5"/>
      <c r="IPA66" s="5"/>
      <c r="IPB66" s="5"/>
      <c r="IPC66" s="5"/>
      <c r="IPD66" s="5"/>
      <c r="IPE66" s="5"/>
      <c r="IPF66" s="5"/>
      <c r="IPG66" s="5"/>
      <c r="IPH66" s="5"/>
      <c r="IPI66" s="5"/>
      <c r="IPJ66" s="5"/>
      <c r="IPK66" s="5"/>
      <c r="IPL66" s="5"/>
      <c r="IPM66" s="5"/>
      <c r="IPN66" s="5"/>
      <c r="IPO66" s="5"/>
      <c r="IPP66" s="5"/>
      <c r="IPQ66" s="5"/>
      <c r="IPR66" s="5"/>
      <c r="IPS66" s="5"/>
      <c r="IPT66" s="5"/>
      <c r="IPU66" s="5"/>
      <c r="IPV66" s="5"/>
      <c r="IPW66" s="5"/>
      <c r="IPX66" s="5"/>
      <c r="IPY66" s="5"/>
      <c r="IPZ66" s="5"/>
      <c r="IQA66" s="5"/>
      <c r="IQB66" s="5"/>
      <c r="IQC66" s="5"/>
      <c r="IQD66" s="5"/>
      <c r="IQE66" s="5"/>
      <c r="IQF66" s="5"/>
      <c r="IQG66" s="5"/>
      <c r="IQH66" s="5"/>
      <c r="IQI66" s="5"/>
      <c r="IQJ66" s="5"/>
      <c r="IQK66" s="5"/>
      <c r="IQL66" s="5"/>
      <c r="IQM66" s="5"/>
      <c r="IQN66" s="5"/>
      <c r="IQO66" s="5"/>
      <c r="IQP66" s="5"/>
      <c r="IQQ66" s="5"/>
      <c r="IQR66" s="5"/>
      <c r="IQS66" s="5"/>
      <c r="IQT66" s="5"/>
      <c r="IQU66" s="5"/>
      <c r="IQV66" s="5"/>
      <c r="IQW66" s="5"/>
      <c r="IQX66" s="5"/>
      <c r="IQY66" s="5"/>
      <c r="IQZ66" s="5"/>
      <c r="IRA66" s="5"/>
      <c r="IRB66" s="5"/>
      <c r="IRC66" s="5"/>
      <c r="IRD66" s="5"/>
      <c r="IRE66" s="5"/>
      <c r="IRF66" s="5"/>
      <c r="IRG66" s="5"/>
      <c r="IRH66" s="5"/>
      <c r="IRI66" s="5"/>
      <c r="IRJ66" s="5"/>
      <c r="IRK66" s="5"/>
      <c r="IRL66" s="5"/>
      <c r="IRM66" s="5"/>
      <c r="IRN66" s="5"/>
      <c r="IRO66" s="5"/>
      <c r="IRP66" s="5"/>
      <c r="IRQ66" s="5"/>
      <c r="IRR66" s="5"/>
      <c r="IRS66" s="5"/>
      <c r="IRT66" s="5"/>
      <c r="IRU66" s="5"/>
      <c r="IRV66" s="5"/>
      <c r="IRW66" s="5"/>
      <c r="IRX66" s="5"/>
      <c r="IRY66" s="5"/>
      <c r="IRZ66" s="5"/>
      <c r="ISA66" s="5"/>
      <c r="ISB66" s="5"/>
      <c r="ISC66" s="5"/>
      <c r="ISD66" s="5"/>
      <c r="ISE66" s="5"/>
      <c r="ISF66" s="5"/>
      <c r="ISG66" s="5"/>
      <c r="ISH66" s="5"/>
      <c r="ISI66" s="5"/>
      <c r="ISJ66" s="5"/>
      <c r="ISK66" s="5"/>
      <c r="ISL66" s="5"/>
      <c r="ISM66" s="5"/>
      <c r="ISN66" s="5"/>
      <c r="ISO66" s="5"/>
      <c r="ISP66" s="5"/>
      <c r="ISQ66" s="5"/>
      <c r="ISR66" s="5"/>
      <c r="ISS66" s="5"/>
      <c r="IST66" s="5"/>
      <c r="ISU66" s="5"/>
      <c r="ISV66" s="5"/>
      <c r="ISW66" s="5"/>
      <c r="ISX66" s="5"/>
      <c r="ISY66" s="5"/>
      <c r="ISZ66" s="5"/>
      <c r="ITA66" s="5"/>
      <c r="ITB66" s="5"/>
      <c r="ITC66" s="5"/>
      <c r="ITD66" s="5"/>
      <c r="ITE66" s="5"/>
      <c r="ITF66" s="5"/>
      <c r="ITG66" s="5"/>
      <c r="ITH66" s="5"/>
      <c r="ITI66" s="5"/>
      <c r="ITJ66" s="5"/>
      <c r="ITK66" s="5"/>
      <c r="ITL66" s="5"/>
      <c r="ITM66" s="5"/>
      <c r="ITN66" s="5"/>
      <c r="ITO66" s="5"/>
      <c r="ITP66" s="5"/>
      <c r="ITQ66" s="5"/>
      <c r="ITR66" s="5"/>
      <c r="ITS66" s="5"/>
      <c r="ITT66" s="5"/>
      <c r="ITU66" s="5"/>
      <c r="ITV66" s="5"/>
      <c r="ITW66" s="5"/>
      <c r="ITX66" s="5"/>
      <c r="ITY66" s="5"/>
      <c r="ITZ66" s="5"/>
      <c r="IUA66" s="5"/>
      <c r="IUB66" s="5"/>
      <c r="IUC66" s="5"/>
      <c r="IUD66" s="5"/>
      <c r="IUE66" s="5"/>
      <c r="IUF66" s="5"/>
      <c r="IUG66" s="5"/>
      <c r="IUH66" s="5"/>
      <c r="IUI66" s="5"/>
      <c r="IUJ66" s="5"/>
      <c r="IUK66" s="5"/>
      <c r="IUL66" s="5"/>
      <c r="IUM66" s="5"/>
      <c r="IUN66" s="5"/>
      <c r="IUO66" s="5"/>
      <c r="IUP66" s="5"/>
      <c r="IUQ66" s="5"/>
      <c r="IUR66" s="5"/>
      <c r="IUS66" s="5"/>
      <c r="IUT66" s="5"/>
      <c r="IUU66" s="5"/>
      <c r="IUV66" s="5"/>
      <c r="IUW66" s="5"/>
      <c r="IUX66" s="5"/>
      <c r="IUY66" s="5"/>
      <c r="IUZ66" s="5"/>
      <c r="IVA66" s="5"/>
      <c r="IVB66" s="5"/>
      <c r="IVC66" s="5"/>
      <c r="IVD66" s="5"/>
      <c r="IVE66" s="5"/>
      <c r="IVF66" s="5"/>
      <c r="IVG66" s="5"/>
      <c r="IVH66" s="5"/>
      <c r="IVI66" s="5"/>
      <c r="IVJ66" s="5"/>
      <c r="IVK66" s="5"/>
      <c r="IVL66" s="5"/>
      <c r="IVM66" s="5"/>
      <c r="IVN66" s="5"/>
      <c r="IVO66" s="5"/>
      <c r="IVP66" s="5"/>
      <c r="IVQ66" s="5"/>
      <c r="IVR66" s="5"/>
      <c r="IVS66" s="5"/>
      <c r="IVT66" s="5"/>
      <c r="IVU66" s="5"/>
      <c r="IVV66" s="5"/>
      <c r="IVW66" s="5"/>
      <c r="IVX66" s="5"/>
      <c r="IVY66" s="5"/>
      <c r="IVZ66" s="5"/>
      <c r="IWA66" s="5"/>
      <c r="IWB66" s="5"/>
      <c r="IWC66" s="5"/>
      <c r="IWD66" s="5"/>
      <c r="IWE66" s="5"/>
      <c r="IWF66" s="5"/>
      <c r="IWG66" s="5"/>
      <c r="IWH66" s="5"/>
      <c r="IWI66" s="5"/>
      <c r="IWJ66" s="5"/>
      <c r="IWK66" s="5"/>
      <c r="IWL66" s="5"/>
      <c r="IWM66" s="5"/>
      <c r="IWN66" s="5"/>
      <c r="IWO66" s="5"/>
      <c r="IWP66" s="5"/>
      <c r="IWQ66" s="5"/>
      <c r="IWR66" s="5"/>
      <c r="IWS66" s="5"/>
      <c r="IWT66" s="5"/>
      <c r="IWU66" s="5"/>
      <c r="IWV66" s="5"/>
      <c r="IWW66" s="5"/>
      <c r="IWX66" s="5"/>
      <c r="IWY66" s="5"/>
      <c r="IWZ66" s="5"/>
      <c r="IXA66" s="5"/>
      <c r="IXB66" s="5"/>
      <c r="IXC66" s="5"/>
      <c r="IXD66" s="5"/>
      <c r="IXE66" s="5"/>
      <c r="IXF66" s="5"/>
      <c r="IXG66" s="5"/>
      <c r="IXH66" s="5"/>
      <c r="IXI66" s="5"/>
      <c r="IXJ66" s="5"/>
      <c r="IXK66" s="5"/>
      <c r="IXL66" s="5"/>
      <c r="IXM66" s="5"/>
      <c r="IXN66" s="5"/>
      <c r="IXO66" s="5"/>
      <c r="IXP66" s="5"/>
      <c r="IXQ66" s="5"/>
      <c r="IXR66" s="5"/>
      <c r="IXS66" s="5"/>
      <c r="IXT66" s="5"/>
      <c r="IXU66" s="5"/>
      <c r="IXV66" s="5"/>
      <c r="IXW66" s="5"/>
      <c r="IXX66" s="5"/>
      <c r="IXY66" s="5"/>
      <c r="IXZ66" s="5"/>
      <c r="IYA66" s="5"/>
      <c r="IYB66" s="5"/>
      <c r="IYC66" s="5"/>
      <c r="IYD66" s="5"/>
      <c r="IYE66" s="5"/>
      <c r="IYF66" s="5"/>
      <c r="IYG66" s="5"/>
      <c r="IYH66" s="5"/>
      <c r="IYI66" s="5"/>
      <c r="IYJ66" s="5"/>
      <c r="IYK66" s="5"/>
      <c r="IYL66" s="5"/>
      <c r="IYM66" s="5"/>
      <c r="IYN66" s="5"/>
      <c r="IYO66" s="5"/>
      <c r="IYP66" s="5"/>
      <c r="IYQ66" s="5"/>
      <c r="IYR66" s="5"/>
      <c r="IYS66" s="5"/>
      <c r="IYT66" s="5"/>
      <c r="IYU66" s="5"/>
      <c r="IYV66" s="5"/>
      <c r="IYW66" s="5"/>
      <c r="IYX66" s="5"/>
      <c r="IYY66" s="5"/>
      <c r="IYZ66" s="5"/>
      <c r="IZA66" s="5"/>
      <c r="IZB66" s="5"/>
      <c r="IZC66" s="5"/>
      <c r="IZD66" s="5"/>
      <c r="IZE66" s="5"/>
      <c r="IZF66" s="5"/>
      <c r="IZG66" s="5"/>
      <c r="IZH66" s="5"/>
      <c r="IZI66" s="5"/>
      <c r="IZJ66" s="5"/>
      <c r="IZK66" s="5"/>
      <c r="IZL66" s="5"/>
      <c r="IZM66" s="5"/>
      <c r="IZN66" s="5"/>
      <c r="IZO66" s="5"/>
      <c r="IZP66" s="5"/>
      <c r="IZQ66" s="5"/>
      <c r="IZR66" s="5"/>
      <c r="IZS66" s="5"/>
      <c r="IZT66" s="5"/>
      <c r="IZU66" s="5"/>
      <c r="IZV66" s="5"/>
      <c r="IZW66" s="5"/>
      <c r="IZX66" s="5"/>
      <c r="IZY66" s="5"/>
      <c r="IZZ66" s="5"/>
      <c r="JAA66" s="5"/>
      <c r="JAB66" s="5"/>
      <c r="JAC66" s="5"/>
      <c r="JAD66" s="5"/>
      <c r="JAE66" s="5"/>
      <c r="JAF66" s="5"/>
      <c r="JAG66" s="5"/>
      <c r="JAH66" s="5"/>
      <c r="JAI66" s="5"/>
      <c r="JAJ66" s="5"/>
      <c r="JAK66" s="5"/>
      <c r="JAL66" s="5"/>
      <c r="JAM66" s="5"/>
      <c r="JAN66" s="5"/>
      <c r="JAO66" s="5"/>
      <c r="JAP66" s="5"/>
      <c r="JAQ66" s="5"/>
      <c r="JAR66" s="5"/>
      <c r="JAS66" s="5"/>
      <c r="JAT66" s="5"/>
      <c r="JAU66" s="5"/>
      <c r="JAV66" s="5"/>
      <c r="JAW66" s="5"/>
      <c r="JAX66" s="5"/>
      <c r="JAY66" s="5"/>
      <c r="JAZ66" s="5"/>
      <c r="JBA66" s="5"/>
      <c r="JBB66" s="5"/>
      <c r="JBC66" s="5"/>
      <c r="JBD66" s="5"/>
      <c r="JBE66" s="5"/>
      <c r="JBF66" s="5"/>
      <c r="JBG66" s="5"/>
      <c r="JBH66" s="5"/>
      <c r="JBI66" s="5"/>
      <c r="JBJ66" s="5"/>
      <c r="JBK66" s="5"/>
      <c r="JBL66" s="5"/>
      <c r="JBM66" s="5"/>
      <c r="JBN66" s="5"/>
      <c r="JBO66" s="5"/>
      <c r="JBP66" s="5"/>
      <c r="JBQ66" s="5"/>
      <c r="JBR66" s="5"/>
      <c r="JBS66" s="5"/>
      <c r="JBT66" s="5"/>
      <c r="JBU66" s="5"/>
      <c r="JBV66" s="5"/>
      <c r="JBW66" s="5"/>
      <c r="JBX66" s="5"/>
      <c r="JBY66" s="5"/>
      <c r="JBZ66" s="5"/>
      <c r="JCA66" s="5"/>
      <c r="JCB66" s="5"/>
      <c r="JCC66" s="5"/>
      <c r="JCD66" s="5"/>
      <c r="JCE66" s="5"/>
      <c r="JCF66" s="5"/>
      <c r="JCG66" s="5"/>
      <c r="JCH66" s="5"/>
      <c r="JCI66" s="5"/>
      <c r="JCJ66" s="5"/>
      <c r="JCK66" s="5"/>
      <c r="JCL66" s="5"/>
      <c r="JCM66" s="5"/>
      <c r="JCN66" s="5"/>
      <c r="JCO66" s="5"/>
      <c r="JCP66" s="5"/>
      <c r="JCQ66" s="5"/>
      <c r="JCR66" s="5"/>
      <c r="JCS66" s="5"/>
      <c r="JCT66" s="5"/>
      <c r="JCU66" s="5"/>
      <c r="JCV66" s="5"/>
      <c r="JCW66" s="5"/>
      <c r="JCX66" s="5"/>
      <c r="JCY66" s="5"/>
      <c r="JCZ66" s="5"/>
      <c r="JDA66" s="5"/>
      <c r="JDB66" s="5"/>
      <c r="JDC66" s="5"/>
      <c r="JDD66" s="5"/>
      <c r="JDE66" s="5"/>
      <c r="JDF66" s="5"/>
      <c r="JDG66" s="5"/>
      <c r="JDH66" s="5"/>
      <c r="JDI66" s="5"/>
      <c r="JDJ66" s="5"/>
      <c r="JDK66" s="5"/>
      <c r="JDL66" s="5"/>
      <c r="JDM66" s="5"/>
      <c r="JDN66" s="5"/>
      <c r="JDO66" s="5"/>
      <c r="JDP66" s="5"/>
      <c r="JDQ66" s="5"/>
      <c r="JDR66" s="5"/>
      <c r="JDS66" s="5"/>
      <c r="JDT66" s="5"/>
      <c r="JDU66" s="5"/>
      <c r="JDV66" s="5"/>
      <c r="JDW66" s="5"/>
      <c r="JDX66" s="5"/>
      <c r="JDY66" s="5"/>
      <c r="JDZ66" s="5"/>
      <c r="JEA66" s="5"/>
      <c r="JEB66" s="5"/>
      <c r="JEC66" s="5"/>
      <c r="JED66" s="5"/>
      <c r="JEE66" s="5"/>
      <c r="JEF66" s="5"/>
      <c r="JEG66" s="5"/>
      <c r="JEH66" s="5"/>
      <c r="JEI66" s="5"/>
      <c r="JEJ66" s="5"/>
      <c r="JEK66" s="5"/>
      <c r="JEL66" s="5"/>
      <c r="JEM66" s="5"/>
      <c r="JEN66" s="5"/>
      <c r="JEO66" s="5"/>
      <c r="JEP66" s="5"/>
      <c r="JEQ66" s="5"/>
      <c r="JER66" s="5"/>
      <c r="JES66" s="5"/>
      <c r="JET66" s="5"/>
      <c r="JEU66" s="5"/>
      <c r="JEV66" s="5"/>
      <c r="JEW66" s="5"/>
      <c r="JEX66" s="5"/>
      <c r="JEY66" s="5"/>
      <c r="JEZ66" s="5"/>
      <c r="JFA66" s="5"/>
      <c r="JFB66" s="5"/>
      <c r="JFC66" s="5"/>
      <c r="JFD66" s="5"/>
      <c r="JFE66" s="5"/>
      <c r="JFF66" s="5"/>
      <c r="JFG66" s="5"/>
      <c r="JFH66" s="5"/>
      <c r="JFI66" s="5"/>
      <c r="JFJ66" s="5"/>
      <c r="JFK66" s="5"/>
      <c r="JFL66" s="5"/>
      <c r="JFM66" s="5"/>
      <c r="JFN66" s="5"/>
      <c r="JFO66" s="5"/>
      <c r="JFP66" s="5"/>
      <c r="JFQ66" s="5"/>
      <c r="JFR66" s="5"/>
      <c r="JFS66" s="5"/>
      <c r="JFT66" s="5"/>
      <c r="JFU66" s="5"/>
      <c r="JFV66" s="5"/>
      <c r="JFW66" s="5"/>
      <c r="JFX66" s="5"/>
      <c r="JFY66" s="5"/>
      <c r="JFZ66" s="5"/>
      <c r="JGA66" s="5"/>
      <c r="JGB66" s="5"/>
      <c r="JGC66" s="5"/>
      <c r="JGD66" s="5"/>
      <c r="JGE66" s="5"/>
      <c r="JGF66" s="5"/>
      <c r="JGG66" s="5"/>
      <c r="JGH66" s="5"/>
      <c r="JGI66" s="5"/>
      <c r="JGJ66" s="5"/>
      <c r="JGK66" s="5"/>
      <c r="JGL66" s="5"/>
      <c r="JGM66" s="5"/>
      <c r="JGN66" s="5"/>
      <c r="JGO66" s="5"/>
      <c r="JGP66" s="5"/>
      <c r="JGQ66" s="5"/>
      <c r="JGR66" s="5"/>
      <c r="JGS66" s="5"/>
      <c r="JGT66" s="5"/>
      <c r="JGU66" s="5"/>
      <c r="JGV66" s="5"/>
      <c r="JGW66" s="5"/>
      <c r="JGX66" s="5"/>
      <c r="JGY66" s="5"/>
      <c r="JGZ66" s="5"/>
      <c r="JHA66" s="5"/>
      <c r="JHB66" s="5"/>
      <c r="JHC66" s="5"/>
      <c r="JHD66" s="5"/>
      <c r="JHE66" s="5"/>
      <c r="JHF66" s="5"/>
      <c r="JHG66" s="5"/>
      <c r="JHH66" s="5"/>
      <c r="JHI66" s="5"/>
      <c r="JHJ66" s="5"/>
      <c r="JHK66" s="5"/>
      <c r="JHL66" s="5"/>
      <c r="JHM66" s="5"/>
      <c r="JHN66" s="5"/>
      <c r="JHO66" s="5"/>
      <c r="JHP66" s="5"/>
      <c r="JHQ66" s="5"/>
      <c r="JHR66" s="5"/>
      <c r="JHS66" s="5"/>
      <c r="JHT66" s="5"/>
      <c r="JHU66" s="5"/>
      <c r="JHV66" s="5"/>
      <c r="JHW66" s="5"/>
      <c r="JHX66" s="5"/>
      <c r="JHY66" s="5"/>
      <c r="JHZ66" s="5"/>
      <c r="JIA66" s="5"/>
      <c r="JIB66" s="5"/>
      <c r="JIC66" s="5"/>
      <c r="JID66" s="5"/>
      <c r="JIE66" s="5"/>
      <c r="JIF66" s="5"/>
      <c r="JIG66" s="5"/>
      <c r="JIH66" s="5"/>
      <c r="JII66" s="5"/>
      <c r="JIJ66" s="5"/>
      <c r="JIK66" s="5"/>
      <c r="JIL66" s="5"/>
      <c r="JIM66" s="5"/>
      <c r="JIN66" s="5"/>
      <c r="JIO66" s="5"/>
      <c r="JIP66" s="5"/>
      <c r="JIQ66" s="5"/>
      <c r="JIR66" s="5"/>
      <c r="JIS66" s="5"/>
      <c r="JIT66" s="5"/>
      <c r="JIU66" s="5"/>
      <c r="JIV66" s="5"/>
      <c r="JIW66" s="5"/>
      <c r="JIX66" s="5"/>
      <c r="JIY66" s="5"/>
      <c r="JIZ66" s="5"/>
      <c r="JJA66" s="5"/>
      <c r="JJB66" s="5"/>
      <c r="JJC66" s="5"/>
      <c r="JJD66" s="5"/>
      <c r="JJE66" s="5"/>
      <c r="JJF66" s="5"/>
      <c r="JJG66" s="5"/>
      <c r="JJH66" s="5"/>
      <c r="JJI66" s="5"/>
      <c r="JJJ66" s="5"/>
      <c r="JJK66" s="5"/>
      <c r="JJL66" s="5"/>
      <c r="JJM66" s="5"/>
      <c r="JJN66" s="5"/>
      <c r="JJO66" s="5"/>
      <c r="JJP66" s="5"/>
      <c r="JJQ66" s="5"/>
      <c r="JJR66" s="5"/>
      <c r="JJS66" s="5"/>
      <c r="JJT66" s="5"/>
      <c r="JJU66" s="5"/>
      <c r="JJV66" s="5"/>
      <c r="JJW66" s="5"/>
      <c r="JJX66" s="5"/>
      <c r="JJY66" s="5"/>
      <c r="JJZ66" s="5"/>
      <c r="JKA66" s="5"/>
      <c r="JKB66" s="5"/>
      <c r="JKC66" s="5"/>
      <c r="JKD66" s="5"/>
      <c r="JKE66" s="5"/>
      <c r="JKF66" s="5"/>
      <c r="JKG66" s="5"/>
      <c r="JKH66" s="5"/>
      <c r="JKI66" s="5"/>
      <c r="JKJ66" s="5"/>
      <c r="JKK66" s="5"/>
      <c r="JKL66" s="5"/>
      <c r="JKM66" s="5"/>
      <c r="JKN66" s="5"/>
      <c r="JKO66" s="5"/>
      <c r="JKP66" s="5"/>
      <c r="JKQ66" s="5"/>
      <c r="JKR66" s="5"/>
      <c r="JKS66" s="5"/>
      <c r="JKT66" s="5"/>
      <c r="JKU66" s="5"/>
      <c r="JKV66" s="5"/>
      <c r="JKW66" s="5"/>
      <c r="JKX66" s="5"/>
      <c r="JKY66" s="5"/>
      <c r="JKZ66" s="5"/>
      <c r="JLA66" s="5"/>
      <c r="JLB66" s="5"/>
      <c r="JLC66" s="5"/>
      <c r="JLD66" s="5"/>
      <c r="JLE66" s="5"/>
      <c r="JLF66" s="5"/>
      <c r="JLG66" s="5"/>
      <c r="JLH66" s="5"/>
      <c r="JLI66" s="5"/>
      <c r="JLJ66" s="5"/>
      <c r="JLK66" s="5"/>
      <c r="JLL66" s="5"/>
      <c r="JLM66" s="5"/>
      <c r="JLN66" s="5"/>
      <c r="JLO66" s="5"/>
      <c r="JLP66" s="5"/>
      <c r="JLQ66" s="5"/>
      <c r="JLR66" s="5"/>
      <c r="JLS66" s="5"/>
      <c r="JLT66" s="5"/>
      <c r="JLU66" s="5"/>
      <c r="JLV66" s="5"/>
      <c r="JLW66" s="5"/>
      <c r="JLX66" s="5"/>
      <c r="JLY66" s="5"/>
      <c r="JLZ66" s="5"/>
      <c r="JMA66" s="5"/>
      <c r="JMB66" s="5"/>
      <c r="JMC66" s="5"/>
      <c r="JMD66" s="5"/>
      <c r="JME66" s="5"/>
      <c r="JMF66" s="5"/>
      <c r="JMG66" s="5"/>
      <c r="JMH66" s="5"/>
      <c r="JMI66" s="5"/>
      <c r="JMJ66" s="5"/>
      <c r="JMK66" s="5"/>
      <c r="JML66" s="5"/>
      <c r="JMM66" s="5"/>
      <c r="JMN66" s="5"/>
      <c r="JMO66" s="5"/>
      <c r="JMP66" s="5"/>
      <c r="JMQ66" s="5"/>
      <c r="JMR66" s="5"/>
      <c r="JMS66" s="5"/>
      <c r="JMT66" s="5"/>
      <c r="JMU66" s="5"/>
      <c r="JMV66" s="5"/>
      <c r="JMW66" s="5"/>
      <c r="JMX66" s="5"/>
      <c r="JMY66" s="5"/>
      <c r="JMZ66" s="5"/>
      <c r="JNA66" s="5"/>
      <c r="JNB66" s="5"/>
      <c r="JNC66" s="5"/>
      <c r="JND66" s="5"/>
      <c r="JNE66" s="5"/>
      <c r="JNF66" s="5"/>
      <c r="JNG66" s="5"/>
      <c r="JNH66" s="5"/>
      <c r="JNI66" s="5"/>
      <c r="JNJ66" s="5"/>
      <c r="JNK66" s="5"/>
      <c r="JNL66" s="5"/>
      <c r="JNM66" s="5"/>
      <c r="JNN66" s="5"/>
      <c r="JNO66" s="5"/>
      <c r="JNP66" s="5"/>
      <c r="JNQ66" s="5"/>
      <c r="JNR66" s="5"/>
      <c r="JNS66" s="5"/>
      <c r="JNT66" s="5"/>
      <c r="JNU66" s="5"/>
      <c r="JNV66" s="5"/>
      <c r="JNW66" s="5"/>
      <c r="JNX66" s="5"/>
      <c r="JNY66" s="5"/>
      <c r="JNZ66" s="5"/>
      <c r="JOA66" s="5"/>
      <c r="JOB66" s="5"/>
      <c r="JOC66" s="5"/>
      <c r="JOD66" s="5"/>
      <c r="JOE66" s="5"/>
      <c r="JOF66" s="5"/>
      <c r="JOG66" s="5"/>
      <c r="JOH66" s="5"/>
      <c r="JOI66" s="5"/>
      <c r="JOJ66" s="5"/>
      <c r="JOK66" s="5"/>
      <c r="JOL66" s="5"/>
      <c r="JOM66" s="5"/>
      <c r="JON66" s="5"/>
      <c r="JOO66" s="5"/>
      <c r="JOP66" s="5"/>
      <c r="JOQ66" s="5"/>
      <c r="JOR66" s="5"/>
      <c r="JOS66" s="5"/>
      <c r="JOT66" s="5"/>
      <c r="JOU66" s="5"/>
      <c r="JOV66" s="5"/>
      <c r="JOW66" s="5"/>
      <c r="JOX66" s="5"/>
      <c r="JOY66" s="5"/>
      <c r="JOZ66" s="5"/>
      <c r="JPA66" s="5"/>
      <c r="JPB66" s="5"/>
      <c r="JPC66" s="5"/>
      <c r="JPD66" s="5"/>
      <c r="JPE66" s="5"/>
      <c r="JPF66" s="5"/>
      <c r="JPG66" s="5"/>
      <c r="JPH66" s="5"/>
      <c r="JPI66" s="5"/>
      <c r="JPJ66" s="5"/>
      <c r="JPK66" s="5"/>
      <c r="JPL66" s="5"/>
      <c r="JPM66" s="5"/>
      <c r="JPN66" s="5"/>
      <c r="JPO66" s="5"/>
      <c r="JPP66" s="5"/>
      <c r="JPQ66" s="5"/>
      <c r="JPR66" s="5"/>
      <c r="JPS66" s="5"/>
      <c r="JPT66" s="5"/>
      <c r="JPU66" s="5"/>
      <c r="JPV66" s="5"/>
      <c r="JPW66" s="5"/>
      <c r="JPX66" s="5"/>
      <c r="JPY66" s="5"/>
      <c r="JPZ66" s="5"/>
      <c r="JQA66" s="5"/>
      <c r="JQB66" s="5"/>
      <c r="JQC66" s="5"/>
      <c r="JQD66" s="5"/>
      <c r="JQE66" s="5"/>
      <c r="JQF66" s="5"/>
      <c r="JQG66" s="5"/>
      <c r="JQH66" s="5"/>
      <c r="JQI66" s="5"/>
      <c r="JQJ66" s="5"/>
      <c r="JQK66" s="5"/>
      <c r="JQL66" s="5"/>
      <c r="JQM66" s="5"/>
      <c r="JQN66" s="5"/>
      <c r="JQO66" s="5"/>
      <c r="JQP66" s="5"/>
      <c r="JQQ66" s="5"/>
      <c r="JQR66" s="5"/>
      <c r="JQS66" s="5"/>
      <c r="JQT66" s="5"/>
      <c r="JQU66" s="5"/>
      <c r="JQV66" s="5"/>
      <c r="JQW66" s="5"/>
      <c r="JQX66" s="5"/>
      <c r="JQY66" s="5"/>
      <c r="JQZ66" s="5"/>
      <c r="JRA66" s="5"/>
      <c r="JRB66" s="5"/>
      <c r="JRC66" s="5"/>
      <c r="JRD66" s="5"/>
      <c r="JRE66" s="5"/>
      <c r="JRF66" s="5"/>
      <c r="JRG66" s="5"/>
      <c r="JRH66" s="5"/>
      <c r="JRI66" s="5"/>
      <c r="JRJ66" s="5"/>
      <c r="JRK66" s="5"/>
      <c r="JRL66" s="5"/>
      <c r="JRM66" s="5"/>
      <c r="JRN66" s="5"/>
      <c r="JRO66" s="5"/>
      <c r="JRP66" s="5"/>
      <c r="JRQ66" s="5"/>
      <c r="JRR66" s="5"/>
      <c r="JRS66" s="5"/>
      <c r="JRT66" s="5"/>
      <c r="JRU66" s="5"/>
      <c r="JRV66" s="5"/>
      <c r="JRW66" s="5"/>
      <c r="JRX66" s="5"/>
      <c r="JRY66" s="5"/>
      <c r="JRZ66" s="5"/>
      <c r="JSA66" s="5"/>
      <c r="JSB66" s="5"/>
      <c r="JSC66" s="5"/>
      <c r="JSD66" s="5"/>
      <c r="JSE66" s="5"/>
      <c r="JSF66" s="5"/>
      <c r="JSG66" s="5"/>
      <c r="JSH66" s="5"/>
      <c r="JSI66" s="5"/>
      <c r="JSJ66" s="5"/>
      <c r="JSK66" s="5"/>
      <c r="JSL66" s="5"/>
      <c r="JSM66" s="5"/>
      <c r="JSN66" s="5"/>
      <c r="JSO66" s="5"/>
      <c r="JSP66" s="5"/>
      <c r="JSQ66" s="5"/>
      <c r="JSR66" s="5"/>
      <c r="JSS66" s="5"/>
      <c r="JST66" s="5"/>
      <c r="JSU66" s="5"/>
      <c r="JSV66" s="5"/>
      <c r="JSW66" s="5"/>
      <c r="JSX66" s="5"/>
      <c r="JSY66" s="5"/>
      <c r="JSZ66" s="5"/>
      <c r="JTA66" s="5"/>
      <c r="JTB66" s="5"/>
      <c r="JTC66" s="5"/>
      <c r="JTD66" s="5"/>
      <c r="JTE66" s="5"/>
      <c r="JTF66" s="5"/>
      <c r="JTG66" s="5"/>
      <c r="JTH66" s="5"/>
      <c r="JTI66" s="5"/>
      <c r="JTJ66" s="5"/>
      <c r="JTK66" s="5"/>
      <c r="JTL66" s="5"/>
      <c r="JTM66" s="5"/>
      <c r="JTN66" s="5"/>
      <c r="JTO66" s="5"/>
      <c r="JTP66" s="5"/>
      <c r="JTQ66" s="5"/>
      <c r="JTR66" s="5"/>
      <c r="JTS66" s="5"/>
      <c r="JTT66" s="5"/>
      <c r="JTU66" s="5"/>
      <c r="JTV66" s="5"/>
      <c r="JTW66" s="5"/>
      <c r="JTX66" s="5"/>
      <c r="JTY66" s="5"/>
      <c r="JTZ66" s="5"/>
      <c r="JUA66" s="5"/>
      <c r="JUB66" s="5"/>
      <c r="JUC66" s="5"/>
      <c r="JUD66" s="5"/>
      <c r="JUE66" s="5"/>
      <c r="JUF66" s="5"/>
      <c r="JUG66" s="5"/>
      <c r="JUH66" s="5"/>
      <c r="JUI66" s="5"/>
      <c r="JUJ66" s="5"/>
      <c r="JUK66" s="5"/>
      <c r="JUL66" s="5"/>
      <c r="JUM66" s="5"/>
      <c r="JUN66" s="5"/>
      <c r="JUO66" s="5"/>
      <c r="JUP66" s="5"/>
      <c r="JUQ66" s="5"/>
      <c r="JUR66" s="5"/>
      <c r="JUS66" s="5"/>
      <c r="JUT66" s="5"/>
      <c r="JUU66" s="5"/>
      <c r="JUV66" s="5"/>
      <c r="JUW66" s="5"/>
      <c r="JUX66" s="5"/>
      <c r="JUY66" s="5"/>
      <c r="JUZ66" s="5"/>
      <c r="JVA66" s="5"/>
      <c r="JVB66" s="5"/>
      <c r="JVC66" s="5"/>
      <c r="JVD66" s="5"/>
      <c r="JVE66" s="5"/>
      <c r="JVF66" s="5"/>
      <c r="JVG66" s="5"/>
      <c r="JVH66" s="5"/>
      <c r="JVI66" s="5"/>
      <c r="JVJ66" s="5"/>
      <c r="JVK66" s="5"/>
      <c r="JVL66" s="5"/>
      <c r="JVM66" s="5"/>
      <c r="JVN66" s="5"/>
      <c r="JVO66" s="5"/>
      <c r="JVP66" s="5"/>
      <c r="JVQ66" s="5"/>
      <c r="JVR66" s="5"/>
      <c r="JVS66" s="5"/>
      <c r="JVT66" s="5"/>
      <c r="JVU66" s="5"/>
      <c r="JVV66" s="5"/>
      <c r="JVW66" s="5"/>
      <c r="JVX66" s="5"/>
      <c r="JVY66" s="5"/>
      <c r="JVZ66" s="5"/>
      <c r="JWA66" s="5"/>
      <c r="JWB66" s="5"/>
      <c r="JWC66" s="5"/>
      <c r="JWD66" s="5"/>
      <c r="JWE66" s="5"/>
      <c r="JWF66" s="5"/>
      <c r="JWG66" s="5"/>
      <c r="JWH66" s="5"/>
      <c r="JWI66" s="5"/>
      <c r="JWJ66" s="5"/>
      <c r="JWK66" s="5"/>
      <c r="JWL66" s="5"/>
      <c r="JWM66" s="5"/>
      <c r="JWN66" s="5"/>
      <c r="JWO66" s="5"/>
      <c r="JWP66" s="5"/>
      <c r="JWQ66" s="5"/>
      <c r="JWR66" s="5"/>
      <c r="JWS66" s="5"/>
      <c r="JWT66" s="5"/>
      <c r="JWU66" s="5"/>
      <c r="JWV66" s="5"/>
      <c r="JWW66" s="5"/>
      <c r="JWX66" s="5"/>
      <c r="JWY66" s="5"/>
      <c r="JWZ66" s="5"/>
      <c r="JXA66" s="5"/>
      <c r="JXB66" s="5"/>
      <c r="JXC66" s="5"/>
      <c r="JXD66" s="5"/>
      <c r="JXE66" s="5"/>
      <c r="JXF66" s="5"/>
      <c r="JXG66" s="5"/>
      <c r="JXH66" s="5"/>
      <c r="JXI66" s="5"/>
      <c r="JXJ66" s="5"/>
      <c r="JXK66" s="5"/>
      <c r="JXL66" s="5"/>
      <c r="JXM66" s="5"/>
      <c r="JXN66" s="5"/>
      <c r="JXO66" s="5"/>
      <c r="JXP66" s="5"/>
      <c r="JXQ66" s="5"/>
      <c r="JXR66" s="5"/>
      <c r="JXS66" s="5"/>
      <c r="JXT66" s="5"/>
      <c r="JXU66" s="5"/>
      <c r="JXV66" s="5"/>
      <c r="JXW66" s="5"/>
      <c r="JXX66" s="5"/>
      <c r="JXY66" s="5"/>
      <c r="JXZ66" s="5"/>
      <c r="JYA66" s="5"/>
      <c r="JYB66" s="5"/>
      <c r="JYC66" s="5"/>
      <c r="JYD66" s="5"/>
      <c r="JYE66" s="5"/>
      <c r="JYF66" s="5"/>
      <c r="JYG66" s="5"/>
      <c r="JYH66" s="5"/>
      <c r="JYI66" s="5"/>
      <c r="JYJ66" s="5"/>
      <c r="JYK66" s="5"/>
      <c r="JYL66" s="5"/>
      <c r="JYM66" s="5"/>
      <c r="JYN66" s="5"/>
      <c r="JYO66" s="5"/>
      <c r="JYP66" s="5"/>
      <c r="JYQ66" s="5"/>
      <c r="JYR66" s="5"/>
      <c r="JYS66" s="5"/>
      <c r="JYT66" s="5"/>
      <c r="JYU66" s="5"/>
      <c r="JYV66" s="5"/>
      <c r="JYW66" s="5"/>
      <c r="JYX66" s="5"/>
      <c r="JYY66" s="5"/>
      <c r="JYZ66" s="5"/>
      <c r="JZA66" s="5"/>
      <c r="JZB66" s="5"/>
      <c r="JZC66" s="5"/>
      <c r="JZD66" s="5"/>
      <c r="JZE66" s="5"/>
      <c r="JZF66" s="5"/>
      <c r="JZG66" s="5"/>
      <c r="JZH66" s="5"/>
      <c r="JZI66" s="5"/>
      <c r="JZJ66" s="5"/>
      <c r="JZK66" s="5"/>
      <c r="JZL66" s="5"/>
      <c r="JZM66" s="5"/>
      <c r="JZN66" s="5"/>
      <c r="JZO66" s="5"/>
      <c r="JZP66" s="5"/>
      <c r="JZQ66" s="5"/>
      <c r="JZR66" s="5"/>
      <c r="JZS66" s="5"/>
      <c r="JZT66" s="5"/>
      <c r="JZU66" s="5"/>
      <c r="JZV66" s="5"/>
      <c r="JZW66" s="5"/>
      <c r="JZX66" s="5"/>
      <c r="JZY66" s="5"/>
      <c r="JZZ66" s="5"/>
      <c r="KAA66" s="5"/>
      <c r="KAB66" s="5"/>
      <c r="KAC66" s="5"/>
      <c r="KAD66" s="5"/>
      <c r="KAE66" s="5"/>
      <c r="KAF66" s="5"/>
      <c r="KAG66" s="5"/>
      <c r="KAH66" s="5"/>
      <c r="KAI66" s="5"/>
      <c r="KAJ66" s="5"/>
      <c r="KAK66" s="5"/>
      <c r="KAL66" s="5"/>
      <c r="KAM66" s="5"/>
      <c r="KAN66" s="5"/>
      <c r="KAO66" s="5"/>
      <c r="KAP66" s="5"/>
      <c r="KAQ66" s="5"/>
      <c r="KAR66" s="5"/>
      <c r="KAS66" s="5"/>
      <c r="KAT66" s="5"/>
      <c r="KAU66" s="5"/>
      <c r="KAV66" s="5"/>
      <c r="KAW66" s="5"/>
      <c r="KAX66" s="5"/>
      <c r="KAY66" s="5"/>
      <c r="KAZ66" s="5"/>
      <c r="KBA66" s="5"/>
      <c r="KBB66" s="5"/>
      <c r="KBC66" s="5"/>
      <c r="KBD66" s="5"/>
      <c r="KBE66" s="5"/>
      <c r="KBF66" s="5"/>
      <c r="KBG66" s="5"/>
      <c r="KBH66" s="5"/>
      <c r="KBI66" s="5"/>
      <c r="KBJ66" s="5"/>
      <c r="KBK66" s="5"/>
      <c r="KBL66" s="5"/>
      <c r="KBM66" s="5"/>
      <c r="KBN66" s="5"/>
      <c r="KBO66" s="5"/>
      <c r="KBP66" s="5"/>
      <c r="KBQ66" s="5"/>
      <c r="KBR66" s="5"/>
      <c r="KBS66" s="5"/>
      <c r="KBT66" s="5"/>
      <c r="KBU66" s="5"/>
      <c r="KBV66" s="5"/>
      <c r="KBW66" s="5"/>
      <c r="KBX66" s="5"/>
      <c r="KBY66" s="5"/>
      <c r="KBZ66" s="5"/>
      <c r="KCA66" s="5"/>
      <c r="KCB66" s="5"/>
      <c r="KCC66" s="5"/>
      <c r="KCD66" s="5"/>
      <c r="KCE66" s="5"/>
      <c r="KCF66" s="5"/>
      <c r="KCG66" s="5"/>
      <c r="KCH66" s="5"/>
      <c r="KCI66" s="5"/>
      <c r="KCJ66" s="5"/>
      <c r="KCK66" s="5"/>
      <c r="KCL66" s="5"/>
      <c r="KCM66" s="5"/>
      <c r="KCN66" s="5"/>
      <c r="KCO66" s="5"/>
      <c r="KCP66" s="5"/>
      <c r="KCQ66" s="5"/>
      <c r="KCR66" s="5"/>
      <c r="KCS66" s="5"/>
      <c r="KCT66" s="5"/>
      <c r="KCU66" s="5"/>
      <c r="KCV66" s="5"/>
      <c r="KCW66" s="5"/>
      <c r="KCX66" s="5"/>
      <c r="KCY66" s="5"/>
      <c r="KCZ66" s="5"/>
      <c r="KDA66" s="5"/>
      <c r="KDB66" s="5"/>
      <c r="KDC66" s="5"/>
      <c r="KDD66" s="5"/>
      <c r="KDE66" s="5"/>
      <c r="KDF66" s="5"/>
      <c r="KDG66" s="5"/>
      <c r="KDH66" s="5"/>
      <c r="KDI66" s="5"/>
      <c r="KDJ66" s="5"/>
      <c r="KDK66" s="5"/>
      <c r="KDL66" s="5"/>
      <c r="KDM66" s="5"/>
      <c r="KDN66" s="5"/>
      <c r="KDO66" s="5"/>
      <c r="KDP66" s="5"/>
      <c r="KDQ66" s="5"/>
      <c r="KDR66" s="5"/>
      <c r="KDS66" s="5"/>
      <c r="KDT66" s="5"/>
      <c r="KDU66" s="5"/>
      <c r="KDV66" s="5"/>
      <c r="KDW66" s="5"/>
      <c r="KDX66" s="5"/>
      <c r="KDY66" s="5"/>
      <c r="KDZ66" s="5"/>
      <c r="KEA66" s="5"/>
      <c r="KEB66" s="5"/>
      <c r="KEC66" s="5"/>
      <c r="KED66" s="5"/>
      <c r="KEE66" s="5"/>
      <c r="KEF66" s="5"/>
      <c r="KEG66" s="5"/>
      <c r="KEH66" s="5"/>
      <c r="KEI66" s="5"/>
      <c r="KEJ66" s="5"/>
      <c r="KEK66" s="5"/>
      <c r="KEL66" s="5"/>
      <c r="KEM66" s="5"/>
      <c r="KEN66" s="5"/>
      <c r="KEO66" s="5"/>
      <c r="KEP66" s="5"/>
      <c r="KEQ66" s="5"/>
      <c r="KER66" s="5"/>
      <c r="KES66" s="5"/>
      <c r="KET66" s="5"/>
      <c r="KEU66" s="5"/>
      <c r="KEV66" s="5"/>
      <c r="KEW66" s="5"/>
      <c r="KEX66" s="5"/>
      <c r="KEY66" s="5"/>
      <c r="KEZ66" s="5"/>
      <c r="KFA66" s="5"/>
      <c r="KFB66" s="5"/>
      <c r="KFC66" s="5"/>
      <c r="KFD66" s="5"/>
      <c r="KFE66" s="5"/>
      <c r="KFF66" s="5"/>
      <c r="KFG66" s="5"/>
      <c r="KFH66" s="5"/>
      <c r="KFI66" s="5"/>
      <c r="KFJ66" s="5"/>
      <c r="KFK66" s="5"/>
      <c r="KFL66" s="5"/>
      <c r="KFM66" s="5"/>
      <c r="KFN66" s="5"/>
      <c r="KFO66" s="5"/>
      <c r="KFP66" s="5"/>
      <c r="KFQ66" s="5"/>
      <c r="KFR66" s="5"/>
      <c r="KFS66" s="5"/>
      <c r="KFT66" s="5"/>
      <c r="KFU66" s="5"/>
      <c r="KFV66" s="5"/>
      <c r="KFW66" s="5"/>
      <c r="KFX66" s="5"/>
      <c r="KFY66" s="5"/>
      <c r="KFZ66" s="5"/>
      <c r="KGA66" s="5"/>
      <c r="KGB66" s="5"/>
      <c r="KGC66" s="5"/>
      <c r="KGD66" s="5"/>
      <c r="KGE66" s="5"/>
      <c r="KGF66" s="5"/>
      <c r="KGG66" s="5"/>
      <c r="KGH66" s="5"/>
      <c r="KGI66" s="5"/>
      <c r="KGJ66" s="5"/>
      <c r="KGK66" s="5"/>
      <c r="KGL66" s="5"/>
      <c r="KGM66" s="5"/>
      <c r="KGN66" s="5"/>
      <c r="KGO66" s="5"/>
      <c r="KGP66" s="5"/>
      <c r="KGQ66" s="5"/>
      <c r="KGR66" s="5"/>
      <c r="KGS66" s="5"/>
      <c r="KGT66" s="5"/>
      <c r="KGU66" s="5"/>
      <c r="KGV66" s="5"/>
      <c r="KGW66" s="5"/>
      <c r="KGX66" s="5"/>
      <c r="KGY66" s="5"/>
      <c r="KGZ66" s="5"/>
      <c r="KHA66" s="5"/>
      <c r="KHB66" s="5"/>
      <c r="KHC66" s="5"/>
      <c r="KHD66" s="5"/>
      <c r="KHE66" s="5"/>
      <c r="KHF66" s="5"/>
      <c r="KHG66" s="5"/>
      <c r="KHH66" s="5"/>
      <c r="KHI66" s="5"/>
      <c r="KHJ66" s="5"/>
      <c r="KHK66" s="5"/>
      <c r="KHL66" s="5"/>
      <c r="KHM66" s="5"/>
      <c r="KHN66" s="5"/>
      <c r="KHO66" s="5"/>
      <c r="KHP66" s="5"/>
      <c r="KHQ66" s="5"/>
      <c r="KHR66" s="5"/>
      <c r="KHS66" s="5"/>
      <c r="KHT66" s="5"/>
      <c r="KHU66" s="5"/>
      <c r="KHV66" s="5"/>
      <c r="KHW66" s="5"/>
      <c r="KHX66" s="5"/>
      <c r="KHY66" s="5"/>
      <c r="KHZ66" s="5"/>
      <c r="KIA66" s="5"/>
      <c r="KIB66" s="5"/>
      <c r="KIC66" s="5"/>
      <c r="KID66" s="5"/>
      <c r="KIE66" s="5"/>
      <c r="KIF66" s="5"/>
      <c r="KIG66" s="5"/>
      <c r="KIH66" s="5"/>
      <c r="KII66" s="5"/>
      <c r="KIJ66" s="5"/>
      <c r="KIK66" s="5"/>
      <c r="KIL66" s="5"/>
      <c r="KIM66" s="5"/>
      <c r="KIN66" s="5"/>
      <c r="KIO66" s="5"/>
      <c r="KIP66" s="5"/>
      <c r="KIQ66" s="5"/>
      <c r="KIR66" s="5"/>
      <c r="KIS66" s="5"/>
      <c r="KIT66" s="5"/>
      <c r="KIU66" s="5"/>
      <c r="KIV66" s="5"/>
      <c r="KIW66" s="5"/>
      <c r="KIX66" s="5"/>
      <c r="KIY66" s="5"/>
      <c r="KIZ66" s="5"/>
      <c r="KJA66" s="5"/>
      <c r="KJB66" s="5"/>
      <c r="KJC66" s="5"/>
      <c r="KJD66" s="5"/>
      <c r="KJE66" s="5"/>
      <c r="KJF66" s="5"/>
      <c r="KJG66" s="5"/>
      <c r="KJH66" s="5"/>
      <c r="KJI66" s="5"/>
      <c r="KJJ66" s="5"/>
      <c r="KJK66" s="5"/>
      <c r="KJL66" s="5"/>
      <c r="KJM66" s="5"/>
      <c r="KJN66" s="5"/>
      <c r="KJO66" s="5"/>
      <c r="KJP66" s="5"/>
      <c r="KJQ66" s="5"/>
      <c r="KJR66" s="5"/>
      <c r="KJS66" s="5"/>
      <c r="KJT66" s="5"/>
      <c r="KJU66" s="5"/>
      <c r="KJV66" s="5"/>
      <c r="KJW66" s="5"/>
      <c r="KJX66" s="5"/>
      <c r="KJY66" s="5"/>
      <c r="KJZ66" s="5"/>
      <c r="KKA66" s="5"/>
      <c r="KKB66" s="5"/>
      <c r="KKC66" s="5"/>
      <c r="KKD66" s="5"/>
      <c r="KKE66" s="5"/>
      <c r="KKF66" s="5"/>
      <c r="KKG66" s="5"/>
      <c r="KKH66" s="5"/>
      <c r="KKI66" s="5"/>
      <c r="KKJ66" s="5"/>
      <c r="KKK66" s="5"/>
      <c r="KKL66" s="5"/>
      <c r="KKM66" s="5"/>
      <c r="KKN66" s="5"/>
      <c r="KKO66" s="5"/>
      <c r="KKP66" s="5"/>
      <c r="KKQ66" s="5"/>
      <c r="KKR66" s="5"/>
      <c r="KKS66" s="5"/>
      <c r="KKT66" s="5"/>
      <c r="KKU66" s="5"/>
      <c r="KKV66" s="5"/>
      <c r="KKW66" s="5"/>
      <c r="KKX66" s="5"/>
      <c r="KKY66" s="5"/>
      <c r="KKZ66" s="5"/>
      <c r="KLA66" s="5"/>
      <c r="KLB66" s="5"/>
      <c r="KLC66" s="5"/>
      <c r="KLD66" s="5"/>
      <c r="KLE66" s="5"/>
      <c r="KLF66" s="5"/>
      <c r="KLG66" s="5"/>
      <c r="KLH66" s="5"/>
      <c r="KLI66" s="5"/>
      <c r="KLJ66" s="5"/>
      <c r="KLK66" s="5"/>
      <c r="KLL66" s="5"/>
      <c r="KLM66" s="5"/>
      <c r="KLN66" s="5"/>
      <c r="KLO66" s="5"/>
      <c r="KLP66" s="5"/>
      <c r="KLQ66" s="5"/>
      <c r="KLR66" s="5"/>
      <c r="KLS66" s="5"/>
      <c r="KLT66" s="5"/>
      <c r="KLU66" s="5"/>
      <c r="KLV66" s="5"/>
      <c r="KLW66" s="5"/>
      <c r="KLX66" s="5"/>
      <c r="KLY66" s="5"/>
      <c r="KLZ66" s="5"/>
      <c r="KMA66" s="5"/>
      <c r="KMB66" s="5"/>
      <c r="KMC66" s="5"/>
      <c r="KMD66" s="5"/>
      <c r="KME66" s="5"/>
      <c r="KMF66" s="5"/>
      <c r="KMG66" s="5"/>
      <c r="KMH66" s="5"/>
      <c r="KMI66" s="5"/>
      <c r="KMJ66" s="5"/>
      <c r="KMK66" s="5"/>
      <c r="KML66" s="5"/>
      <c r="KMM66" s="5"/>
      <c r="KMN66" s="5"/>
      <c r="KMO66" s="5"/>
      <c r="KMP66" s="5"/>
      <c r="KMQ66" s="5"/>
      <c r="KMR66" s="5"/>
      <c r="KMS66" s="5"/>
      <c r="KMT66" s="5"/>
      <c r="KMU66" s="5"/>
      <c r="KMV66" s="5"/>
      <c r="KMW66" s="5"/>
      <c r="KMX66" s="5"/>
      <c r="KMY66" s="5"/>
      <c r="KMZ66" s="5"/>
      <c r="KNA66" s="5"/>
      <c r="KNB66" s="5"/>
      <c r="KNC66" s="5"/>
      <c r="KND66" s="5"/>
      <c r="KNE66" s="5"/>
      <c r="KNF66" s="5"/>
      <c r="KNG66" s="5"/>
      <c r="KNH66" s="5"/>
      <c r="KNI66" s="5"/>
      <c r="KNJ66" s="5"/>
      <c r="KNK66" s="5"/>
      <c r="KNL66" s="5"/>
      <c r="KNM66" s="5"/>
      <c r="KNN66" s="5"/>
      <c r="KNO66" s="5"/>
      <c r="KNP66" s="5"/>
      <c r="KNQ66" s="5"/>
      <c r="KNR66" s="5"/>
      <c r="KNS66" s="5"/>
      <c r="KNT66" s="5"/>
      <c r="KNU66" s="5"/>
      <c r="KNV66" s="5"/>
      <c r="KNW66" s="5"/>
      <c r="KNX66" s="5"/>
      <c r="KNY66" s="5"/>
      <c r="KNZ66" s="5"/>
      <c r="KOA66" s="5"/>
      <c r="KOB66" s="5"/>
      <c r="KOC66" s="5"/>
      <c r="KOD66" s="5"/>
      <c r="KOE66" s="5"/>
      <c r="KOF66" s="5"/>
      <c r="KOG66" s="5"/>
      <c r="KOH66" s="5"/>
      <c r="KOI66" s="5"/>
      <c r="KOJ66" s="5"/>
      <c r="KOK66" s="5"/>
      <c r="KOL66" s="5"/>
      <c r="KOM66" s="5"/>
      <c r="KON66" s="5"/>
      <c r="KOO66" s="5"/>
      <c r="KOP66" s="5"/>
      <c r="KOQ66" s="5"/>
      <c r="KOR66" s="5"/>
      <c r="KOS66" s="5"/>
      <c r="KOT66" s="5"/>
      <c r="KOU66" s="5"/>
      <c r="KOV66" s="5"/>
      <c r="KOW66" s="5"/>
      <c r="KOX66" s="5"/>
      <c r="KOY66" s="5"/>
      <c r="KOZ66" s="5"/>
      <c r="KPA66" s="5"/>
      <c r="KPB66" s="5"/>
      <c r="KPC66" s="5"/>
      <c r="KPD66" s="5"/>
      <c r="KPE66" s="5"/>
      <c r="KPF66" s="5"/>
      <c r="KPG66" s="5"/>
      <c r="KPH66" s="5"/>
      <c r="KPI66" s="5"/>
      <c r="KPJ66" s="5"/>
      <c r="KPK66" s="5"/>
      <c r="KPL66" s="5"/>
      <c r="KPM66" s="5"/>
      <c r="KPN66" s="5"/>
      <c r="KPO66" s="5"/>
      <c r="KPP66" s="5"/>
      <c r="KPQ66" s="5"/>
      <c r="KPR66" s="5"/>
      <c r="KPS66" s="5"/>
      <c r="KPT66" s="5"/>
      <c r="KPU66" s="5"/>
      <c r="KPV66" s="5"/>
      <c r="KPW66" s="5"/>
      <c r="KPX66" s="5"/>
      <c r="KPY66" s="5"/>
      <c r="KPZ66" s="5"/>
      <c r="KQA66" s="5"/>
      <c r="KQB66" s="5"/>
      <c r="KQC66" s="5"/>
      <c r="KQD66" s="5"/>
      <c r="KQE66" s="5"/>
      <c r="KQF66" s="5"/>
      <c r="KQG66" s="5"/>
      <c r="KQH66" s="5"/>
      <c r="KQI66" s="5"/>
      <c r="KQJ66" s="5"/>
      <c r="KQK66" s="5"/>
      <c r="KQL66" s="5"/>
      <c r="KQM66" s="5"/>
      <c r="KQN66" s="5"/>
      <c r="KQO66" s="5"/>
      <c r="KQP66" s="5"/>
      <c r="KQQ66" s="5"/>
      <c r="KQR66" s="5"/>
      <c r="KQS66" s="5"/>
      <c r="KQT66" s="5"/>
      <c r="KQU66" s="5"/>
      <c r="KQV66" s="5"/>
      <c r="KQW66" s="5"/>
      <c r="KQX66" s="5"/>
      <c r="KQY66" s="5"/>
      <c r="KQZ66" s="5"/>
      <c r="KRA66" s="5"/>
      <c r="KRB66" s="5"/>
      <c r="KRC66" s="5"/>
      <c r="KRD66" s="5"/>
      <c r="KRE66" s="5"/>
      <c r="KRF66" s="5"/>
      <c r="KRG66" s="5"/>
      <c r="KRH66" s="5"/>
      <c r="KRI66" s="5"/>
      <c r="KRJ66" s="5"/>
      <c r="KRK66" s="5"/>
      <c r="KRL66" s="5"/>
      <c r="KRM66" s="5"/>
      <c r="KRN66" s="5"/>
      <c r="KRO66" s="5"/>
      <c r="KRP66" s="5"/>
      <c r="KRQ66" s="5"/>
      <c r="KRR66" s="5"/>
      <c r="KRS66" s="5"/>
      <c r="KRT66" s="5"/>
      <c r="KRU66" s="5"/>
      <c r="KRV66" s="5"/>
      <c r="KRW66" s="5"/>
      <c r="KRX66" s="5"/>
      <c r="KRY66" s="5"/>
      <c r="KRZ66" s="5"/>
      <c r="KSA66" s="5"/>
      <c r="KSB66" s="5"/>
      <c r="KSC66" s="5"/>
      <c r="KSD66" s="5"/>
      <c r="KSE66" s="5"/>
      <c r="KSF66" s="5"/>
      <c r="KSG66" s="5"/>
      <c r="KSH66" s="5"/>
      <c r="KSI66" s="5"/>
      <c r="KSJ66" s="5"/>
      <c r="KSK66" s="5"/>
      <c r="KSL66" s="5"/>
      <c r="KSM66" s="5"/>
      <c r="KSN66" s="5"/>
      <c r="KSO66" s="5"/>
      <c r="KSP66" s="5"/>
      <c r="KSQ66" s="5"/>
      <c r="KSR66" s="5"/>
      <c r="KSS66" s="5"/>
      <c r="KST66" s="5"/>
      <c r="KSU66" s="5"/>
      <c r="KSV66" s="5"/>
      <c r="KSW66" s="5"/>
      <c r="KSX66" s="5"/>
      <c r="KSY66" s="5"/>
      <c r="KSZ66" s="5"/>
      <c r="KTA66" s="5"/>
      <c r="KTB66" s="5"/>
      <c r="KTC66" s="5"/>
      <c r="KTD66" s="5"/>
      <c r="KTE66" s="5"/>
      <c r="KTF66" s="5"/>
      <c r="KTG66" s="5"/>
      <c r="KTH66" s="5"/>
      <c r="KTI66" s="5"/>
      <c r="KTJ66" s="5"/>
      <c r="KTK66" s="5"/>
      <c r="KTL66" s="5"/>
      <c r="KTM66" s="5"/>
      <c r="KTN66" s="5"/>
      <c r="KTO66" s="5"/>
      <c r="KTP66" s="5"/>
      <c r="KTQ66" s="5"/>
      <c r="KTR66" s="5"/>
      <c r="KTS66" s="5"/>
      <c r="KTT66" s="5"/>
      <c r="KTU66" s="5"/>
      <c r="KTV66" s="5"/>
      <c r="KTW66" s="5"/>
      <c r="KTX66" s="5"/>
      <c r="KTY66" s="5"/>
      <c r="KTZ66" s="5"/>
      <c r="KUA66" s="5"/>
      <c r="KUB66" s="5"/>
      <c r="KUC66" s="5"/>
      <c r="KUD66" s="5"/>
      <c r="KUE66" s="5"/>
      <c r="KUF66" s="5"/>
      <c r="KUG66" s="5"/>
      <c r="KUH66" s="5"/>
      <c r="KUI66" s="5"/>
      <c r="KUJ66" s="5"/>
      <c r="KUK66" s="5"/>
      <c r="KUL66" s="5"/>
      <c r="KUM66" s="5"/>
      <c r="KUN66" s="5"/>
      <c r="KUO66" s="5"/>
      <c r="KUP66" s="5"/>
      <c r="KUQ66" s="5"/>
      <c r="KUR66" s="5"/>
      <c r="KUS66" s="5"/>
      <c r="KUT66" s="5"/>
      <c r="KUU66" s="5"/>
      <c r="KUV66" s="5"/>
      <c r="KUW66" s="5"/>
      <c r="KUX66" s="5"/>
      <c r="KUY66" s="5"/>
      <c r="KUZ66" s="5"/>
      <c r="KVA66" s="5"/>
      <c r="KVB66" s="5"/>
      <c r="KVC66" s="5"/>
      <c r="KVD66" s="5"/>
      <c r="KVE66" s="5"/>
      <c r="KVF66" s="5"/>
      <c r="KVG66" s="5"/>
      <c r="KVH66" s="5"/>
      <c r="KVI66" s="5"/>
      <c r="KVJ66" s="5"/>
      <c r="KVK66" s="5"/>
      <c r="KVL66" s="5"/>
      <c r="KVM66" s="5"/>
      <c r="KVN66" s="5"/>
      <c r="KVO66" s="5"/>
      <c r="KVP66" s="5"/>
      <c r="KVQ66" s="5"/>
      <c r="KVR66" s="5"/>
      <c r="KVS66" s="5"/>
      <c r="KVT66" s="5"/>
      <c r="KVU66" s="5"/>
      <c r="KVV66" s="5"/>
      <c r="KVW66" s="5"/>
      <c r="KVX66" s="5"/>
      <c r="KVY66" s="5"/>
      <c r="KVZ66" s="5"/>
      <c r="KWA66" s="5"/>
      <c r="KWB66" s="5"/>
      <c r="KWC66" s="5"/>
      <c r="KWD66" s="5"/>
      <c r="KWE66" s="5"/>
      <c r="KWF66" s="5"/>
      <c r="KWG66" s="5"/>
      <c r="KWH66" s="5"/>
      <c r="KWI66" s="5"/>
      <c r="KWJ66" s="5"/>
      <c r="KWK66" s="5"/>
      <c r="KWL66" s="5"/>
      <c r="KWM66" s="5"/>
      <c r="KWN66" s="5"/>
      <c r="KWO66" s="5"/>
      <c r="KWP66" s="5"/>
      <c r="KWQ66" s="5"/>
      <c r="KWR66" s="5"/>
      <c r="KWS66" s="5"/>
      <c r="KWT66" s="5"/>
      <c r="KWU66" s="5"/>
      <c r="KWV66" s="5"/>
      <c r="KWW66" s="5"/>
      <c r="KWX66" s="5"/>
      <c r="KWY66" s="5"/>
      <c r="KWZ66" s="5"/>
      <c r="KXA66" s="5"/>
      <c r="KXB66" s="5"/>
      <c r="KXC66" s="5"/>
      <c r="KXD66" s="5"/>
      <c r="KXE66" s="5"/>
      <c r="KXF66" s="5"/>
      <c r="KXG66" s="5"/>
      <c r="KXH66" s="5"/>
      <c r="KXI66" s="5"/>
      <c r="KXJ66" s="5"/>
      <c r="KXK66" s="5"/>
      <c r="KXL66" s="5"/>
      <c r="KXM66" s="5"/>
      <c r="KXN66" s="5"/>
      <c r="KXO66" s="5"/>
      <c r="KXP66" s="5"/>
      <c r="KXQ66" s="5"/>
      <c r="KXR66" s="5"/>
      <c r="KXS66" s="5"/>
      <c r="KXT66" s="5"/>
      <c r="KXU66" s="5"/>
      <c r="KXV66" s="5"/>
      <c r="KXW66" s="5"/>
      <c r="KXX66" s="5"/>
      <c r="KXY66" s="5"/>
      <c r="KXZ66" s="5"/>
      <c r="KYA66" s="5"/>
      <c r="KYB66" s="5"/>
      <c r="KYC66" s="5"/>
      <c r="KYD66" s="5"/>
      <c r="KYE66" s="5"/>
      <c r="KYF66" s="5"/>
      <c r="KYG66" s="5"/>
      <c r="KYH66" s="5"/>
      <c r="KYI66" s="5"/>
      <c r="KYJ66" s="5"/>
      <c r="KYK66" s="5"/>
      <c r="KYL66" s="5"/>
      <c r="KYM66" s="5"/>
      <c r="KYN66" s="5"/>
      <c r="KYO66" s="5"/>
      <c r="KYP66" s="5"/>
      <c r="KYQ66" s="5"/>
      <c r="KYR66" s="5"/>
      <c r="KYS66" s="5"/>
      <c r="KYT66" s="5"/>
      <c r="KYU66" s="5"/>
      <c r="KYV66" s="5"/>
      <c r="KYW66" s="5"/>
      <c r="KYX66" s="5"/>
      <c r="KYY66" s="5"/>
      <c r="KYZ66" s="5"/>
      <c r="KZA66" s="5"/>
      <c r="KZB66" s="5"/>
      <c r="KZC66" s="5"/>
      <c r="KZD66" s="5"/>
      <c r="KZE66" s="5"/>
      <c r="KZF66" s="5"/>
      <c r="KZG66" s="5"/>
      <c r="KZH66" s="5"/>
      <c r="KZI66" s="5"/>
      <c r="KZJ66" s="5"/>
      <c r="KZK66" s="5"/>
      <c r="KZL66" s="5"/>
      <c r="KZM66" s="5"/>
      <c r="KZN66" s="5"/>
      <c r="KZO66" s="5"/>
      <c r="KZP66" s="5"/>
      <c r="KZQ66" s="5"/>
      <c r="KZR66" s="5"/>
      <c r="KZS66" s="5"/>
      <c r="KZT66" s="5"/>
      <c r="KZU66" s="5"/>
      <c r="KZV66" s="5"/>
      <c r="KZW66" s="5"/>
      <c r="KZX66" s="5"/>
      <c r="KZY66" s="5"/>
      <c r="KZZ66" s="5"/>
      <c r="LAA66" s="5"/>
      <c r="LAB66" s="5"/>
      <c r="LAC66" s="5"/>
      <c r="LAD66" s="5"/>
      <c r="LAE66" s="5"/>
      <c r="LAF66" s="5"/>
      <c r="LAG66" s="5"/>
      <c r="LAH66" s="5"/>
      <c r="LAI66" s="5"/>
      <c r="LAJ66" s="5"/>
      <c r="LAK66" s="5"/>
      <c r="LAL66" s="5"/>
      <c r="LAM66" s="5"/>
      <c r="LAN66" s="5"/>
      <c r="LAO66" s="5"/>
      <c r="LAP66" s="5"/>
      <c r="LAQ66" s="5"/>
      <c r="LAR66" s="5"/>
      <c r="LAS66" s="5"/>
      <c r="LAT66" s="5"/>
      <c r="LAU66" s="5"/>
      <c r="LAV66" s="5"/>
      <c r="LAW66" s="5"/>
      <c r="LAX66" s="5"/>
      <c r="LAY66" s="5"/>
      <c r="LAZ66" s="5"/>
      <c r="LBA66" s="5"/>
      <c r="LBB66" s="5"/>
      <c r="LBC66" s="5"/>
      <c r="LBD66" s="5"/>
      <c r="LBE66" s="5"/>
      <c r="LBF66" s="5"/>
      <c r="LBG66" s="5"/>
      <c r="LBH66" s="5"/>
      <c r="LBI66" s="5"/>
      <c r="LBJ66" s="5"/>
      <c r="LBK66" s="5"/>
      <c r="LBL66" s="5"/>
      <c r="LBM66" s="5"/>
      <c r="LBN66" s="5"/>
      <c r="LBO66" s="5"/>
      <c r="LBP66" s="5"/>
      <c r="LBQ66" s="5"/>
      <c r="LBR66" s="5"/>
      <c r="LBS66" s="5"/>
      <c r="LBT66" s="5"/>
      <c r="LBU66" s="5"/>
      <c r="LBV66" s="5"/>
      <c r="LBW66" s="5"/>
      <c r="LBX66" s="5"/>
      <c r="LBY66" s="5"/>
      <c r="LBZ66" s="5"/>
      <c r="LCA66" s="5"/>
      <c r="LCB66" s="5"/>
      <c r="LCC66" s="5"/>
      <c r="LCD66" s="5"/>
      <c r="LCE66" s="5"/>
      <c r="LCF66" s="5"/>
      <c r="LCG66" s="5"/>
      <c r="LCH66" s="5"/>
      <c r="LCI66" s="5"/>
      <c r="LCJ66" s="5"/>
      <c r="LCK66" s="5"/>
      <c r="LCL66" s="5"/>
      <c r="LCM66" s="5"/>
      <c r="LCN66" s="5"/>
      <c r="LCO66" s="5"/>
      <c r="LCP66" s="5"/>
      <c r="LCQ66" s="5"/>
      <c r="LCR66" s="5"/>
      <c r="LCS66" s="5"/>
      <c r="LCT66" s="5"/>
      <c r="LCU66" s="5"/>
      <c r="LCV66" s="5"/>
      <c r="LCW66" s="5"/>
      <c r="LCX66" s="5"/>
      <c r="LCY66" s="5"/>
      <c r="LCZ66" s="5"/>
      <c r="LDA66" s="5"/>
      <c r="LDB66" s="5"/>
      <c r="LDC66" s="5"/>
      <c r="LDD66" s="5"/>
      <c r="LDE66" s="5"/>
      <c r="LDF66" s="5"/>
      <c r="LDG66" s="5"/>
      <c r="LDH66" s="5"/>
      <c r="LDI66" s="5"/>
      <c r="LDJ66" s="5"/>
      <c r="LDK66" s="5"/>
      <c r="LDL66" s="5"/>
      <c r="LDM66" s="5"/>
      <c r="LDN66" s="5"/>
      <c r="LDO66" s="5"/>
      <c r="LDP66" s="5"/>
      <c r="LDQ66" s="5"/>
      <c r="LDR66" s="5"/>
      <c r="LDS66" s="5"/>
      <c r="LDT66" s="5"/>
      <c r="LDU66" s="5"/>
      <c r="LDV66" s="5"/>
      <c r="LDW66" s="5"/>
      <c r="LDX66" s="5"/>
      <c r="LDY66" s="5"/>
      <c r="LDZ66" s="5"/>
      <c r="LEA66" s="5"/>
      <c r="LEB66" s="5"/>
      <c r="LEC66" s="5"/>
      <c r="LED66" s="5"/>
      <c r="LEE66" s="5"/>
      <c r="LEF66" s="5"/>
      <c r="LEG66" s="5"/>
      <c r="LEH66" s="5"/>
      <c r="LEI66" s="5"/>
      <c r="LEJ66" s="5"/>
      <c r="LEK66" s="5"/>
      <c r="LEL66" s="5"/>
      <c r="LEM66" s="5"/>
      <c r="LEN66" s="5"/>
      <c r="LEO66" s="5"/>
      <c r="LEP66" s="5"/>
      <c r="LEQ66" s="5"/>
      <c r="LER66" s="5"/>
      <c r="LES66" s="5"/>
      <c r="LET66" s="5"/>
      <c r="LEU66" s="5"/>
      <c r="LEV66" s="5"/>
      <c r="LEW66" s="5"/>
      <c r="LEX66" s="5"/>
      <c r="LEY66" s="5"/>
      <c r="LEZ66" s="5"/>
      <c r="LFA66" s="5"/>
      <c r="LFB66" s="5"/>
      <c r="LFC66" s="5"/>
      <c r="LFD66" s="5"/>
      <c r="LFE66" s="5"/>
      <c r="LFF66" s="5"/>
      <c r="LFG66" s="5"/>
      <c r="LFH66" s="5"/>
      <c r="LFI66" s="5"/>
      <c r="LFJ66" s="5"/>
      <c r="LFK66" s="5"/>
      <c r="LFL66" s="5"/>
      <c r="LFM66" s="5"/>
      <c r="LFN66" s="5"/>
      <c r="LFO66" s="5"/>
      <c r="LFP66" s="5"/>
      <c r="LFQ66" s="5"/>
      <c r="LFR66" s="5"/>
      <c r="LFS66" s="5"/>
      <c r="LFT66" s="5"/>
      <c r="LFU66" s="5"/>
      <c r="LFV66" s="5"/>
      <c r="LFW66" s="5"/>
      <c r="LFX66" s="5"/>
      <c r="LFY66" s="5"/>
      <c r="LFZ66" s="5"/>
      <c r="LGA66" s="5"/>
      <c r="LGB66" s="5"/>
      <c r="LGC66" s="5"/>
      <c r="LGD66" s="5"/>
      <c r="LGE66" s="5"/>
      <c r="LGF66" s="5"/>
      <c r="LGG66" s="5"/>
      <c r="LGH66" s="5"/>
      <c r="LGI66" s="5"/>
      <c r="LGJ66" s="5"/>
      <c r="LGK66" s="5"/>
      <c r="LGL66" s="5"/>
      <c r="LGM66" s="5"/>
      <c r="LGN66" s="5"/>
      <c r="LGO66" s="5"/>
      <c r="LGP66" s="5"/>
      <c r="LGQ66" s="5"/>
      <c r="LGR66" s="5"/>
      <c r="LGS66" s="5"/>
      <c r="LGT66" s="5"/>
      <c r="LGU66" s="5"/>
      <c r="LGV66" s="5"/>
      <c r="LGW66" s="5"/>
      <c r="LGX66" s="5"/>
      <c r="LGY66" s="5"/>
      <c r="LGZ66" s="5"/>
      <c r="LHA66" s="5"/>
      <c r="LHB66" s="5"/>
      <c r="LHC66" s="5"/>
      <c r="LHD66" s="5"/>
      <c r="LHE66" s="5"/>
      <c r="LHF66" s="5"/>
      <c r="LHG66" s="5"/>
      <c r="LHH66" s="5"/>
      <c r="LHI66" s="5"/>
      <c r="LHJ66" s="5"/>
      <c r="LHK66" s="5"/>
      <c r="LHL66" s="5"/>
      <c r="LHM66" s="5"/>
      <c r="LHN66" s="5"/>
      <c r="LHO66" s="5"/>
      <c r="LHP66" s="5"/>
      <c r="LHQ66" s="5"/>
      <c r="LHR66" s="5"/>
      <c r="LHS66" s="5"/>
      <c r="LHT66" s="5"/>
      <c r="LHU66" s="5"/>
      <c r="LHV66" s="5"/>
      <c r="LHW66" s="5"/>
      <c r="LHX66" s="5"/>
      <c r="LHY66" s="5"/>
      <c r="LHZ66" s="5"/>
      <c r="LIA66" s="5"/>
      <c r="LIB66" s="5"/>
      <c r="LIC66" s="5"/>
      <c r="LID66" s="5"/>
      <c r="LIE66" s="5"/>
      <c r="LIF66" s="5"/>
      <c r="LIG66" s="5"/>
      <c r="LIH66" s="5"/>
      <c r="LII66" s="5"/>
      <c r="LIJ66" s="5"/>
      <c r="LIK66" s="5"/>
      <c r="LIL66" s="5"/>
      <c r="LIM66" s="5"/>
      <c r="LIN66" s="5"/>
      <c r="LIO66" s="5"/>
      <c r="LIP66" s="5"/>
      <c r="LIQ66" s="5"/>
      <c r="LIR66" s="5"/>
      <c r="LIS66" s="5"/>
      <c r="LIT66" s="5"/>
      <c r="LIU66" s="5"/>
      <c r="LIV66" s="5"/>
      <c r="LIW66" s="5"/>
      <c r="LIX66" s="5"/>
      <c r="LIY66" s="5"/>
      <c r="LIZ66" s="5"/>
      <c r="LJA66" s="5"/>
      <c r="LJB66" s="5"/>
      <c r="LJC66" s="5"/>
      <c r="LJD66" s="5"/>
      <c r="LJE66" s="5"/>
      <c r="LJF66" s="5"/>
      <c r="LJG66" s="5"/>
      <c r="LJH66" s="5"/>
      <c r="LJI66" s="5"/>
      <c r="LJJ66" s="5"/>
      <c r="LJK66" s="5"/>
      <c r="LJL66" s="5"/>
      <c r="LJM66" s="5"/>
      <c r="LJN66" s="5"/>
      <c r="LJO66" s="5"/>
      <c r="LJP66" s="5"/>
      <c r="LJQ66" s="5"/>
      <c r="LJR66" s="5"/>
      <c r="LJS66" s="5"/>
      <c r="LJT66" s="5"/>
      <c r="LJU66" s="5"/>
      <c r="LJV66" s="5"/>
      <c r="LJW66" s="5"/>
      <c r="LJX66" s="5"/>
      <c r="LJY66" s="5"/>
      <c r="LJZ66" s="5"/>
      <c r="LKA66" s="5"/>
      <c r="LKB66" s="5"/>
      <c r="LKC66" s="5"/>
      <c r="LKD66" s="5"/>
      <c r="LKE66" s="5"/>
      <c r="LKF66" s="5"/>
      <c r="LKG66" s="5"/>
      <c r="LKH66" s="5"/>
      <c r="LKI66" s="5"/>
      <c r="LKJ66" s="5"/>
      <c r="LKK66" s="5"/>
      <c r="LKL66" s="5"/>
      <c r="LKM66" s="5"/>
      <c r="LKN66" s="5"/>
      <c r="LKO66" s="5"/>
      <c r="LKP66" s="5"/>
      <c r="LKQ66" s="5"/>
      <c r="LKR66" s="5"/>
      <c r="LKS66" s="5"/>
      <c r="LKT66" s="5"/>
      <c r="LKU66" s="5"/>
      <c r="LKV66" s="5"/>
      <c r="LKW66" s="5"/>
      <c r="LKX66" s="5"/>
      <c r="LKY66" s="5"/>
      <c r="LKZ66" s="5"/>
      <c r="LLA66" s="5"/>
      <c r="LLB66" s="5"/>
      <c r="LLC66" s="5"/>
      <c r="LLD66" s="5"/>
      <c r="LLE66" s="5"/>
      <c r="LLF66" s="5"/>
      <c r="LLG66" s="5"/>
      <c r="LLH66" s="5"/>
      <c r="LLI66" s="5"/>
      <c r="LLJ66" s="5"/>
      <c r="LLK66" s="5"/>
      <c r="LLL66" s="5"/>
      <c r="LLM66" s="5"/>
      <c r="LLN66" s="5"/>
      <c r="LLO66" s="5"/>
      <c r="LLP66" s="5"/>
      <c r="LLQ66" s="5"/>
      <c r="LLR66" s="5"/>
      <c r="LLS66" s="5"/>
      <c r="LLT66" s="5"/>
      <c r="LLU66" s="5"/>
      <c r="LLV66" s="5"/>
      <c r="LLW66" s="5"/>
      <c r="LLX66" s="5"/>
      <c r="LLY66" s="5"/>
      <c r="LLZ66" s="5"/>
      <c r="LMA66" s="5"/>
      <c r="LMB66" s="5"/>
      <c r="LMC66" s="5"/>
      <c r="LMD66" s="5"/>
      <c r="LME66" s="5"/>
      <c r="LMF66" s="5"/>
      <c r="LMG66" s="5"/>
      <c r="LMH66" s="5"/>
      <c r="LMI66" s="5"/>
      <c r="LMJ66" s="5"/>
      <c r="LMK66" s="5"/>
      <c r="LML66" s="5"/>
      <c r="LMM66" s="5"/>
      <c r="LMN66" s="5"/>
      <c r="LMO66" s="5"/>
      <c r="LMP66" s="5"/>
      <c r="LMQ66" s="5"/>
      <c r="LMR66" s="5"/>
      <c r="LMS66" s="5"/>
      <c r="LMT66" s="5"/>
      <c r="LMU66" s="5"/>
      <c r="LMV66" s="5"/>
      <c r="LMW66" s="5"/>
      <c r="LMX66" s="5"/>
      <c r="LMY66" s="5"/>
      <c r="LMZ66" s="5"/>
      <c r="LNA66" s="5"/>
      <c r="LNB66" s="5"/>
      <c r="LNC66" s="5"/>
      <c r="LND66" s="5"/>
      <c r="LNE66" s="5"/>
      <c r="LNF66" s="5"/>
      <c r="LNG66" s="5"/>
      <c r="LNH66" s="5"/>
      <c r="LNI66" s="5"/>
      <c r="LNJ66" s="5"/>
      <c r="LNK66" s="5"/>
      <c r="LNL66" s="5"/>
      <c r="LNM66" s="5"/>
      <c r="LNN66" s="5"/>
      <c r="LNO66" s="5"/>
      <c r="LNP66" s="5"/>
      <c r="LNQ66" s="5"/>
      <c r="LNR66" s="5"/>
      <c r="LNS66" s="5"/>
      <c r="LNT66" s="5"/>
      <c r="LNU66" s="5"/>
      <c r="LNV66" s="5"/>
      <c r="LNW66" s="5"/>
      <c r="LNX66" s="5"/>
      <c r="LNY66" s="5"/>
      <c r="LNZ66" s="5"/>
      <c r="LOA66" s="5"/>
      <c r="LOB66" s="5"/>
      <c r="LOC66" s="5"/>
      <c r="LOD66" s="5"/>
      <c r="LOE66" s="5"/>
      <c r="LOF66" s="5"/>
      <c r="LOG66" s="5"/>
      <c r="LOH66" s="5"/>
      <c r="LOI66" s="5"/>
      <c r="LOJ66" s="5"/>
      <c r="LOK66" s="5"/>
      <c r="LOL66" s="5"/>
      <c r="LOM66" s="5"/>
      <c r="LON66" s="5"/>
      <c r="LOO66" s="5"/>
      <c r="LOP66" s="5"/>
      <c r="LOQ66" s="5"/>
      <c r="LOR66" s="5"/>
      <c r="LOS66" s="5"/>
      <c r="LOT66" s="5"/>
      <c r="LOU66" s="5"/>
      <c r="LOV66" s="5"/>
      <c r="LOW66" s="5"/>
      <c r="LOX66" s="5"/>
      <c r="LOY66" s="5"/>
      <c r="LOZ66" s="5"/>
      <c r="LPA66" s="5"/>
      <c r="LPB66" s="5"/>
      <c r="LPC66" s="5"/>
      <c r="LPD66" s="5"/>
      <c r="LPE66" s="5"/>
      <c r="LPF66" s="5"/>
      <c r="LPG66" s="5"/>
      <c r="LPH66" s="5"/>
      <c r="LPI66" s="5"/>
      <c r="LPJ66" s="5"/>
      <c r="LPK66" s="5"/>
      <c r="LPL66" s="5"/>
      <c r="LPM66" s="5"/>
      <c r="LPN66" s="5"/>
      <c r="LPO66" s="5"/>
      <c r="LPP66" s="5"/>
      <c r="LPQ66" s="5"/>
      <c r="LPR66" s="5"/>
      <c r="LPS66" s="5"/>
      <c r="LPT66" s="5"/>
      <c r="LPU66" s="5"/>
      <c r="LPV66" s="5"/>
      <c r="LPW66" s="5"/>
      <c r="LPX66" s="5"/>
      <c r="LPY66" s="5"/>
      <c r="LPZ66" s="5"/>
      <c r="LQA66" s="5"/>
      <c r="LQB66" s="5"/>
      <c r="LQC66" s="5"/>
      <c r="LQD66" s="5"/>
      <c r="LQE66" s="5"/>
      <c r="LQF66" s="5"/>
      <c r="LQG66" s="5"/>
      <c r="LQH66" s="5"/>
      <c r="LQI66" s="5"/>
      <c r="LQJ66" s="5"/>
      <c r="LQK66" s="5"/>
      <c r="LQL66" s="5"/>
      <c r="LQM66" s="5"/>
      <c r="LQN66" s="5"/>
      <c r="LQO66" s="5"/>
      <c r="LQP66" s="5"/>
      <c r="LQQ66" s="5"/>
      <c r="LQR66" s="5"/>
      <c r="LQS66" s="5"/>
      <c r="LQT66" s="5"/>
      <c r="LQU66" s="5"/>
      <c r="LQV66" s="5"/>
      <c r="LQW66" s="5"/>
      <c r="LQX66" s="5"/>
      <c r="LQY66" s="5"/>
      <c r="LQZ66" s="5"/>
      <c r="LRA66" s="5"/>
      <c r="LRB66" s="5"/>
      <c r="LRC66" s="5"/>
      <c r="LRD66" s="5"/>
      <c r="LRE66" s="5"/>
      <c r="LRF66" s="5"/>
      <c r="LRG66" s="5"/>
      <c r="LRH66" s="5"/>
      <c r="LRI66" s="5"/>
      <c r="LRJ66" s="5"/>
      <c r="LRK66" s="5"/>
      <c r="LRL66" s="5"/>
      <c r="LRM66" s="5"/>
      <c r="LRN66" s="5"/>
      <c r="LRO66" s="5"/>
      <c r="LRP66" s="5"/>
      <c r="LRQ66" s="5"/>
      <c r="LRR66" s="5"/>
      <c r="LRS66" s="5"/>
      <c r="LRT66" s="5"/>
      <c r="LRU66" s="5"/>
      <c r="LRV66" s="5"/>
      <c r="LRW66" s="5"/>
      <c r="LRX66" s="5"/>
      <c r="LRY66" s="5"/>
      <c r="LRZ66" s="5"/>
      <c r="LSA66" s="5"/>
      <c r="LSB66" s="5"/>
      <c r="LSC66" s="5"/>
      <c r="LSD66" s="5"/>
      <c r="LSE66" s="5"/>
      <c r="LSF66" s="5"/>
      <c r="LSG66" s="5"/>
      <c r="LSH66" s="5"/>
      <c r="LSI66" s="5"/>
      <c r="LSJ66" s="5"/>
      <c r="LSK66" s="5"/>
      <c r="LSL66" s="5"/>
      <c r="LSM66" s="5"/>
      <c r="LSN66" s="5"/>
      <c r="LSO66" s="5"/>
      <c r="LSP66" s="5"/>
      <c r="LSQ66" s="5"/>
      <c r="LSR66" s="5"/>
      <c r="LSS66" s="5"/>
      <c r="LST66" s="5"/>
      <c r="LSU66" s="5"/>
      <c r="LSV66" s="5"/>
      <c r="LSW66" s="5"/>
      <c r="LSX66" s="5"/>
      <c r="LSY66" s="5"/>
      <c r="LSZ66" s="5"/>
      <c r="LTA66" s="5"/>
      <c r="LTB66" s="5"/>
      <c r="LTC66" s="5"/>
      <c r="LTD66" s="5"/>
      <c r="LTE66" s="5"/>
      <c r="LTF66" s="5"/>
      <c r="LTG66" s="5"/>
      <c r="LTH66" s="5"/>
      <c r="LTI66" s="5"/>
      <c r="LTJ66" s="5"/>
      <c r="LTK66" s="5"/>
      <c r="LTL66" s="5"/>
      <c r="LTM66" s="5"/>
      <c r="LTN66" s="5"/>
      <c r="LTO66" s="5"/>
      <c r="LTP66" s="5"/>
      <c r="LTQ66" s="5"/>
      <c r="LTR66" s="5"/>
      <c r="LTS66" s="5"/>
      <c r="LTT66" s="5"/>
      <c r="LTU66" s="5"/>
      <c r="LTV66" s="5"/>
      <c r="LTW66" s="5"/>
      <c r="LTX66" s="5"/>
      <c r="LTY66" s="5"/>
      <c r="LTZ66" s="5"/>
      <c r="LUA66" s="5"/>
      <c r="LUB66" s="5"/>
      <c r="LUC66" s="5"/>
      <c r="LUD66" s="5"/>
      <c r="LUE66" s="5"/>
      <c r="LUF66" s="5"/>
      <c r="LUG66" s="5"/>
      <c r="LUH66" s="5"/>
      <c r="LUI66" s="5"/>
      <c r="LUJ66" s="5"/>
      <c r="LUK66" s="5"/>
      <c r="LUL66" s="5"/>
      <c r="LUM66" s="5"/>
      <c r="LUN66" s="5"/>
      <c r="LUO66" s="5"/>
      <c r="LUP66" s="5"/>
      <c r="LUQ66" s="5"/>
      <c r="LUR66" s="5"/>
      <c r="LUS66" s="5"/>
      <c r="LUT66" s="5"/>
      <c r="LUU66" s="5"/>
      <c r="LUV66" s="5"/>
      <c r="LUW66" s="5"/>
      <c r="LUX66" s="5"/>
      <c r="LUY66" s="5"/>
      <c r="LUZ66" s="5"/>
      <c r="LVA66" s="5"/>
      <c r="LVB66" s="5"/>
      <c r="LVC66" s="5"/>
      <c r="LVD66" s="5"/>
      <c r="LVE66" s="5"/>
      <c r="LVF66" s="5"/>
      <c r="LVG66" s="5"/>
      <c r="LVH66" s="5"/>
      <c r="LVI66" s="5"/>
      <c r="LVJ66" s="5"/>
      <c r="LVK66" s="5"/>
      <c r="LVL66" s="5"/>
      <c r="LVM66" s="5"/>
      <c r="LVN66" s="5"/>
      <c r="LVO66" s="5"/>
      <c r="LVP66" s="5"/>
      <c r="LVQ66" s="5"/>
      <c r="LVR66" s="5"/>
      <c r="LVS66" s="5"/>
      <c r="LVT66" s="5"/>
      <c r="LVU66" s="5"/>
      <c r="LVV66" s="5"/>
      <c r="LVW66" s="5"/>
      <c r="LVX66" s="5"/>
      <c r="LVY66" s="5"/>
      <c r="LVZ66" s="5"/>
      <c r="LWA66" s="5"/>
      <c r="LWB66" s="5"/>
      <c r="LWC66" s="5"/>
      <c r="LWD66" s="5"/>
      <c r="LWE66" s="5"/>
      <c r="LWF66" s="5"/>
      <c r="LWG66" s="5"/>
      <c r="LWH66" s="5"/>
      <c r="LWI66" s="5"/>
      <c r="LWJ66" s="5"/>
      <c r="LWK66" s="5"/>
      <c r="LWL66" s="5"/>
      <c r="LWM66" s="5"/>
      <c r="LWN66" s="5"/>
      <c r="LWO66" s="5"/>
      <c r="LWP66" s="5"/>
      <c r="LWQ66" s="5"/>
      <c r="LWR66" s="5"/>
      <c r="LWS66" s="5"/>
      <c r="LWT66" s="5"/>
      <c r="LWU66" s="5"/>
      <c r="LWV66" s="5"/>
      <c r="LWW66" s="5"/>
      <c r="LWX66" s="5"/>
      <c r="LWY66" s="5"/>
      <c r="LWZ66" s="5"/>
      <c r="LXA66" s="5"/>
      <c r="LXB66" s="5"/>
      <c r="LXC66" s="5"/>
      <c r="LXD66" s="5"/>
      <c r="LXE66" s="5"/>
      <c r="LXF66" s="5"/>
      <c r="LXG66" s="5"/>
      <c r="LXH66" s="5"/>
      <c r="LXI66" s="5"/>
      <c r="LXJ66" s="5"/>
      <c r="LXK66" s="5"/>
      <c r="LXL66" s="5"/>
      <c r="LXM66" s="5"/>
      <c r="LXN66" s="5"/>
      <c r="LXO66" s="5"/>
      <c r="LXP66" s="5"/>
      <c r="LXQ66" s="5"/>
      <c r="LXR66" s="5"/>
      <c r="LXS66" s="5"/>
      <c r="LXT66" s="5"/>
      <c r="LXU66" s="5"/>
      <c r="LXV66" s="5"/>
      <c r="LXW66" s="5"/>
      <c r="LXX66" s="5"/>
      <c r="LXY66" s="5"/>
      <c r="LXZ66" s="5"/>
      <c r="LYA66" s="5"/>
      <c r="LYB66" s="5"/>
      <c r="LYC66" s="5"/>
      <c r="LYD66" s="5"/>
      <c r="LYE66" s="5"/>
      <c r="LYF66" s="5"/>
      <c r="LYG66" s="5"/>
      <c r="LYH66" s="5"/>
      <c r="LYI66" s="5"/>
      <c r="LYJ66" s="5"/>
      <c r="LYK66" s="5"/>
      <c r="LYL66" s="5"/>
      <c r="LYM66" s="5"/>
      <c r="LYN66" s="5"/>
      <c r="LYO66" s="5"/>
      <c r="LYP66" s="5"/>
      <c r="LYQ66" s="5"/>
      <c r="LYR66" s="5"/>
      <c r="LYS66" s="5"/>
      <c r="LYT66" s="5"/>
      <c r="LYU66" s="5"/>
      <c r="LYV66" s="5"/>
      <c r="LYW66" s="5"/>
      <c r="LYX66" s="5"/>
      <c r="LYY66" s="5"/>
      <c r="LYZ66" s="5"/>
      <c r="LZA66" s="5"/>
      <c r="LZB66" s="5"/>
      <c r="LZC66" s="5"/>
      <c r="LZD66" s="5"/>
      <c r="LZE66" s="5"/>
      <c r="LZF66" s="5"/>
      <c r="LZG66" s="5"/>
      <c r="LZH66" s="5"/>
      <c r="LZI66" s="5"/>
      <c r="LZJ66" s="5"/>
      <c r="LZK66" s="5"/>
      <c r="LZL66" s="5"/>
      <c r="LZM66" s="5"/>
      <c r="LZN66" s="5"/>
      <c r="LZO66" s="5"/>
      <c r="LZP66" s="5"/>
      <c r="LZQ66" s="5"/>
      <c r="LZR66" s="5"/>
      <c r="LZS66" s="5"/>
      <c r="LZT66" s="5"/>
      <c r="LZU66" s="5"/>
      <c r="LZV66" s="5"/>
      <c r="LZW66" s="5"/>
      <c r="LZX66" s="5"/>
      <c r="LZY66" s="5"/>
      <c r="LZZ66" s="5"/>
      <c r="MAA66" s="5"/>
      <c r="MAB66" s="5"/>
      <c r="MAC66" s="5"/>
      <c r="MAD66" s="5"/>
      <c r="MAE66" s="5"/>
      <c r="MAF66" s="5"/>
      <c r="MAG66" s="5"/>
      <c r="MAH66" s="5"/>
      <c r="MAI66" s="5"/>
      <c r="MAJ66" s="5"/>
      <c r="MAK66" s="5"/>
      <c r="MAL66" s="5"/>
      <c r="MAM66" s="5"/>
      <c r="MAN66" s="5"/>
      <c r="MAO66" s="5"/>
      <c r="MAP66" s="5"/>
      <c r="MAQ66" s="5"/>
      <c r="MAR66" s="5"/>
      <c r="MAS66" s="5"/>
      <c r="MAT66" s="5"/>
      <c r="MAU66" s="5"/>
      <c r="MAV66" s="5"/>
      <c r="MAW66" s="5"/>
      <c r="MAX66" s="5"/>
      <c r="MAY66" s="5"/>
      <c r="MAZ66" s="5"/>
      <c r="MBA66" s="5"/>
      <c r="MBB66" s="5"/>
      <c r="MBC66" s="5"/>
      <c r="MBD66" s="5"/>
      <c r="MBE66" s="5"/>
      <c r="MBF66" s="5"/>
      <c r="MBG66" s="5"/>
      <c r="MBH66" s="5"/>
      <c r="MBI66" s="5"/>
      <c r="MBJ66" s="5"/>
      <c r="MBK66" s="5"/>
      <c r="MBL66" s="5"/>
      <c r="MBM66" s="5"/>
      <c r="MBN66" s="5"/>
      <c r="MBO66" s="5"/>
      <c r="MBP66" s="5"/>
      <c r="MBQ66" s="5"/>
      <c r="MBR66" s="5"/>
      <c r="MBS66" s="5"/>
      <c r="MBT66" s="5"/>
      <c r="MBU66" s="5"/>
      <c r="MBV66" s="5"/>
      <c r="MBW66" s="5"/>
      <c r="MBX66" s="5"/>
      <c r="MBY66" s="5"/>
      <c r="MBZ66" s="5"/>
      <c r="MCA66" s="5"/>
      <c r="MCB66" s="5"/>
      <c r="MCC66" s="5"/>
      <c r="MCD66" s="5"/>
      <c r="MCE66" s="5"/>
      <c r="MCF66" s="5"/>
      <c r="MCG66" s="5"/>
      <c r="MCH66" s="5"/>
      <c r="MCI66" s="5"/>
      <c r="MCJ66" s="5"/>
      <c r="MCK66" s="5"/>
      <c r="MCL66" s="5"/>
      <c r="MCM66" s="5"/>
      <c r="MCN66" s="5"/>
      <c r="MCO66" s="5"/>
      <c r="MCP66" s="5"/>
      <c r="MCQ66" s="5"/>
      <c r="MCR66" s="5"/>
      <c r="MCS66" s="5"/>
      <c r="MCT66" s="5"/>
      <c r="MCU66" s="5"/>
      <c r="MCV66" s="5"/>
      <c r="MCW66" s="5"/>
      <c r="MCX66" s="5"/>
      <c r="MCY66" s="5"/>
      <c r="MCZ66" s="5"/>
      <c r="MDA66" s="5"/>
      <c r="MDB66" s="5"/>
      <c r="MDC66" s="5"/>
      <c r="MDD66" s="5"/>
      <c r="MDE66" s="5"/>
      <c r="MDF66" s="5"/>
      <c r="MDG66" s="5"/>
      <c r="MDH66" s="5"/>
      <c r="MDI66" s="5"/>
      <c r="MDJ66" s="5"/>
      <c r="MDK66" s="5"/>
      <c r="MDL66" s="5"/>
      <c r="MDM66" s="5"/>
      <c r="MDN66" s="5"/>
      <c r="MDO66" s="5"/>
      <c r="MDP66" s="5"/>
      <c r="MDQ66" s="5"/>
      <c r="MDR66" s="5"/>
      <c r="MDS66" s="5"/>
      <c r="MDT66" s="5"/>
      <c r="MDU66" s="5"/>
      <c r="MDV66" s="5"/>
      <c r="MDW66" s="5"/>
      <c r="MDX66" s="5"/>
      <c r="MDY66" s="5"/>
      <c r="MDZ66" s="5"/>
      <c r="MEA66" s="5"/>
      <c r="MEB66" s="5"/>
      <c r="MEC66" s="5"/>
      <c r="MED66" s="5"/>
      <c r="MEE66" s="5"/>
      <c r="MEF66" s="5"/>
      <c r="MEG66" s="5"/>
      <c r="MEH66" s="5"/>
      <c r="MEI66" s="5"/>
      <c r="MEJ66" s="5"/>
      <c r="MEK66" s="5"/>
      <c r="MEL66" s="5"/>
      <c r="MEM66" s="5"/>
      <c r="MEN66" s="5"/>
      <c r="MEO66" s="5"/>
      <c r="MEP66" s="5"/>
      <c r="MEQ66" s="5"/>
      <c r="MER66" s="5"/>
      <c r="MES66" s="5"/>
      <c r="MET66" s="5"/>
      <c r="MEU66" s="5"/>
      <c r="MEV66" s="5"/>
      <c r="MEW66" s="5"/>
      <c r="MEX66" s="5"/>
      <c r="MEY66" s="5"/>
      <c r="MEZ66" s="5"/>
      <c r="MFA66" s="5"/>
      <c r="MFB66" s="5"/>
      <c r="MFC66" s="5"/>
      <c r="MFD66" s="5"/>
      <c r="MFE66" s="5"/>
      <c r="MFF66" s="5"/>
      <c r="MFG66" s="5"/>
      <c r="MFH66" s="5"/>
      <c r="MFI66" s="5"/>
      <c r="MFJ66" s="5"/>
      <c r="MFK66" s="5"/>
      <c r="MFL66" s="5"/>
      <c r="MFM66" s="5"/>
      <c r="MFN66" s="5"/>
      <c r="MFO66" s="5"/>
      <c r="MFP66" s="5"/>
      <c r="MFQ66" s="5"/>
      <c r="MFR66" s="5"/>
      <c r="MFS66" s="5"/>
      <c r="MFT66" s="5"/>
      <c r="MFU66" s="5"/>
      <c r="MFV66" s="5"/>
      <c r="MFW66" s="5"/>
      <c r="MFX66" s="5"/>
      <c r="MFY66" s="5"/>
      <c r="MFZ66" s="5"/>
      <c r="MGA66" s="5"/>
      <c r="MGB66" s="5"/>
      <c r="MGC66" s="5"/>
      <c r="MGD66" s="5"/>
      <c r="MGE66" s="5"/>
      <c r="MGF66" s="5"/>
      <c r="MGG66" s="5"/>
      <c r="MGH66" s="5"/>
      <c r="MGI66" s="5"/>
      <c r="MGJ66" s="5"/>
      <c r="MGK66" s="5"/>
      <c r="MGL66" s="5"/>
      <c r="MGM66" s="5"/>
      <c r="MGN66" s="5"/>
      <c r="MGO66" s="5"/>
      <c r="MGP66" s="5"/>
      <c r="MGQ66" s="5"/>
      <c r="MGR66" s="5"/>
      <c r="MGS66" s="5"/>
      <c r="MGT66" s="5"/>
      <c r="MGU66" s="5"/>
      <c r="MGV66" s="5"/>
      <c r="MGW66" s="5"/>
      <c r="MGX66" s="5"/>
      <c r="MGY66" s="5"/>
      <c r="MGZ66" s="5"/>
      <c r="MHA66" s="5"/>
      <c r="MHB66" s="5"/>
      <c r="MHC66" s="5"/>
      <c r="MHD66" s="5"/>
      <c r="MHE66" s="5"/>
      <c r="MHF66" s="5"/>
      <c r="MHG66" s="5"/>
      <c r="MHH66" s="5"/>
      <c r="MHI66" s="5"/>
      <c r="MHJ66" s="5"/>
      <c r="MHK66" s="5"/>
      <c r="MHL66" s="5"/>
      <c r="MHM66" s="5"/>
      <c r="MHN66" s="5"/>
      <c r="MHO66" s="5"/>
      <c r="MHP66" s="5"/>
      <c r="MHQ66" s="5"/>
      <c r="MHR66" s="5"/>
      <c r="MHS66" s="5"/>
      <c r="MHT66" s="5"/>
      <c r="MHU66" s="5"/>
      <c r="MHV66" s="5"/>
      <c r="MHW66" s="5"/>
      <c r="MHX66" s="5"/>
      <c r="MHY66" s="5"/>
      <c r="MHZ66" s="5"/>
      <c r="MIA66" s="5"/>
      <c r="MIB66" s="5"/>
      <c r="MIC66" s="5"/>
      <c r="MID66" s="5"/>
      <c r="MIE66" s="5"/>
      <c r="MIF66" s="5"/>
      <c r="MIG66" s="5"/>
      <c r="MIH66" s="5"/>
      <c r="MII66" s="5"/>
      <c r="MIJ66" s="5"/>
      <c r="MIK66" s="5"/>
      <c r="MIL66" s="5"/>
      <c r="MIM66" s="5"/>
      <c r="MIN66" s="5"/>
      <c r="MIO66" s="5"/>
      <c r="MIP66" s="5"/>
      <c r="MIQ66" s="5"/>
      <c r="MIR66" s="5"/>
      <c r="MIS66" s="5"/>
      <c r="MIT66" s="5"/>
      <c r="MIU66" s="5"/>
      <c r="MIV66" s="5"/>
      <c r="MIW66" s="5"/>
      <c r="MIX66" s="5"/>
      <c r="MIY66" s="5"/>
      <c r="MIZ66" s="5"/>
      <c r="MJA66" s="5"/>
      <c r="MJB66" s="5"/>
      <c r="MJC66" s="5"/>
      <c r="MJD66" s="5"/>
      <c r="MJE66" s="5"/>
      <c r="MJF66" s="5"/>
      <c r="MJG66" s="5"/>
      <c r="MJH66" s="5"/>
      <c r="MJI66" s="5"/>
      <c r="MJJ66" s="5"/>
      <c r="MJK66" s="5"/>
      <c r="MJL66" s="5"/>
      <c r="MJM66" s="5"/>
      <c r="MJN66" s="5"/>
      <c r="MJO66" s="5"/>
      <c r="MJP66" s="5"/>
      <c r="MJQ66" s="5"/>
      <c r="MJR66" s="5"/>
      <c r="MJS66" s="5"/>
      <c r="MJT66" s="5"/>
      <c r="MJU66" s="5"/>
      <c r="MJV66" s="5"/>
      <c r="MJW66" s="5"/>
      <c r="MJX66" s="5"/>
      <c r="MJY66" s="5"/>
      <c r="MJZ66" s="5"/>
      <c r="MKA66" s="5"/>
      <c r="MKB66" s="5"/>
      <c r="MKC66" s="5"/>
      <c r="MKD66" s="5"/>
      <c r="MKE66" s="5"/>
      <c r="MKF66" s="5"/>
      <c r="MKG66" s="5"/>
      <c r="MKH66" s="5"/>
      <c r="MKI66" s="5"/>
      <c r="MKJ66" s="5"/>
      <c r="MKK66" s="5"/>
      <c r="MKL66" s="5"/>
      <c r="MKM66" s="5"/>
      <c r="MKN66" s="5"/>
      <c r="MKO66" s="5"/>
      <c r="MKP66" s="5"/>
      <c r="MKQ66" s="5"/>
      <c r="MKR66" s="5"/>
      <c r="MKS66" s="5"/>
      <c r="MKT66" s="5"/>
      <c r="MKU66" s="5"/>
      <c r="MKV66" s="5"/>
      <c r="MKW66" s="5"/>
      <c r="MKX66" s="5"/>
      <c r="MKY66" s="5"/>
      <c r="MKZ66" s="5"/>
      <c r="MLA66" s="5"/>
      <c r="MLB66" s="5"/>
      <c r="MLC66" s="5"/>
      <c r="MLD66" s="5"/>
      <c r="MLE66" s="5"/>
      <c r="MLF66" s="5"/>
      <c r="MLG66" s="5"/>
      <c r="MLH66" s="5"/>
      <c r="MLI66" s="5"/>
      <c r="MLJ66" s="5"/>
      <c r="MLK66" s="5"/>
      <c r="MLL66" s="5"/>
      <c r="MLM66" s="5"/>
      <c r="MLN66" s="5"/>
      <c r="MLO66" s="5"/>
      <c r="MLP66" s="5"/>
      <c r="MLQ66" s="5"/>
      <c r="MLR66" s="5"/>
      <c r="MLS66" s="5"/>
      <c r="MLT66" s="5"/>
      <c r="MLU66" s="5"/>
      <c r="MLV66" s="5"/>
      <c r="MLW66" s="5"/>
      <c r="MLX66" s="5"/>
      <c r="MLY66" s="5"/>
      <c r="MLZ66" s="5"/>
      <c r="MMA66" s="5"/>
      <c r="MMB66" s="5"/>
      <c r="MMC66" s="5"/>
      <c r="MMD66" s="5"/>
      <c r="MME66" s="5"/>
      <c r="MMF66" s="5"/>
      <c r="MMG66" s="5"/>
      <c r="MMH66" s="5"/>
      <c r="MMI66" s="5"/>
      <c r="MMJ66" s="5"/>
      <c r="MMK66" s="5"/>
      <c r="MML66" s="5"/>
      <c r="MMM66" s="5"/>
      <c r="MMN66" s="5"/>
      <c r="MMO66" s="5"/>
      <c r="MMP66" s="5"/>
      <c r="MMQ66" s="5"/>
      <c r="MMR66" s="5"/>
      <c r="MMS66" s="5"/>
      <c r="MMT66" s="5"/>
      <c r="MMU66" s="5"/>
      <c r="MMV66" s="5"/>
      <c r="MMW66" s="5"/>
      <c r="MMX66" s="5"/>
      <c r="MMY66" s="5"/>
      <c r="MMZ66" s="5"/>
      <c r="MNA66" s="5"/>
      <c r="MNB66" s="5"/>
      <c r="MNC66" s="5"/>
      <c r="MND66" s="5"/>
      <c r="MNE66" s="5"/>
      <c r="MNF66" s="5"/>
      <c r="MNG66" s="5"/>
      <c r="MNH66" s="5"/>
      <c r="MNI66" s="5"/>
      <c r="MNJ66" s="5"/>
      <c r="MNK66" s="5"/>
      <c r="MNL66" s="5"/>
      <c r="MNM66" s="5"/>
      <c r="MNN66" s="5"/>
      <c r="MNO66" s="5"/>
      <c r="MNP66" s="5"/>
      <c r="MNQ66" s="5"/>
      <c r="MNR66" s="5"/>
      <c r="MNS66" s="5"/>
      <c r="MNT66" s="5"/>
      <c r="MNU66" s="5"/>
      <c r="MNV66" s="5"/>
      <c r="MNW66" s="5"/>
      <c r="MNX66" s="5"/>
      <c r="MNY66" s="5"/>
      <c r="MNZ66" s="5"/>
      <c r="MOA66" s="5"/>
      <c r="MOB66" s="5"/>
      <c r="MOC66" s="5"/>
      <c r="MOD66" s="5"/>
      <c r="MOE66" s="5"/>
      <c r="MOF66" s="5"/>
      <c r="MOG66" s="5"/>
      <c r="MOH66" s="5"/>
      <c r="MOI66" s="5"/>
      <c r="MOJ66" s="5"/>
      <c r="MOK66" s="5"/>
      <c r="MOL66" s="5"/>
      <c r="MOM66" s="5"/>
      <c r="MON66" s="5"/>
      <c r="MOO66" s="5"/>
      <c r="MOP66" s="5"/>
      <c r="MOQ66" s="5"/>
      <c r="MOR66" s="5"/>
      <c r="MOS66" s="5"/>
      <c r="MOT66" s="5"/>
      <c r="MOU66" s="5"/>
      <c r="MOV66" s="5"/>
      <c r="MOW66" s="5"/>
      <c r="MOX66" s="5"/>
      <c r="MOY66" s="5"/>
      <c r="MOZ66" s="5"/>
      <c r="MPA66" s="5"/>
      <c r="MPB66" s="5"/>
      <c r="MPC66" s="5"/>
      <c r="MPD66" s="5"/>
      <c r="MPE66" s="5"/>
      <c r="MPF66" s="5"/>
      <c r="MPG66" s="5"/>
      <c r="MPH66" s="5"/>
      <c r="MPI66" s="5"/>
      <c r="MPJ66" s="5"/>
      <c r="MPK66" s="5"/>
      <c r="MPL66" s="5"/>
      <c r="MPM66" s="5"/>
      <c r="MPN66" s="5"/>
      <c r="MPO66" s="5"/>
      <c r="MPP66" s="5"/>
      <c r="MPQ66" s="5"/>
      <c r="MPR66" s="5"/>
      <c r="MPS66" s="5"/>
      <c r="MPT66" s="5"/>
      <c r="MPU66" s="5"/>
      <c r="MPV66" s="5"/>
      <c r="MPW66" s="5"/>
      <c r="MPX66" s="5"/>
      <c r="MPY66" s="5"/>
      <c r="MPZ66" s="5"/>
      <c r="MQA66" s="5"/>
      <c r="MQB66" s="5"/>
      <c r="MQC66" s="5"/>
      <c r="MQD66" s="5"/>
      <c r="MQE66" s="5"/>
      <c r="MQF66" s="5"/>
      <c r="MQG66" s="5"/>
      <c r="MQH66" s="5"/>
      <c r="MQI66" s="5"/>
      <c r="MQJ66" s="5"/>
      <c r="MQK66" s="5"/>
      <c r="MQL66" s="5"/>
      <c r="MQM66" s="5"/>
      <c r="MQN66" s="5"/>
      <c r="MQO66" s="5"/>
      <c r="MQP66" s="5"/>
      <c r="MQQ66" s="5"/>
      <c r="MQR66" s="5"/>
      <c r="MQS66" s="5"/>
      <c r="MQT66" s="5"/>
      <c r="MQU66" s="5"/>
      <c r="MQV66" s="5"/>
      <c r="MQW66" s="5"/>
      <c r="MQX66" s="5"/>
      <c r="MQY66" s="5"/>
      <c r="MQZ66" s="5"/>
      <c r="MRA66" s="5"/>
      <c r="MRB66" s="5"/>
      <c r="MRC66" s="5"/>
      <c r="MRD66" s="5"/>
      <c r="MRE66" s="5"/>
      <c r="MRF66" s="5"/>
      <c r="MRG66" s="5"/>
      <c r="MRH66" s="5"/>
      <c r="MRI66" s="5"/>
      <c r="MRJ66" s="5"/>
      <c r="MRK66" s="5"/>
      <c r="MRL66" s="5"/>
      <c r="MRM66" s="5"/>
      <c r="MRN66" s="5"/>
      <c r="MRO66" s="5"/>
      <c r="MRP66" s="5"/>
      <c r="MRQ66" s="5"/>
      <c r="MRR66" s="5"/>
      <c r="MRS66" s="5"/>
      <c r="MRT66" s="5"/>
      <c r="MRU66" s="5"/>
      <c r="MRV66" s="5"/>
      <c r="MRW66" s="5"/>
      <c r="MRX66" s="5"/>
      <c r="MRY66" s="5"/>
      <c r="MRZ66" s="5"/>
      <c r="MSA66" s="5"/>
      <c r="MSB66" s="5"/>
      <c r="MSC66" s="5"/>
      <c r="MSD66" s="5"/>
      <c r="MSE66" s="5"/>
      <c r="MSF66" s="5"/>
      <c r="MSG66" s="5"/>
      <c r="MSH66" s="5"/>
      <c r="MSI66" s="5"/>
      <c r="MSJ66" s="5"/>
      <c r="MSK66" s="5"/>
      <c r="MSL66" s="5"/>
      <c r="MSM66" s="5"/>
      <c r="MSN66" s="5"/>
      <c r="MSO66" s="5"/>
      <c r="MSP66" s="5"/>
      <c r="MSQ66" s="5"/>
      <c r="MSR66" s="5"/>
      <c r="MSS66" s="5"/>
      <c r="MST66" s="5"/>
      <c r="MSU66" s="5"/>
      <c r="MSV66" s="5"/>
      <c r="MSW66" s="5"/>
      <c r="MSX66" s="5"/>
      <c r="MSY66" s="5"/>
      <c r="MSZ66" s="5"/>
      <c r="MTA66" s="5"/>
      <c r="MTB66" s="5"/>
      <c r="MTC66" s="5"/>
      <c r="MTD66" s="5"/>
      <c r="MTE66" s="5"/>
      <c r="MTF66" s="5"/>
      <c r="MTG66" s="5"/>
      <c r="MTH66" s="5"/>
      <c r="MTI66" s="5"/>
      <c r="MTJ66" s="5"/>
      <c r="MTK66" s="5"/>
      <c r="MTL66" s="5"/>
      <c r="MTM66" s="5"/>
      <c r="MTN66" s="5"/>
      <c r="MTO66" s="5"/>
      <c r="MTP66" s="5"/>
      <c r="MTQ66" s="5"/>
      <c r="MTR66" s="5"/>
      <c r="MTS66" s="5"/>
      <c r="MTT66" s="5"/>
      <c r="MTU66" s="5"/>
      <c r="MTV66" s="5"/>
      <c r="MTW66" s="5"/>
      <c r="MTX66" s="5"/>
      <c r="MTY66" s="5"/>
      <c r="MTZ66" s="5"/>
      <c r="MUA66" s="5"/>
      <c r="MUB66" s="5"/>
      <c r="MUC66" s="5"/>
      <c r="MUD66" s="5"/>
      <c r="MUE66" s="5"/>
      <c r="MUF66" s="5"/>
      <c r="MUG66" s="5"/>
      <c r="MUH66" s="5"/>
      <c r="MUI66" s="5"/>
      <c r="MUJ66" s="5"/>
      <c r="MUK66" s="5"/>
      <c r="MUL66" s="5"/>
      <c r="MUM66" s="5"/>
      <c r="MUN66" s="5"/>
      <c r="MUO66" s="5"/>
      <c r="MUP66" s="5"/>
      <c r="MUQ66" s="5"/>
      <c r="MUR66" s="5"/>
      <c r="MUS66" s="5"/>
      <c r="MUT66" s="5"/>
      <c r="MUU66" s="5"/>
      <c r="MUV66" s="5"/>
      <c r="MUW66" s="5"/>
      <c r="MUX66" s="5"/>
      <c r="MUY66" s="5"/>
      <c r="MUZ66" s="5"/>
      <c r="MVA66" s="5"/>
      <c r="MVB66" s="5"/>
      <c r="MVC66" s="5"/>
      <c r="MVD66" s="5"/>
      <c r="MVE66" s="5"/>
      <c r="MVF66" s="5"/>
      <c r="MVG66" s="5"/>
      <c r="MVH66" s="5"/>
      <c r="MVI66" s="5"/>
      <c r="MVJ66" s="5"/>
      <c r="MVK66" s="5"/>
      <c r="MVL66" s="5"/>
      <c r="MVM66" s="5"/>
      <c r="MVN66" s="5"/>
      <c r="MVO66" s="5"/>
      <c r="MVP66" s="5"/>
      <c r="MVQ66" s="5"/>
      <c r="MVR66" s="5"/>
      <c r="MVS66" s="5"/>
      <c r="MVT66" s="5"/>
      <c r="MVU66" s="5"/>
      <c r="MVV66" s="5"/>
      <c r="MVW66" s="5"/>
      <c r="MVX66" s="5"/>
      <c r="MVY66" s="5"/>
      <c r="MVZ66" s="5"/>
      <c r="MWA66" s="5"/>
      <c r="MWB66" s="5"/>
      <c r="MWC66" s="5"/>
      <c r="MWD66" s="5"/>
      <c r="MWE66" s="5"/>
      <c r="MWF66" s="5"/>
      <c r="MWG66" s="5"/>
      <c r="MWH66" s="5"/>
      <c r="MWI66" s="5"/>
      <c r="MWJ66" s="5"/>
      <c r="MWK66" s="5"/>
      <c r="MWL66" s="5"/>
      <c r="MWM66" s="5"/>
      <c r="MWN66" s="5"/>
      <c r="MWO66" s="5"/>
      <c r="MWP66" s="5"/>
      <c r="MWQ66" s="5"/>
      <c r="MWR66" s="5"/>
      <c r="MWS66" s="5"/>
      <c r="MWT66" s="5"/>
      <c r="MWU66" s="5"/>
      <c r="MWV66" s="5"/>
      <c r="MWW66" s="5"/>
      <c r="MWX66" s="5"/>
      <c r="MWY66" s="5"/>
      <c r="MWZ66" s="5"/>
      <c r="MXA66" s="5"/>
      <c r="MXB66" s="5"/>
      <c r="MXC66" s="5"/>
      <c r="MXD66" s="5"/>
      <c r="MXE66" s="5"/>
      <c r="MXF66" s="5"/>
      <c r="MXG66" s="5"/>
      <c r="MXH66" s="5"/>
      <c r="MXI66" s="5"/>
      <c r="MXJ66" s="5"/>
      <c r="MXK66" s="5"/>
      <c r="MXL66" s="5"/>
      <c r="MXM66" s="5"/>
      <c r="MXN66" s="5"/>
      <c r="MXO66" s="5"/>
      <c r="MXP66" s="5"/>
      <c r="MXQ66" s="5"/>
      <c r="MXR66" s="5"/>
      <c r="MXS66" s="5"/>
      <c r="MXT66" s="5"/>
      <c r="MXU66" s="5"/>
      <c r="MXV66" s="5"/>
      <c r="MXW66" s="5"/>
      <c r="MXX66" s="5"/>
      <c r="MXY66" s="5"/>
      <c r="MXZ66" s="5"/>
      <c r="MYA66" s="5"/>
      <c r="MYB66" s="5"/>
      <c r="MYC66" s="5"/>
      <c r="MYD66" s="5"/>
      <c r="MYE66" s="5"/>
      <c r="MYF66" s="5"/>
      <c r="MYG66" s="5"/>
      <c r="MYH66" s="5"/>
      <c r="MYI66" s="5"/>
      <c r="MYJ66" s="5"/>
      <c r="MYK66" s="5"/>
      <c r="MYL66" s="5"/>
      <c r="MYM66" s="5"/>
      <c r="MYN66" s="5"/>
      <c r="MYO66" s="5"/>
      <c r="MYP66" s="5"/>
      <c r="MYQ66" s="5"/>
      <c r="MYR66" s="5"/>
      <c r="MYS66" s="5"/>
      <c r="MYT66" s="5"/>
      <c r="MYU66" s="5"/>
      <c r="MYV66" s="5"/>
      <c r="MYW66" s="5"/>
      <c r="MYX66" s="5"/>
      <c r="MYY66" s="5"/>
      <c r="MYZ66" s="5"/>
      <c r="MZA66" s="5"/>
      <c r="MZB66" s="5"/>
      <c r="MZC66" s="5"/>
      <c r="MZD66" s="5"/>
      <c r="MZE66" s="5"/>
      <c r="MZF66" s="5"/>
      <c r="MZG66" s="5"/>
      <c r="MZH66" s="5"/>
      <c r="MZI66" s="5"/>
      <c r="MZJ66" s="5"/>
      <c r="MZK66" s="5"/>
      <c r="MZL66" s="5"/>
      <c r="MZM66" s="5"/>
      <c r="MZN66" s="5"/>
      <c r="MZO66" s="5"/>
      <c r="MZP66" s="5"/>
      <c r="MZQ66" s="5"/>
      <c r="MZR66" s="5"/>
      <c r="MZS66" s="5"/>
      <c r="MZT66" s="5"/>
      <c r="MZU66" s="5"/>
      <c r="MZV66" s="5"/>
      <c r="MZW66" s="5"/>
      <c r="MZX66" s="5"/>
      <c r="MZY66" s="5"/>
      <c r="MZZ66" s="5"/>
      <c r="NAA66" s="5"/>
      <c r="NAB66" s="5"/>
      <c r="NAC66" s="5"/>
      <c r="NAD66" s="5"/>
      <c r="NAE66" s="5"/>
      <c r="NAF66" s="5"/>
      <c r="NAG66" s="5"/>
      <c r="NAH66" s="5"/>
      <c r="NAI66" s="5"/>
      <c r="NAJ66" s="5"/>
      <c r="NAK66" s="5"/>
      <c r="NAL66" s="5"/>
      <c r="NAM66" s="5"/>
      <c r="NAN66" s="5"/>
      <c r="NAO66" s="5"/>
      <c r="NAP66" s="5"/>
      <c r="NAQ66" s="5"/>
      <c r="NAR66" s="5"/>
      <c r="NAS66" s="5"/>
      <c r="NAT66" s="5"/>
      <c r="NAU66" s="5"/>
      <c r="NAV66" s="5"/>
      <c r="NAW66" s="5"/>
      <c r="NAX66" s="5"/>
      <c r="NAY66" s="5"/>
      <c r="NAZ66" s="5"/>
      <c r="NBA66" s="5"/>
      <c r="NBB66" s="5"/>
      <c r="NBC66" s="5"/>
      <c r="NBD66" s="5"/>
      <c r="NBE66" s="5"/>
      <c r="NBF66" s="5"/>
      <c r="NBG66" s="5"/>
      <c r="NBH66" s="5"/>
      <c r="NBI66" s="5"/>
      <c r="NBJ66" s="5"/>
      <c r="NBK66" s="5"/>
      <c r="NBL66" s="5"/>
      <c r="NBM66" s="5"/>
      <c r="NBN66" s="5"/>
      <c r="NBO66" s="5"/>
      <c r="NBP66" s="5"/>
      <c r="NBQ66" s="5"/>
      <c r="NBR66" s="5"/>
      <c r="NBS66" s="5"/>
      <c r="NBT66" s="5"/>
      <c r="NBU66" s="5"/>
      <c r="NBV66" s="5"/>
      <c r="NBW66" s="5"/>
      <c r="NBX66" s="5"/>
      <c r="NBY66" s="5"/>
      <c r="NBZ66" s="5"/>
      <c r="NCA66" s="5"/>
      <c r="NCB66" s="5"/>
      <c r="NCC66" s="5"/>
      <c r="NCD66" s="5"/>
      <c r="NCE66" s="5"/>
      <c r="NCF66" s="5"/>
      <c r="NCG66" s="5"/>
      <c r="NCH66" s="5"/>
      <c r="NCI66" s="5"/>
      <c r="NCJ66" s="5"/>
      <c r="NCK66" s="5"/>
      <c r="NCL66" s="5"/>
      <c r="NCM66" s="5"/>
      <c r="NCN66" s="5"/>
      <c r="NCO66" s="5"/>
      <c r="NCP66" s="5"/>
      <c r="NCQ66" s="5"/>
      <c r="NCR66" s="5"/>
      <c r="NCS66" s="5"/>
      <c r="NCT66" s="5"/>
      <c r="NCU66" s="5"/>
      <c r="NCV66" s="5"/>
      <c r="NCW66" s="5"/>
      <c r="NCX66" s="5"/>
      <c r="NCY66" s="5"/>
      <c r="NCZ66" s="5"/>
      <c r="NDA66" s="5"/>
      <c r="NDB66" s="5"/>
      <c r="NDC66" s="5"/>
      <c r="NDD66" s="5"/>
      <c r="NDE66" s="5"/>
      <c r="NDF66" s="5"/>
      <c r="NDG66" s="5"/>
      <c r="NDH66" s="5"/>
      <c r="NDI66" s="5"/>
      <c r="NDJ66" s="5"/>
      <c r="NDK66" s="5"/>
      <c r="NDL66" s="5"/>
      <c r="NDM66" s="5"/>
      <c r="NDN66" s="5"/>
      <c r="NDO66" s="5"/>
      <c r="NDP66" s="5"/>
      <c r="NDQ66" s="5"/>
      <c r="NDR66" s="5"/>
      <c r="NDS66" s="5"/>
      <c r="NDT66" s="5"/>
      <c r="NDU66" s="5"/>
      <c r="NDV66" s="5"/>
      <c r="NDW66" s="5"/>
      <c r="NDX66" s="5"/>
      <c r="NDY66" s="5"/>
      <c r="NDZ66" s="5"/>
      <c r="NEA66" s="5"/>
      <c r="NEB66" s="5"/>
      <c r="NEC66" s="5"/>
      <c r="NED66" s="5"/>
      <c r="NEE66" s="5"/>
      <c r="NEF66" s="5"/>
      <c r="NEG66" s="5"/>
      <c r="NEH66" s="5"/>
      <c r="NEI66" s="5"/>
      <c r="NEJ66" s="5"/>
      <c r="NEK66" s="5"/>
      <c r="NEL66" s="5"/>
      <c r="NEM66" s="5"/>
      <c r="NEN66" s="5"/>
      <c r="NEO66" s="5"/>
      <c r="NEP66" s="5"/>
      <c r="NEQ66" s="5"/>
      <c r="NER66" s="5"/>
      <c r="NES66" s="5"/>
      <c r="NET66" s="5"/>
      <c r="NEU66" s="5"/>
      <c r="NEV66" s="5"/>
      <c r="NEW66" s="5"/>
      <c r="NEX66" s="5"/>
      <c r="NEY66" s="5"/>
      <c r="NEZ66" s="5"/>
      <c r="NFA66" s="5"/>
      <c r="NFB66" s="5"/>
      <c r="NFC66" s="5"/>
      <c r="NFD66" s="5"/>
      <c r="NFE66" s="5"/>
      <c r="NFF66" s="5"/>
      <c r="NFG66" s="5"/>
      <c r="NFH66" s="5"/>
      <c r="NFI66" s="5"/>
      <c r="NFJ66" s="5"/>
      <c r="NFK66" s="5"/>
      <c r="NFL66" s="5"/>
      <c r="NFM66" s="5"/>
      <c r="NFN66" s="5"/>
      <c r="NFO66" s="5"/>
      <c r="NFP66" s="5"/>
      <c r="NFQ66" s="5"/>
      <c r="NFR66" s="5"/>
      <c r="NFS66" s="5"/>
      <c r="NFT66" s="5"/>
      <c r="NFU66" s="5"/>
      <c r="NFV66" s="5"/>
      <c r="NFW66" s="5"/>
      <c r="NFX66" s="5"/>
      <c r="NFY66" s="5"/>
      <c r="NFZ66" s="5"/>
      <c r="NGA66" s="5"/>
      <c r="NGB66" s="5"/>
      <c r="NGC66" s="5"/>
      <c r="NGD66" s="5"/>
      <c r="NGE66" s="5"/>
      <c r="NGF66" s="5"/>
      <c r="NGG66" s="5"/>
      <c r="NGH66" s="5"/>
      <c r="NGI66" s="5"/>
      <c r="NGJ66" s="5"/>
      <c r="NGK66" s="5"/>
      <c r="NGL66" s="5"/>
      <c r="NGM66" s="5"/>
      <c r="NGN66" s="5"/>
      <c r="NGO66" s="5"/>
      <c r="NGP66" s="5"/>
      <c r="NGQ66" s="5"/>
      <c r="NGR66" s="5"/>
      <c r="NGS66" s="5"/>
      <c r="NGT66" s="5"/>
      <c r="NGU66" s="5"/>
      <c r="NGV66" s="5"/>
      <c r="NGW66" s="5"/>
      <c r="NGX66" s="5"/>
      <c r="NGY66" s="5"/>
      <c r="NGZ66" s="5"/>
      <c r="NHA66" s="5"/>
      <c r="NHB66" s="5"/>
      <c r="NHC66" s="5"/>
      <c r="NHD66" s="5"/>
      <c r="NHE66" s="5"/>
      <c r="NHF66" s="5"/>
      <c r="NHG66" s="5"/>
      <c r="NHH66" s="5"/>
      <c r="NHI66" s="5"/>
      <c r="NHJ66" s="5"/>
      <c r="NHK66" s="5"/>
      <c r="NHL66" s="5"/>
      <c r="NHM66" s="5"/>
      <c r="NHN66" s="5"/>
      <c r="NHO66" s="5"/>
      <c r="NHP66" s="5"/>
      <c r="NHQ66" s="5"/>
      <c r="NHR66" s="5"/>
      <c r="NHS66" s="5"/>
      <c r="NHT66" s="5"/>
      <c r="NHU66" s="5"/>
      <c r="NHV66" s="5"/>
      <c r="NHW66" s="5"/>
      <c r="NHX66" s="5"/>
      <c r="NHY66" s="5"/>
      <c r="NHZ66" s="5"/>
      <c r="NIA66" s="5"/>
      <c r="NIB66" s="5"/>
      <c r="NIC66" s="5"/>
      <c r="NID66" s="5"/>
      <c r="NIE66" s="5"/>
      <c r="NIF66" s="5"/>
      <c r="NIG66" s="5"/>
      <c r="NIH66" s="5"/>
      <c r="NII66" s="5"/>
      <c r="NIJ66" s="5"/>
      <c r="NIK66" s="5"/>
      <c r="NIL66" s="5"/>
      <c r="NIM66" s="5"/>
      <c r="NIN66" s="5"/>
      <c r="NIO66" s="5"/>
      <c r="NIP66" s="5"/>
      <c r="NIQ66" s="5"/>
      <c r="NIR66" s="5"/>
      <c r="NIS66" s="5"/>
      <c r="NIT66" s="5"/>
      <c r="NIU66" s="5"/>
      <c r="NIV66" s="5"/>
      <c r="NIW66" s="5"/>
      <c r="NIX66" s="5"/>
      <c r="NIY66" s="5"/>
      <c r="NIZ66" s="5"/>
      <c r="NJA66" s="5"/>
      <c r="NJB66" s="5"/>
      <c r="NJC66" s="5"/>
      <c r="NJD66" s="5"/>
      <c r="NJE66" s="5"/>
      <c r="NJF66" s="5"/>
      <c r="NJG66" s="5"/>
      <c r="NJH66" s="5"/>
      <c r="NJI66" s="5"/>
      <c r="NJJ66" s="5"/>
      <c r="NJK66" s="5"/>
      <c r="NJL66" s="5"/>
      <c r="NJM66" s="5"/>
      <c r="NJN66" s="5"/>
      <c r="NJO66" s="5"/>
      <c r="NJP66" s="5"/>
      <c r="NJQ66" s="5"/>
      <c r="NJR66" s="5"/>
      <c r="NJS66" s="5"/>
      <c r="NJT66" s="5"/>
      <c r="NJU66" s="5"/>
      <c r="NJV66" s="5"/>
      <c r="NJW66" s="5"/>
      <c r="NJX66" s="5"/>
      <c r="NJY66" s="5"/>
      <c r="NJZ66" s="5"/>
      <c r="NKA66" s="5"/>
      <c r="NKB66" s="5"/>
      <c r="NKC66" s="5"/>
      <c r="NKD66" s="5"/>
      <c r="NKE66" s="5"/>
      <c r="NKF66" s="5"/>
      <c r="NKG66" s="5"/>
      <c r="NKH66" s="5"/>
      <c r="NKI66" s="5"/>
      <c r="NKJ66" s="5"/>
      <c r="NKK66" s="5"/>
      <c r="NKL66" s="5"/>
      <c r="NKM66" s="5"/>
      <c r="NKN66" s="5"/>
      <c r="NKO66" s="5"/>
      <c r="NKP66" s="5"/>
      <c r="NKQ66" s="5"/>
      <c r="NKR66" s="5"/>
      <c r="NKS66" s="5"/>
      <c r="NKT66" s="5"/>
      <c r="NKU66" s="5"/>
      <c r="NKV66" s="5"/>
      <c r="NKW66" s="5"/>
      <c r="NKX66" s="5"/>
      <c r="NKY66" s="5"/>
      <c r="NKZ66" s="5"/>
      <c r="NLA66" s="5"/>
      <c r="NLB66" s="5"/>
      <c r="NLC66" s="5"/>
      <c r="NLD66" s="5"/>
      <c r="NLE66" s="5"/>
      <c r="NLF66" s="5"/>
      <c r="NLG66" s="5"/>
      <c r="NLH66" s="5"/>
      <c r="NLI66" s="5"/>
      <c r="NLJ66" s="5"/>
      <c r="NLK66" s="5"/>
      <c r="NLL66" s="5"/>
      <c r="NLM66" s="5"/>
      <c r="NLN66" s="5"/>
      <c r="NLO66" s="5"/>
      <c r="NLP66" s="5"/>
      <c r="NLQ66" s="5"/>
      <c r="NLR66" s="5"/>
      <c r="NLS66" s="5"/>
      <c r="NLT66" s="5"/>
      <c r="NLU66" s="5"/>
      <c r="NLV66" s="5"/>
      <c r="NLW66" s="5"/>
      <c r="NLX66" s="5"/>
      <c r="NLY66" s="5"/>
      <c r="NLZ66" s="5"/>
      <c r="NMA66" s="5"/>
      <c r="NMB66" s="5"/>
      <c r="NMC66" s="5"/>
      <c r="NMD66" s="5"/>
      <c r="NME66" s="5"/>
      <c r="NMF66" s="5"/>
      <c r="NMG66" s="5"/>
      <c r="NMH66" s="5"/>
      <c r="NMI66" s="5"/>
      <c r="NMJ66" s="5"/>
      <c r="NMK66" s="5"/>
      <c r="NML66" s="5"/>
      <c r="NMM66" s="5"/>
      <c r="NMN66" s="5"/>
      <c r="NMO66" s="5"/>
      <c r="NMP66" s="5"/>
      <c r="NMQ66" s="5"/>
      <c r="NMR66" s="5"/>
      <c r="NMS66" s="5"/>
      <c r="NMT66" s="5"/>
      <c r="NMU66" s="5"/>
      <c r="NMV66" s="5"/>
      <c r="NMW66" s="5"/>
      <c r="NMX66" s="5"/>
      <c r="NMY66" s="5"/>
      <c r="NMZ66" s="5"/>
      <c r="NNA66" s="5"/>
      <c r="NNB66" s="5"/>
      <c r="NNC66" s="5"/>
      <c r="NND66" s="5"/>
      <c r="NNE66" s="5"/>
      <c r="NNF66" s="5"/>
      <c r="NNG66" s="5"/>
      <c r="NNH66" s="5"/>
      <c r="NNI66" s="5"/>
      <c r="NNJ66" s="5"/>
      <c r="NNK66" s="5"/>
      <c r="NNL66" s="5"/>
      <c r="NNM66" s="5"/>
      <c r="NNN66" s="5"/>
      <c r="NNO66" s="5"/>
      <c r="NNP66" s="5"/>
      <c r="NNQ66" s="5"/>
      <c r="NNR66" s="5"/>
      <c r="NNS66" s="5"/>
      <c r="NNT66" s="5"/>
      <c r="NNU66" s="5"/>
      <c r="NNV66" s="5"/>
      <c r="NNW66" s="5"/>
      <c r="NNX66" s="5"/>
      <c r="NNY66" s="5"/>
      <c r="NNZ66" s="5"/>
      <c r="NOA66" s="5"/>
      <c r="NOB66" s="5"/>
      <c r="NOC66" s="5"/>
      <c r="NOD66" s="5"/>
      <c r="NOE66" s="5"/>
      <c r="NOF66" s="5"/>
      <c r="NOG66" s="5"/>
      <c r="NOH66" s="5"/>
      <c r="NOI66" s="5"/>
      <c r="NOJ66" s="5"/>
      <c r="NOK66" s="5"/>
      <c r="NOL66" s="5"/>
      <c r="NOM66" s="5"/>
      <c r="NON66" s="5"/>
      <c r="NOO66" s="5"/>
      <c r="NOP66" s="5"/>
      <c r="NOQ66" s="5"/>
      <c r="NOR66" s="5"/>
      <c r="NOS66" s="5"/>
      <c r="NOT66" s="5"/>
      <c r="NOU66" s="5"/>
      <c r="NOV66" s="5"/>
      <c r="NOW66" s="5"/>
      <c r="NOX66" s="5"/>
      <c r="NOY66" s="5"/>
      <c r="NOZ66" s="5"/>
      <c r="NPA66" s="5"/>
      <c r="NPB66" s="5"/>
      <c r="NPC66" s="5"/>
      <c r="NPD66" s="5"/>
      <c r="NPE66" s="5"/>
      <c r="NPF66" s="5"/>
      <c r="NPG66" s="5"/>
      <c r="NPH66" s="5"/>
      <c r="NPI66" s="5"/>
      <c r="NPJ66" s="5"/>
      <c r="NPK66" s="5"/>
      <c r="NPL66" s="5"/>
      <c r="NPM66" s="5"/>
      <c r="NPN66" s="5"/>
      <c r="NPO66" s="5"/>
      <c r="NPP66" s="5"/>
      <c r="NPQ66" s="5"/>
      <c r="NPR66" s="5"/>
      <c r="NPS66" s="5"/>
      <c r="NPT66" s="5"/>
      <c r="NPU66" s="5"/>
      <c r="NPV66" s="5"/>
      <c r="NPW66" s="5"/>
      <c r="NPX66" s="5"/>
      <c r="NPY66" s="5"/>
      <c r="NPZ66" s="5"/>
      <c r="NQA66" s="5"/>
      <c r="NQB66" s="5"/>
      <c r="NQC66" s="5"/>
      <c r="NQD66" s="5"/>
      <c r="NQE66" s="5"/>
      <c r="NQF66" s="5"/>
      <c r="NQG66" s="5"/>
      <c r="NQH66" s="5"/>
      <c r="NQI66" s="5"/>
      <c r="NQJ66" s="5"/>
      <c r="NQK66" s="5"/>
      <c r="NQL66" s="5"/>
      <c r="NQM66" s="5"/>
      <c r="NQN66" s="5"/>
      <c r="NQO66" s="5"/>
      <c r="NQP66" s="5"/>
      <c r="NQQ66" s="5"/>
      <c r="NQR66" s="5"/>
      <c r="NQS66" s="5"/>
      <c r="NQT66" s="5"/>
      <c r="NQU66" s="5"/>
      <c r="NQV66" s="5"/>
      <c r="NQW66" s="5"/>
      <c r="NQX66" s="5"/>
      <c r="NQY66" s="5"/>
      <c r="NQZ66" s="5"/>
      <c r="NRA66" s="5"/>
      <c r="NRB66" s="5"/>
      <c r="NRC66" s="5"/>
      <c r="NRD66" s="5"/>
      <c r="NRE66" s="5"/>
      <c r="NRF66" s="5"/>
      <c r="NRG66" s="5"/>
      <c r="NRH66" s="5"/>
      <c r="NRI66" s="5"/>
      <c r="NRJ66" s="5"/>
      <c r="NRK66" s="5"/>
      <c r="NRL66" s="5"/>
      <c r="NRM66" s="5"/>
      <c r="NRN66" s="5"/>
      <c r="NRO66" s="5"/>
      <c r="NRP66" s="5"/>
      <c r="NRQ66" s="5"/>
      <c r="NRR66" s="5"/>
      <c r="NRS66" s="5"/>
      <c r="NRT66" s="5"/>
      <c r="NRU66" s="5"/>
      <c r="NRV66" s="5"/>
      <c r="NRW66" s="5"/>
      <c r="NRX66" s="5"/>
      <c r="NRY66" s="5"/>
      <c r="NRZ66" s="5"/>
      <c r="NSA66" s="5"/>
      <c r="NSB66" s="5"/>
      <c r="NSC66" s="5"/>
      <c r="NSD66" s="5"/>
      <c r="NSE66" s="5"/>
      <c r="NSF66" s="5"/>
      <c r="NSG66" s="5"/>
      <c r="NSH66" s="5"/>
      <c r="NSI66" s="5"/>
      <c r="NSJ66" s="5"/>
      <c r="NSK66" s="5"/>
      <c r="NSL66" s="5"/>
      <c r="NSM66" s="5"/>
      <c r="NSN66" s="5"/>
      <c r="NSO66" s="5"/>
      <c r="NSP66" s="5"/>
      <c r="NSQ66" s="5"/>
      <c r="NSR66" s="5"/>
      <c r="NSS66" s="5"/>
      <c r="NST66" s="5"/>
      <c r="NSU66" s="5"/>
      <c r="NSV66" s="5"/>
      <c r="NSW66" s="5"/>
      <c r="NSX66" s="5"/>
      <c r="NSY66" s="5"/>
      <c r="NSZ66" s="5"/>
      <c r="NTA66" s="5"/>
      <c r="NTB66" s="5"/>
      <c r="NTC66" s="5"/>
      <c r="NTD66" s="5"/>
      <c r="NTE66" s="5"/>
      <c r="NTF66" s="5"/>
      <c r="NTG66" s="5"/>
      <c r="NTH66" s="5"/>
      <c r="NTI66" s="5"/>
      <c r="NTJ66" s="5"/>
      <c r="NTK66" s="5"/>
      <c r="NTL66" s="5"/>
      <c r="NTM66" s="5"/>
      <c r="NTN66" s="5"/>
      <c r="NTO66" s="5"/>
      <c r="NTP66" s="5"/>
      <c r="NTQ66" s="5"/>
      <c r="NTR66" s="5"/>
      <c r="NTS66" s="5"/>
      <c r="NTT66" s="5"/>
      <c r="NTU66" s="5"/>
      <c r="NTV66" s="5"/>
      <c r="NTW66" s="5"/>
      <c r="NTX66" s="5"/>
      <c r="NTY66" s="5"/>
      <c r="NTZ66" s="5"/>
      <c r="NUA66" s="5"/>
      <c r="NUB66" s="5"/>
      <c r="NUC66" s="5"/>
      <c r="NUD66" s="5"/>
      <c r="NUE66" s="5"/>
      <c r="NUF66" s="5"/>
      <c r="NUG66" s="5"/>
      <c r="NUH66" s="5"/>
      <c r="NUI66" s="5"/>
      <c r="NUJ66" s="5"/>
      <c r="NUK66" s="5"/>
      <c r="NUL66" s="5"/>
      <c r="NUM66" s="5"/>
      <c r="NUN66" s="5"/>
      <c r="NUO66" s="5"/>
      <c r="NUP66" s="5"/>
      <c r="NUQ66" s="5"/>
      <c r="NUR66" s="5"/>
      <c r="NUS66" s="5"/>
      <c r="NUT66" s="5"/>
      <c r="NUU66" s="5"/>
      <c r="NUV66" s="5"/>
      <c r="NUW66" s="5"/>
      <c r="NUX66" s="5"/>
      <c r="NUY66" s="5"/>
      <c r="NUZ66" s="5"/>
      <c r="NVA66" s="5"/>
      <c r="NVB66" s="5"/>
      <c r="NVC66" s="5"/>
      <c r="NVD66" s="5"/>
      <c r="NVE66" s="5"/>
      <c r="NVF66" s="5"/>
      <c r="NVG66" s="5"/>
      <c r="NVH66" s="5"/>
      <c r="NVI66" s="5"/>
      <c r="NVJ66" s="5"/>
      <c r="NVK66" s="5"/>
      <c r="NVL66" s="5"/>
      <c r="NVM66" s="5"/>
      <c r="NVN66" s="5"/>
      <c r="NVO66" s="5"/>
      <c r="NVP66" s="5"/>
      <c r="NVQ66" s="5"/>
      <c r="NVR66" s="5"/>
      <c r="NVS66" s="5"/>
      <c r="NVT66" s="5"/>
      <c r="NVU66" s="5"/>
      <c r="NVV66" s="5"/>
      <c r="NVW66" s="5"/>
      <c r="NVX66" s="5"/>
      <c r="NVY66" s="5"/>
      <c r="NVZ66" s="5"/>
      <c r="NWA66" s="5"/>
      <c r="NWB66" s="5"/>
      <c r="NWC66" s="5"/>
      <c r="NWD66" s="5"/>
      <c r="NWE66" s="5"/>
      <c r="NWF66" s="5"/>
      <c r="NWG66" s="5"/>
      <c r="NWH66" s="5"/>
      <c r="NWI66" s="5"/>
      <c r="NWJ66" s="5"/>
      <c r="NWK66" s="5"/>
      <c r="NWL66" s="5"/>
      <c r="NWM66" s="5"/>
      <c r="NWN66" s="5"/>
      <c r="NWO66" s="5"/>
      <c r="NWP66" s="5"/>
      <c r="NWQ66" s="5"/>
      <c r="NWR66" s="5"/>
      <c r="NWS66" s="5"/>
      <c r="NWT66" s="5"/>
      <c r="NWU66" s="5"/>
      <c r="NWV66" s="5"/>
      <c r="NWW66" s="5"/>
      <c r="NWX66" s="5"/>
      <c r="NWY66" s="5"/>
      <c r="NWZ66" s="5"/>
      <c r="NXA66" s="5"/>
      <c r="NXB66" s="5"/>
      <c r="NXC66" s="5"/>
      <c r="NXD66" s="5"/>
      <c r="NXE66" s="5"/>
      <c r="NXF66" s="5"/>
      <c r="NXG66" s="5"/>
      <c r="NXH66" s="5"/>
      <c r="NXI66" s="5"/>
      <c r="NXJ66" s="5"/>
      <c r="NXK66" s="5"/>
      <c r="NXL66" s="5"/>
      <c r="NXM66" s="5"/>
      <c r="NXN66" s="5"/>
      <c r="NXO66" s="5"/>
      <c r="NXP66" s="5"/>
      <c r="NXQ66" s="5"/>
      <c r="NXR66" s="5"/>
      <c r="NXS66" s="5"/>
      <c r="NXT66" s="5"/>
      <c r="NXU66" s="5"/>
      <c r="NXV66" s="5"/>
      <c r="NXW66" s="5"/>
      <c r="NXX66" s="5"/>
      <c r="NXY66" s="5"/>
      <c r="NXZ66" s="5"/>
      <c r="NYA66" s="5"/>
      <c r="NYB66" s="5"/>
      <c r="NYC66" s="5"/>
      <c r="NYD66" s="5"/>
      <c r="NYE66" s="5"/>
      <c r="NYF66" s="5"/>
      <c r="NYG66" s="5"/>
      <c r="NYH66" s="5"/>
      <c r="NYI66" s="5"/>
      <c r="NYJ66" s="5"/>
      <c r="NYK66" s="5"/>
      <c r="NYL66" s="5"/>
      <c r="NYM66" s="5"/>
      <c r="NYN66" s="5"/>
      <c r="NYO66" s="5"/>
      <c r="NYP66" s="5"/>
      <c r="NYQ66" s="5"/>
      <c r="NYR66" s="5"/>
      <c r="NYS66" s="5"/>
      <c r="NYT66" s="5"/>
      <c r="NYU66" s="5"/>
      <c r="NYV66" s="5"/>
      <c r="NYW66" s="5"/>
      <c r="NYX66" s="5"/>
      <c r="NYY66" s="5"/>
      <c r="NYZ66" s="5"/>
      <c r="NZA66" s="5"/>
      <c r="NZB66" s="5"/>
      <c r="NZC66" s="5"/>
      <c r="NZD66" s="5"/>
      <c r="NZE66" s="5"/>
      <c r="NZF66" s="5"/>
      <c r="NZG66" s="5"/>
      <c r="NZH66" s="5"/>
      <c r="NZI66" s="5"/>
      <c r="NZJ66" s="5"/>
      <c r="NZK66" s="5"/>
      <c r="NZL66" s="5"/>
      <c r="NZM66" s="5"/>
      <c r="NZN66" s="5"/>
      <c r="NZO66" s="5"/>
      <c r="NZP66" s="5"/>
      <c r="NZQ66" s="5"/>
      <c r="NZR66" s="5"/>
      <c r="NZS66" s="5"/>
      <c r="NZT66" s="5"/>
      <c r="NZU66" s="5"/>
      <c r="NZV66" s="5"/>
      <c r="NZW66" s="5"/>
      <c r="NZX66" s="5"/>
      <c r="NZY66" s="5"/>
      <c r="NZZ66" s="5"/>
      <c r="OAA66" s="5"/>
      <c r="OAB66" s="5"/>
      <c r="OAC66" s="5"/>
      <c r="OAD66" s="5"/>
      <c r="OAE66" s="5"/>
      <c r="OAF66" s="5"/>
      <c r="OAG66" s="5"/>
      <c r="OAH66" s="5"/>
      <c r="OAI66" s="5"/>
      <c r="OAJ66" s="5"/>
      <c r="OAK66" s="5"/>
      <c r="OAL66" s="5"/>
      <c r="OAM66" s="5"/>
      <c r="OAN66" s="5"/>
      <c r="OAO66" s="5"/>
      <c r="OAP66" s="5"/>
      <c r="OAQ66" s="5"/>
      <c r="OAR66" s="5"/>
      <c r="OAS66" s="5"/>
      <c r="OAT66" s="5"/>
      <c r="OAU66" s="5"/>
      <c r="OAV66" s="5"/>
      <c r="OAW66" s="5"/>
      <c r="OAX66" s="5"/>
      <c r="OAY66" s="5"/>
      <c r="OAZ66" s="5"/>
      <c r="OBA66" s="5"/>
      <c r="OBB66" s="5"/>
      <c r="OBC66" s="5"/>
      <c r="OBD66" s="5"/>
      <c r="OBE66" s="5"/>
      <c r="OBF66" s="5"/>
      <c r="OBG66" s="5"/>
      <c r="OBH66" s="5"/>
      <c r="OBI66" s="5"/>
      <c r="OBJ66" s="5"/>
      <c r="OBK66" s="5"/>
      <c r="OBL66" s="5"/>
      <c r="OBM66" s="5"/>
      <c r="OBN66" s="5"/>
      <c r="OBO66" s="5"/>
      <c r="OBP66" s="5"/>
      <c r="OBQ66" s="5"/>
      <c r="OBR66" s="5"/>
      <c r="OBS66" s="5"/>
      <c r="OBT66" s="5"/>
      <c r="OBU66" s="5"/>
      <c r="OBV66" s="5"/>
      <c r="OBW66" s="5"/>
      <c r="OBX66" s="5"/>
      <c r="OBY66" s="5"/>
      <c r="OBZ66" s="5"/>
      <c r="OCA66" s="5"/>
      <c r="OCB66" s="5"/>
      <c r="OCC66" s="5"/>
      <c r="OCD66" s="5"/>
      <c r="OCE66" s="5"/>
      <c r="OCF66" s="5"/>
      <c r="OCG66" s="5"/>
      <c r="OCH66" s="5"/>
      <c r="OCI66" s="5"/>
      <c r="OCJ66" s="5"/>
      <c r="OCK66" s="5"/>
      <c r="OCL66" s="5"/>
      <c r="OCM66" s="5"/>
      <c r="OCN66" s="5"/>
      <c r="OCO66" s="5"/>
      <c r="OCP66" s="5"/>
      <c r="OCQ66" s="5"/>
      <c r="OCR66" s="5"/>
      <c r="OCS66" s="5"/>
      <c r="OCT66" s="5"/>
      <c r="OCU66" s="5"/>
      <c r="OCV66" s="5"/>
      <c r="OCW66" s="5"/>
      <c r="OCX66" s="5"/>
      <c r="OCY66" s="5"/>
      <c r="OCZ66" s="5"/>
      <c r="ODA66" s="5"/>
      <c r="ODB66" s="5"/>
      <c r="ODC66" s="5"/>
      <c r="ODD66" s="5"/>
      <c r="ODE66" s="5"/>
      <c r="ODF66" s="5"/>
      <c r="ODG66" s="5"/>
      <c r="ODH66" s="5"/>
      <c r="ODI66" s="5"/>
      <c r="ODJ66" s="5"/>
      <c r="ODK66" s="5"/>
      <c r="ODL66" s="5"/>
      <c r="ODM66" s="5"/>
      <c r="ODN66" s="5"/>
      <c r="ODO66" s="5"/>
      <c r="ODP66" s="5"/>
      <c r="ODQ66" s="5"/>
      <c r="ODR66" s="5"/>
      <c r="ODS66" s="5"/>
      <c r="ODT66" s="5"/>
      <c r="ODU66" s="5"/>
      <c r="ODV66" s="5"/>
      <c r="ODW66" s="5"/>
      <c r="ODX66" s="5"/>
      <c r="ODY66" s="5"/>
      <c r="ODZ66" s="5"/>
      <c r="OEA66" s="5"/>
      <c r="OEB66" s="5"/>
      <c r="OEC66" s="5"/>
      <c r="OED66" s="5"/>
      <c r="OEE66" s="5"/>
      <c r="OEF66" s="5"/>
      <c r="OEG66" s="5"/>
      <c r="OEH66" s="5"/>
      <c r="OEI66" s="5"/>
      <c r="OEJ66" s="5"/>
      <c r="OEK66" s="5"/>
      <c r="OEL66" s="5"/>
      <c r="OEM66" s="5"/>
      <c r="OEN66" s="5"/>
      <c r="OEO66" s="5"/>
      <c r="OEP66" s="5"/>
      <c r="OEQ66" s="5"/>
      <c r="OER66" s="5"/>
      <c r="OES66" s="5"/>
      <c r="OET66" s="5"/>
      <c r="OEU66" s="5"/>
      <c r="OEV66" s="5"/>
      <c r="OEW66" s="5"/>
      <c r="OEX66" s="5"/>
      <c r="OEY66" s="5"/>
      <c r="OEZ66" s="5"/>
      <c r="OFA66" s="5"/>
      <c r="OFB66" s="5"/>
      <c r="OFC66" s="5"/>
      <c r="OFD66" s="5"/>
      <c r="OFE66" s="5"/>
      <c r="OFF66" s="5"/>
      <c r="OFG66" s="5"/>
      <c r="OFH66" s="5"/>
      <c r="OFI66" s="5"/>
      <c r="OFJ66" s="5"/>
      <c r="OFK66" s="5"/>
      <c r="OFL66" s="5"/>
      <c r="OFM66" s="5"/>
      <c r="OFN66" s="5"/>
      <c r="OFO66" s="5"/>
      <c r="OFP66" s="5"/>
      <c r="OFQ66" s="5"/>
      <c r="OFR66" s="5"/>
      <c r="OFS66" s="5"/>
      <c r="OFT66" s="5"/>
      <c r="OFU66" s="5"/>
      <c r="OFV66" s="5"/>
      <c r="OFW66" s="5"/>
      <c r="OFX66" s="5"/>
      <c r="OFY66" s="5"/>
      <c r="OFZ66" s="5"/>
      <c r="OGA66" s="5"/>
      <c r="OGB66" s="5"/>
      <c r="OGC66" s="5"/>
      <c r="OGD66" s="5"/>
      <c r="OGE66" s="5"/>
      <c r="OGF66" s="5"/>
      <c r="OGG66" s="5"/>
      <c r="OGH66" s="5"/>
      <c r="OGI66" s="5"/>
      <c r="OGJ66" s="5"/>
      <c r="OGK66" s="5"/>
      <c r="OGL66" s="5"/>
      <c r="OGM66" s="5"/>
      <c r="OGN66" s="5"/>
      <c r="OGO66" s="5"/>
      <c r="OGP66" s="5"/>
      <c r="OGQ66" s="5"/>
      <c r="OGR66" s="5"/>
      <c r="OGS66" s="5"/>
      <c r="OGT66" s="5"/>
      <c r="OGU66" s="5"/>
      <c r="OGV66" s="5"/>
      <c r="OGW66" s="5"/>
      <c r="OGX66" s="5"/>
      <c r="OGY66" s="5"/>
      <c r="OGZ66" s="5"/>
      <c r="OHA66" s="5"/>
      <c r="OHB66" s="5"/>
      <c r="OHC66" s="5"/>
      <c r="OHD66" s="5"/>
      <c r="OHE66" s="5"/>
      <c r="OHF66" s="5"/>
      <c r="OHG66" s="5"/>
      <c r="OHH66" s="5"/>
      <c r="OHI66" s="5"/>
      <c r="OHJ66" s="5"/>
      <c r="OHK66" s="5"/>
      <c r="OHL66" s="5"/>
      <c r="OHM66" s="5"/>
      <c r="OHN66" s="5"/>
      <c r="OHO66" s="5"/>
      <c r="OHP66" s="5"/>
      <c r="OHQ66" s="5"/>
      <c r="OHR66" s="5"/>
      <c r="OHS66" s="5"/>
      <c r="OHT66" s="5"/>
      <c r="OHU66" s="5"/>
      <c r="OHV66" s="5"/>
      <c r="OHW66" s="5"/>
      <c r="OHX66" s="5"/>
      <c r="OHY66" s="5"/>
      <c r="OHZ66" s="5"/>
      <c r="OIA66" s="5"/>
      <c r="OIB66" s="5"/>
      <c r="OIC66" s="5"/>
      <c r="OID66" s="5"/>
      <c r="OIE66" s="5"/>
      <c r="OIF66" s="5"/>
      <c r="OIG66" s="5"/>
      <c r="OIH66" s="5"/>
      <c r="OII66" s="5"/>
      <c r="OIJ66" s="5"/>
      <c r="OIK66" s="5"/>
      <c r="OIL66" s="5"/>
      <c r="OIM66" s="5"/>
      <c r="OIN66" s="5"/>
      <c r="OIO66" s="5"/>
      <c r="OIP66" s="5"/>
      <c r="OIQ66" s="5"/>
      <c r="OIR66" s="5"/>
      <c r="OIS66" s="5"/>
      <c r="OIT66" s="5"/>
      <c r="OIU66" s="5"/>
      <c r="OIV66" s="5"/>
      <c r="OIW66" s="5"/>
      <c r="OIX66" s="5"/>
      <c r="OIY66" s="5"/>
      <c r="OIZ66" s="5"/>
      <c r="OJA66" s="5"/>
      <c r="OJB66" s="5"/>
      <c r="OJC66" s="5"/>
      <c r="OJD66" s="5"/>
      <c r="OJE66" s="5"/>
      <c r="OJF66" s="5"/>
      <c r="OJG66" s="5"/>
      <c r="OJH66" s="5"/>
      <c r="OJI66" s="5"/>
      <c r="OJJ66" s="5"/>
      <c r="OJK66" s="5"/>
      <c r="OJL66" s="5"/>
      <c r="OJM66" s="5"/>
      <c r="OJN66" s="5"/>
      <c r="OJO66" s="5"/>
      <c r="OJP66" s="5"/>
      <c r="OJQ66" s="5"/>
      <c r="OJR66" s="5"/>
      <c r="OJS66" s="5"/>
      <c r="OJT66" s="5"/>
      <c r="OJU66" s="5"/>
      <c r="OJV66" s="5"/>
      <c r="OJW66" s="5"/>
      <c r="OJX66" s="5"/>
      <c r="OJY66" s="5"/>
      <c r="OJZ66" s="5"/>
      <c r="OKA66" s="5"/>
      <c r="OKB66" s="5"/>
      <c r="OKC66" s="5"/>
      <c r="OKD66" s="5"/>
      <c r="OKE66" s="5"/>
      <c r="OKF66" s="5"/>
      <c r="OKG66" s="5"/>
      <c r="OKH66" s="5"/>
      <c r="OKI66" s="5"/>
      <c r="OKJ66" s="5"/>
      <c r="OKK66" s="5"/>
      <c r="OKL66" s="5"/>
      <c r="OKM66" s="5"/>
      <c r="OKN66" s="5"/>
      <c r="OKO66" s="5"/>
      <c r="OKP66" s="5"/>
      <c r="OKQ66" s="5"/>
      <c r="OKR66" s="5"/>
      <c r="OKS66" s="5"/>
      <c r="OKT66" s="5"/>
      <c r="OKU66" s="5"/>
      <c r="OKV66" s="5"/>
      <c r="OKW66" s="5"/>
      <c r="OKX66" s="5"/>
      <c r="OKY66" s="5"/>
      <c r="OKZ66" s="5"/>
      <c r="OLA66" s="5"/>
      <c r="OLB66" s="5"/>
      <c r="OLC66" s="5"/>
      <c r="OLD66" s="5"/>
      <c r="OLE66" s="5"/>
      <c r="OLF66" s="5"/>
      <c r="OLG66" s="5"/>
      <c r="OLH66" s="5"/>
      <c r="OLI66" s="5"/>
      <c r="OLJ66" s="5"/>
      <c r="OLK66" s="5"/>
      <c r="OLL66" s="5"/>
      <c r="OLM66" s="5"/>
      <c r="OLN66" s="5"/>
      <c r="OLO66" s="5"/>
      <c r="OLP66" s="5"/>
      <c r="OLQ66" s="5"/>
      <c r="OLR66" s="5"/>
      <c r="OLS66" s="5"/>
      <c r="OLT66" s="5"/>
      <c r="OLU66" s="5"/>
      <c r="OLV66" s="5"/>
      <c r="OLW66" s="5"/>
      <c r="OLX66" s="5"/>
      <c r="OLY66" s="5"/>
      <c r="OLZ66" s="5"/>
      <c r="OMA66" s="5"/>
      <c r="OMB66" s="5"/>
      <c r="OMC66" s="5"/>
      <c r="OMD66" s="5"/>
      <c r="OME66" s="5"/>
      <c r="OMF66" s="5"/>
      <c r="OMG66" s="5"/>
      <c r="OMH66" s="5"/>
      <c r="OMI66" s="5"/>
      <c r="OMJ66" s="5"/>
      <c r="OMK66" s="5"/>
      <c r="OML66" s="5"/>
      <c r="OMM66" s="5"/>
      <c r="OMN66" s="5"/>
      <c r="OMO66" s="5"/>
      <c r="OMP66" s="5"/>
      <c r="OMQ66" s="5"/>
      <c r="OMR66" s="5"/>
      <c r="OMS66" s="5"/>
      <c r="OMT66" s="5"/>
      <c r="OMU66" s="5"/>
      <c r="OMV66" s="5"/>
      <c r="OMW66" s="5"/>
      <c r="OMX66" s="5"/>
      <c r="OMY66" s="5"/>
      <c r="OMZ66" s="5"/>
      <c r="ONA66" s="5"/>
      <c r="ONB66" s="5"/>
      <c r="ONC66" s="5"/>
      <c r="OND66" s="5"/>
      <c r="ONE66" s="5"/>
      <c r="ONF66" s="5"/>
      <c r="ONG66" s="5"/>
      <c r="ONH66" s="5"/>
      <c r="ONI66" s="5"/>
      <c r="ONJ66" s="5"/>
      <c r="ONK66" s="5"/>
      <c r="ONL66" s="5"/>
      <c r="ONM66" s="5"/>
      <c r="ONN66" s="5"/>
      <c r="ONO66" s="5"/>
      <c r="ONP66" s="5"/>
      <c r="ONQ66" s="5"/>
      <c r="ONR66" s="5"/>
      <c r="ONS66" s="5"/>
      <c r="ONT66" s="5"/>
      <c r="ONU66" s="5"/>
      <c r="ONV66" s="5"/>
      <c r="ONW66" s="5"/>
      <c r="ONX66" s="5"/>
      <c r="ONY66" s="5"/>
      <c r="ONZ66" s="5"/>
      <c r="OOA66" s="5"/>
      <c r="OOB66" s="5"/>
      <c r="OOC66" s="5"/>
      <c r="OOD66" s="5"/>
      <c r="OOE66" s="5"/>
      <c r="OOF66" s="5"/>
      <c r="OOG66" s="5"/>
      <c r="OOH66" s="5"/>
      <c r="OOI66" s="5"/>
      <c r="OOJ66" s="5"/>
      <c r="OOK66" s="5"/>
      <c r="OOL66" s="5"/>
      <c r="OOM66" s="5"/>
      <c r="OON66" s="5"/>
      <c r="OOO66" s="5"/>
      <c r="OOP66" s="5"/>
      <c r="OOQ66" s="5"/>
      <c r="OOR66" s="5"/>
      <c r="OOS66" s="5"/>
      <c r="OOT66" s="5"/>
      <c r="OOU66" s="5"/>
      <c r="OOV66" s="5"/>
      <c r="OOW66" s="5"/>
      <c r="OOX66" s="5"/>
      <c r="OOY66" s="5"/>
      <c r="OOZ66" s="5"/>
      <c r="OPA66" s="5"/>
      <c r="OPB66" s="5"/>
      <c r="OPC66" s="5"/>
      <c r="OPD66" s="5"/>
      <c r="OPE66" s="5"/>
      <c r="OPF66" s="5"/>
      <c r="OPG66" s="5"/>
      <c r="OPH66" s="5"/>
      <c r="OPI66" s="5"/>
      <c r="OPJ66" s="5"/>
      <c r="OPK66" s="5"/>
      <c r="OPL66" s="5"/>
      <c r="OPM66" s="5"/>
      <c r="OPN66" s="5"/>
      <c r="OPO66" s="5"/>
      <c r="OPP66" s="5"/>
      <c r="OPQ66" s="5"/>
      <c r="OPR66" s="5"/>
      <c r="OPS66" s="5"/>
      <c r="OPT66" s="5"/>
      <c r="OPU66" s="5"/>
      <c r="OPV66" s="5"/>
      <c r="OPW66" s="5"/>
      <c r="OPX66" s="5"/>
      <c r="OPY66" s="5"/>
      <c r="OPZ66" s="5"/>
      <c r="OQA66" s="5"/>
      <c r="OQB66" s="5"/>
      <c r="OQC66" s="5"/>
      <c r="OQD66" s="5"/>
      <c r="OQE66" s="5"/>
      <c r="OQF66" s="5"/>
      <c r="OQG66" s="5"/>
      <c r="OQH66" s="5"/>
      <c r="OQI66" s="5"/>
      <c r="OQJ66" s="5"/>
      <c r="OQK66" s="5"/>
      <c r="OQL66" s="5"/>
      <c r="OQM66" s="5"/>
      <c r="OQN66" s="5"/>
      <c r="OQO66" s="5"/>
      <c r="OQP66" s="5"/>
      <c r="OQQ66" s="5"/>
      <c r="OQR66" s="5"/>
      <c r="OQS66" s="5"/>
      <c r="OQT66" s="5"/>
      <c r="OQU66" s="5"/>
      <c r="OQV66" s="5"/>
      <c r="OQW66" s="5"/>
      <c r="OQX66" s="5"/>
      <c r="OQY66" s="5"/>
      <c r="OQZ66" s="5"/>
      <c r="ORA66" s="5"/>
      <c r="ORB66" s="5"/>
      <c r="ORC66" s="5"/>
      <c r="ORD66" s="5"/>
      <c r="ORE66" s="5"/>
      <c r="ORF66" s="5"/>
      <c r="ORG66" s="5"/>
      <c r="ORH66" s="5"/>
      <c r="ORI66" s="5"/>
      <c r="ORJ66" s="5"/>
      <c r="ORK66" s="5"/>
      <c r="ORL66" s="5"/>
      <c r="ORM66" s="5"/>
      <c r="ORN66" s="5"/>
      <c r="ORO66" s="5"/>
      <c r="ORP66" s="5"/>
      <c r="ORQ66" s="5"/>
      <c r="ORR66" s="5"/>
      <c r="ORS66" s="5"/>
      <c r="ORT66" s="5"/>
      <c r="ORU66" s="5"/>
      <c r="ORV66" s="5"/>
      <c r="ORW66" s="5"/>
      <c r="ORX66" s="5"/>
      <c r="ORY66" s="5"/>
      <c r="ORZ66" s="5"/>
      <c r="OSA66" s="5"/>
      <c r="OSB66" s="5"/>
      <c r="OSC66" s="5"/>
      <c r="OSD66" s="5"/>
      <c r="OSE66" s="5"/>
      <c r="OSF66" s="5"/>
      <c r="OSG66" s="5"/>
      <c r="OSH66" s="5"/>
      <c r="OSI66" s="5"/>
      <c r="OSJ66" s="5"/>
      <c r="OSK66" s="5"/>
      <c r="OSL66" s="5"/>
      <c r="OSM66" s="5"/>
      <c r="OSN66" s="5"/>
      <c r="OSO66" s="5"/>
      <c r="OSP66" s="5"/>
      <c r="OSQ66" s="5"/>
      <c r="OSR66" s="5"/>
      <c r="OSS66" s="5"/>
      <c r="OST66" s="5"/>
      <c r="OSU66" s="5"/>
      <c r="OSV66" s="5"/>
      <c r="OSW66" s="5"/>
      <c r="OSX66" s="5"/>
      <c r="OSY66" s="5"/>
      <c r="OSZ66" s="5"/>
      <c r="OTA66" s="5"/>
      <c r="OTB66" s="5"/>
      <c r="OTC66" s="5"/>
      <c r="OTD66" s="5"/>
      <c r="OTE66" s="5"/>
      <c r="OTF66" s="5"/>
      <c r="OTG66" s="5"/>
      <c r="OTH66" s="5"/>
      <c r="OTI66" s="5"/>
      <c r="OTJ66" s="5"/>
      <c r="OTK66" s="5"/>
      <c r="OTL66" s="5"/>
      <c r="OTM66" s="5"/>
      <c r="OTN66" s="5"/>
      <c r="OTO66" s="5"/>
      <c r="OTP66" s="5"/>
      <c r="OTQ66" s="5"/>
      <c r="OTR66" s="5"/>
      <c r="OTS66" s="5"/>
      <c r="OTT66" s="5"/>
      <c r="OTU66" s="5"/>
      <c r="OTV66" s="5"/>
      <c r="OTW66" s="5"/>
      <c r="OTX66" s="5"/>
      <c r="OTY66" s="5"/>
      <c r="OTZ66" s="5"/>
      <c r="OUA66" s="5"/>
      <c r="OUB66" s="5"/>
      <c r="OUC66" s="5"/>
      <c r="OUD66" s="5"/>
      <c r="OUE66" s="5"/>
      <c r="OUF66" s="5"/>
      <c r="OUG66" s="5"/>
      <c r="OUH66" s="5"/>
      <c r="OUI66" s="5"/>
      <c r="OUJ66" s="5"/>
      <c r="OUK66" s="5"/>
      <c r="OUL66" s="5"/>
      <c r="OUM66" s="5"/>
      <c r="OUN66" s="5"/>
      <c r="OUO66" s="5"/>
      <c r="OUP66" s="5"/>
      <c r="OUQ66" s="5"/>
      <c r="OUR66" s="5"/>
      <c r="OUS66" s="5"/>
      <c r="OUT66" s="5"/>
      <c r="OUU66" s="5"/>
      <c r="OUV66" s="5"/>
      <c r="OUW66" s="5"/>
      <c r="OUX66" s="5"/>
      <c r="OUY66" s="5"/>
      <c r="OUZ66" s="5"/>
      <c r="OVA66" s="5"/>
      <c r="OVB66" s="5"/>
      <c r="OVC66" s="5"/>
      <c r="OVD66" s="5"/>
      <c r="OVE66" s="5"/>
      <c r="OVF66" s="5"/>
      <c r="OVG66" s="5"/>
      <c r="OVH66" s="5"/>
      <c r="OVI66" s="5"/>
      <c r="OVJ66" s="5"/>
      <c r="OVK66" s="5"/>
      <c r="OVL66" s="5"/>
      <c r="OVM66" s="5"/>
      <c r="OVN66" s="5"/>
      <c r="OVO66" s="5"/>
      <c r="OVP66" s="5"/>
      <c r="OVQ66" s="5"/>
      <c r="OVR66" s="5"/>
      <c r="OVS66" s="5"/>
      <c r="OVT66" s="5"/>
      <c r="OVU66" s="5"/>
      <c r="OVV66" s="5"/>
      <c r="OVW66" s="5"/>
      <c r="OVX66" s="5"/>
      <c r="OVY66" s="5"/>
      <c r="OVZ66" s="5"/>
      <c r="OWA66" s="5"/>
      <c r="OWB66" s="5"/>
      <c r="OWC66" s="5"/>
      <c r="OWD66" s="5"/>
      <c r="OWE66" s="5"/>
      <c r="OWF66" s="5"/>
      <c r="OWG66" s="5"/>
      <c r="OWH66" s="5"/>
      <c r="OWI66" s="5"/>
      <c r="OWJ66" s="5"/>
      <c r="OWK66" s="5"/>
      <c r="OWL66" s="5"/>
      <c r="OWM66" s="5"/>
      <c r="OWN66" s="5"/>
      <c r="OWO66" s="5"/>
      <c r="OWP66" s="5"/>
      <c r="OWQ66" s="5"/>
      <c r="OWR66" s="5"/>
      <c r="OWS66" s="5"/>
      <c r="OWT66" s="5"/>
      <c r="OWU66" s="5"/>
      <c r="OWV66" s="5"/>
      <c r="OWW66" s="5"/>
      <c r="OWX66" s="5"/>
      <c r="OWY66" s="5"/>
      <c r="OWZ66" s="5"/>
      <c r="OXA66" s="5"/>
      <c r="OXB66" s="5"/>
      <c r="OXC66" s="5"/>
      <c r="OXD66" s="5"/>
      <c r="OXE66" s="5"/>
      <c r="OXF66" s="5"/>
      <c r="OXG66" s="5"/>
      <c r="OXH66" s="5"/>
      <c r="OXI66" s="5"/>
      <c r="OXJ66" s="5"/>
      <c r="OXK66" s="5"/>
      <c r="OXL66" s="5"/>
      <c r="OXM66" s="5"/>
      <c r="OXN66" s="5"/>
      <c r="OXO66" s="5"/>
      <c r="OXP66" s="5"/>
      <c r="OXQ66" s="5"/>
      <c r="OXR66" s="5"/>
      <c r="OXS66" s="5"/>
      <c r="OXT66" s="5"/>
      <c r="OXU66" s="5"/>
      <c r="OXV66" s="5"/>
      <c r="OXW66" s="5"/>
      <c r="OXX66" s="5"/>
      <c r="OXY66" s="5"/>
      <c r="OXZ66" s="5"/>
      <c r="OYA66" s="5"/>
      <c r="OYB66" s="5"/>
      <c r="OYC66" s="5"/>
      <c r="OYD66" s="5"/>
      <c r="OYE66" s="5"/>
      <c r="OYF66" s="5"/>
      <c r="OYG66" s="5"/>
      <c r="OYH66" s="5"/>
      <c r="OYI66" s="5"/>
      <c r="OYJ66" s="5"/>
      <c r="OYK66" s="5"/>
      <c r="OYL66" s="5"/>
      <c r="OYM66" s="5"/>
      <c r="OYN66" s="5"/>
      <c r="OYO66" s="5"/>
      <c r="OYP66" s="5"/>
      <c r="OYQ66" s="5"/>
      <c r="OYR66" s="5"/>
      <c r="OYS66" s="5"/>
      <c r="OYT66" s="5"/>
      <c r="OYU66" s="5"/>
      <c r="OYV66" s="5"/>
      <c r="OYW66" s="5"/>
      <c r="OYX66" s="5"/>
      <c r="OYY66" s="5"/>
      <c r="OYZ66" s="5"/>
      <c r="OZA66" s="5"/>
      <c r="OZB66" s="5"/>
      <c r="OZC66" s="5"/>
      <c r="OZD66" s="5"/>
      <c r="OZE66" s="5"/>
      <c r="OZF66" s="5"/>
      <c r="OZG66" s="5"/>
      <c r="OZH66" s="5"/>
      <c r="OZI66" s="5"/>
      <c r="OZJ66" s="5"/>
      <c r="OZK66" s="5"/>
      <c r="OZL66" s="5"/>
      <c r="OZM66" s="5"/>
      <c r="OZN66" s="5"/>
      <c r="OZO66" s="5"/>
      <c r="OZP66" s="5"/>
      <c r="OZQ66" s="5"/>
      <c r="OZR66" s="5"/>
      <c r="OZS66" s="5"/>
      <c r="OZT66" s="5"/>
      <c r="OZU66" s="5"/>
      <c r="OZV66" s="5"/>
      <c r="OZW66" s="5"/>
      <c r="OZX66" s="5"/>
      <c r="OZY66" s="5"/>
      <c r="OZZ66" s="5"/>
      <c r="PAA66" s="5"/>
      <c r="PAB66" s="5"/>
      <c r="PAC66" s="5"/>
      <c r="PAD66" s="5"/>
      <c r="PAE66" s="5"/>
      <c r="PAF66" s="5"/>
      <c r="PAG66" s="5"/>
      <c r="PAH66" s="5"/>
      <c r="PAI66" s="5"/>
      <c r="PAJ66" s="5"/>
      <c r="PAK66" s="5"/>
      <c r="PAL66" s="5"/>
      <c r="PAM66" s="5"/>
      <c r="PAN66" s="5"/>
      <c r="PAO66" s="5"/>
      <c r="PAP66" s="5"/>
      <c r="PAQ66" s="5"/>
      <c r="PAR66" s="5"/>
      <c r="PAS66" s="5"/>
      <c r="PAT66" s="5"/>
      <c r="PAU66" s="5"/>
      <c r="PAV66" s="5"/>
      <c r="PAW66" s="5"/>
      <c r="PAX66" s="5"/>
      <c r="PAY66" s="5"/>
      <c r="PAZ66" s="5"/>
      <c r="PBA66" s="5"/>
      <c r="PBB66" s="5"/>
      <c r="PBC66" s="5"/>
      <c r="PBD66" s="5"/>
      <c r="PBE66" s="5"/>
      <c r="PBF66" s="5"/>
      <c r="PBG66" s="5"/>
      <c r="PBH66" s="5"/>
      <c r="PBI66" s="5"/>
      <c r="PBJ66" s="5"/>
      <c r="PBK66" s="5"/>
      <c r="PBL66" s="5"/>
      <c r="PBM66" s="5"/>
      <c r="PBN66" s="5"/>
      <c r="PBO66" s="5"/>
      <c r="PBP66" s="5"/>
      <c r="PBQ66" s="5"/>
      <c r="PBR66" s="5"/>
      <c r="PBS66" s="5"/>
      <c r="PBT66" s="5"/>
      <c r="PBU66" s="5"/>
      <c r="PBV66" s="5"/>
      <c r="PBW66" s="5"/>
      <c r="PBX66" s="5"/>
      <c r="PBY66" s="5"/>
      <c r="PBZ66" s="5"/>
      <c r="PCA66" s="5"/>
      <c r="PCB66" s="5"/>
      <c r="PCC66" s="5"/>
      <c r="PCD66" s="5"/>
      <c r="PCE66" s="5"/>
      <c r="PCF66" s="5"/>
      <c r="PCG66" s="5"/>
      <c r="PCH66" s="5"/>
      <c r="PCI66" s="5"/>
      <c r="PCJ66" s="5"/>
      <c r="PCK66" s="5"/>
      <c r="PCL66" s="5"/>
      <c r="PCM66" s="5"/>
      <c r="PCN66" s="5"/>
      <c r="PCO66" s="5"/>
      <c r="PCP66" s="5"/>
      <c r="PCQ66" s="5"/>
      <c r="PCR66" s="5"/>
      <c r="PCS66" s="5"/>
      <c r="PCT66" s="5"/>
      <c r="PCU66" s="5"/>
      <c r="PCV66" s="5"/>
      <c r="PCW66" s="5"/>
      <c r="PCX66" s="5"/>
      <c r="PCY66" s="5"/>
      <c r="PCZ66" s="5"/>
      <c r="PDA66" s="5"/>
      <c r="PDB66" s="5"/>
      <c r="PDC66" s="5"/>
      <c r="PDD66" s="5"/>
      <c r="PDE66" s="5"/>
      <c r="PDF66" s="5"/>
      <c r="PDG66" s="5"/>
      <c r="PDH66" s="5"/>
      <c r="PDI66" s="5"/>
      <c r="PDJ66" s="5"/>
      <c r="PDK66" s="5"/>
      <c r="PDL66" s="5"/>
      <c r="PDM66" s="5"/>
      <c r="PDN66" s="5"/>
      <c r="PDO66" s="5"/>
      <c r="PDP66" s="5"/>
      <c r="PDQ66" s="5"/>
      <c r="PDR66" s="5"/>
      <c r="PDS66" s="5"/>
      <c r="PDT66" s="5"/>
      <c r="PDU66" s="5"/>
      <c r="PDV66" s="5"/>
      <c r="PDW66" s="5"/>
      <c r="PDX66" s="5"/>
      <c r="PDY66" s="5"/>
      <c r="PDZ66" s="5"/>
      <c r="PEA66" s="5"/>
      <c r="PEB66" s="5"/>
      <c r="PEC66" s="5"/>
      <c r="PED66" s="5"/>
      <c r="PEE66" s="5"/>
      <c r="PEF66" s="5"/>
      <c r="PEG66" s="5"/>
      <c r="PEH66" s="5"/>
      <c r="PEI66" s="5"/>
      <c r="PEJ66" s="5"/>
      <c r="PEK66" s="5"/>
      <c r="PEL66" s="5"/>
      <c r="PEM66" s="5"/>
      <c r="PEN66" s="5"/>
      <c r="PEO66" s="5"/>
      <c r="PEP66" s="5"/>
      <c r="PEQ66" s="5"/>
      <c r="PER66" s="5"/>
      <c r="PES66" s="5"/>
      <c r="PET66" s="5"/>
      <c r="PEU66" s="5"/>
      <c r="PEV66" s="5"/>
      <c r="PEW66" s="5"/>
      <c r="PEX66" s="5"/>
      <c r="PEY66" s="5"/>
      <c r="PEZ66" s="5"/>
      <c r="PFA66" s="5"/>
      <c r="PFB66" s="5"/>
      <c r="PFC66" s="5"/>
      <c r="PFD66" s="5"/>
      <c r="PFE66" s="5"/>
      <c r="PFF66" s="5"/>
      <c r="PFG66" s="5"/>
      <c r="PFH66" s="5"/>
      <c r="PFI66" s="5"/>
      <c r="PFJ66" s="5"/>
      <c r="PFK66" s="5"/>
      <c r="PFL66" s="5"/>
      <c r="PFM66" s="5"/>
      <c r="PFN66" s="5"/>
      <c r="PFO66" s="5"/>
      <c r="PFP66" s="5"/>
      <c r="PFQ66" s="5"/>
      <c r="PFR66" s="5"/>
      <c r="PFS66" s="5"/>
      <c r="PFT66" s="5"/>
      <c r="PFU66" s="5"/>
      <c r="PFV66" s="5"/>
      <c r="PFW66" s="5"/>
      <c r="PFX66" s="5"/>
      <c r="PFY66" s="5"/>
      <c r="PFZ66" s="5"/>
      <c r="PGA66" s="5"/>
      <c r="PGB66" s="5"/>
      <c r="PGC66" s="5"/>
      <c r="PGD66" s="5"/>
      <c r="PGE66" s="5"/>
      <c r="PGF66" s="5"/>
      <c r="PGG66" s="5"/>
      <c r="PGH66" s="5"/>
      <c r="PGI66" s="5"/>
      <c r="PGJ66" s="5"/>
      <c r="PGK66" s="5"/>
      <c r="PGL66" s="5"/>
      <c r="PGM66" s="5"/>
      <c r="PGN66" s="5"/>
      <c r="PGO66" s="5"/>
      <c r="PGP66" s="5"/>
      <c r="PGQ66" s="5"/>
      <c r="PGR66" s="5"/>
      <c r="PGS66" s="5"/>
      <c r="PGT66" s="5"/>
      <c r="PGU66" s="5"/>
      <c r="PGV66" s="5"/>
      <c r="PGW66" s="5"/>
      <c r="PGX66" s="5"/>
      <c r="PGY66" s="5"/>
      <c r="PGZ66" s="5"/>
      <c r="PHA66" s="5"/>
      <c r="PHB66" s="5"/>
      <c r="PHC66" s="5"/>
      <c r="PHD66" s="5"/>
      <c r="PHE66" s="5"/>
      <c r="PHF66" s="5"/>
      <c r="PHG66" s="5"/>
      <c r="PHH66" s="5"/>
      <c r="PHI66" s="5"/>
      <c r="PHJ66" s="5"/>
      <c r="PHK66" s="5"/>
      <c r="PHL66" s="5"/>
      <c r="PHM66" s="5"/>
      <c r="PHN66" s="5"/>
      <c r="PHO66" s="5"/>
      <c r="PHP66" s="5"/>
      <c r="PHQ66" s="5"/>
      <c r="PHR66" s="5"/>
      <c r="PHS66" s="5"/>
      <c r="PHT66" s="5"/>
      <c r="PHU66" s="5"/>
      <c r="PHV66" s="5"/>
      <c r="PHW66" s="5"/>
      <c r="PHX66" s="5"/>
      <c r="PHY66" s="5"/>
      <c r="PHZ66" s="5"/>
      <c r="PIA66" s="5"/>
      <c r="PIB66" s="5"/>
      <c r="PIC66" s="5"/>
      <c r="PID66" s="5"/>
      <c r="PIE66" s="5"/>
      <c r="PIF66" s="5"/>
      <c r="PIG66" s="5"/>
      <c r="PIH66" s="5"/>
      <c r="PII66" s="5"/>
      <c r="PIJ66" s="5"/>
      <c r="PIK66" s="5"/>
      <c r="PIL66" s="5"/>
      <c r="PIM66" s="5"/>
      <c r="PIN66" s="5"/>
      <c r="PIO66" s="5"/>
      <c r="PIP66" s="5"/>
      <c r="PIQ66" s="5"/>
      <c r="PIR66" s="5"/>
      <c r="PIS66" s="5"/>
      <c r="PIT66" s="5"/>
      <c r="PIU66" s="5"/>
      <c r="PIV66" s="5"/>
      <c r="PIW66" s="5"/>
      <c r="PIX66" s="5"/>
      <c r="PIY66" s="5"/>
      <c r="PIZ66" s="5"/>
      <c r="PJA66" s="5"/>
      <c r="PJB66" s="5"/>
      <c r="PJC66" s="5"/>
      <c r="PJD66" s="5"/>
      <c r="PJE66" s="5"/>
      <c r="PJF66" s="5"/>
      <c r="PJG66" s="5"/>
      <c r="PJH66" s="5"/>
      <c r="PJI66" s="5"/>
      <c r="PJJ66" s="5"/>
      <c r="PJK66" s="5"/>
      <c r="PJL66" s="5"/>
      <c r="PJM66" s="5"/>
      <c r="PJN66" s="5"/>
      <c r="PJO66" s="5"/>
      <c r="PJP66" s="5"/>
      <c r="PJQ66" s="5"/>
      <c r="PJR66" s="5"/>
      <c r="PJS66" s="5"/>
      <c r="PJT66" s="5"/>
      <c r="PJU66" s="5"/>
      <c r="PJV66" s="5"/>
      <c r="PJW66" s="5"/>
      <c r="PJX66" s="5"/>
      <c r="PJY66" s="5"/>
      <c r="PJZ66" s="5"/>
      <c r="PKA66" s="5"/>
      <c r="PKB66" s="5"/>
      <c r="PKC66" s="5"/>
      <c r="PKD66" s="5"/>
      <c r="PKE66" s="5"/>
      <c r="PKF66" s="5"/>
      <c r="PKG66" s="5"/>
      <c r="PKH66" s="5"/>
      <c r="PKI66" s="5"/>
      <c r="PKJ66" s="5"/>
      <c r="PKK66" s="5"/>
      <c r="PKL66" s="5"/>
      <c r="PKM66" s="5"/>
      <c r="PKN66" s="5"/>
      <c r="PKO66" s="5"/>
      <c r="PKP66" s="5"/>
      <c r="PKQ66" s="5"/>
      <c r="PKR66" s="5"/>
      <c r="PKS66" s="5"/>
      <c r="PKT66" s="5"/>
      <c r="PKU66" s="5"/>
      <c r="PKV66" s="5"/>
      <c r="PKW66" s="5"/>
      <c r="PKX66" s="5"/>
      <c r="PKY66" s="5"/>
      <c r="PKZ66" s="5"/>
      <c r="PLA66" s="5"/>
      <c r="PLB66" s="5"/>
      <c r="PLC66" s="5"/>
      <c r="PLD66" s="5"/>
      <c r="PLE66" s="5"/>
      <c r="PLF66" s="5"/>
      <c r="PLG66" s="5"/>
      <c r="PLH66" s="5"/>
      <c r="PLI66" s="5"/>
      <c r="PLJ66" s="5"/>
      <c r="PLK66" s="5"/>
      <c r="PLL66" s="5"/>
      <c r="PLM66" s="5"/>
      <c r="PLN66" s="5"/>
      <c r="PLO66" s="5"/>
      <c r="PLP66" s="5"/>
      <c r="PLQ66" s="5"/>
      <c r="PLR66" s="5"/>
      <c r="PLS66" s="5"/>
      <c r="PLT66" s="5"/>
      <c r="PLU66" s="5"/>
      <c r="PLV66" s="5"/>
      <c r="PLW66" s="5"/>
      <c r="PLX66" s="5"/>
      <c r="PLY66" s="5"/>
      <c r="PLZ66" s="5"/>
      <c r="PMA66" s="5"/>
      <c r="PMB66" s="5"/>
      <c r="PMC66" s="5"/>
      <c r="PMD66" s="5"/>
      <c r="PME66" s="5"/>
      <c r="PMF66" s="5"/>
      <c r="PMG66" s="5"/>
      <c r="PMH66" s="5"/>
      <c r="PMI66" s="5"/>
      <c r="PMJ66" s="5"/>
      <c r="PMK66" s="5"/>
      <c r="PML66" s="5"/>
      <c r="PMM66" s="5"/>
      <c r="PMN66" s="5"/>
      <c r="PMO66" s="5"/>
      <c r="PMP66" s="5"/>
      <c r="PMQ66" s="5"/>
      <c r="PMR66" s="5"/>
      <c r="PMS66" s="5"/>
      <c r="PMT66" s="5"/>
      <c r="PMU66" s="5"/>
      <c r="PMV66" s="5"/>
      <c r="PMW66" s="5"/>
      <c r="PMX66" s="5"/>
      <c r="PMY66" s="5"/>
      <c r="PMZ66" s="5"/>
      <c r="PNA66" s="5"/>
      <c r="PNB66" s="5"/>
      <c r="PNC66" s="5"/>
      <c r="PND66" s="5"/>
      <c r="PNE66" s="5"/>
      <c r="PNF66" s="5"/>
      <c r="PNG66" s="5"/>
      <c r="PNH66" s="5"/>
      <c r="PNI66" s="5"/>
      <c r="PNJ66" s="5"/>
      <c r="PNK66" s="5"/>
      <c r="PNL66" s="5"/>
      <c r="PNM66" s="5"/>
      <c r="PNN66" s="5"/>
      <c r="PNO66" s="5"/>
      <c r="PNP66" s="5"/>
      <c r="PNQ66" s="5"/>
      <c r="PNR66" s="5"/>
      <c r="PNS66" s="5"/>
      <c r="PNT66" s="5"/>
      <c r="PNU66" s="5"/>
      <c r="PNV66" s="5"/>
      <c r="PNW66" s="5"/>
      <c r="PNX66" s="5"/>
      <c r="PNY66" s="5"/>
      <c r="PNZ66" s="5"/>
      <c r="POA66" s="5"/>
      <c r="POB66" s="5"/>
      <c r="POC66" s="5"/>
      <c r="POD66" s="5"/>
      <c r="POE66" s="5"/>
      <c r="POF66" s="5"/>
      <c r="POG66" s="5"/>
      <c r="POH66" s="5"/>
      <c r="POI66" s="5"/>
      <c r="POJ66" s="5"/>
      <c r="POK66" s="5"/>
      <c r="POL66" s="5"/>
      <c r="POM66" s="5"/>
      <c r="PON66" s="5"/>
      <c r="POO66" s="5"/>
      <c r="POP66" s="5"/>
      <c r="POQ66" s="5"/>
      <c r="POR66" s="5"/>
      <c r="POS66" s="5"/>
      <c r="POT66" s="5"/>
      <c r="POU66" s="5"/>
      <c r="POV66" s="5"/>
      <c r="POW66" s="5"/>
      <c r="POX66" s="5"/>
      <c r="POY66" s="5"/>
      <c r="POZ66" s="5"/>
      <c r="PPA66" s="5"/>
      <c r="PPB66" s="5"/>
      <c r="PPC66" s="5"/>
      <c r="PPD66" s="5"/>
      <c r="PPE66" s="5"/>
      <c r="PPF66" s="5"/>
      <c r="PPG66" s="5"/>
      <c r="PPH66" s="5"/>
      <c r="PPI66" s="5"/>
      <c r="PPJ66" s="5"/>
      <c r="PPK66" s="5"/>
      <c r="PPL66" s="5"/>
      <c r="PPM66" s="5"/>
      <c r="PPN66" s="5"/>
      <c r="PPO66" s="5"/>
      <c r="PPP66" s="5"/>
      <c r="PPQ66" s="5"/>
      <c r="PPR66" s="5"/>
      <c r="PPS66" s="5"/>
      <c r="PPT66" s="5"/>
      <c r="PPU66" s="5"/>
      <c r="PPV66" s="5"/>
      <c r="PPW66" s="5"/>
      <c r="PPX66" s="5"/>
      <c r="PPY66" s="5"/>
      <c r="PPZ66" s="5"/>
      <c r="PQA66" s="5"/>
      <c r="PQB66" s="5"/>
      <c r="PQC66" s="5"/>
      <c r="PQD66" s="5"/>
      <c r="PQE66" s="5"/>
      <c r="PQF66" s="5"/>
      <c r="PQG66" s="5"/>
      <c r="PQH66" s="5"/>
      <c r="PQI66" s="5"/>
      <c r="PQJ66" s="5"/>
      <c r="PQK66" s="5"/>
      <c r="PQL66" s="5"/>
      <c r="PQM66" s="5"/>
      <c r="PQN66" s="5"/>
      <c r="PQO66" s="5"/>
      <c r="PQP66" s="5"/>
      <c r="PQQ66" s="5"/>
      <c r="PQR66" s="5"/>
      <c r="PQS66" s="5"/>
      <c r="PQT66" s="5"/>
      <c r="PQU66" s="5"/>
      <c r="PQV66" s="5"/>
      <c r="PQW66" s="5"/>
      <c r="PQX66" s="5"/>
      <c r="PQY66" s="5"/>
      <c r="PQZ66" s="5"/>
      <c r="PRA66" s="5"/>
      <c r="PRB66" s="5"/>
      <c r="PRC66" s="5"/>
      <c r="PRD66" s="5"/>
      <c r="PRE66" s="5"/>
      <c r="PRF66" s="5"/>
      <c r="PRG66" s="5"/>
      <c r="PRH66" s="5"/>
      <c r="PRI66" s="5"/>
      <c r="PRJ66" s="5"/>
      <c r="PRK66" s="5"/>
      <c r="PRL66" s="5"/>
      <c r="PRM66" s="5"/>
      <c r="PRN66" s="5"/>
      <c r="PRO66" s="5"/>
      <c r="PRP66" s="5"/>
      <c r="PRQ66" s="5"/>
      <c r="PRR66" s="5"/>
      <c r="PRS66" s="5"/>
      <c r="PRT66" s="5"/>
      <c r="PRU66" s="5"/>
      <c r="PRV66" s="5"/>
      <c r="PRW66" s="5"/>
      <c r="PRX66" s="5"/>
      <c r="PRY66" s="5"/>
      <c r="PRZ66" s="5"/>
      <c r="PSA66" s="5"/>
      <c r="PSB66" s="5"/>
      <c r="PSC66" s="5"/>
      <c r="PSD66" s="5"/>
      <c r="PSE66" s="5"/>
      <c r="PSF66" s="5"/>
      <c r="PSG66" s="5"/>
      <c r="PSH66" s="5"/>
      <c r="PSI66" s="5"/>
      <c r="PSJ66" s="5"/>
      <c r="PSK66" s="5"/>
      <c r="PSL66" s="5"/>
      <c r="PSM66" s="5"/>
      <c r="PSN66" s="5"/>
      <c r="PSO66" s="5"/>
      <c r="PSP66" s="5"/>
      <c r="PSQ66" s="5"/>
      <c r="PSR66" s="5"/>
      <c r="PSS66" s="5"/>
      <c r="PST66" s="5"/>
      <c r="PSU66" s="5"/>
      <c r="PSV66" s="5"/>
      <c r="PSW66" s="5"/>
      <c r="PSX66" s="5"/>
      <c r="PSY66" s="5"/>
      <c r="PSZ66" s="5"/>
      <c r="PTA66" s="5"/>
      <c r="PTB66" s="5"/>
      <c r="PTC66" s="5"/>
      <c r="PTD66" s="5"/>
      <c r="PTE66" s="5"/>
      <c r="PTF66" s="5"/>
      <c r="PTG66" s="5"/>
      <c r="PTH66" s="5"/>
      <c r="PTI66" s="5"/>
      <c r="PTJ66" s="5"/>
      <c r="PTK66" s="5"/>
      <c r="PTL66" s="5"/>
      <c r="PTM66" s="5"/>
      <c r="PTN66" s="5"/>
      <c r="PTO66" s="5"/>
      <c r="PTP66" s="5"/>
      <c r="PTQ66" s="5"/>
      <c r="PTR66" s="5"/>
      <c r="PTS66" s="5"/>
      <c r="PTT66" s="5"/>
      <c r="PTU66" s="5"/>
      <c r="PTV66" s="5"/>
      <c r="PTW66" s="5"/>
      <c r="PTX66" s="5"/>
      <c r="PTY66" s="5"/>
      <c r="PTZ66" s="5"/>
      <c r="PUA66" s="5"/>
      <c r="PUB66" s="5"/>
      <c r="PUC66" s="5"/>
      <c r="PUD66" s="5"/>
      <c r="PUE66" s="5"/>
      <c r="PUF66" s="5"/>
      <c r="PUG66" s="5"/>
      <c r="PUH66" s="5"/>
      <c r="PUI66" s="5"/>
      <c r="PUJ66" s="5"/>
      <c r="PUK66" s="5"/>
      <c r="PUL66" s="5"/>
      <c r="PUM66" s="5"/>
      <c r="PUN66" s="5"/>
      <c r="PUO66" s="5"/>
      <c r="PUP66" s="5"/>
      <c r="PUQ66" s="5"/>
      <c r="PUR66" s="5"/>
      <c r="PUS66" s="5"/>
      <c r="PUT66" s="5"/>
      <c r="PUU66" s="5"/>
      <c r="PUV66" s="5"/>
      <c r="PUW66" s="5"/>
      <c r="PUX66" s="5"/>
      <c r="PUY66" s="5"/>
      <c r="PUZ66" s="5"/>
      <c r="PVA66" s="5"/>
      <c r="PVB66" s="5"/>
      <c r="PVC66" s="5"/>
      <c r="PVD66" s="5"/>
      <c r="PVE66" s="5"/>
      <c r="PVF66" s="5"/>
      <c r="PVG66" s="5"/>
      <c r="PVH66" s="5"/>
      <c r="PVI66" s="5"/>
      <c r="PVJ66" s="5"/>
      <c r="PVK66" s="5"/>
      <c r="PVL66" s="5"/>
      <c r="PVM66" s="5"/>
      <c r="PVN66" s="5"/>
      <c r="PVO66" s="5"/>
      <c r="PVP66" s="5"/>
      <c r="PVQ66" s="5"/>
      <c r="PVR66" s="5"/>
      <c r="PVS66" s="5"/>
      <c r="PVT66" s="5"/>
      <c r="PVU66" s="5"/>
      <c r="PVV66" s="5"/>
      <c r="PVW66" s="5"/>
      <c r="PVX66" s="5"/>
      <c r="PVY66" s="5"/>
      <c r="PVZ66" s="5"/>
      <c r="PWA66" s="5"/>
      <c r="PWB66" s="5"/>
      <c r="PWC66" s="5"/>
      <c r="PWD66" s="5"/>
      <c r="PWE66" s="5"/>
      <c r="PWF66" s="5"/>
      <c r="PWG66" s="5"/>
      <c r="PWH66" s="5"/>
      <c r="PWI66" s="5"/>
      <c r="PWJ66" s="5"/>
      <c r="PWK66" s="5"/>
      <c r="PWL66" s="5"/>
      <c r="PWM66" s="5"/>
      <c r="PWN66" s="5"/>
      <c r="PWO66" s="5"/>
      <c r="PWP66" s="5"/>
      <c r="PWQ66" s="5"/>
      <c r="PWR66" s="5"/>
      <c r="PWS66" s="5"/>
      <c r="PWT66" s="5"/>
      <c r="PWU66" s="5"/>
      <c r="PWV66" s="5"/>
      <c r="PWW66" s="5"/>
      <c r="PWX66" s="5"/>
      <c r="PWY66" s="5"/>
      <c r="PWZ66" s="5"/>
      <c r="PXA66" s="5"/>
      <c r="PXB66" s="5"/>
      <c r="PXC66" s="5"/>
      <c r="PXD66" s="5"/>
      <c r="PXE66" s="5"/>
      <c r="PXF66" s="5"/>
      <c r="PXG66" s="5"/>
      <c r="PXH66" s="5"/>
      <c r="PXI66" s="5"/>
      <c r="PXJ66" s="5"/>
      <c r="PXK66" s="5"/>
      <c r="PXL66" s="5"/>
      <c r="PXM66" s="5"/>
      <c r="PXN66" s="5"/>
      <c r="PXO66" s="5"/>
      <c r="PXP66" s="5"/>
      <c r="PXQ66" s="5"/>
      <c r="PXR66" s="5"/>
      <c r="PXS66" s="5"/>
      <c r="PXT66" s="5"/>
      <c r="PXU66" s="5"/>
      <c r="PXV66" s="5"/>
      <c r="PXW66" s="5"/>
      <c r="PXX66" s="5"/>
      <c r="PXY66" s="5"/>
      <c r="PXZ66" s="5"/>
      <c r="PYA66" s="5"/>
      <c r="PYB66" s="5"/>
      <c r="PYC66" s="5"/>
      <c r="PYD66" s="5"/>
      <c r="PYE66" s="5"/>
      <c r="PYF66" s="5"/>
      <c r="PYG66" s="5"/>
      <c r="PYH66" s="5"/>
      <c r="PYI66" s="5"/>
      <c r="PYJ66" s="5"/>
      <c r="PYK66" s="5"/>
      <c r="PYL66" s="5"/>
      <c r="PYM66" s="5"/>
      <c r="PYN66" s="5"/>
      <c r="PYO66" s="5"/>
      <c r="PYP66" s="5"/>
      <c r="PYQ66" s="5"/>
      <c r="PYR66" s="5"/>
      <c r="PYS66" s="5"/>
      <c r="PYT66" s="5"/>
      <c r="PYU66" s="5"/>
      <c r="PYV66" s="5"/>
      <c r="PYW66" s="5"/>
      <c r="PYX66" s="5"/>
      <c r="PYY66" s="5"/>
      <c r="PYZ66" s="5"/>
      <c r="PZA66" s="5"/>
      <c r="PZB66" s="5"/>
      <c r="PZC66" s="5"/>
      <c r="PZD66" s="5"/>
      <c r="PZE66" s="5"/>
      <c r="PZF66" s="5"/>
      <c r="PZG66" s="5"/>
      <c r="PZH66" s="5"/>
      <c r="PZI66" s="5"/>
      <c r="PZJ66" s="5"/>
      <c r="PZK66" s="5"/>
      <c r="PZL66" s="5"/>
      <c r="PZM66" s="5"/>
      <c r="PZN66" s="5"/>
      <c r="PZO66" s="5"/>
      <c r="PZP66" s="5"/>
      <c r="PZQ66" s="5"/>
      <c r="PZR66" s="5"/>
      <c r="PZS66" s="5"/>
      <c r="PZT66" s="5"/>
      <c r="PZU66" s="5"/>
      <c r="PZV66" s="5"/>
      <c r="PZW66" s="5"/>
      <c r="PZX66" s="5"/>
      <c r="PZY66" s="5"/>
      <c r="PZZ66" s="5"/>
      <c r="QAA66" s="5"/>
      <c r="QAB66" s="5"/>
      <c r="QAC66" s="5"/>
      <c r="QAD66" s="5"/>
      <c r="QAE66" s="5"/>
      <c r="QAF66" s="5"/>
      <c r="QAG66" s="5"/>
      <c r="QAH66" s="5"/>
      <c r="QAI66" s="5"/>
      <c r="QAJ66" s="5"/>
      <c r="QAK66" s="5"/>
      <c r="QAL66" s="5"/>
      <c r="QAM66" s="5"/>
      <c r="QAN66" s="5"/>
      <c r="QAO66" s="5"/>
      <c r="QAP66" s="5"/>
      <c r="QAQ66" s="5"/>
      <c r="QAR66" s="5"/>
      <c r="QAS66" s="5"/>
      <c r="QAT66" s="5"/>
      <c r="QAU66" s="5"/>
      <c r="QAV66" s="5"/>
      <c r="QAW66" s="5"/>
      <c r="QAX66" s="5"/>
      <c r="QAY66" s="5"/>
      <c r="QAZ66" s="5"/>
      <c r="QBA66" s="5"/>
      <c r="QBB66" s="5"/>
      <c r="QBC66" s="5"/>
      <c r="QBD66" s="5"/>
      <c r="QBE66" s="5"/>
      <c r="QBF66" s="5"/>
      <c r="QBG66" s="5"/>
      <c r="QBH66" s="5"/>
      <c r="QBI66" s="5"/>
      <c r="QBJ66" s="5"/>
      <c r="QBK66" s="5"/>
      <c r="QBL66" s="5"/>
      <c r="QBM66" s="5"/>
      <c r="QBN66" s="5"/>
      <c r="QBO66" s="5"/>
      <c r="QBP66" s="5"/>
      <c r="QBQ66" s="5"/>
      <c r="QBR66" s="5"/>
      <c r="QBS66" s="5"/>
      <c r="QBT66" s="5"/>
      <c r="QBU66" s="5"/>
      <c r="QBV66" s="5"/>
      <c r="QBW66" s="5"/>
      <c r="QBX66" s="5"/>
      <c r="QBY66" s="5"/>
      <c r="QBZ66" s="5"/>
      <c r="QCA66" s="5"/>
      <c r="QCB66" s="5"/>
      <c r="QCC66" s="5"/>
      <c r="QCD66" s="5"/>
      <c r="QCE66" s="5"/>
      <c r="QCF66" s="5"/>
      <c r="QCG66" s="5"/>
      <c r="QCH66" s="5"/>
      <c r="QCI66" s="5"/>
      <c r="QCJ66" s="5"/>
      <c r="QCK66" s="5"/>
      <c r="QCL66" s="5"/>
      <c r="QCM66" s="5"/>
      <c r="QCN66" s="5"/>
      <c r="QCO66" s="5"/>
      <c r="QCP66" s="5"/>
      <c r="QCQ66" s="5"/>
      <c r="QCR66" s="5"/>
      <c r="QCS66" s="5"/>
      <c r="QCT66" s="5"/>
      <c r="QCU66" s="5"/>
      <c r="QCV66" s="5"/>
      <c r="QCW66" s="5"/>
      <c r="QCX66" s="5"/>
      <c r="QCY66" s="5"/>
      <c r="QCZ66" s="5"/>
      <c r="QDA66" s="5"/>
      <c r="QDB66" s="5"/>
      <c r="QDC66" s="5"/>
      <c r="QDD66" s="5"/>
      <c r="QDE66" s="5"/>
      <c r="QDF66" s="5"/>
      <c r="QDG66" s="5"/>
      <c r="QDH66" s="5"/>
      <c r="QDI66" s="5"/>
      <c r="QDJ66" s="5"/>
      <c r="QDK66" s="5"/>
      <c r="QDL66" s="5"/>
      <c r="QDM66" s="5"/>
      <c r="QDN66" s="5"/>
      <c r="QDO66" s="5"/>
      <c r="QDP66" s="5"/>
      <c r="QDQ66" s="5"/>
      <c r="QDR66" s="5"/>
      <c r="QDS66" s="5"/>
      <c r="QDT66" s="5"/>
      <c r="QDU66" s="5"/>
      <c r="QDV66" s="5"/>
      <c r="QDW66" s="5"/>
      <c r="QDX66" s="5"/>
      <c r="QDY66" s="5"/>
      <c r="QDZ66" s="5"/>
      <c r="QEA66" s="5"/>
      <c r="QEB66" s="5"/>
      <c r="QEC66" s="5"/>
      <c r="QED66" s="5"/>
      <c r="QEE66" s="5"/>
      <c r="QEF66" s="5"/>
      <c r="QEG66" s="5"/>
      <c r="QEH66" s="5"/>
      <c r="QEI66" s="5"/>
      <c r="QEJ66" s="5"/>
      <c r="QEK66" s="5"/>
      <c r="QEL66" s="5"/>
      <c r="QEM66" s="5"/>
      <c r="QEN66" s="5"/>
      <c r="QEO66" s="5"/>
      <c r="QEP66" s="5"/>
      <c r="QEQ66" s="5"/>
      <c r="QER66" s="5"/>
      <c r="QES66" s="5"/>
      <c r="QET66" s="5"/>
      <c r="QEU66" s="5"/>
      <c r="QEV66" s="5"/>
      <c r="QEW66" s="5"/>
      <c r="QEX66" s="5"/>
      <c r="QEY66" s="5"/>
      <c r="QEZ66" s="5"/>
      <c r="QFA66" s="5"/>
      <c r="QFB66" s="5"/>
      <c r="QFC66" s="5"/>
      <c r="QFD66" s="5"/>
      <c r="QFE66" s="5"/>
      <c r="QFF66" s="5"/>
      <c r="QFG66" s="5"/>
      <c r="QFH66" s="5"/>
      <c r="QFI66" s="5"/>
      <c r="QFJ66" s="5"/>
      <c r="QFK66" s="5"/>
      <c r="QFL66" s="5"/>
      <c r="QFM66" s="5"/>
      <c r="QFN66" s="5"/>
      <c r="QFO66" s="5"/>
      <c r="QFP66" s="5"/>
      <c r="QFQ66" s="5"/>
      <c r="QFR66" s="5"/>
      <c r="QFS66" s="5"/>
      <c r="QFT66" s="5"/>
      <c r="QFU66" s="5"/>
      <c r="QFV66" s="5"/>
      <c r="QFW66" s="5"/>
      <c r="QFX66" s="5"/>
      <c r="QFY66" s="5"/>
      <c r="QFZ66" s="5"/>
      <c r="QGA66" s="5"/>
      <c r="QGB66" s="5"/>
      <c r="QGC66" s="5"/>
      <c r="QGD66" s="5"/>
      <c r="QGE66" s="5"/>
      <c r="QGF66" s="5"/>
      <c r="QGG66" s="5"/>
      <c r="QGH66" s="5"/>
      <c r="QGI66" s="5"/>
      <c r="QGJ66" s="5"/>
      <c r="QGK66" s="5"/>
      <c r="QGL66" s="5"/>
      <c r="QGM66" s="5"/>
      <c r="QGN66" s="5"/>
      <c r="QGO66" s="5"/>
      <c r="QGP66" s="5"/>
      <c r="QGQ66" s="5"/>
      <c r="QGR66" s="5"/>
      <c r="QGS66" s="5"/>
      <c r="QGT66" s="5"/>
      <c r="QGU66" s="5"/>
      <c r="QGV66" s="5"/>
      <c r="QGW66" s="5"/>
      <c r="QGX66" s="5"/>
      <c r="QGY66" s="5"/>
      <c r="QGZ66" s="5"/>
      <c r="QHA66" s="5"/>
      <c r="QHB66" s="5"/>
      <c r="QHC66" s="5"/>
      <c r="QHD66" s="5"/>
      <c r="QHE66" s="5"/>
      <c r="QHF66" s="5"/>
      <c r="QHG66" s="5"/>
      <c r="QHH66" s="5"/>
      <c r="QHI66" s="5"/>
      <c r="QHJ66" s="5"/>
      <c r="QHK66" s="5"/>
      <c r="QHL66" s="5"/>
      <c r="QHM66" s="5"/>
      <c r="QHN66" s="5"/>
      <c r="QHO66" s="5"/>
      <c r="QHP66" s="5"/>
      <c r="QHQ66" s="5"/>
      <c r="QHR66" s="5"/>
      <c r="QHS66" s="5"/>
      <c r="QHT66" s="5"/>
      <c r="QHU66" s="5"/>
      <c r="QHV66" s="5"/>
      <c r="QHW66" s="5"/>
      <c r="QHX66" s="5"/>
      <c r="QHY66" s="5"/>
      <c r="QHZ66" s="5"/>
      <c r="QIA66" s="5"/>
      <c r="QIB66" s="5"/>
      <c r="QIC66" s="5"/>
      <c r="QID66" s="5"/>
      <c r="QIE66" s="5"/>
      <c r="QIF66" s="5"/>
      <c r="QIG66" s="5"/>
      <c r="QIH66" s="5"/>
      <c r="QII66" s="5"/>
      <c r="QIJ66" s="5"/>
      <c r="QIK66" s="5"/>
      <c r="QIL66" s="5"/>
      <c r="QIM66" s="5"/>
      <c r="QIN66" s="5"/>
      <c r="QIO66" s="5"/>
      <c r="QIP66" s="5"/>
      <c r="QIQ66" s="5"/>
      <c r="QIR66" s="5"/>
      <c r="QIS66" s="5"/>
      <c r="QIT66" s="5"/>
      <c r="QIU66" s="5"/>
      <c r="QIV66" s="5"/>
      <c r="QIW66" s="5"/>
      <c r="QIX66" s="5"/>
      <c r="QIY66" s="5"/>
      <c r="QIZ66" s="5"/>
      <c r="QJA66" s="5"/>
      <c r="QJB66" s="5"/>
      <c r="QJC66" s="5"/>
      <c r="QJD66" s="5"/>
      <c r="QJE66" s="5"/>
      <c r="QJF66" s="5"/>
      <c r="QJG66" s="5"/>
      <c r="QJH66" s="5"/>
      <c r="QJI66" s="5"/>
      <c r="QJJ66" s="5"/>
      <c r="QJK66" s="5"/>
      <c r="QJL66" s="5"/>
      <c r="QJM66" s="5"/>
      <c r="QJN66" s="5"/>
      <c r="QJO66" s="5"/>
      <c r="QJP66" s="5"/>
      <c r="QJQ66" s="5"/>
      <c r="QJR66" s="5"/>
      <c r="QJS66" s="5"/>
      <c r="QJT66" s="5"/>
      <c r="QJU66" s="5"/>
      <c r="QJV66" s="5"/>
      <c r="QJW66" s="5"/>
      <c r="QJX66" s="5"/>
      <c r="QJY66" s="5"/>
      <c r="QJZ66" s="5"/>
      <c r="QKA66" s="5"/>
      <c r="QKB66" s="5"/>
      <c r="QKC66" s="5"/>
      <c r="QKD66" s="5"/>
      <c r="QKE66" s="5"/>
      <c r="QKF66" s="5"/>
      <c r="QKG66" s="5"/>
      <c r="QKH66" s="5"/>
      <c r="QKI66" s="5"/>
      <c r="QKJ66" s="5"/>
      <c r="QKK66" s="5"/>
      <c r="QKL66" s="5"/>
      <c r="QKM66" s="5"/>
      <c r="QKN66" s="5"/>
      <c r="QKO66" s="5"/>
      <c r="QKP66" s="5"/>
      <c r="QKQ66" s="5"/>
      <c r="QKR66" s="5"/>
      <c r="QKS66" s="5"/>
      <c r="QKT66" s="5"/>
      <c r="QKU66" s="5"/>
      <c r="QKV66" s="5"/>
      <c r="QKW66" s="5"/>
      <c r="QKX66" s="5"/>
      <c r="QKY66" s="5"/>
      <c r="QKZ66" s="5"/>
      <c r="QLA66" s="5"/>
      <c r="QLB66" s="5"/>
      <c r="QLC66" s="5"/>
      <c r="QLD66" s="5"/>
      <c r="QLE66" s="5"/>
      <c r="QLF66" s="5"/>
      <c r="QLG66" s="5"/>
      <c r="QLH66" s="5"/>
      <c r="QLI66" s="5"/>
      <c r="QLJ66" s="5"/>
      <c r="QLK66" s="5"/>
      <c r="QLL66" s="5"/>
      <c r="QLM66" s="5"/>
      <c r="QLN66" s="5"/>
      <c r="QLO66" s="5"/>
      <c r="QLP66" s="5"/>
      <c r="QLQ66" s="5"/>
      <c r="QLR66" s="5"/>
      <c r="QLS66" s="5"/>
      <c r="QLT66" s="5"/>
      <c r="QLU66" s="5"/>
      <c r="QLV66" s="5"/>
      <c r="QLW66" s="5"/>
      <c r="QLX66" s="5"/>
      <c r="QLY66" s="5"/>
      <c r="QLZ66" s="5"/>
      <c r="QMA66" s="5"/>
      <c r="QMB66" s="5"/>
      <c r="QMC66" s="5"/>
      <c r="QMD66" s="5"/>
      <c r="QME66" s="5"/>
      <c r="QMF66" s="5"/>
      <c r="QMG66" s="5"/>
      <c r="QMH66" s="5"/>
      <c r="QMI66" s="5"/>
      <c r="QMJ66" s="5"/>
      <c r="QMK66" s="5"/>
      <c r="QML66" s="5"/>
      <c r="QMM66" s="5"/>
      <c r="QMN66" s="5"/>
      <c r="QMO66" s="5"/>
      <c r="QMP66" s="5"/>
      <c r="QMQ66" s="5"/>
      <c r="QMR66" s="5"/>
      <c r="QMS66" s="5"/>
      <c r="QMT66" s="5"/>
      <c r="QMU66" s="5"/>
      <c r="QMV66" s="5"/>
      <c r="QMW66" s="5"/>
      <c r="QMX66" s="5"/>
      <c r="QMY66" s="5"/>
      <c r="QMZ66" s="5"/>
      <c r="QNA66" s="5"/>
      <c r="QNB66" s="5"/>
      <c r="QNC66" s="5"/>
      <c r="QND66" s="5"/>
      <c r="QNE66" s="5"/>
      <c r="QNF66" s="5"/>
      <c r="QNG66" s="5"/>
      <c r="QNH66" s="5"/>
      <c r="QNI66" s="5"/>
      <c r="QNJ66" s="5"/>
      <c r="QNK66" s="5"/>
      <c r="QNL66" s="5"/>
      <c r="QNM66" s="5"/>
      <c r="QNN66" s="5"/>
      <c r="QNO66" s="5"/>
      <c r="QNP66" s="5"/>
      <c r="QNQ66" s="5"/>
      <c r="QNR66" s="5"/>
      <c r="QNS66" s="5"/>
      <c r="QNT66" s="5"/>
      <c r="QNU66" s="5"/>
      <c r="QNV66" s="5"/>
      <c r="QNW66" s="5"/>
      <c r="QNX66" s="5"/>
      <c r="QNY66" s="5"/>
      <c r="QNZ66" s="5"/>
      <c r="QOA66" s="5"/>
      <c r="QOB66" s="5"/>
      <c r="QOC66" s="5"/>
      <c r="QOD66" s="5"/>
      <c r="QOE66" s="5"/>
      <c r="QOF66" s="5"/>
      <c r="QOG66" s="5"/>
      <c r="QOH66" s="5"/>
      <c r="QOI66" s="5"/>
      <c r="QOJ66" s="5"/>
      <c r="QOK66" s="5"/>
      <c r="QOL66" s="5"/>
      <c r="QOM66" s="5"/>
      <c r="QON66" s="5"/>
      <c r="QOO66" s="5"/>
      <c r="QOP66" s="5"/>
      <c r="QOQ66" s="5"/>
      <c r="QOR66" s="5"/>
      <c r="QOS66" s="5"/>
      <c r="QOT66" s="5"/>
      <c r="QOU66" s="5"/>
      <c r="QOV66" s="5"/>
      <c r="QOW66" s="5"/>
      <c r="QOX66" s="5"/>
      <c r="QOY66" s="5"/>
      <c r="QOZ66" s="5"/>
      <c r="QPA66" s="5"/>
      <c r="QPB66" s="5"/>
      <c r="QPC66" s="5"/>
      <c r="QPD66" s="5"/>
      <c r="QPE66" s="5"/>
      <c r="QPF66" s="5"/>
      <c r="QPG66" s="5"/>
      <c r="QPH66" s="5"/>
      <c r="QPI66" s="5"/>
      <c r="QPJ66" s="5"/>
      <c r="QPK66" s="5"/>
      <c r="QPL66" s="5"/>
      <c r="QPM66" s="5"/>
      <c r="QPN66" s="5"/>
      <c r="QPO66" s="5"/>
      <c r="QPP66" s="5"/>
      <c r="QPQ66" s="5"/>
      <c r="QPR66" s="5"/>
      <c r="QPS66" s="5"/>
      <c r="QPT66" s="5"/>
      <c r="QPU66" s="5"/>
      <c r="QPV66" s="5"/>
      <c r="QPW66" s="5"/>
      <c r="QPX66" s="5"/>
      <c r="QPY66" s="5"/>
      <c r="QPZ66" s="5"/>
      <c r="QQA66" s="5"/>
      <c r="QQB66" s="5"/>
      <c r="QQC66" s="5"/>
      <c r="QQD66" s="5"/>
      <c r="QQE66" s="5"/>
      <c r="QQF66" s="5"/>
      <c r="QQG66" s="5"/>
      <c r="QQH66" s="5"/>
      <c r="QQI66" s="5"/>
      <c r="QQJ66" s="5"/>
      <c r="QQK66" s="5"/>
      <c r="QQL66" s="5"/>
      <c r="QQM66" s="5"/>
      <c r="QQN66" s="5"/>
      <c r="QQO66" s="5"/>
      <c r="QQP66" s="5"/>
      <c r="QQQ66" s="5"/>
      <c r="QQR66" s="5"/>
      <c r="QQS66" s="5"/>
      <c r="QQT66" s="5"/>
      <c r="QQU66" s="5"/>
      <c r="QQV66" s="5"/>
      <c r="QQW66" s="5"/>
      <c r="QQX66" s="5"/>
      <c r="QQY66" s="5"/>
      <c r="QQZ66" s="5"/>
      <c r="QRA66" s="5"/>
      <c r="QRB66" s="5"/>
      <c r="QRC66" s="5"/>
      <c r="QRD66" s="5"/>
      <c r="QRE66" s="5"/>
      <c r="QRF66" s="5"/>
      <c r="QRG66" s="5"/>
      <c r="QRH66" s="5"/>
      <c r="QRI66" s="5"/>
      <c r="QRJ66" s="5"/>
      <c r="QRK66" s="5"/>
      <c r="QRL66" s="5"/>
      <c r="QRM66" s="5"/>
      <c r="QRN66" s="5"/>
      <c r="QRO66" s="5"/>
      <c r="QRP66" s="5"/>
      <c r="QRQ66" s="5"/>
      <c r="QRR66" s="5"/>
      <c r="QRS66" s="5"/>
      <c r="QRT66" s="5"/>
      <c r="QRU66" s="5"/>
      <c r="QRV66" s="5"/>
      <c r="QRW66" s="5"/>
      <c r="QRX66" s="5"/>
      <c r="QRY66" s="5"/>
      <c r="QRZ66" s="5"/>
      <c r="QSA66" s="5"/>
      <c r="QSB66" s="5"/>
      <c r="QSC66" s="5"/>
      <c r="QSD66" s="5"/>
      <c r="QSE66" s="5"/>
      <c r="QSF66" s="5"/>
      <c r="QSG66" s="5"/>
      <c r="QSH66" s="5"/>
      <c r="QSI66" s="5"/>
      <c r="QSJ66" s="5"/>
      <c r="QSK66" s="5"/>
      <c r="QSL66" s="5"/>
      <c r="QSM66" s="5"/>
      <c r="QSN66" s="5"/>
      <c r="QSO66" s="5"/>
      <c r="QSP66" s="5"/>
      <c r="QSQ66" s="5"/>
      <c r="QSR66" s="5"/>
      <c r="QSS66" s="5"/>
      <c r="QST66" s="5"/>
      <c r="QSU66" s="5"/>
      <c r="QSV66" s="5"/>
      <c r="QSW66" s="5"/>
      <c r="QSX66" s="5"/>
      <c r="QSY66" s="5"/>
      <c r="QSZ66" s="5"/>
      <c r="QTA66" s="5"/>
      <c r="QTB66" s="5"/>
      <c r="QTC66" s="5"/>
      <c r="QTD66" s="5"/>
      <c r="QTE66" s="5"/>
      <c r="QTF66" s="5"/>
      <c r="QTG66" s="5"/>
      <c r="QTH66" s="5"/>
      <c r="QTI66" s="5"/>
      <c r="QTJ66" s="5"/>
      <c r="QTK66" s="5"/>
      <c r="QTL66" s="5"/>
      <c r="QTM66" s="5"/>
      <c r="QTN66" s="5"/>
      <c r="QTO66" s="5"/>
      <c r="QTP66" s="5"/>
      <c r="QTQ66" s="5"/>
      <c r="QTR66" s="5"/>
      <c r="QTS66" s="5"/>
      <c r="QTT66" s="5"/>
      <c r="QTU66" s="5"/>
      <c r="QTV66" s="5"/>
      <c r="QTW66" s="5"/>
      <c r="QTX66" s="5"/>
      <c r="QTY66" s="5"/>
      <c r="QTZ66" s="5"/>
      <c r="QUA66" s="5"/>
      <c r="QUB66" s="5"/>
      <c r="QUC66" s="5"/>
      <c r="QUD66" s="5"/>
      <c r="QUE66" s="5"/>
      <c r="QUF66" s="5"/>
      <c r="QUG66" s="5"/>
      <c r="QUH66" s="5"/>
      <c r="QUI66" s="5"/>
      <c r="QUJ66" s="5"/>
      <c r="QUK66" s="5"/>
      <c r="QUL66" s="5"/>
      <c r="QUM66" s="5"/>
      <c r="QUN66" s="5"/>
      <c r="QUO66" s="5"/>
      <c r="QUP66" s="5"/>
      <c r="QUQ66" s="5"/>
      <c r="QUR66" s="5"/>
      <c r="QUS66" s="5"/>
      <c r="QUT66" s="5"/>
      <c r="QUU66" s="5"/>
      <c r="QUV66" s="5"/>
      <c r="QUW66" s="5"/>
      <c r="QUX66" s="5"/>
      <c r="QUY66" s="5"/>
      <c r="QUZ66" s="5"/>
      <c r="QVA66" s="5"/>
      <c r="QVB66" s="5"/>
      <c r="QVC66" s="5"/>
      <c r="QVD66" s="5"/>
      <c r="QVE66" s="5"/>
      <c r="QVF66" s="5"/>
      <c r="QVG66" s="5"/>
      <c r="QVH66" s="5"/>
      <c r="QVI66" s="5"/>
      <c r="QVJ66" s="5"/>
      <c r="QVK66" s="5"/>
      <c r="QVL66" s="5"/>
      <c r="QVM66" s="5"/>
      <c r="QVN66" s="5"/>
      <c r="QVO66" s="5"/>
      <c r="QVP66" s="5"/>
      <c r="QVQ66" s="5"/>
      <c r="QVR66" s="5"/>
      <c r="QVS66" s="5"/>
      <c r="QVT66" s="5"/>
      <c r="QVU66" s="5"/>
      <c r="QVV66" s="5"/>
      <c r="QVW66" s="5"/>
      <c r="QVX66" s="5"/>
      <c r="QVY66" s="5"/>
      <c r="QVZ66" s="5"/>
      <c r="QWA66" s="5"/>
      <c r="QWB66" s="5"/>
      <c r="QWC66" s="5"/>
      <c r="QWD66" s="5"/>
      <c r="QWE66" s="5"/>
      <c r="QWF66" s="5"/>
      <c r="QWG66" s="5"/>
      <c r="QWH66" s="5"/>
      <c r="QWI66" s="5"/>
      <c r="QWJ66" s="5"/>
      <c r="QWK66" s="5"/>
      <c r="QWL66" s="5"/>
      <c r="QWM66" s="5"/>
      <c r="QWN66" s="5"/>
      <c r="QWO66" s="5"/>
      <c r="QWP66" s="5"/>
      <c r="QWQ66" s="5"/>
      <c r="QWR66" s="5"/>
      <c r="QWS66" s="5"/>
      <c r="QWT66" s="5"/>
      <c r="QWU66" s="5"/>
      <c r="QWV66" s="5"/>
      <c r="QWW66" s="5"/>
      <c r="QWX66" s="5"/>
      <c r="QWY66" s="5"/>
      <c r="QWZ66" s="5"/>
      <c r="QXA66" s="5"/>
      <c r="QXB66" s="5"/>
      <c r="QXC66" s="5"/>
      <c r="QXD66" s="5"/>
      <c r="QXE66" s="5"/>
      <c r="QXF66" s="5"/>
      <c r="QXG66" s="5"/>
      <c r="QXH66" s="5"/>
      <c r="QXI66" s="5"/>
      <c r="QXJ66" s="5"/>
      <c r="QXK66" s="5"/>
      <c r="QXL66" s="5"/>
      <c r="QXM66" s="5"/>
      <c r="QXN66" s="5"/>
      <c r="QXO66" s="5"/>
      <c r="QXP66" s="5"/>
      <c r="QXQ66" s="5"/>
      <c r="QXR66" s="5"/>
      <c r="QXS66" s="5"/>
      <c r="QXT66" s="5"/>
      <c r="QXU66" s="5"/>
      <c r="QXV66" s="5"/>
      <c r="QXW66" s="5"/>
      <c r="QXX66" s="5"/>
      <c r="QXY66" s="5"/>
      <c r="QXZ66" s="5"/>
      <c r="QYA66" s="5"/>
      <c r="QYB66" s="5"/>
      <c r="QYC66" s="5"/>
      <c r="QYD66" s="5"/>
      <c r="QYE66" s="5"/>
      <c r="QYF66" s="5"/>
      <c r="QYG66" s="5"/>
      <c r="QYH66" s="5"/>
      <c r="QYI66" s="5"/>
      <c r="QYJ66" s="5"/>
      <c r="QYK66" s="5"/>
      <c r="QYL66" s="5"/>
      <c r="QYM66" s="5"/>
      <c r="QYN66" s="5"/>
      <c r="QYO66" s="5"/>
      <c r="QYP66" s="5"/>
      <c r="QYQ66" s="5"/>
      <c r="QYR66" s="5"/>
      <c r="QYS66" s="5"/>
      <c r="QYT66" s="5"/>
      <c r="QYU66" s="5"/>
      <c r="QYV66" s="5"/>
      <c r="QYW66" s="5"/>
      <c r="QYX66" s="5"/>
      <c r="QYY66" s="5"/>
      <c r="QYZ66" s="5"/>
      <c r="QZA66" s="5"/>
      <c r="QZB66" s="5"/>
      <c r="QZC66" s="5"/>
      <c r="QZD66" s="5"/>
      <c r="QZE66" s="5"/>
      <c r="QZF66" s="5"/>
      <c r="QZG66" s="5"/>
      <c r="QZH66" s="5"/>
      <c r="QZI66" s="5"/>
      <c r="QZJ66" s="5"/>
      <c r="QZK66" s="5"/>
      <c r="QZL66" s="5"/>
      <c r="QZM66" s="5"/>
      <c r="QZN66" s="5"/>
      <c r="QZO66" s="5"/>
      <c r="QZP66" s="5"/>
      <c r="QZQ66" s="5"/>
      <c r="QZR66" s="5"/>
      <c r="QZS66" s="5"/>
      <c r="QZT66" s="5"/>
      <c r="QZU66" s="5"/>
      <c r="QZV66" s="5"/>
      <c r="QZW66" s="5"/>
      <c r="QZX66" s="5"/>
      <c r="QZY66" s="5"/>
      <c r="QZZ66" s="5"/>
      <c r="RAA66" s="5"/>
      <c r="RAB66" s="5"/>
      <c r="RAC66" s="5"/>
      <c r="RAD66" s="5"/>
      <c r="RAE66" s="5"/>
      <c r="RAF66" s="5"/>
      <c r="RAG66" s="5"/>
      <c r="RAH66" s="5"/>
      <c r="RAI66" s="5"/>
      <c r="RAJ66" s="5"/>
      <c r="RAK66" s="5"/>
      <c r="RAL66" s="5"/>
      <c r="RAM66" s="5"/>
      <c r="RAN66" s="5"/>
      <c r="RAO66" s="5"/>
      <c r="RAP66" s="5"/>
      <c r="RAQ66" s="5"/>
      <c r="RAR66" s="5"/>
      <c r="RAS66" s="5"/>
      <c r="RAT66" s="5"/>
      <c r="RAU66" s="5"/>
      <c r="RAV66" s="5"/>
      <c r="RAW66" s="5"/>
      <c r="RAX66" s="5"/>
      <c r="RAY66" s="5"/>
      <c r="RAZ66" s="5"/>
      <c r="RBA66" s="5"/>
      <c r="RBB66" s="5"/>
      <c r="RBC66" s="5"/>
      <c r="RBD66" s="5"/>
      <c r="RBE66" s="5"/>
      <c r="RBF66" s="5"/>
      <c r="RBG66" s="5"/>
      <c r="RBH66" s="5"/>
      <c r="RBI66" s="5"/>
      <c r="RBJ66" s="5"/>
      <c r="RBK66" s="5"/>
      <c r="RBL66" s="5"/>
      <c r="RBM66" s="5"/>
      <c r="RBN66" s="5"/>
      <c r="RBO66" s="5"/>
      <c r="RBP66" s="5"/>
      <c r="RBQ66" s="5"/>
      <c r="RBR66" s="5"/>
      <c r="RBS66" s="5"/>
      <c r="RBT66" s="5"/>
      <c r="RBU66" s="5"/>
      <c r="RBV66" s="5"/>
      <c r="RBW66" s="5"/>
      <c r="RBX66" s="5"/>
      <c r="RBY66" s="5"/>
      <c r="RBZ66" s="5"/>
      <c r="RCA66" s="5"/>
      <c r="RCB66" s="5"/>
      <c r="RCC66" s="5"/>
      <c r="RCD66" s="5"/>
      <c r="RCE66" s="5"/>
      <c r="RCF66" s="5"/>
      <c r="RCG66" s="5"/>
      <c r="RCH66" s="5"/>
      <c r="RCI66" s="5"/>
      <c r="RCJ66" s="5"/>
      <c r="RCK66" s="5"/>
      <c r="RCL66" s="5"/>
      <c r="RCM66" s="5"/>
      <c r="RCN66" s="5"/>
      <c r="RCO66" s="5"/>
      <c r="RCP66" s="5"/>
      <c r="RCQ66" s="5"/>
      <c r="RCR66" s="5"/>
      <c r="RCS66" s="5"/>
      <c r="RCT66" s="5"/>
      <c r="RCU66" s="5"/>
      <c r="RCV66" s="5"/>
      <c r="RCW66" s="5"/>
      <c r="RCX66" s="5"/>
      <c r="RCY66" s="5"/>
      <c r="RCZ66" s="5"/>
      <c r="RDA66" s="5"/>
      <c r="RDB66" s="5"/>
      <c r="RDC66" s="5"/>
      <c r="RDD66" s="5"/>
      <c r="RDE66" s="5"/>
      <c r="RDF66" s="5"/>
      <c r="RDG66" s="5"/>
      <c r="RDH66" s="5"/>
      <c r="RDI66" s="5"/>
      <c r="RDJ66" s="5"/>
      <c r="RDK66" s="5"/>
      <c r="RDL66" s="5"/>
      <c r="RDM66" s="5"/>
      <c r="RDN66" s="5"/>
      <c r="RDO66" s="5"/>
      <c r="RDP66" s="5"/>
      <c r="RDQ66" s="5"/>
      <c r="RDR66" s="5"/>
      <c r="RDS66" s="5"/>
      <c r="RDT66" s="5"/>
      <c r="RDU66" s="5"/>
      <c r="RDV66" s="5"/>
      <c r="RDW66" s="5"/>
      <c r="RDX66" s="5"/>
      <c r="RDY66" s="5"/>
      <c r="RDZ66" s="5"/>
      <c r="REA66" s="5"/>
      <c r="REB66" s="5"/>
      <c r="REC66" s="5"/>
      <c r="RED66" s="5"/>
      <c r="REE66" s="5"/>
      <c r="REF66" s="5"/>
      <c r="REG66" s="5"/>
      <c r="REH66" s="5"/>
      <c r="REI66" s="5"/>
      <c r="REJ66" s="5"/>
      <c r="REK66" s="5"/>
      <c r="REL66" s="5"/>
      <c r="REM66" s="5"/>
      <c r="REN66" s="5"/>
      <c r="REO66" s="5"/>
      <c r="REP66" s="5"/>
      <c r="REQ66" s="5"/>
      <c r="RER66" s="5"/>
      <c r="RES66" s="5"/>
      <c r="RET66" s="5"/>
      <c r="REU66" s="5"/>
      <c r="REV66" s="5"/>
      <c r="REW66" s="5"/>
      <c r="REX66" s="5"/>
      <c r="REY66" s="5"/>
      <c r="REZ66" s="5"/>
      <c r="RFA66" s="5"/>
      <c r="RFB66" s="5"/>
      <c r="RFC66" s="5"/>
      <c r="RFD66" s="5"/>
      <c r="RFE66" s="5"/>
      <c r="RFF66" s="5"/>
      <c r="RFG66" s="5"/>
      <c r="RFH66" s="5"/>
      <c r="RFI66" s="5"/>
      <c r="RFJ66" s="5"/>
      <c r="RFK66" s="5"/>
      <c r="RFL66" s="5"/>
      <c r="RFM66" s="5"/>
      <c r="RFN66" s="5"/>
      <c r="RFO66" s="5"/>
      <c r="RFP66" s="5"/>
      <c r="RFQ66" s="5"/>
      <c r="RFR66" s="5"/>
      <c r="RFS66" s="5"/>
      <c r="RFT66" s="5"/>
      <c r="RFU66" s="5"/>
      <c r="RFV66" s="5"/>
      <c r="RFW66" s="5"/>
      <c r="RFX66" s="5"/>
      <c r="RFY66" s="5"/>
      <c r="RFZ66" s="5"/>
      <c r="RGA66" s="5"/>
      <c r="RGB66" s="5"/>
      <c r="RGC66" s="5"/>
      <c r="RGD66" s="5"/>
      <c r="RGE66" s="5"/>
      <c r="RGF66" s="5"/>
      <c r="RGG66" s="5"/>
      <c r="RGH66" s="5"/>
      <c r="RGI66" s="5"/>
      <c r="RGJ66" s="5"/>
      <c r="RGK66" s="5"/>
      <c r="RGL66" s="5"/>
      <c r="RGM66" s="5"/>
      <c r="RGN66" s="5"/>
      <c r="RGO66" s="5"/>
      <c r="RGP66" s="5"/>
      <c r="RGQ66" s="5"/>
      <c r="RGR66" s="5"/>
      <c r="RGS66" s="5"/>
      <c r="RGT66" s="5"/>
      <c r="RGU66" s="5"/>
      <c r="RGV66" s="5"/>
      <c r="RGW66" s="5"/>
      <c r="RGX66" s="5"/>
      <c r="RGY66" s="5"/>
      <c r="RGZ66" s="5"/>
      <c r="RHA66" s="5"/>
      <c r="RHB66" s="5"/>
      <c r="RHC66" s="5"/>
      <c r="RHD66" s="5"/>
      <c r="RHE66" s="5"/>
      <c r="RHF66" s="5"/>
      <c r="RHG66" s="5"/>
      <c r="RHH66" s="5"/>
      <c r="RHI66" s="5"/>
      <c r="RHJ66" s="5"/>
      <c r="RHK66" s="5"/>
      <c r="RHL66" s="5"/>
      <c r="RHM66" s="5"/>
      <c r="RHN66" s="5"/>
      <c r="RHO66" s="5"/>
      <c r="RHP66" s="5"/>
      <c r="RHQ66" s="5"/>
      <c r="RHR66" s="5"/>
      <c r="RHS66" s="5"/>
      <c r="RHT66" s="5"/>
      <c r="RHU66" s="5"/>
      <c r="RHV66" s="5"/>
      <c r="RHW66" s="5"/>
      <c r="RHX66" s="5"/>
      <c r="RHY66" s="5"/>
      <c r="RHZ66" s="5"/>
      <c r="RIA66" s="5"/>
      <c r="RIB66" s="5"/>
      <c r="RIC66" s="5"/>
      <c r="RID66" s="5"/>
      <c r="RIE66" s="5"/>
      <c r="RIF66" s="5"/>
      <c r="RIG66" s="5"/>
      <c r="RIH66" s="5"/>
      <c r="RII66" s="5"/>
      <c r="RIJ66" s="5"/>
      <c r="RIK66" s="5"/>
      <c r="RIL66" s="5"/>
      <c r="RIM66" s="5"/>
      <c r="RIN66" s="5"/>
      <c r="RIO66" s="5"/>
      <c r="RIP66" s="5"/>
      <c r="RIQ66" s="5"/>
      <c r="RIR66" s="5"/>
      <c r="RIS66" s="5"/>
      <c r="RIT66" s="5"/>
      <c r="RIU66" s="5"/>
      <c r="RIV66" s="5"/>
      <c r="RIW66" s="5"/>
      <c r="RIX66" s="5"/>
      <c r="RIY66" s="5"/>
      <c r="RIZ66" s="5"/>
      <c r="RJA66" s="5"/>
      <c r="RJB66" s="5"/>
      <c r="RJC66" s="5"/>
      <c r="RJD66" s="5"/>
      <c r="RJE66" s="5"/>
      <c r="RJF66" s="5"/>
      <c r="RJG66" s="5"/>
      <c r="RJH66" s="5"/>
      <c r="RJI66" s="5"/>
      <c r="RJJ66" s="5"/>
      <c r="RJK66" s="5"/>
      <c r="RJL66" s="5"/>
      <c r="RJM66" s="5"/>
      <c r="RJN66" s="5"/>
      <c r="RJO66" s="5"/>
      <c r="RJP66" s="5"/>
      <c r="RJQ66" s="5"/>
      <c r="RJR66" s="5"/>
      <c r="RJS66" s="5"/>
      <c r="RJT66" s="5"/>
      <c r="RJU66" s="5"/>
      <c r="RJV66" s="5"/>
      <c r="RJW66" s="5"/>
      <c r="RJX66" s="5"/>
      <c r="RJY66" s="5"/>
      <c r="RJZ66" s="5"/>
      <c r="RKA66" s="5"/>
      <c r="RKB66" s="5"/>
      <c r="RKC66" s="5"/>
      <c r="RKD66" s="5"/>
      <c r="RKE66" s="5"/>
      <c r="RKF66" s="5"/>
      <c r="RKG66" s="5"/>
      <c r="RKH66" s="5"/>
      <c r="RKI66" s="5"/>
      <c r="RKJ66" s="5"/>
      <c r="RKK66" s="5"/>
      <c r="RKL66" s="5"/>
      <c r="RKM66" s="5"/>
      <c r="RKN66" s="5"/>
      <c r="RKO66" s="5"/>
      <c r="RKP66" s="5"/>
      <c r="RKQ66" s="5"/>
      <c r="RKR66" s="5"/>
      <c r="RKS66" s="5"/>
      <c r="RKT66" s="5"/>
      <c r="RKU66" s="5"/>
      <c r="RKV66" s="5"/>
      <c r="RKW66" s="5"/>
      <c r="RKX66" s="5"/>
      <c r="RKY66" s="5"/>
      <c r="RKZ66" s="5"/>
      <c r="RLA66" s="5"/>
      <c r="RLB66" s="5"/>
      <c r="RLC66" s="5"/>
      <c r="RLD66" s="5"/>
      <c r="RLE66" s="5"/>
      <c r="RLF66" s="5"/>
      <c r="RLG66" s="5"/>
      <c r="RLH66" s="5"/>
      <c r="RLI66" s="5"/>
      <c r="RLJ66" s="5"/>
      <c r="RLK66" s="5"/>
      <c r="RLL66" s="5"/>
      <c r="RLM66" s="5"/>
      <c r="RLN66" s="5"/>
      <c r="RLO66" s="5"/>
      <c r="RLP66" s="5"/>
      <c r="RLQ66" s="5"/>
      <c r="RLR66" s="5"/>
      <c r="RLS66" s="5"/>
      <c r="RLT66" s="5"/>
      <c r="RLU66" s="5"/>
      <c r="RLV66" s="5"/>
      <c r="RLW66" s="5"/>
      <c r="RLX66" s="5"/>
      <c r="RLY66" s="5"/>
      <c r="RLZ66" s="5"/>
      <c r="RMA66" s="5"/>
      <c r="RMB66" s="5"/>
      <c r="RMC66" s="5"/>
      <c r="RMD66" s="5"/>
      <c r="RME66" s="5"/>
      <c r="RMF66" s="5"/>
      <c r="RMG66" s="5"/>
      <c r="RMH66" s="5"/>
      <c r="RMI66" s="5"/>
      <c r="RMJ66" s="5"/>
      <c r="RMK66" s="5"/>
      <c r="RML66" s="5"/>
      <c r="RMM66" s="5"/>
      <c r="RMN66" s="5"/>
      <c r="RMO66" s="5"/>
      <c r="RMP66" s="5"/>
      <c r="RMQ66" s="5"/>
      <c r="RMR66" s="5"/>
      <c r="RMS66" s="5"/>
      <c r="RMT66" s="5"/>
      <c r="RMU66" s="5"/>
      <c r="RMV66" s="5"/>
      <c r="RMW66" s="5"/>
      <c r="RMX66" s="5"/>
      <c r="RMY66" s="5"/>
      <c r="RMZ66" s="5"/>
      <c r="RNA66" s="5"/>
      <c r="RNB66" s="5"/>
      <c r="RNC66" s="5"/>
      <c r="RND66" s="5"/>
      <c r="RNE66" s="5"/>
      <c r="RNF66" s="5"/>
      <c r="RNG66" s="5"/>
      <c r="RNH66" s="5"/>
      <c r="RNI66" s="5"/>
      <c r="RNJ66" s="5"/>
      <c r="RNK66" s="5"/>
      <c r="RNL66" s="5"/>
      <c r="RNM66" s="5"/>
      <c r="RNN66" s="5"/>
      <c r="RNO66" s="5"/>
      <c r="RNP66" s="5"/>
      <c r="RNQ66" s="5"/>
      <c r="RNR66" s="5"/>
      <c r="RNS66" s="5"/>
      <c r="RNT66" s="5"/>
      <c r="RNU66" s="5"/>
      <c r="RNV66" s="5"/>
      <c r="RNW66" s="5"/>
      <c r="RNX66" s="5"/>
      <c r="RNY66" s="5"/>
      <c r="RNZ66" s="5"/>
      <c r="ROA66" s="5"/>
      <c r="ROB66" s="5"/>
      <c r="ROC66" s="5"/>
      <c r="ROD66" s="5"/>
      <c r="ROE66" s="5"/>
      <c r="ROF66" s="5"/>
      <c r="ROG66" s="5"/>
      <c r="ROH66" s="5"/>
      <c r="ROI66" s="5"/>
      <c r="ROJ66" s="5"/>
      <c r="ROK66" s="5"/>
      <c r="ROL66" s="5"/>
      <c r="ROM66" s="5"/>
      <c r="RON66" s="5"/>
      <c r="ROO66" s="5"/>
      <c r="ROP66" s="5"/>
      <c r="ROQ66" s="5"/>
      <c r="ROR66" s="5"/>
      <c r="ROS66" s="5"/>
      <c r="ROT66" s="5"/>
      <c r="ROU66" s="5"/>
      <c r="ROV66" s="5"/>
      <c r="ROW66" s="5"/>
      <c r="ROX66" s="5"/>
      <c r="ROY66" s="5"/>
      <c r="ROZ66" s="5"/>
      <c r="RPA66" s="5"/>
      <c r="RPB66" s="5"/>
      <c r="RPC66" s="5"/>
      <c r="RPD66" s="5"/>
      <c r="RPE66" s="5"/>
      <c r="RPF66" s="5"/>
      <c r="RPG66" s="5"/>
      <c r="RPH66" s="5"/>
      <c r="RPI66" s="5"/>
      <c r="RPJ66" s="5"/>
      <c r="RPK66" s="5"/>
      <c r="RPL66" s="5"/>
      <c r="RPM66" s="5"/>
      <c r="RPN66" s="5"/>
      <c r="RPO66" s="5"/>
      <c r="RPP66" s="5"/>
      <c r="RPQ66" s="5"/>
      <c r="RPR66" s="5"/>
      <c r="RPS66" s="5"/>
      <c r="RPT66" s="5"/>
      <c r="RPU66" s="5"/>
      <c r="RPV66" s="5"/>
      <c r="RPW66" s="5"/>
      <c r="RPX66" s="5"/>
      <c r="RPY66" s="5"/>
      <c r="RPZ66" s="5"/>
      <c r="RQA66" s="5"/>
      <c r="RQB66" s="5"/>
      <c r="RQC66" s="5"/>
      <c r="RQD66" s="5"/>
      <c r="RQE66" s="5"/>
      <c r="RQF66" s="5"/>
      <c r="RQG66" s="5"/>
      <c r="RQH66" s="5"/>
      <c r="RQI66" s="5"/>
      <c r="RQJ66" s="5"/>
      <c r="RQK66" s="5"/>
      <c r="RQL66" s="5"/>
      <c r="RQM66" s="5"/>
      <c r="RQN66" s="5"/>
      <c r="RQO66" s="5"/>
      <c r="RQP66" s="5"/>
      <c r="RQQ66" s="5"/>
      <c r="RQR66" s="5"/>
      <c r="RQS66" s="5"/>
      <c r="RQT66" s="5"/>
      <c r="RQU66" s="5"/>
      <c r="RQV66" s="5"/>
      <c r="RQW66" s="5"/>
      <c r="RQX66" s="5"/>
      <c r="RQY66" s="5"/>
      <c r="RQZ66" s="5"/>
      <c r="RRA66" s="5"/>
      <c r="RRB66" s="5"/>
      <c r="RRC66" s="5"/>
      <c r="RRD66" s="5"/>
      <c r="RRE66" s="5"/>
      <c r="RRF66" s="5"/>
      <c r="RRG66" s="5"/>
      <c r="RRH66" s="5"/>
      <c r="RRI66" s="5"/>
      <c r="RRJ66" s="5"/>
      <c r="RRK66" s="5"/>
      <c r="RRL66" s="5"/>
      <c r="RRM66" s="5"/>
      <c r="RRN66" s="5"/>
      <c r="RRO66" s="5"/>
      <c r="RRP66" s="5"/>
      <c r="RRQ66" s="5"/>
      <c r="RRR66" s="5"/>
      <c r="RRS66" s="5"/>
      <c r="RRT66" s="5"/>
      <c r="RRU66" s="5"/>
      <c r="RRV66" s="5"/>
      <c r="RRW66" s="5"/>
      <c r="RRX66" s="5"/>
      <c r="RRY66" s="5"/>
      <c r="RRZ66" s="5"/>
      <c r="RSA66" s="5"/>
      <c r="RSB66" s="5"/>
      <c r="RSC66" s="5"/>
      <c r="RSD66" s="5"/>
      <c r="RSE66" s="5"/>
      <c r="RSF66" s="5"/>
      <c r="RSG66" s="5"/>
      <c r="RSH66" s="5"/>
      <c r="RSI66" s="5"/>
      <c r="RSJ66" s="5"/>
      <c r="RSK66" s="5"/>
      <c r="RSL66" s="5"/>
      <c r="RSM66" s="5"/>
      <c r="RSN66" s="5"/>
      <c r="RSO66" s="5"/>
      <c r="RSP66" s="5"/>
      <c r="RSQ66" s="5"/>
      <c r="RSR66" s="5"/>
      <c r="RSS66" s="5"/>
      <c r="RST66" s="5"/>
      <c r="RSU66" s="5"/>
      <c r="RSV66" s="5"/>
      <c r="RSW66" s="5"/>
      <c r="RSX66" s="5"/>
      <c r="RSY66" s="5"/>
      <c r="RSZ66" s="5"/>
      <c r="RTA66" s="5"/>
      <c r="RTB66" s="5"/>
      <c r="RTC66" s="5"/>
      <c r="RTD66" s="5"/>
      <c r="RTE66" s="5"/>
      <c r="RTF66" s="5"/>
      <c r="RTG66" s="5"/>
      <c r="RTH66" s="5"/>
      <c r="RTI66" s="5"/>
      <c r="RTJ66" s="5"/>
      <c r="RTK66" s="5"/>
      <c r="RTL66" s="5"/>
      <c r="RTM66" s="5"/>
      <c r="RTN66" s="5"/>
      <c r="RTO66" s="5"/>
      <c r="RTP66" s="5"/>
      <c r="RTQ66" s="5"/>
      <c r="RTR66" s="5"/>
      <c r="RTS66" s="5"/>
      <c r="RTT66" s="5"/>
      <c r="RTU66" s="5"/>
      <c r="RTV66" s="5"/>
      <c r="RTW66" s="5"/>
      <c r="RTX66" s="5"/>
      <c r="RTY66" s="5"/>
      <c r="RTZ66" s="5"/>
      <c r="RUA66" s="5"/>
      <c r="RUB66" s="5"/>
      <c r="RUC66" s="5"/>
      <c r="RUD66" s="5"/>
      <c r="RUE66" s="5"/>
      <c r="RUF66" s="5"/>
      <c r="RUG66" s="5"/>
      <c r="RUH66" s="5"/>
      <c r="RUI66" s="5"/>
      <c r="RUJ66" s="5"/>
      <c r="RUK66" s="5"/>
      <c r="RUL66" s="5"/>
      <c r="RUM66" s="5"/>
      <c r="RUN66" s="5"/>
      <c r="RUO66" s="5"/>
      <c r="RUP66" s="5"/>
      <c r="RUQ66" s="5"/>
      <c r="RUR66" s="5"/>
      <c r="RUS66" s="5"/>
      <c r="RUT66" s="5"/>
      <c r="RUU66" s="5"/>
      <c r="RUV66" s="5"/>
      <c r="RUW66" s="5"/>
      <c r="RUX66" s="5"/>
      <c r="RUY66" s="5"/>
      <c r="RUZ66" s="5"/>
      <c r="RVA66" s="5"/>
      <c r="RVB66" s="5"/>
      <c r="RVC66" s="5"/>
      <c r="RVD66" s="5"/>
      <c r="RVE66" s="5"/>
      <c r="RVF66" s="5"/>
      <c r="RVG66" s="5"/>
      <c r="RVH66" s="5"/>
      <c r="RVI66" s="5"/>
      <c r="RVJ66" s="5"/>
      <c r="RVK66" s="5"/>
      <c r="RVL66" s="5"/>
      <c r="RVM66" s="5"/>
      <c r="RVN66" s="5"/>
      <c r="RVO66" s="5"/>
      <c r="RVP66" s="5"/>
      <c r="RVQ66" s="5"/>
      <c r="RVR66" s="5"/>
      <c r="RVS66" s="5"/>
      <c r="RVT66" s="5"/>
      <c r="RVU66" s="5"/>
      <c r="RVV66" s="5"/>
      <c r="RVW66" s="5"/>
      <c r="RVX66" s="5"/>
      <c r="RVY66" s="5"/>
      <c r="RVZ66" s="5"/>
      <c r="RWA66" s="5"/>
      <c r="RWB66" s="5"/>
      <c r="RWC66" s="5"/>
      <c r="RWD66" s="5"/>
      <c r="RWE66" s="5"/>
      <c r="RWF66" s="5"/>
      <c r="RWG66" s="5"/>
      <c r="RWH66" s="5"/>
      <c r="RWI66" s="5"/>
      <c r="RWJ66" s="5"/>
      <c r="RWK66" s="5"/>
      <c r="RWL66" s="5"/>
      <c r="RWM66" s="5"/>
      <c r="RWN66" s="5"/>
      <c r="RWO66" s="5"/>
      <c r="RWP66" s="5"/>
      <c r="RWQ66" s="5"/>
      <c r="RWR66" s="5"/>
      <c r="RWS66" s="5"/>
      <c r="RWT66" s="5"/>
      <c r="RWU66" s="5"/>
      <c r="RWV66" s="5"/>
      <c r="RWW66" s="5"/>
      <c r="RWX66" s="5"/>
      <c r="RWY66" s="5"/>
      <c r="RWZ66" s="5"/>
      <c r="RXA66" s="5"/>
      <c r="RXB66" s="5"/>
      <c r="RXC66" s="5"/>
      <c r="RXD66" s="5"/>
      <c r="RXE66" s="5"/>
      <c r="RXF66" s="5"/>
      <c r="RXG66" s="5"/>
      <c r="RXH66" s="5"/>
      <c r="RXI66" s="5"/>
      <c r="RXJ66" s="5"/>
      <c r="RXK66" s="5"/>
      <c r="RXL66" s="5"/>
      <c r="RXM66" s="5"/>
      <c r="RXN66" s="5"/>
      <c r="RXO66" s="5"/>
      <c r="RXP66" s="5"/>
      <c r="RXQ66" s="5"/>
      <c r="RXR66" s="5"/>
      <c r="RXS66" s="5"/>
      <c r="RXT66" s="5"/>
      <c r="RXU66" s="5"/>
      <c r="RXV66" s="5"/>
      <c r="RXW66" s="5"/>
      <c r="RXX66" s="5"/>
      <c r="RXY66" s="5"/>
      <c r="RXZ66" s="5"/>
      <c r="RYA66" s="5"/>
      <c r="RYB66" s="5"/>
      <c r="RYC66" s="5"/>
      <c r="RYD66" s="5"/>
      <c r="RYE66" s="5"/>
      <c r="RYF66" s="5"/>
      <c r="RYG66" s="5"/>
      <c r="RYH66" s="5"/>
      <c r="RYI66" s="5"/>
      <c r="RYJ66" s="5"/>
      <c r="RYK66" s="5"/>
      <c r="RYL66" s="5"/>
      <c r="RYM66" s="5"/>
      <c r="RYN66" s="5"/>
      <c r="RYO66" s="5"/>
      <c r="RYP66" s="5"/>
      <c r="RYQ66" s="5"/>
      <c r="RYR66" s="5"/>
      <c r="RYS66" s="5"/>
      <c r="RYT66" s="5"/>
      <c r="RYU66" s="5"/>
      <c r="RYV66" s="5"/>
      <c r="RYW66" s="5"/>
      <c r="RYX66" s="5"/>
      <c r="RYY66" s="5"/>
      <c r="RYZ66" s="5"/>
      <c r="RZA66" s="5"/>
      <c r="RZB66" s="5"/>
      <c r="RZC66" s="5"/>
      <c r="RZD66" s="5"/>
      <c r="RZE66" s="5"/>
      <c r="RZF66" s="5"/>
      <c r="RZG66" s="5"/>
      <c r="RZH66" s="5"/>
      <c r="RZI66" s="5"/>
      <c r="RZJ66" s="5"/>
      <c r="RZK66" s="5"/>
      <c r="RZL66" s="5"/>
      <c r="RZM66" s="5"/>
      <c r="RZN66" s="5"/>
      <c r="RZO66" s="5"/>
      <c r="RZP66" s="5"/>
      <c r="RZQ66" s="5"/>
      <c r="RZR66" s="5"/>
      <c r="RZS66" s="5"/>
      <c r="RZT66" s="5"/>
      <c r="RZU66" s="5"/>
      <c r="RZV66" s="5"/>
      <c r="RZW66" s="5"/>
      <c r="RZX66" s="5"/>
      <c r="RZY66" s="5"/>
      <c r="RZZ66" s="5"/>
      <c r="SAA66" s="5"/>
      <c r="SAB66" s="5"/>
      <c r="SAC66" s="5"/>
      <c r="SAD66" s="5"/>
      <c r="SAE66" s="5"/>
      <c r="SAF66" s="5"/>
      <c r="SAG66" s="5"/>
      <c r="SAH66" s="5"/>
      <c r="SAI66" s="5"/>
      <c r="SAJ66" s="5"/>
      <c r="SAK66" s="5"/>
      <c r="SAL66" s="5"/>
      <c r="SAM66" s="5"/>
      <c r="SAN66" s="5"/>
      <c r="SAO66" s="5"/>
      <c r="SAP66" s="5"/>
      <c r="SAQ66" s="5"/>
      <c r="SAR66" s="5"/>
      <c r="SAS66" s="5"/>
      <c r="SAT66" s="5"/>
      <c r="SAU66" s="5"/>
      <c r="SAV66" s="5"/>
      <c r="SAW66" s="5"/>
      <c r="SAX66" s="5"/>
      <c r="SAY66" s="5"/>
      <c r="SAZ66" s="5"/>
      <c r="SBA66" s="5"/>
      <c r="SBB66" s="5"/>
      <c r="SBC66" s="5"/>
      <c r="SBD66" s="5"/>
      <c r="SBE66" s="5"/>
      <c r="SBF66" s="5"/>
      <c r="SBG66" s="5"/>
      <c r="SBH66" s="5"/>
      <c r="SBI66" s="5"/>
      <c r="SBJ66" s="5"/>
      <c r="SBK66" s="5"/>
      <c r="SBL66" s="5"/>
      <c r="SBM66" s="5"/>
      <c r="SBN66" s="5"/>
      <c r="SBO66" s="5"/>
      <c r="SBP66" s="5"/>
      <c r="SBQ66" s="5"/>
      <c r="SBR66" s="5"/>
      <c r="SBS66" s="5"/>
      <c r="SBT66" s="5"/>
      <c r="SBU66" s="5"/>
      <c r="SBV66" s="5"/>
      <c r="SBW66" s="5"/>
      <c r="SBX66" s="5"/>
      <c r="SBY66" s="5"/>
      <c r="SBZ66" s="5"/>
      <c r="SCA66" s="5"/>
      <c r="SCB66" s="5"/>
      <c r="SCC66" s="5"/>
      <c r="SCD66" s="5"/>
      <c r="SCE66" s="5"/>
      <c r="SCF66" s="5"/>
      <c r="SCG66" s="5"/>
      <c r="SCH66" s="5"/>
      <c r="SCI66" s="5"/>
      <c r="SCJ66" s="5"/>
      <c r="SCK66" s="5"/>
      <c r="SCL66" s="5"/>
      <c r="SCM66" s="5"/>
      <c r="SCN66" s="5"/>
      <c r="SCO66" s="5"/>
      <c r="SCP66" s="5"/>
      <c r="SCQ66" s="5"/>
      <c r="SCR66" s="5"/>
      <c r="SCS66" s="5"/>
      <c r="SCT66" s="5"/>
      <c r="SCU66" s="5"/>
      <c r="SCV66" s="5"/>
      <c r="SCW66" s="5"/>
      <c r="SCX66" s="5"/>
      <c r="SCY66" s="5"/>
      <c r="SCZ66" s="5"/>
      <c r="SDA66" s="5"/>
      <c r="SDB66" s="5"/>
      <c r="SDC66" s="5"/>
      <c r="SDD66" s="5"/>
      <c r="SDE66" s="5"/>
      <c r="SDF66" s="5"/>
      <c r="SDG66" s="5"/>
      <c r="SDH66" s="5"/>
      <c r="SDI66" s="5"/>
      <c r="SDJ66" s="5"/>
      <c r="SDK66" s="5"/>
      <c r="SDL66" s="5"/>
      <c r="SDM66" s="5"/>
      <c r="SDN66" s="5"/>
      <c r="SDO66" s="5"/>
      <c r="SDP66" s="5"/>
      <c r="SDQ66" s="5"/>
      <c r="SDR66" s="5"/>
      <c r="SDS66" s="5"/>
      <c r="SDT66" s="5"/>
      <c r="SDU66" s="5"/>
      <c r="SDV66" s="5"/>
      <c r="SDW66" s="5"/>
      <c r="SDX66" s="5"/>
      <c r="SDY66" s="5"/>
      <c r="SDZ66" s="5"/>
      <c r="SEA66" s="5"/>
      <c r="SEB66" s="5"/>
      <c r="SEC66" s="5"/>
      <c r="SED66" s="5"/>
      <c r="SEE66" s="5"/>
      <c r="SEF66" s="5"/>
      <c r="SEG66" s="5"/>
      <c r="SEH66" s="5"/>
      <c r="SEI66" s="5"/>
      <c r="SEJ66" s="5"/>
      <c r="SEK66" s="5"/>
      <c r="SEL66" s="5"/>
      <c r="SEM66" s="5"/>
      <c r="SEN66" s="5"/>
      <c r="SEO66" s="5"/>
      <c r="SEP66" s="5"/>
      <c r="SEQ66" s="5"/>
      <c r="SER66" s="5"/>
      <c r="SES66" s="5"/>
      <c r="SET66" s="5"/>
      <c r="SEU66" s="5"/>
      <c r="SEV66" s="5"/>
      <c r="SEW66" s="5"/>
      <c r="SEX66" s="5"/>
      <c r="SEY66" s="5"/>
      <c r="SEZ66" s="5"/>
      <c r="SFA66" s="5"/>
      <c r="SFB66" s="5"/>
      <c r="SFC66" s="5"/>
      <c r="SFD66" s="5"/>
      <c r="SFE66" s="5"/>
      <c r="SFF66" s="5"/>
      <c r="SFG66" s="5"/>
      <c r="SFH66" s="5"/>
      <c r="SFI66" s="5"/>
      <c r="SFJ66" s="5"/>
      <c r="SFK66" s="5"/>
      <c r="SFL66" s="5"/>
      <c r="SFM66" s="5"/>
      <c r="SFN66" s="5"/>
      <c r="SFO66" s="5"/>
      <c r="SFP66" s="5"/>
      <c r="SFQ66" s="5"/>
      <c r="SFR66" s="5"/>
      <c r="SFS66" s="5"/>
      <c r="SFT66" s="5"/>
      <c r="SFU66" s="5"/>
      <c r="SFV66" s="5"/>
      <c r="SFW66" s="5"/>
      <c r="SFX66" s="5"/>
      <c r="SFY66" s="5"/>
      <c r="SFZ66" s="5"/>
      <c r="SGA66" s="5"/>
      <c r="SGB66" s="5"/>
      <c r="SGC66" s="5"/>
      <c r="SGD66" s="5"/>
      <c r="SGE66" s="5"/>
      <c r="SGF66" s="5"/>
      <c r="SGG66" s="5"/>
      <c r="SGH66" s="5"/>
      <c r="SGI66" s="5"/>
      <c r="SGJ66" s="5"/>
      <c r="SGK66" s="5"/>
      <c r="SGL66" s="5"/>
      <c r="SGM66" s="5"/>
      <c r="SGN66" s="5"/>
      <c r="SGO66" s="5"/>
      <c r="SGP66" s="5"/>
      <c r="SGQ66" s="5"/>
      <c r="SGR66" s="5"/>
      <c r="SGS66" s="5"/>
      <c r="SGT66" s="5"/>
      <c r="SGU66" s="5"/>
      <c r="SGV66" s="5"/>
      <c r="SGW66" s="5"/>
      <c r="SGX66" s="5"/>
      <c r="SGY66" s="5"/>
      <c r="SGZ66" s="5"/>
      <c r="SHA66" s="5"/>
      <c r="SHB66" s="5"/>
      <c r="SHC66" s="5"/>
      <c r="SHD66" s="5"/>
      <c r="SHE66" s="5"/>
      <c r="SHF66" s="5"/>
      <c r="SHG66" s="5"/>
      <c r="SHH66" s="5"/>
      <c r="SHI66" s="5"/>
      <c r="SHJ66" s="5"/>
      <c r="SHK66" s="5"/>
      <c r="SHL66" s="5"/>
      <c r="SHM66" s="5"/>
      <c r="SHN66" s="5"/>
      <c r="SHO66" s="5"/>
      <c r="SHP66" s="5"/>
      <c r="SHQ66" s="5"/>
      <c r="SHR66" s="5"/>
      <c r="SHS66" s="5"/>
      <c r="SHT66" s="5"/>
      <c r="SHU66" s="5"/>
      <c r="SHV66" s="5"/>
      <c r="SHW66" s="5"/>
      <c r="SHX66" s="5"/>
      <c r="SHY66" s="5"/>
      <c r="SHZ66" s="5"/>
      <c r="SIA66" s="5"/>
      <c r="SIB66" s="5"/>
      <c r="SIC66" s="5"/>
      <c r="SID66" s="5"/>
      <c r="SIE66" s="5"/>
      <c r="SIF66" s="5"/>
      <c r="SIG66" s="5"/>
      <c r="SIH66" s="5"/>
      <c r="SII66" s="5"/>
      <c r="SIJ66" s="5"/>
      <c r="SIK66" s="5"/>
      <c r="SIL66" s="5"/>
      <c r="SIM66" s="5"/>
      <c r="SIN66" s="5"/>
      <c r="SIO66" s="5"/>
      <c r="SIP66" s="5"/>
      <c r="SIQ66" s="5"/>
      <c r="SIR66" s="5"/>
      <c r="SIS66" s="5"/>
      <c r="SIT66" s="5"/>
      <c r="SIU66" s="5"/>
      <c r="SIV66" s="5"/>
      <c r="SIW66" s="5"/>
      <c r="SIX66" s="5"/>
      <c r="SIY66" s="5"/>
      <c r="SIZ66" s="5"/>
      <c r="SJA66" s="5"/>
      <c r="SJB66" s="5"/>
      <c r="SJC66" s="5"/>
      <c r="SJD66" s="5"/>
      <c r="SJE66" s="5"/>
      <c r="SJF66" s="5"/>
      <c r="SJG66" s="5"/>
      <c r="SJH66" s="5"/>
      <c r="SJI66" s="5"/>
      <c r="SJJ66" s="5"/>
      <c r="SJK66" s="5"/>
      <c r="SJL66" s="5"/>
      <c r="SJM66" s="5"/>
      <c r="SJN66" s="5"/>
      <c r="SJO66" s="5"/>
      <c r="SJP66" s="5"/>
      <c r="SJQ66" s="5"/>
      <c r="SJR66" s="5"/>
      <c r="SJS66" s="5"/>
      <c r="SJT66" s="5"/>
      <c r="SJU66" s="5"/>
      <c r="SJV66" s="5"/>
      <c r="SJW66" s="5"/>
      <c r="SJX66" s="5"/>
      <c r="SJY66" s="5"/>
      <c r="SJZ66" s="5"/>
      <c r="SKA66" s="5"/>
      <c r="SKB66" s="5"/>
      <c r="SKC66" s="5"/>
      <c r="SKD66" s="5"/>
      <c r="SKE66" s="5"/>
      <c r="SKF66" s="5"/>
      <c r="SKG66" s="5"/>
      <c r="SKH66" s="5"/>
      <c r="SKI66" s="5"/>
      <c r="SKJ66" s="5"/>
      <c r="SKK66" s="5"/>
      <c r="SKL66" s="5"/>
      <c r="SKM66" s="5"/>
      <c r="SKN66" s="5"/>
      <c r="SKO66" s="5"/>
      <c r="SKP66" s="5"/>
      <c r="SKQ66" s="5"/>
      <c r="SKR66" s="5"/>
      <c r="SKS66" s="5"/>
      <c r="SKT66" s="5"/>
      <c r="SKU66" s="5"/>
      <c r="SKV66" s="5"/>
      <c r="SKW66" s="5"/>
      <c r="SKX66" s="5"/>
      <c r="SKY66" s="5"/>
      <c r="SKZ66" s="5"/>
      <c r="SLA66" s="5"/>
      <c r="SLB66" s="5"/>
      <c r="SLC66" s="5"/>
      <c r="SLD66" s="5"/>
      <c r="SLE66" s="5"/>
      <c r="SLF66" s="5"/>
      <c r="SLG66" s="5"/>
      <c r="SLH66" s="5"/>
      <c r="SLI66" s="5"/>
      <c r="SLJ66" s="5"/>
      <c r="SLK66" s="5"/>
      <c r="SLL66" s="5"/>
      <c r="SLM66" s="5"/>
      <c r="SLN66" s="5"/>
      <c r="SLO66" s="5"/>
      <c r="SLP66" s="5"/>
      <c r="SLQ66" s="5"/>
      <c r="SLR66" s="5"/>
      <c r="SLS66" s="5"/>
      <c r="SLT66" s="5"/>
      <c r="SLU66" s="5"/>
      <c r="SLV66" s="5"/>
      <c r="SLW66" s="5"/>
      <c r="SLX66" s="5"/>
      <c r="SLY66" s="5"/>
      <c r="SLZ66" s="5"/>
      <c r="SMA66" s="5"/>
      <c r="SMB66" s="5"/>
      <c r="SMC66" s="5"/>
      <c r="SMD66" s="5"/>
      <c r="SME66" s="5"/>
      <c r="SMF66" s="5"/>
      <c r="SMG66" s="5"/>
      <c r="SMH66" s="5"/>
      <c r="SMI66" s="5"/>
      <c r="SMJ66" s="5"/>
      <c r="SMK66" s="5"/>
      <c r="SML66" s="5"/>
      <c r="SMM66" s="5"/>
      <c r="SMN66" s="5"/>
      <c r="SMO66" s="5"/>
      <c r="SMP66" s="5"/>
      <c r="SMQ66" s="5"/>
      <c r="SMR66" s="5"/>
      <c r="SMS66" s="5"/>
      <c r="SMT66" s="5"/>
      <c r="SMU66" s="5"/>
      <c r="SMV66" s="5"/>
      <c r="SMW66" s="5"/>
      <c r="SMX66" s="5"/>
      <c r="SMY66" s="5"/>
      <c r="SMZ66" s="5"/>
      <c r="SNA66" s="5"/>
      <c r="SNB66" s="5"/>
      <c r="SNC66" s="5"/>
      <c r="SND66" s="5"/>
      <c r="SNE66" s="5"/>
      <c r="SNF66" s="5"/>
      <c r="SNG66" s="5"/>
      <c r="SNH66" s="5"/>
      <c r="SNI66" s="5"/>
      <c r="SNJ66" s="5"/>
      <c r="SNK66" s="5"/>
      <c r="SNL66" s="5"/>
      <c r="SNM66" s="5"/>
      <c r="SNN66" s="5"/>
      <c r="SNO66" s="5"/>
      <c r="SNP66" s="5"/>
      <c r="SNQ66" s="5"/>
      <c r="SNR66" s="5"/>
      <c r="SNS66" s="5"/>
      <c r="SNT66" s="5"/>
      <c r="SNU66" s="5"/>
      <c r="SNV66" s="5"/>
      <c r="SNW66" s="5"/>
      <c r="SNX66" s="5"/>
      <c r="SNY66" s="5"/>
      <c r="SNZ66" s="5"/>
      <c r="SOA66" s="5"/>
      <c r="SOB66" s="5"/>
      <c r="SOC66" s="5"/>
      <c r="SOD66" s="5"/>
      <c r="SOE66" s="5"/>
      <c r="SOF66" s="5"/>
      <c r="SOG66" s="5"/>
      <c r="SOH66" s="5"/>
      <c r="SOI66" s="5"/>
      <c r="SOJ66" s="5"/>
      <c r="SOK66" s="5"/>
      <c r="SOL66" s="5"/>
      <c r="SOM66" s="5"/>
      <c r="SON66" s="5"/>
      <c r="SOO66" s="5"/>
      <c r="SOP66" s="5"/>
      <c r="SOQ66" s="5"/>
      <c r="SOR66" s="5"/>
      <c r="SOS66" s="5"/>
      <c r="SOT66" s="5"/>
      <c r="SOU66" s="5"/>
      <c r="SOV66" s="5"/>
      <c r="SOW66" s="5"/>
      <c r="SOX66" s="5"/>
      <c r="SOY66" s="5"/>
      <c r="SOZ66" s="5"/>
      <c r="SPA66" s="5"/>
      <c r="SPB66" s="5"/>
      <c r="SPC66" s="5"/>
      <c r="SPD66" s="5"/>
      <c r="SPE66" s="5"/>
      <c r="SPF66" s="5"/>
      <c r="SPG66" s="5"/>
      <c r="SPH66" s="5"/>
      <c r="SPI66" s="5"/>
      <c r="SPJ66" s="5"/>
      <c r="SPK66" s="5"/>
      <c r="SPL66" s="5"/>
      <c r="SPM66" s="5"/>
      <c r="SPN66" s="5"/>
      <c r="SPO66" s="5"/>
      <c r="SPP66" s="5"/>
      <c r="SPQ66" s="5"/>
      <c r="SPR66" s="5"/>
      <c r="SPS66" s="5"/>
      <c r="SPT66" s="5"/>
      <c r="SPU66" s="5"/>
      <c r="SPV66" s="5"/>
      <c r="SPW66" s="5"/>
      <c r="SPX66" s="5"/>
      <c r="SPY66" s="5"/>
      <c r="SPZ66" s="5"/>
      <c r="SQA66" s="5"/>
      <c r="SQB66" s="5"/>
      <c r="SQC66" s="5"/>
      <c r="SQD66" s="5"/>
      <c r="SQE66" s="5"/>
      <c r="SQF66" s="5"/>
      <c r="SQG66" s="5"/>
      <c r="SQH66" s="5"/>
      <c r="SQI66" s="5"/>
      <c r="SQJ66" s="5"/>
      <c r="SQK66" s="5"/>
      <c r="SQL66" s="5"/>
      <c r="SQM66" s="5"/>
      <c r="SQN66" s="5"/>
      <c r="SQO66" s="5"/>
      <c r="SQP66" s="5"/>
      <c r="SQQ66" s="5"/>
      <c r="SQR66" s="5"/>
      <c r="SQS66" s="5"/>
      <c r="SQT66" s="5"/>
      <c r="SQU66" s="5"/>
      <c r="SQV66" s="5"/>
      <c r="SQW66" s="5"/>
      <c r="SQX66" s="5"/>
      <c r="SQY66" s="5"/>
      <c r="SQZ66" s="5"/>
      <c r="SRA66" s="5"/>
      <c r="SRB66" s="5"/>
      <c r="SRC66" s="5"/>
      <c r="SRD66" s="5"/>
      <c r="SRE66" s="5"/>
      <c r="SRF66" s="5"/>
      <c r="SRG66" s="5"/>
      <c r="SRH66" s="5"/>
      <c r="SRI66" s="5"/>
      <c r="SRJ66" s="5"/>
      <c r="SRK66" s="5"/>
      <c r="SRL66" s="5"/>
      <c r="SRM66" s="5"/>
      <c r="SRN66" s="5"/>
      <c r="SRO66" s="5"/>
      <c r="SRP66" s="5"/>
      <c r="SRQ66" s="5"/>
      <c r="SRR66" s="5"/>
      <c r="SRS66" s="5"/>
      <c r="SRT66" s="5"/>
      <c r="SRU66" s="5"/>
      <c r="SRV66" s="5"/>
      <c r="SRW66" s="5"/>
      <c r="SRX66" s="5"/>
      <c r="SRY66" s="5"/>
      <c r="SRZ66" s="5"/>
      <c r="SSA66" s="5"/>
      <c r="SSB66" s="5"/>
      <c r="SSC66" s="5"/>
      <c r="SSD66" s="5"/>
      <c r="SSE66" s="5"/>
      <c r="SSF66" s="5"/>
      <c r="SSG66" s="5"/>
      <c r="SSH66" s="5"/>
      <c r="SSI66" s="5"/>
      <c r="SSJ66" s="5"/>
      <c r="SSK66" s="5"/>
      <c r="SSL66" s="5"/>
      <c r="SSM66" s="5"/>
      <c r="SSN66" s="5"/>
      <c r="SSO66" s="5"/>
      <c r="SSP66" s="5"/>
      <c r="SSQ66" s="5"/>
      <c r="SSR66" s="5"/>
      <c r="SSS66" s="5"/>
      <c r="SST66" s="5"/>
      <c r="SSU66" s="5"/>
      <c r="SSV66" s="5"/>
      <c r="SSW66" s="5"/>
      <c r="SSX66" s="5"/>
      <c r="SSY66" s="5"/>
      <c r="SSZ66" s="5"/>
      <c r="STA66" s="5"/>
      <c r="STB66" s="5"/>
      <c r="STC66" s="5"/>
      <c r="STD66" s="5"/>
      <c r="STE66" s="5"/>
      <c r="STF66" s="5"/>
      <c r="STG66" s="5"/>
      <c r="STH66" s="5"/>
      <c r="STI66" s="5"/>
      <c r="STJ66" s="5"/>
      <c r="STK66" s="5"/>
      <c r="STL66" s="5"/>
      <c r="STM66" s="5"/>
      <c r="STN66" s="5"/>
      <c r="STO66" s="5"/>
      <c r="STP66" s="5"/>
      <c r="STQ66" s="5"/>
      <c r="STR66" s="5"/>
      <c r="STS66" s="5"/>
      <c r="STT66" s="5"/>
      <c r="STU66" s="5"/>
      <c r="STV66" s="5"/>
      <c r="STW66" s="5"/>
      <c r="STX66" s="5"/>
      <c r="STY66" s="5"/>
      <c r="STZ66" s="5"/>
      <c r="SUA66" s="5"/>
      <c r="SUB66" s="5"/>
      <c r="SUC66" s="5"/>
      <c r="SUD66" s="5"/>
      <c r="SUE66" s="5"/>
      <c r="SUF66" s="5"/>
      <c r="SUG66" s="5"/>
      <c r="SUH66" s="5"/>
      <c r="SUI66" s="5"/>
      <c r="SUJ66" s="5"/>
      <c r="SUK66" s="5"/>
      <c r="SUL66" s="5"/>
      <c r="SUM66" s="5"/>
      <c r="SUN66" s="5"/>
      <c r="SUO66" s="5"/>
      <c r="SUP66" s="5"/>
      <c r="SUQ66" s="5"/>
      <c r="SUR66" s="5"/>
      <c r="SUS66" s="5"/>
      <c r="SUT66" s="5"/>
      <c r="SUU66" s="5"/>
      <c r="SUV66" s="5"/>
      <c r="SUW66" s="5"/>
      <c r="SUX66" s="5"/>
      <c r="SUY66" s="5"/>
      <c r="SUZ66" s="5"/>
      <c r="SVA66" s="5"/>
      <c r="SVB66" s="5"/>
      <c r="SVC66" s="5"/>
      <c r="SVD66" s="5"/>
      <c r="SVE66" s="5"/>
      <c r="SVF66" s="5"/>
      <c r="SVG66" s="5"/>
      <c r="SVH66" s="5"/>
      <c r="SVI66" s="5"/>
      <c r="SVJ66" s="5"/>
      <c r="SVK66" s="5"/>
      <c r="SVL66" s="5"/>
      <c r="SVM66" s="5"/>
      <c r="SVN66" s="5"/>
      <c r="SVO66" s="5"/>
      <c r="SVP66" s="5"/>
      <c r="SVQ66" s="5"/>
      <c r="SVR66" s="5"/>
      <c r="SVS66" s="5"/>
      <c r="SVT66" s="5"/>
      <c r="SVU66" s="5"/>
      <c r="SVV66" s="5"/>
      <c r="SVW66" s="5"/>
      <c r="SVX66" s="5"/>
      <c r="SVY66" s="5"/>
      <c r="SVZ66" s="5"/>
      <c r="SWA66" s="5"/>
      <c r="SWB66" s="5"/>
      <c r="SWC66" s="5"/>
      <c r="SWD66" s="5"/>
      <c r="SWE66" s="5"/>
      <c r="SWF66" s="5"/>
      <c r="SWG66" s="5"/>
      <c r="SWH66" s="5"/>
      <c r="SWI66" s="5"/>
      <c r="SWJ66" s="5"/>
      <c r="SWK66" s="5"/>
      <c r="SWL66" s="5"/>
      <c r="SWM66" s="5"/>
      <c r="SWN66" s="5"/>
      <c r="SWO66" s="5"/>
      <c r="SWP66" s="5"/>
      <c r="SWQ66" s="5"/>
      <c r="SWR66" s="5"/>
      <c r="SWS66" s="5"/>
      <c r="SWT66" s="5"/>
      <c r="SWU66" s="5"/>
      <c r="SWV66" s="5"/>
      <c r="SWW66" s="5"/>
      <c r="SWX66" s="5"/>
      <c r="SWY66" s="5"/>
      <c r="SWZ66" s="5"/>
      <c r="SXA66" s="5"/>
      <c r="SXB66" s="5"/>
      <c r="SXC66" s="5"/>
      <c r="SXD66" s="5"/>
      <c r="SXE66" s="5"/>
      <c r="SXF66" s="5"/>
      <c r="SXG66" s="5"/>
      <c r="SXH66" s="5"/>
      <c r="SXI66" s="5"/>
      <c r="SXJ66" s="5"/>
      <c r="SXK66" s="5"/>
      <c r="SXL66" s="5"/>
      <c r="SXM66" s="5"/>
      <c r="SXN66" s="5"/>
      <c r="SXO66" s="5"/>
      <c r="SXP66" s="5"/>
      <c r="SXQ66" s="5"/>
      <c r="SXR66" s="5"/>
      <c r="SXS66" s="5"/>
      <c r="SXT66" s="5"/>
      <c r="SXU66" s="5"/>
      <c r="SXV66" s="5"/>
      <c r="SXW66" s="5"/>
      <c r="SXX66" s="5"/>
      <c r="SXY66" s="5"/>
      <c r="SXZ66" s="5"/>
      <c r="SYA66" s="5"/>
      <c r="SYB66" s="5"/>
      <c r="SYC66" s="5"/>
      <c r="SYD66" s="5"/>
      <c r="SYE66" s="5"/>
      <c r="SYF66" s="5"/>
      <c r="SYG66" s="5"/>
      <c r="SYH66" s="5"/>
      <c r="SYI66" s="5"/>
      <c r="SYJ66" s="5"/>
      <c r="SYK66" s="5"/>
      <c r="SYL66" s="5"/>
      <c r="SYM66" s="5"/>
      <c r="SYN66" s="5"/>
      <c r="SYO66" s="5"/>
      <c r="SYP66" s="5"/>
      <c r="SYQ66" s="5"/>
      <c r="SYR66" s="5"/>
      <c r="SYS66" s="5"/>
      <c r="SYT66" s="5"/>
      <c r="SYU66" s="5"/>
      <c r="SYV66" s="5"/>
      <c r="SYW66" s="5"/>
      <c r="SYX66" s="5"/>
      <c r="SYY66" s="5"/>
      <c r="SYZ66" s="5"/>
      <c r="SZA66" s="5"/>
      <c r="SZB66" s="5"/>
      <c r="SZC66" s="5"/>
      <c r="SZD66" s="5"/>
      <c r="SZE66" s="5"/>
      <c r="SZF66" s="5"/>
      <c r="SZG66" s="5"/>
      <c r="SZH66" s="5"/>
      <c r="SZI66" s="5"/>
      <c r="SZJ66" s="5"/>
      <c r="SZK66" s="5"/>
      <c r="SZL66" s="5"/>
      <c r="SZM66" s="5"/>
      <c r="SZN66" s="5"/>
      <c r="SZO66" s="5"/>
      <c r="SZP66" s="5"/>
      <c r="SZQ66" s="5"/>
      <c r="SZR66" s="5"/>
      <c r="SZS66" s="5"/>
      <c r="SZT66" s="5"/>
      <c r="SZU66" s="5"/>
      <c r="SZV66" s="5"/>
      <c r="SZW66" s="5"/>
      <c r="SZX66" s="5"/>
      <c r="SZY66" s="5"/>
      <c r="SZZ66" s="5"/>
      <c r="TAA66" s="5"/>
      <c r="TAB66" s="5"/>
      <c r="TAC66" s="5"/>
      <c r="TAD66" s="5"/>
      <c r="TAE66" s="5"/>
      <c r="TAF66" s="5"/>
      <c r="TAG66" s="5"/>
      <c r="TAH66" s="5"/>
      <c r="TAI66" s="5"/>
      <c r="TAJ66" s="5"/>
      <c r="TAK66" s="5"/>
      <c r="TAL66" s="5"/>
      <c r="TAM66" s="5"/>
      <c r="TAN66" s="5"/>
      <c r="TAO66" s="5"/>
      <c r="TAP66" s="5"/>
      <c r="TAQ66" s="5"/>
      <c r="TAR66" s="5"/>
      <c r="TAS66" s="5"/>
      <c r="TAT66" s="5"/>
      <c r="TAU66" s="5"/>
      <c r="TAV66" s="5"/>
      <c r="TAW66" s="5"/>
      <c r="TAX66" s="5"/>
      <c r="TAY66" s="5"/>
      <c r="TAZ66" s="5"/>
      <c r="TBA66" s="5"/>
      <c r="TBB66" s="5"/>
      <c r="TBC66" s="5"/>
      <c r="TBD66" s="5"/>
      <c r="TBE66" s="5"/>
      <c r="TBF66" s="5"/>
      <c r="TBG66" s="5"/>
      <c r="TBH66" s="5"/>
      <c r="TBI66" s="5"/>
      <c r="TBJ66" s="5"/>
      <c r="TBK66" s="5"/>
      <c r="TBL66" s="5"/>
      <c r="TBM66" s="5"/>
      <c r="TBN66" s="5"/>
      <c r="TBO66" s="5"/>
      <c r="TBP66" s="5"/>
      <c r="TBQ66" s="5"/>
      <c r="TBR66" s="5"/>
      <c r="TBS66" s="5"/>
      <c r="TBT66" s="5"/>
      <c r="TBU66" s="5"/>
      <c r="TBV66" s="5"/>
      <c r="TBW66" s="5"/>
      <c r="TBX66" s="5"/>
      <c r="TBY66" s="5"/>
      <c r="TBZ66" s="5"/>
      <c r="TCA66" s="5"/>
      <c r="TCB66" s="5"/>
      <c r="TCC66" s="5"/>
      <c r="TCD66" s="5"/>
      <c r="TCE66" s="5"/>
      <c r="TCF66" s="5"/>
      <c r="TCG66" s="5"/>
      <c r="TCH66" s="5"/>
      <c r="TCI66" s="5"/>
      <c r="TCJ66" s="5"/>
      <c r="TCK66" s="5"/>
      <c r="TCL66" s="5"/>
      <c r="TCM66" s="5"/>
      <c r="TCN66" s="5"/>
      <c r="TCO66" s="5"/>
      <c r="TCP66" s="5"/>
      <c r="TCQ66" s="5"/>
      <c r="TCR66" s="5"/>
      <c r="TCS66" s="5"/>
      <c r="TCT66" s="5"/>
      <c r="TCU66" s="5"/>
      <c r="TCV66" s="5"/>
      <c r="TCW66" s="5"/>
      <c r="TCX66" s="5"/>
      <c r="TCY66" s="5"/>
      <c r="TCZ66" s="5"/>
      <c r="TDA66" s="5"/>
      <c r="TDB66" s="5"/>
      <c r="TDC66" s="5"/>
      <c r="TDD66" s="5"/>
      <c r="TDE66" s="5"/>
      <c r="TDF66" s="5"/>
      <c r="TDG66" s="5"/>
      <c r="TDH66" s="5"/>
      <c r="TDI66" s="5"/>
      <c r="TDJ66" s="5"/>
      <c r="TDK66" s="5"/>
      <c r="TDL66" s="5"/>
      <c r="TDM66" s="5"/>
      <c r="TDN66" s="5"/>
      <c r="TDO66" s="5"/>
      <c r="TDP66" s="5"/>
      <c r="TDQ66" s="5"/>
      <c r="TDR66" s="5"/>
      <c r="TDS66" s="5"/>
      <c r="TDT66" s="5"/>
      <c r="TDU66" s="5"/>
      <c r="TDV66" s="5"/>
      <c r="TDW66" s="5"/>
      <c r="TDX66" s="5"/>
      <c r="TDY66" s="5"/>
      <c r="TDZ66" s="5"/>
      <c r="TEA66" s="5"/>
      <c r="TEB66" s="5"/>
      <c r="TEC66" s="5"/>
      <c r="TED66" s="5"/>
      <c r="TEE66" s="5"/>
      <c r="TEF66" s="5"/>
      <c r="TEG66" s="5"/>
      <c r="TEH66" s="5"/>
      <c r="TEI66" s="5"/>
      <c r="TEJ66" s="5"/>
      <c r="TEK66" s="5"/>
      <c r="TEL66" s="5"/>
      <c r="TEM66" s="5"/>
      <c r="TEN66" s="5"/>
      <c r="TEO66" s="5"/>
      <c r="TEP66" s="5"/>
      <c r="TEQ66" s="5"/>
      <c r="TER66" s="5"/>
      <c r="TES66" s="5"/>
      <c r="TET66" s="5"/>
      <c r="TEU66" s="5"/>
      <c r="TEV66" s="5"/>
      <c r="TEW66" s="5"/>
      <c r="TEX66" s="5"/>
      <c r="TEY66" s="5"/>
      <c r="TEZ66" s="5"/>
      <c r="TFA66" s="5"/>
      <c r="TFB66" s="5"/>
      <c r="TFC66" s="5"/>
      <c r="TFD66" s="5"/>
      <c r="TFE66" s="5"/>
      <c r="TFF66" s="5"/>
      <c r="TFG66" s="5"/>
      <c r="TFH66" s="5"/>
      <c r="TFI66" s="5"/>
      <c r="TFJ66" s="5"/>
      <c r="TFK66" s="5"/>
      <c r="TFL66" s="5"/>
      <c r="TFM66" s="5"/>
      <c r="TFN66" s="5"/>
      <c r="TFO66" s="5"/>
      <c r="TFP66" s="5"/>
      <c r="TFQ66" s="5"/>
      <c r="TFR66" s="5"/>
      <c r="TFS66" s="5"/>
      <c r="TFT66" s="5"/>
      <c r="TFU66" s="5"/>
      <c r="TFV66" s="5"/>
      <c r="TFW66" s="5"/>
      <c r="TFX66" s="5"/>
      <c r="TFY66" s="5"/>
      <c r="TFZ66" s="5"/>
      <c r="TGA66" s="5"/>
      <c r="TGB66" s="5"/>
      <c r="TGC66" s="5"/>
      <c r="TGD66" s="5"/>
      <c r="TGE66" s="5"/>
      <c r="TGF66" s="5"/>
      <c r="TGG66" s="5"/>
      <c r="TGH66" s="5"/>
      <c r="TGI66" s="5"/>
      <c r="TGJ66" s="5"/>
      <c r="TGK66" s="5"/>
      <c r="TGL66" s="5"/>
      <c r="TGM66" s="5"/>
      <c r="TGN66" s="5"/>
      <c r="TGO66" s="5"/>
      <c r="TGP66" s="5"/>
      <c r="TGQ66" s="5"/>
      <c r="TGR66" s="5"/>
      <c r="TGS66" s="5"/>
      <c r="TGT66" s="5"/>
      <c r="TGU66" s="5"/>
      <c r="TGV66" s="5"/>
      <c r="TGW66" s="5"/>
      <c r="TGX66" s="5"/>
      <c r="TGY66" s="5"/>
      <c r="TGZ66" s="5"/>
      <c r="THA66" s="5"/>
      <c r="THB66" s="5"/>
      <c r="THC66" s="5"/>
      <c r="THD66" s="5"/>
      <c r="THE66" s="5"/>
      <c r="THF66" s="5"/>
      <c r="THG66" s="5"/>
      <c r="THH66" s="5"/>
      <c r="THI66" s="5"/>
      <c r="THJ66" s="5"/>
      <c r="THK66" s="5"/>
      <c r="THL66" s="5"/>
      <c r="THM66" s="5"/>
      <c r="THN66" s="5"/>
      <c r="THO66" s="5"/>
      <c r="THP66" s="5"/>
      <c r="THQ66" s="5"/>
      <c r="THR66" s="5"/>
      <c r="THS66" s="5"/>
      <c r="THT66" s="5"/>
      <c r="THU66" s="5"/>
      <c r="THV66" s="5"/>
      <c r="THW66" s="5"/>
      <c r="THX66" s="5"/>
      <c r="THY66" s="5"/>
      <c r="THZ66" s="5"/>
      <c r="TIA66" s="5"/>
      <c r="TIB66" s="5"/>
      <c r="TIC66" s="5"/>
      <c r="TID66" s="5"/>
      <c r="TIE66" s="5"/>
      <c r="TIF66" s="5"/>
      <c r="TIG66" s="5"/>
      <c r="TIH66" s="5"/>
      <c r="TII66" s="5"/>
      <c r="TIJ66" s="5"/>
      <c r="TIK66" s="5"/>
      <c r="TIL66" s="5"/>
      <c r="TIM66" s="5"/>
      <c r="TIN66" s="5"/>
      <c r="TIO66" s="5"/>
      <c r="TIP66" s="5"/>
      <c r="TIQ66" s="5"/>
      <c r="TIR66" s="5"/>
      <c r="TIS66" s="5"/>
      <c r="TIT66" s="5"/>
      <c r="TIU66" s="5"/>
      <c r="TIV66" s="5"/>
      <c r="TIW66" s="5"/>
      <c r="TIX66" s="5"/>
      <c r="TIY66" s="5"/>
      <c r="TIZ66" s="5"/>
      <c r="TJA66" s="5"/>
      <c r="TJB66" s="5"/>
      <c r="TJC66" s="5"/>
      <c r="TJD66" s="5"/>
      <c r="TJE66" s="5"/>
      <c r="TJF66" s="5"/>
      <c r="TJG66" s="5"/>
      <c r="TJH66" s="5"/>
      <c r="TJI66" s="5"/>
      <c r="TJJ66" s="5"/>
      <c r="TJK66" s="5"/>
      <c r="TJL66" s="5"/>
      <c r="TJM66" s="5"/>
      <c r="TJN66" s="5"/>
      <c r="TJO66" s="5"/>
      <c r="TJP66" s="5"/>
      <c r="TJQ66" s="5"/>
      <c r="TJR66" s="5"/>
      <c r="TJS66" s="5"/>
      <c r="TJT66" s="5"/>
      <c r="TJU66" s="5"/>
      <c r="TJV66" s="5"/>
      <c r="TJW66" s="5"/>
      <c r="TJX66" s="5"/>
      <c r="TJY66" s="5"/>
      <c r="TJZ66" s="5"/>
      <c r="TKA66" s="5"/>
      <c r="TKB66" s="5"/>
      <c r="TKC66" s="5"/>
      <c r="TKD66" s="5"/>
      <c r="TKE66" s="5"/>
      <c r="TKF66" s="5"/>
      <c r="TKG66" s="5"/>
      <c r="TKH66" s="5"/>
      <c r="TKI66" s="5"/>
      <c r="TKJ66" s="5"/>
      <c r="TKK66" s="5"/>
      <c r="TKL66" s="5"/>
      <c r="TKM66" s="5"/>
      <c r="TKN66" s="5"/>
      <c r="TKO66" s="5"/>
      <c r="TKP66" s="5"/>
      <c r="TKQ66" s="5"/>
      <c r="TKR66" s="5"/>
      <c r="TKS66" s="5"/>
      <c r="TKT66" s="5"/>
      <c r="TKU66" s="5"/>
      <c r="TKV66" s="5"/>
      <c r="TKW66" s="5"/>
      <c r="TKX66" s="5"/>
      <c r="TKY66" s="5"/>
      <c r="TKZ66" s="5"/>
      <c r="TLA66" s="5"/>
      <c r="TLB66" s="5"/>
      <c r="TLC66" s="5"/>
      <c r="TLD66" s="5"/>
      <c r="TLE66" s="5"/>
      <c r="TLF66" s="5"/>
      <c r="TLG66" s="5"/>
      <c r="TLH66" s="5"/>
      <c r="TLI66" s="5"/>
      <c r="TLJ66" s="5"/>
      <c r="TLK66" s="5"/>
      <c r="TLL66" s="5"/>
      <c r="TLM66" s="5"/>
      <c r="TLN66" s="5"/>
      <c r="TLO66" s="5"/>
      <c r="TLP66" s="5"/>
      <c r="TLQ66" s="5"/>
      <c r="TLR66" s="5"/>
      <c r="TLS66" s="5"/>
      <c r="TLT66" s="5"/>
      <c r="TLU66" s="5"/>
      <c r="TLV66" s="5"/>
      <c r="TLW66" s="5"/>
      <c r="TLX66" s="5"/>
      <c r="TLY66" s="5"/>
      <c r="TLZ66" s="5"/>
      <c r="TMA66" s="5"/>
      <c r="TMB66" s="5"/>
      <c r="TMC66" s="5"/>
      <c r="TMD66" s="5"/>
      <c r="TME66" s="5"/>
      <c r="TMF66" s="5"/>
      <c r="TMG66" s="5"/>
      <c r="TMH66" s="5"/>
      <c r="TMI66" s="5"/>
      <c r="TMJ66" s="5"/>
      <c r="TMK66" s="5"/>
      <c r="TML66" s="5"/>
      <c r="TMM66" s="5"/>
      <c r="TMN66" s="5"/>
      <c r="TMO66" s="5"/>
      <c r="TMP66" s="5"/>
      <c r="TMQ66" s="5"/>
      <c r="TMR66" s="5"/>
      <c r="TMS66" s="5"/>
      <c r="TMT66" s="5"/>
      <c r="TMU66" s="5"/>
      <c r="TMV66" s="5"/>
      <c r="TMW66" s="5"/>
      <c r="TMX66" s="5"/>
      <c r="TMY66" s="5"/>
      <c r="TMZ66" s="5"/>
      <c r="TNA66" s="5"/>
      <c r="TNB66" s="5"/>
      <c r="TNC66" s="5"/>
      <c r="TND66" s="5"/>
      <c r="TNE66" s="5"/>
      <c r="TNF66" s="5"/>
      <c r="TNG66" s="5"/>
      <c r="TNH66" s="5"/>
      <c r="TNI66" s="5"/>
      <c r="TNJ66" s="5"/>
      <c r="TNK66" s="5"/>
      <c r="TNL66" s="5"/>
      <c r="TNM66" s="5"/>
      <c r="TNN66" s="5"/>
      <c r="TNO66" s="5"/>
      <c r="TNP66" s="5"/>
      <c r="TNQ66" s="5"/>
      <c r="TNR66" s="5"/>
      <c r="TNS66" s="5"/>
      <c r="TNT66" s="5"/>
      <c r="TNU66" s="5"/>
      <c r="TNV66" s="5"/>
      <c r="TNW66" s="5"/>
      <c r="TNX66" s="5"/>
      <c r="TNY66" s="5"/>
      <c r="TNZ66" s="5"/>
      <c r="TOA66" s="5"/>
      <c r="TOB66" s="5"/>
      <c r="TOC66" s="5"/>
      <c r="TOD66" s="5"/>
      <c r="TOE66" s="5"/>
      <c r="TOF66" s="5"/>
      <c r="TOG66" s="5"/>
      <c r="TOH66" s="5"/>
      <c r="TOI66" s="5"/>
      <c r="TOJ66" s="5"/>
      <c r="TOK66" s="5"/>
      <c r="TOL66" s="5"/>
      <c r="TOM66" s="5"/>
      <c r="TON66" s="5"/>
      <c r="TOO66" s="5"/>
      <c r="TOP66" s="5"/>
      <c r="TOQ66" s="5"/>
      <c r="TOR66" s="5"/>
      <c r="TOS66" s="5"/>
      <c r="TOT66" s="5"/>
      <c r="TOU66" s="5"/>
      <c r="TOV66" s="5"/>
      <c r="TOW66" s="5"/>
      <c r="TOX66" s="5"/>
      <c r="TOY66" s="5"/>
      <c r="TOZ66" s="5"/>
      <c r="TPA66" s="5"/>
      <c r="TPB66" s="5"/>
      <c r="TPC66" s="5"/>
      <c r="TPD66" s="5"/>
      <c r="TPE66" s="5"/>
      <c r="TPF66" s="5"/>
      <c r="TPG66" s="5"/>
      <c r="TPH66" s="5"/>
      <c r="TPI66" s="5"/>
      <c r="TPJ66" s="5"/>
      <c r="TPK66" s="5"/>
      <c r="TPL66" s="5"/>
      <c r="TPM66" s="5"/>
      <c r="TPN66" s="5"/>
      <c r="TPO66" s="5"/>
      <c r="TPP66" s="5"/>
      <c r="TPQ66" s="5"/>
      <c r="TPR66" s="5"/>
      <c r="TPS66" s="5"/>
      <c r="TPT66" s="5"/>
      <c r="TPU66" s="5"/>
      <c r="TPV66" s="5"/>
      <c r="TPW66" s="5"/>
      <c r="TPX66" s="5"/>
      <c r="TPY66" s="5"/>
      <c r="TPZ66" s="5"/>
      <c r="TQA66" s="5"/>
      <c r="TQB66" s="5"/>
      <c r="TQC66" s="5"/>
      <c r="TQD66" s="5"/>
      <c r="TQE66" s="5"/>
      <c r="TQF66" s="5"/>
      <c r="TQG66" s="5"/>
      <c r="TQH66" s="5"/>
      <c r="TQI66" s="5"/>
      <c r="TQJ66" s="5"/>
      <c r="TQK66" s="5"/>
      <c r="TQL66" s="5"/>
      <c r="TQM66" s="5"/>
      <c r="TQN66" s="5"/>
      <c r="TQO66" s="5"/>
      <c r="TQP66" s="5"/>
      <c r="TQQ66" s="5"/>
      <c r="TQR66" s="5"/>
      <c r="TQS66" s="5"/>
      <c r="TQT66" s="5"/>
      <c r="TQU66" s="5"/>
      <c r="TQV66" s="5"/>
      <c r="TQW66" s="5"/>
      <c r="TQX66" s="5"/>
      <c r="TQY66" s="5"/>
      <c r="TQZ66" s="5"/>
      <c r="TRA66" s="5"/>
      <c r="TRB66" s="5"/>
      <c r="TRC66" s="5"/>
      <c r="TRD66" s="5"/>
      <c r="TRE66" s="5"/>
      <c r="TRF66" s="5"/>
      <c r="TRG66" s="5"/>
      <c r="TRH66" s="5"/>
      <c r="TRI66" s="5"/>
      <c r="TRJ66" s="5"/>
      <c r="TRK66" s="5"/>
      <c r="TRL66" s="5"/>
      <c r="TRM66" s="5"/>
      <c r="TRN66" s="5"/>
      <c r="TRO66" s="5"/>
      <c r="TRP66" s="5"/>
      <c r="TRQ66" s="5"/>
      <c r="TRR66" s="5"/>
      <c r="TRS66" s="5"/>
      <c r="TRT66" s="5"/>
      <c r="TRU66" s="5"/>
      <c r="TRV66" s="5"/>
      <c r="TRW66" s="5"/>
      <c r="TRX66" s="5"/>
      <c r="TRY66" s="5"/>
      <c r="TRZ66" s="5"/>
      <c r="TSA66" s="5"/>
      <c r="TSB66" s="5"/>
      <c r="TSC66" s="5"/>
      <c r="TSD66" s="5"/>
      <c r="TSE66" s="5"/>
      <c r="TSF66" s="5"/>
      <c r="TSG66" s="5"/>
      <c r="TSH66" s="5"/>
      <c r="TSI66" s="5"/>
      <c r="TSJ66" s="5"/>
      <c r="TSK66" s="5"/>
      <c r="TSL66" s="5"/>
      <c r="TSM66" s="5"/>
      <c r="TSN66" s="5"/>
      <c r="TSO66" s="5"/>
      <c r="TSP66" s="5"/>
      <c r="TSQ66" s="5"/>
      <c r="TSR66" s="5"/>
      <c r="TSS66" s="5"/>
      <c r="TST66" s="5"/>
      <c r="TSU66" s="5"/>
      <c r="TSV66" s="5"/>
      <c r="TSW66" s="5"/>
      <c r="TSX66" s="5"/>
      <c r="TSY66" s="5"/>
      <c r="TSZ66" s="5"/>
      <c r="TTA66" s="5"/>
      <c r="TTB66" s="5"/>
      <c r="TTC66" s="5"/>
      <c r="TTD66" s="5"/>
      <c r="TTE66" s="5"/>
      <c r="TTF66" s="5"/>
      <c r="TTG66" s="5"/>
      <c r="TTH66" s="5"/>
      <c r="TTI66" s="5"/>
      <c r="TTJ66" s="5"/>
      <c r="TTK66" s="5"/>
      <c r="TTL66" s="5"/>
      <c r="TTM66" s="5"/>
      <c r="TTN66" s="5"/>
      <c r="TTO66" s="5"/>
      <c r="TTP66" s="5"/>
      <c r="TTQ66" s="5"/>
      <c r="TTR66" s="5"/>
      <c r="TTS66" s="5"/>
      <c r="TTT66" s="5"/>
      <c r="TTU66" s="5"/>
      <c r="TTV66" s="5"/>
      <c r="TTW66" s="5"/>
      <c r="TTX66" s="5"/>
      <c r="TTY66" s="5"/>
      <c r="TTZ66" s="5"/>
      <c r="TUA66" s="5"/>
      <c r="TUB66" s="5"/>
      <c r="TUC66" s="5"/>
      <c r="TUD66" s="5"/>
      <c r="TUE66" s="5"/>
      <c r="TUF66" s="5"/>
      <c r="TUG66" s="5"/>
      <c r="TUH66" s="5"/>
      <c r="TUI66" s="5"/>
      <c r="TUJ66" s="5"/>
      <c r="TUK66" s="5"/>
      <c r="TUL66" s="5"/>
      <c r="TUM66" s="5"/>
      <c r="TUN66" s="5"/>
      <c r="TUO66" s="5"/>
      <c r="TUP66" s="5"/>
      <c r="TUQ66" s="5"/>
      <c r="TUR66" s="5"/>
      <c r="TUS66" s="5"/>
      <c r="TUT66" s="5"/>
      <c r="TUU66" s="5"/>
      <c r="TUV66" s="5"/>
      <c r="TUW66" s="5"/>
      <c r="TUX66" s="5"/>
      <c r="TUY66" s="5"/>
      <c r="TUZ66" s="5"/>
      <c r="TVA66" s="5"/>
      <c r="TVB66" s="5"/>
      <c r="TVC66" s="5"/>
      <c r="TVD66" s="5"/>
      <c r="TVE66" s="5"/>
      <c r="TVF66" s="5"/>
      <c r="TVG66" s="5"/>
      <c r="TVH66" s="5"/>
      <c r="TVI66" s="5"/>
      <c r="TVJ66" s="5"/>
      <c r="TVK66" s="5"/>
      <c r="TVL66" s="5"/>
      <c r="TVM66" s="5"/>
      <c r="TVN66" s="5"/>
      <c r="TVO66" s="5"/>
      <c r="TVP66" s="5"/>
      <c r="TVQ66" s="5"/>
      <c r="TVR66" s="5"/>
      <c r="TVS66" s="5"/>
      <c r="TVT66" s="5"/>
      <c r="TVU66" s="5"/>
      <c r="TVV66" s="5"/>
      <c r="TVW66" s="5"/>
      <c r="TVX66" s="5"/>
      <c r="TVY66" s="5"/>
      <c r="TVZ66" s="5"/>
      <c r="TWA66" s="5"/>
      <c r="TWB66" s="5"/>
      <c r="TWC66" s="5"/>
      <c r="TWD66" s="5"/>
      <c r="TWE66" s="5"/>
      <c r="TWF66" s="5"/>
      <c r="TWG66" s="5"/>
      <c r="TWH66" s="5"/>
      <c r="TWI66" s="5"/>
      <c r="TWJ66" s="5"/>
      <c r="TWK66" s="5"/>
      <c r="TWL66" s="5"/>
      <c r="TWM66" s="5"/>
      <c r="TWN66" s="5"/>
      <c r="TWO66" s="5"/>
      <c r="TWP66" s="5"/>
      <c r="TWQ66" s="5"/>
      <c r="TWR66" s="5"/>
      <c r="TWS66" s="5"/>
      <c r="TWT66" s="5"/>
      <c r="TWU66" s="5"/>
      <c r="TWV66" s="5"/>
      <c r="TWW66" s="5"/>
      <c r="TWX66" s="5"/>
      <c r="TWY66" s="5"/>
      <c r="TWZ66" s="5"/>
      <c r="TXA66" s="5"/>
      <c r="TXB66" s="5"/>
      <c r="TXC66" s="5"/>
      <c r="TXD66" s="5"/>
      <c r="TXE66" s="5"/>
      <c r="TXF66" s="5"/>
      <c r="TXG66" s="5"/>
      <c r="TXH66" s="5"/>
      <c r="TXI66" s="5"/>
      <c r="TXJ66" s="5"/>
      <c r="TXK66" s="5"/>
      <c r="TXL66" s="5"/>
      <c r="TXM66" s="5"/>
      <c r="TXN66" s="5"/>
      <c r="TXO66" s="5"/>
      <c r="TXP66" s="5"/>
      <c r="TXQ66" s="5"/>
      <c r="TXR66" s="5"/>
      <c r="TXS66" s="5"/>
      <c r="TXT66" s="5"/>
      <c r="TXU66" s="5"/>
      <c r="TXV66" s="5"/>
      <c r="TXW66" s="5"/>
      <c r="TXX66" s="5"/>
      <c r="TXY66" s="5"/>
      <c r="TXZ66" s="5"/>
      <c r="TYA66" s="5"/>
      <c r="TYB66" s="5"/>
      <c r="TYC66" s="5"/>
      <c r="TYD66" s="5"/>
      <c r="TYE66" s="5"/>
      <c r="TYF66" s="5"/>
      <c r="TYG66" s="5"/>
      <c r="TYH66" s="5"/>
      <c r="TYI66" s="5"/>
      <c r="TYJ66" s="5"/>
      <c r="TYK66" s="5"/>
      <c r="TYL66" s="5"/>
      <c r="TYM66" s="5"/>
      <c r="TYN66" s="5"/>
      <c r="TYO66" s="5"/>
      <c r="TYP66" s="5"/>
      <c r="TYQ66" s="5"/>
      <c r="TYR66" s="5"/>
      <c r="TYS66" s="5"/>
      <c r="TYT66" s="5"/>
      <c r="TYU66" s="5"/>
      <c r="TYV66" s="5"/>
      <c r="TYW66" s="5"/>
      <c r="TYX66" s="5"/>
      <c r="TYY66" s="5"/>
      <c r="TYZ66" s="5"/>
      <c r="TZA66" s="5"/>
      <c r="TZB66" s="5"/>
      <c r="TZC66" s="5"/>
      <c r="TZD66" s="5"/>
      <c r="TZE66" s="5"/>
      <c r="TZF66" s="5"/>
      <c r="TZG66" s="5"/>
      <c r="TZH66" s="5"/>
      <c r="TZI66" s="5"/>
      <c r="TZJ66" s="5"/>
      <c r="TZK66" s="5"/>
      <c r="TZL66" s="5"/>
      <c r="TZM66" s="5"/>
      <c r="TZN66" s="5"/>
      <c r="TZO66" s="5"/>
      <c r="TZP66" s="5"/>
      <c r="TZQ66" s="5"/>
      <c r="TZR66" s="5"/>
      <c r="TZS66" s="5"/>
      <c r="TZT66" s="5"/>
      <c r="TZU66" s="5"/>
      <c r="TZV66" s="5"/>
      <c r="TZW66" s="5"/>
      <c r="TZX66" s="5"/>
      <c r="TZY66" s="5"/>
      <c r="TZZ66" s="5"/>
      <c r="UAA66" s="5"/>
      <c r="UAB66" s="5"/>
      <c r="UAC66" s="5"/>
      <c r="UAD66" s="5"/>
      <c r="UAE66" s="5"/>
      <c r="UAF66" s="5"/>
      <c r="UAG66" s="5"/>
      <c r="UAH66" s="5"/>
      <c r="UAI66" s="5"/>
      <c r="UAJ66" s="5"/>
      <c r="UAK66" s="5"/>
      <c r="UAL66" s="5"/>
      <c r="UAM66" s="5"/>
      <c r="UAN66" s="5"/>
      <c r="UAO66" s="5"/>
      <c r="UAP66" s="5"/>
      <c r="UAQ66" s="5"/>
      <c r="UAR66" s="5"/>
      <c r="UAS66" s="5"/>
      <c r="UAT66" s="5"/>
      <c r="UAU66" s="5"/>
      <c r="UAV66" s="5"/>
      <c r="UAW66" s="5"/>
      <c r="UAX66" s="5"/>
      <c r="UAY66" s="5"/>
      <c r="UAZ66" s="5"/>
      <c r="UBA66" s="5"/>
      <c r="UBB66" s="5"/>
      <c r="UBC66" s="5"/>
      <c r="UBD66" s="5"/>
      <c r="UBE66" s="5"/>
      <c r="UBF66" s="5"/>
      <c r="UBG66" s="5"/>
      <c r="UBH66" s="5"/>
      <c r="UBI66" s="5"/>
      <c r="UBJ66" s="5"/>
      <c r="UBK66" s="5"/>
      <c r="UBL66" s="5"/>
      <c r="UBM66" s="5"/>
      <c r="UBN66" s="5"/>
      <c r="UBO66" s="5"/>
      <c r="UBP66" s="5"/>
      <c r="UBQ66" s="5"/>
      <c r="UBR66" s="5"/>
      <c r="UBS66" s="5"/>
      <c r="UBT66" s="5"/>
      <c r="UBU66" s="5"/>
      <c r="UBV66" s="5"/>
      <c r="UBW66" s="5"/>
      <c r="UBX66" s="5"/>
      <c r="UBY66" s="5"/>
      <c r="UBZ66" s="5"/>
      <c r="UCA66" s="5"/>
      <c r="UCB66" s="5"/>
      <c r="UCC66" s="5"/>
      <c r="UCD66" s="5"/>
      <c r="UCE66" s="5"/>
      <c r="UCF66" s="5"/>
      <c r="UCG66" s="5"/>
      <c r="UCH66" s="5"/>
      <c r="UCI66" s="5"/>
      <c r="UCJ66" s="5"/>
      <c r="UCK66" s="5"/>
      <c r="UCL66" s="5"/>
      <c r="UCM66" s="5"/>
      <c r="UCN66" s="5"/>
      <c r="UCO66" s="5"/>
      <c r="UCP66" s="5"/>
      <c r="UCQ66" s="5"/>
      <c r="UCR66" s="5"/>
      <c r="UCS66" s="5"/>
      <c r="UCT66" s="5"/>
      <c r="UCU66" s="5"/>
      <c r="UCV66" s="5"/>
      <c r="UCW66" s="5"/>
      <c r="UCX66" s="5"/>
      <c r="UCY66" s="5"/>
      <c r="UCZ66" s="5"/>
      <c r="UDA66" s="5"/>
      <c r="UDB66" s="5"/>
      <c r="UDC66" s="5"/>
      <c r="UDD66" s="5"/>
      <c r="UDE66" s="5"/>
      <c r="UDF66" s="5"/>
      <c r="UDG66" s="5"/>
      <c r="UDH66" s="5"/>
      <c r="UDI66" s="5"/>
      <c r="UDJ66" s="5"/>
      <c r="UDK66" s="5"/>
      <c r="UDL66" s="5"/>
      <c r="UDM66" s="5"/>
      <c r="UDN66" s="5"/>
      <c r="UDO66" s="5"/>
      <c r="UDP66" s="5"/>
      <c r="UDQ66" s="5"/>
      <c r="UDR66" s="5"/>
      <c r="UDS66" s="5"/>
      <c r="UDT66" s="5"/>
      <c r="UDU66" s="5"/>
      <c r="UDV66" s="5"/>
      <c r="UDW66" s="5"/>
      <c r="UDX66" s="5"/>
      <c r="UDY66" s="5"/>
      <c r="UDZ66" s="5"/>
      <c r="UEA66" s="5"/>
      <c r="UEB66" s="5"/>
      <c r="UEC66" s="5"/>
      <c r="UED66" s="5"/>
      <c r="UEE66" s="5"/>
      <c r="UEF66" s="5"/>
      <c r="UEG66" s="5"/>
      <c r="UEH66" s="5"/>
      <c r="UEI66" s="5"/>
      <c r="UEJ66" s="5"/>
      <c r="UEK66" s="5"/>
      <c r="UEL66" s="5"/>
      <c r="UEM66" s="5"/>
      <c r="UEN66" s="5"/>
      <c r="UEO66" s="5"/>
      <c r="UEP66" s="5"/>
      <c r="UEQ66" s="5"/>
      <c r="UER66" s="5"/>
      <c r="UES66" s="5"/>
      <c r="UET66" s="5"/>
      <c r="UEU66" s="5"/>
      <c r="UEV66" s="5"/>
      <c r="UEW66" s="5"/>
      <c r="UEX66" s="5"/>
      <c r="UEY66" s="5"/>
      <c r="UEZ66" s="5"/>
      <c r="UFA66" s="5"/>
      <c r="UFB66" s="5"/>
      <c r="UFC66" s="5"/>
      <c r="UFD66" s="5"/>
      <c r="UFE66" s="5"/>
      <c r="UFF66" s="5"/>
      <c r="UFG66" s="5"/>
      <c r="UFH66" s="5"/>
      <c r="UFI66" s="5"/>
      <c r="UFJ66" s="5"/>
      <c r="UFK66" s="5"/>
      <c r="UFL66" s="5"/>
      <c r="UFM66" s="5"/>
      <c r="UFN66" s="5"/>
      <c r="UFO66" s="5"/>
      <c r="UFP66" s="5"/>
      <c r="UFQ66" s="5"/>
      <c r="UFR66" s="5"/>
      <c r="UFS66" s="5"/>
      <c r="UFT66" s="5"/>
      <c r="UFU66" s="5"/>
      <c r="UFV66" s="5"/>
      <c r="UFW66" s="5"/>
      <c r="UFX66" s="5"/>
      <c r="UFY66" s="5"/>
      <c r="UFZ66" s="5"/>
      <c r="UGA66" s="5"/>
      <c r="UGB66" s="5"/>
      <c r="UGC66" s="5"/>
      <c r="UGD66" s="5"/>
      <c r="UGE66" s="5"/>
      <c r="UGF66" s="5"/>
      <c r="UGG66" s="5"/>
      <c r="UGH66" s="5"/>
      <c r="UGI66" s="5"/>
      <c r="UGJ66" s="5"/>
      <c r="UGK66" s="5"/>
      <c r="UGL66" s="5"/>
      <c r="UGM66" s="5"/>
      <c r="UGN66" s="5"/>
      <c r="UGO66" s="5"/>
      <c r="UGP66" s="5"/>
      <c r="UGQ66" s="5"/>
      <c r="UGR66" s="5"/>
      <c r="UGS66" s="5"/>
      <c r="UGT66" s="5"/>
      <c r="UGU66" s="5"/>
      <c r="UGV66" s="5"/>
      <c r="UGW66" s="5"/>
      <c r="UGX66" s="5"/>
      <c r="UGY66" s="5"/>
      <c r="UGZ66" s="5"/>
      <c r="UHA66" s="5"/>
      <c r="UHB66" s="5"/>
      <c r="UHC66" s="5"/>
      <c r="UHD66" s="5"/>
      <c r="UHE66" s="5"/>
      <c r="UHF66" s="5"/>
      <c r="UHG66" s="5"/>
      <c r="UHH66" s="5"/>
      <c r="UHI66" s="5"/>
      <c r="UHJ66" s="5"/>
      <c r="UHK66" s="5"/>
      <c r="UHL66" s="5"/>
      <c r="UHM66" s="5"/>
      <c r="UHN66" s="5"/>
      <c r="UHO66" s="5"/>
      <c r="UHP66" s="5"/>
      <c r="UHQ66" s="5"/>
      <c r="UHR66" s="5"/>
      <c r="UHS66" s="5"/>
      <c r="UHT66" s="5"/>
      <c r="UHU66" s="5"/>
      <c r="UHV66" s="5"/>
      <c r="UHW66" s="5"/>
      <c r="UHX66" s="5"/>
      <c r="UHY66" s="5"/>
      <c r="UHZ66" s="5"/>
      <c r="UIA66" s="5"/>
      <c r="UIB66" s="5"/>
      <c r="UIC66" s="5"/>
      <c r="UID66" s="5"/>
      <c r="UIE66" s="5"/>
      <c r="UIF66" s="5"/>
      <c r="UIG66" s="5"/>
      <c r="UIH66" s="5"/>
      <c r="UII66" s="5"/>
      <c r="UIJ66" s="5"/>
      <c r="UIK66" s="5"/>
      <c r="UIL66" s="5"/>
      <c r="UIM66" s="5"/>
      <c r="UIN66" s="5"/>
      <c r="UIO66" s="5"/>
      <c r="UIP66" s="5"/>
      <c r="UIQ66" s="5"/>
      <c r="UIR66" s="5"/>
      <c r="UIS66" s="5"/>
      <c r="UIT66" s="5"/>
      <c r="UIU66" s="5"/>
      <c r="UIV66" s="5"/>
      <c r="UIW66" s="5"/>
      <c r="UIX66" s="5"/>
      <c r="UIY66" s="5"/>
      <c r="UIZ66" s="5"/>
      <c r="UJA66" s="5"/>
      <c r="UJB66" s="5"/>
      <c r="UJC66" s="5"/>
      <c r="UJD66" s="5"/>
      <c r="UJE66" s="5"/>
      <c r="UJF66" s="5"/>
      <c r="UJG66" s="5"/>
      <c r="UJH66" s="5"/>
      <c r="UJI66" s="5"/>
      <c r="UJJ66" s="5"/>
      <c r="UJK66" s="5"/>
      <c r="UJL66" s="5"/>
      <c r="UJM66" s="5"/>
      <c r="UJN66" s="5"/>
      <c r="UJO66" s="5"/>
      <c r="UJP66" s="5"/>
      <c r="UJQ66" s="5"/>
      <c r="UJR66" s="5"/>
      <c r="UJS66" s="5"/>
      <c r="UJT66" s="5"/>
      <c r="UJU66" s="5"/>
      <c r="UJV66" s="5"/>
      <c r="UJW66" s="5"/>
      <c r="UJX66" s="5"/>
      <c r="UJY66" s="5"/>
      <c r="UJZ66" s="5"/>
      <c r="UKA66" s="5"/>
      <c r="UKB66" s="5"/>
      <c r="UKC66" s="5"/>
      <c r="UKD66" s="5"/>
      <c r="UKE66" s="5"/>
      <c r="UKF66" s="5"/>
      <c r="UKG66" s="5"/>
      <c r="UKH66" s="5"/>
      <c r="UKI66" s="5"/>
      <c r="UKJ66" s="5"/>
      <c r="UKK66" s="5"/>
      <c r="UKL66" s="5"/>
      <c r="UKM66" s="5"/>
      <c r="UKN66" s="5"/>
      <c r="UKO66" s="5"/>
      <c r="UKP66" s="5"/>
      <c r="UKQ66" s="5"/>
      <c r="UKR66" s="5"/>
      <c r="UKS66" s="5"/>
      <c r="UKT66" s="5"/>
      <c r="UKU66" s="5"/>
      <c r="UKV66" s="5"/>
      <c r="UKW66" s="5"/>
      <c r="UKX66" s="5"/>
      <c r="UKY66" s="5"/>
      <c r="UKZ66" s="5"/>
      <c r="ULA66" s="5"/>
      <c r="ULB66" s="5"/>
      <c r="ULC66" s="5"/>
      <c r="ULD66" s="5"/>
      <c r="ULE66" s="5"/>
      <c r="ULF66" s="5"/>
      <c r="ULG66" s="5"/>
      <c r="ULH66" s="5"/>
      <c r="ULI66" s="5"/>
      <c r="ULJ66" s="5"/>
      <c r="ULK66" s="5"/>
      <c r="ULL66" s="5"/>
      <c r="ULM66" s="5"/>
      <c r="ULN66" s="5"/>
      <c r="ULO66" s="5"/>
      <c r="ULP66" s="5"/>
      <c r="ULQ66" s="5"/>
      <c r="ULR66" s="5"/>
      <c r="ULS66" s="5"/>
      <c r="ULT66" s="5"/>
      <c r="ULU66" s="5"/>
      <c r="ULV66" s="5"/>
      <c r="ULW66" s="5"/>
      <c r="ULX66" s="5"/>
      <c r="ULY66" s="5"/>
      <c r="ULZ66" s="5"/>
      <c r="UMA66" s="5"/>
      <c r="UMB66" s="5"/>
      <c r="UMC66" s="5"/>
      <c r="UMD66" s="5"/>
      <c r="UME66" s="5"/>
      <c r="UMF66" s="5"/>
      <c r="UMG66" s="5"/>
      <c r="UMH66" s="5"/>
      <c r="UMI66" s="5"/>
      <c r="UMJ66" s="5"/>
      <c r="UMK66" s="5"/>
      <c r="UML66" s="5"/>
      <c r="UMM66" s="5"/>
      <c r="UMN66" s="5"/>
      <c r="UMO66" s="5"/>
      <c r="UMP66" s="5"/>
      <c r="UMQ66" s="5"/>
      <c r="UMR66" s="5"/>
      <c r="UMS66" s="5"/>
      <c r="UMT66" s="5"/>
      <c r="UMU66" s="5"/>
      <c r="UMV66" s="5"/>
      <c r="UMW66" s="5"/>
      <c r="UMX66" s="5"/>
      <c r="UMY66" s="5"/>
      <c r="UMZ66" s="5"/>
      <c r="UNA66" s="5"/>
      <c r="UNB66" s="5"/>
      <c r="UNC66" s="5"/>
      <c r="UND66" s="5"/>
      <c r="UNE66" s="5"/>
      <c r="UNF66" s="5"/>
      <c r="UNG66" s="5"/>
      <c r="UNH66" s="5"/>
      <c r="UNI66" s="5"/>
      <c r="UNJ66" s="5"/>
      <c r="UNK66" s="5"/>
      <c r="UNL66" s="5"/>
      <c r="UNM66" s="5"/>
      <c r="UNN66" s="5"/>
      <c r="UNO66" s="5"/>
      <c r="UNP66" s="5"/>
      <c r="UNQ66" s="5"/>
      <c r="UNR66" s="5"/>
      <c r="UNS66" s="5"/>
      <c r="UNT66" s="5"/>
      <c r="UNU66" s="5"/>
      <c r="UNV66" s="5"/>
      <c r="UNW66" s="5"/>
      <c r="UNX66" s="5"/>
      <c r="UNY66" s="5"/>
      <c r="UNZ66" s="5"/>
      <c r="UOA66" s="5"/>
      <c r="UOB66" s="5"/>
      <c r="UOC66" s="5"/>
      <c r="UOD66" s="5"/>
      <c r="UOE66" s="5"/>
      <c r="UOF66" s="5"/>
      <c r="UOG66" s="5"/>
      <c r="UOH66" s="5"/>
      <c r="UOI66" s="5"/>
      <c r="UOJ66" s="5"/>
      <c r="UOK66" s="5"/>
      <c r="UOL66" s="5"/>
      <c r="UOM66" s="5"/>
      <c r="UON66" s="5"/>
      <c r="UOO66" s="5"/>
      <c r="UOP66" s="5"/>
      <c r="UOQ66" s="5"/>
      <c r="UOR66" s="5"/>
      <c r="UOS66" s="5"/>
      <c r="UOT66" s="5"/>
      <c r="UOU66" s="5"/>
      <c r="UOV66" s="5"/>
      <c r="UOW66" s="5"/>
      <c r="UOX66" s="5"/>
      <c r="UOY66" s="5"/>
      <c r="UOZ66" s="5"/>
      <c r="UPA66" s="5"/>
      <c r="UPB66" s="5"/>
      <c r="UPC66" s="5"/>
      <c r="UPD66" s="5"/>
      <c r="UPE66" s="5"/>
      <c r="UPF66" s="5"/>
      <c r="UPG66" s="5"/>
      <c r="UPH66" s="5"/>
      <c r="UPI66" s="5"/>
      <c r="UPJ66" s="5"/>
      <c r="UPK66" s="5"/>
      <c r="UPL66" s="5"/>
      <c r="UPM66" s="5"/>
      <c r="UPN66" s="5"/>
      <c r="UPO66" s="5"/>
      <c r="UPP66" s="5"/>
      <c r="UPQ66" s="5"/>
      <c r="UPR66" s="5"/>
      <c r="UPS66" s="5"/>
      <c r="UPT66" s="5"/>
      <c r="UPU66" s="5"/>
      <c r="UPV66" s="5"/>
      <c r="UPW66" s="5"/>
      <c r="UPX66" s="5"/>
      <c r="UPY66" s="5"/>
      <c r="UPZ66" s="5"/>
      <c r="UQA66" s="5"/>
      <c r="UQB66" s="5"/>
      <c r="UQC66" s="5"/>
      <c r="UQD66" s="5"/>
      <c r="UQE66" s="5"/>
      <c r="UQF66" s="5"/>
      <c r="UQG66" s="5"/>
      <c r="UQH66" s="5"/>
      <c r="UQI66" s="5"/>
      <c r="UQJ66" s="5"/>
      <c r="UQK66" s="5"/>
      <c r="UQL66" s="5"/>
      <c r="UQM66" s="5"/>
      <c r="UQN66" s="5"/>
      <c r="UQO66" s="5"/>
      <c r="UQP66" s="5"/>
      <c r="UQQ66" s="5"/>
      <c r="UQR66" s="5"/>
      <c r="UQS66" s="5"/>
      <c r="UQT66" s="5"/>
      <c r="UQU66" s="5"/>
      <c r="UQV66" s="5"/>
      <c r="UQW66" s="5"/>
      <c r="UQX66" s="5"/>
      <c r="UQY66" s="5"/>
      <c r="UQZ66" s="5"/>
      <c r="URA66" s="5"/>
      <c r="URB66" s="5"/>
      <c r="URC66" s="5"/>
      <c r="URD66" s="5"/>
      <c r="URE66" s="5"/>
      <c r="URF66" s="5"/>
      <c r="URG66" s="5"/>
      <c r="URH66" s="5"/>
      <c r="URI66" s="5"/>
      <c r="URJ66" s="5"/>
      <c r="URK66" s="5"/>
      <c r="URL66" s="5"/>
      <c r="URM66" s="5"/>
      <c r="URN66" s="5"/>
      <c r="URO66" s="5"/>
      <c r="URP66" s="5"/>
      <c r="URQ66" s="5"/>
      <c r="URR66" s="5"/>
      <c r="URS66" s="5"/>
      <c r="URT66" s="5"/>
      <c r="URU66" s="5"/>
      <c r="URV66" s="5"/>
      <c r="URW66" s="5"/>
      <c r="URX66" s="5"/>
      <c r="URY66" s="5"/>
      <c r="URZ66" s="5"/>
      <c r="USA66" s="5"/>
      <c r="USB66" s="5"/>
      <c r="USC66" s="5"/>
      <c r="USD66" s="5"/>
      <c r="USE66" s="5"/>
      <c r="USF66" s="5"/>
      <c r="USG66" s="5"/>
      <c r="USH66" s="5"/>
      <c r="USI66" s="5"/>
      <c r="USJ66" s="5"/>
      <c r="USK66" s="5"/>
      <c r="USL66" s="5"/>
      <c r="USM66" s="5"/>
      <c r="USN66" s="5"/>
      <c r="USO66" s="5"/>
      <c r="USP66" s="5"/>
      <c r="USQ66" s="5"/>
      <c r="USR66" s="5"/>
      <c r="USS66" s="5"/>
      <c r="UST66" s="5"/>
      <c r="USU66" s="5"/>
      <c r="USV66" s="5"/>
      <c r="USW66" s="5"/>
      <c r="USX66" s="5"/>
      <c r="USY66" s="5"/>
      <c r="USZ66" s="5"/>
      <c r="UTA66" s="5"/>
      <c r="UTB66" s="5"/>
      <c r="UTC66" s="5"/>
      <c r="UTD66" s="5"/>
      <c r="UTE66" s="5"/>
      <c r="UTF66" s="5"/>
      <c r="UTG66" s="5"/>
      <c r="UTH66" s="5"/>
      <c r="UTI66" s="5"/>
      <c r="UTJ66" s="5"/>
      <c r="UTK66" s="5"/>
      <c r="UTL66" s="5"/>
      <c r="UTM66" s="5"/>
      <c r="UTN66" s="5"/>
      <c r="UTO66" s="5"/>
      <c r="UTP66" s="5"/>
      <c r="UTQ66" s="5"/>
      <c r="UTR66" s="5"/>
      <c r="UTS66" s="5"/>
      <c r="UTT66" s="5"/>
      <c r="UTU66" s="5"/>
      <c r="UTV66" s="5"/>
      <c r="UTW66" s="5"/>
      <c r="UTX66" s="5"/>
      <c r="UTY66" s="5"/>
      <c r="UTZ66" s="5"/>
      <c r="UUA66" s="5"/>
      <c r="UUB66" s="5"/>
      <c r="UUC66" s="5"/>
      <c r="UUD66" s="5"/>
      <c r="UUE66" s="5"/>
      <c r="UUF66" s="5"/>
      <c r="UUG66" s="5"/>
      <c r="UUH66" s="5"/>
      <c r="UUI66" s="5"/>
      <c r="UUJ66" s="5"/>
      <c r="UUK66" s="5"/>
      <c r="UUL66" s="5"/>
      <c r="UUM66" s="5"/>
      <c r="UUN66" s="5"/>
      <c r="UUO66" s="5"/>
      <c r="UUP66" s="5"/>
      <c r="UUQ66" s="5"/>
      <c r="UUR66" s="5"/>
      <c r="UUS66" s="5"/>
      <c r="UUT66" s="5"/>
      <c r="UUU66" s="5"/>
      <c r="UUV66" s="5"/>
      <c r="UUW66" s="5"/>
      <c r="UUX66" s="5"/>
      <c r="UUY66" s="5"/>
      <c r="UUZ66" s="5"/>
      <c r="UVA66" s="5"/>
      <c r="UVB66" s="5"/>
      <c r="UVC66" s="5"/>
      <c r="UVD66" s="5"/>
      <c r="UVE66" s="5"/>
      <c r="UVF66" s="5"/>
      <c r="UVG66" s="5"/>
      <c r="UVH66" s="5"/>
      <c r="UVI66" s="5"/>
      <c r="UVJ66" s="5"/>
      <c r="UVK66" s="5"/>
      <c r="UVL66" s="5"/>
      <c r="UVM66" s="5"/>
      <c r="UVN66" s="5"/>
      <c r="UVO66" s="5"/>
      <c r="UVP66" s="5"/>
      <c r="UVQ66" s="5"/>
      <c r="UVR66" s="5"/>
      <c r="UVS66" s="5"/>
      <c r="UVT66" s="5"/>
      <c r="UVU66" s="5"/>
      <c r="UVV66" s="5"/>
      <c r="UVW66" s="5"/>
      <c r="UVX66" s="5"/>
      <c r="UVY66" s="5"/>
      <c r="UVZ66" s="5"/>
      <c r="UWA66" s="5"/>
      <c r="UWB66" s="5"/>
      <c r="UWC66" s="5"/>
      <c r="UWD66" s="5"/>
      <c r="UWE66" s="5"/>
      <c r="UWF66" s="5"/>
      <c r="UWG66" s="5"/>
      <c r="UWH66" s="5"/>
      <c r="UWI66" s="5"/>
      <c r="UWJ66" s="5"/>
      <c r="UWK66" s="5"/>
      <c r="UWL66" s="5"/>
      <c r="UWM66" s="5"/>
      <c r="UWN66" s="5"/>
      <c r="UWO66" s="5"/>
      <c r="UWP66" s="5"/>
      <c r="UWQ66" s="5"/>
      <c r="UWR66" s="5"/>
      <c r="UWS66" s="5"/>
      <c r="UWT66" s="5"/>
      <c r="UWU66" s="5"/>
      <c r="UWV66" s="5"/>
      <c r="UWW66" s="5"/>
      <c r="UWX66" s="5"/>
      <c r="UWY66" s="5"/>
      <c r="UWZ66" s="5"/>
      <c r="UXA66" s="5"/>
      <c r="UXB66" s="5"/>
      <c r="UXC66" s="5"/>
      <c r="UXD66" s="5"/>
      <c r="UXE66" s="5"/>
      <c r="UXF66" s="5"/>
      <c r="UXG66" s="5"/>
      <c r="UXH66" s="5"/>
      <c r="UXI66" s="5"/>
      <c r="UXJ66" s="5"/>
      <c r="UXK66" s="5"/>
      <c r="UXL66" s="5"/>
      <c r="UXM66" s="5"/>
      <c r="UXN66" s="5"/>
      <c r="UXO66" s="5"/>
      <c r="UXP66" s="5"/>
      <c r="UXQ66" s="5"/>
      <c r="UXR66" s="5"/>
      <c r="UXS66" s="5"/>
      <c r="UXT66" s="5"/>
      <c r="UXU66" s="5"/>
      <c r="UXV66" s="5"/>
      <c r="UXW66" s="5"/>
      <c r="UXX66" s="5"/>
      <c r="UXY66" s="5"/>
      <c r="UXZ66" s="5"/>
      <c r="UYA66" s="5"/>
      <c r="UYB66" s="5"/>
      <c r="UYC66" s="5"/>
      <c r="UYD66" s="5"/>
      <c r="UYE66" s="5"/>
      <c r="UYF66" s="5"/>
      <c r="UYG66" s="5"/>
      <c r="UYH66" s="5"/>
      <c r="UYI66" s="5"/>
      <c r="UYJ66" s="5"/>
      <c r="UYK66" s="5"/>
      <c r="UYL66" s="5"/>
      <c r="UYM66" s="5"/>
      <c r="UYN66" s="5"/>
      <c r="UYO66" s="5"/>
      <c r="UYP66" s="5"/>
      <c r="UYQ66" s="5"/>
      <c r="UYR66" s="5"/>
      <c r="UYS66" s="5"/>
      <c r="UYT66" s="5"/>
      <c r="UYU66" s="5"/>
      <c r="UYV66" s="5"/>
      <c r="UYW66" s="5"/>
      <c r="UYX66" s="5"/>
      <c r="UYY66" s="5"/>
      <c r="UYZ66" s="5"/>
      <c r="UZA66" s="5"/>
      <c r="UZB66" s="5"/>
      <c r="UZC66" s="5"/>
      <c r="UZD66" s="5"/>
      <c r="UZE66" s="5"/>
      <c r="UZF66" s="5"/>
      <c r="UZG66" s="5"/>
      <c r="UZH66" s="5"/>
      <c r="UZI66" s="5"/>
      <c r="UZJ66" s="5"/>
      <c r="UZK66" s="5"/>
      <c r="UZL66" s="5"/>
      <c r="UZM66" s="5"/>
      <c r="UZN66" s="5"/>
      <c r="UZO66" s="5"/>
      <c r="UZP66" s="5"/>
      <c r="UZQ66" s="5"/>
      <c r="UZR66" s="5"/>
      <c r="UZS66" s="5"/>
      <c r="UZT66" s="5"/>
      <c r="UZU66" s="5"/>
      <c r="UZV66" s="5"/>
      <c r="UZW66" s="5"/>
      <c r="UZX66" s="5"/>
      <c r="UZY66" s="5"/>
      <c r="UZZ66" s="5"/>
      <c r="VAA66" s="5"/>
      <c r="VAB66" s="5"/>
      <c r="VAC66" s="5"/>
      <c r="VAD66" s="5"/>
      <c r="VAE66" s="5"/>
      <c r="VAF66" s="5"/>
      <c r="VAG66" s="5"/>
      <c r="VAH66" s="5"/>
      <c r="VAI66" s="5"/>
      <c r="VAJ66" s="5"/>
      <c r="VAK66" s="5"/>
      <c r="VAL66" s="5"/>
      <c r="VAM66" s="5"/>
      <c r="VAN66" s="5"/>
      <c r="VAO66" s="5"/>
      <c r="VAP66" s="5"/>
      <c r="VAQ66" s="5"/>
      <c r="VAR66" s="5"/>
      <c r="VAS66" s="5"/>
      <c r="VAT66" s="5"/>
      <c r="VAU66" s="5"/>
      <c r="VAV66" s="5"/>
      <c r="VAW66" s="5"/>
      <c r="VAX66" s="5"/>
      <c r="VAY66" s="5"/>
      <c r="VAZ66" s="5"/>
      <c r="VBA66" s="5"/>
      <c r="VBB66" s="5"/>
      <c r="VBC66" s="5"/>
      <c r="VBD66" s="5"/>
      <c r="VBE66" s="5"/>
      <c r="VBF66" s="5"/>
      <c r="VBG66" s="5"/>
      <c r="VBH66" s="5"/>
      <c r="VBI66" s="5"/>
      <c r="VBJ66" s="5"/>
      <c r="VBK66" s="5"/>
      <c r="VBL66" s="5"/>
      <c r="VBM66" s="5"/>
      <c r="VBN66" s="5"/>
      <c r="VBO66" s="5"/>
      <c r="VBP66" s="5"/>
      <c r="VBQ66" s="5"/>
      <c r="VBR66" s="5"/>
      <c r="VBS66" s="5"/>
      <c r="VBT66" s="5"/>
      <c r="VBU66" s="5"/>
      <c r="VBV66" s="5"/>
      <c r="VBW66" s="5"/>
      <c r="VBX66" s="5"/>
      <c r="VBY66" s="5"/>
      <c r="VBZ66" s="5"/>
      <c r="VCA66" s="5"/>
      <c r="VCB66" s="5"/>
      <c r="VCC66" s="5"/>
      <c r="VCD66" s="5"/>
      <c r="VCE66" s="5"/>
      <c r="VCF66" s="5"/>
      <c r="VCG66" s="5"/>
      <c r="VCH66" s="5"/>
      <c r="VCI66" s="5"/>
      <c r="VCJ66" s="5"/>
      <c r="VCK66" s="5"/>
      <c r="VCL66" s="5"/>
      <c r="VCM66" s="5"/>
      <c r="VCN66" s="5"/>
      <c r="VCO66" s="5"/>
      <c r="VCP66" s="5"/>
      <c r="VCQ66" s="5"/>
      <c r="VCR66" s="5"/>
      <c r="VCS66" s="5"/>
      <c r="VCT66" s="5"/>
      <c r="VCU66" s="5"/>
      <c r="VCV66" s="5"/>
      <c r="VCW66" s="5"/>
      <c r="VCX66" s="5"/>
      <c r="VCY66" s="5"/>
      <c r="VCZ66" s="5"/>
      <c r="VDA66" s="5"/>
      <c r="VDB66" s="5"/>
      <c r="VDC66" s="5"/>
      <c r="VDD66" s="5"/>
      <c r="VDE66" s="5"/>
      <c r="VDF66" s="5"/>
      <c r="VDG66" s="5"/>
      <c r="VDH66" s="5"/>
      <c r="VDI66" s="5"/>
      <c r="VDJ66" s="5"/>
      <c r="VDK66" s="5"/>
      <c r="VDL66" s="5"/>
      <c r="VDM66" s="5"/>
      <c r="VDN66" s="5"/>
      <c r="VDO66" s="5"/>
      <c r="VDP66" s="5"/>
      <c r="VDQ66" s="5"/>
      <c r="VDR66" s="5"/>
      <c r="VDS66" s="5"/>
      <c r="VDT66" s="5"/>
      <c r="VDU66" s="5"/>
      <c r="VDV66" s="5"/>
      <c r="VDW66" s="5"/>
      <c r="VDX66" s="5"/>
      <c r="VDY66" s="5"/>
      <c r="VDZ66" s="5"/>
      <c r="VEA66" s="5"/>
      <c r="VEB66" s="5"/>
      <c r="VEC66" s="5"/>
      <c r="VED66" s="5"/>
      <c r="VEE66" s="5"/>
      <c r="VEF66" s="5"/>
      <c r="VEG66" s="5"/>
      <c r="VEH66" s="5"/>
      <c r="VEI66" s="5"/>
      <c r="VEJ66" s="5"/>
      <c r="VEK66" s="5"/>
      <c r="VEL66" s="5"/>
      <c r="VEM66" s="5"/>
      <c r="VEN66" s="5"/>
      <c r="VEO66" s="5"/>
      <c r="VEP66" s="5"/>
      <c r="VEQ66" s="5"/>
      <c r="VER66" s="5"/>
      <c r="VES66" s="5"/>
      <c r="VET66" s="5"/>
      <c r="VEU66" s="5"/>
      <c r="VEV66" s="5"/>
      <c r="VEW66" s="5"/>
      <c r="VEX66" s="5"/>
      <c r="VEY66" s="5"/>
      <c r="VEZ66" s="5"/>
      <c r="VFA66" s="5"/>
      <c r="VFB66" s="5"/>
      <c r="VFC66" s="5"/>
      <c r="VFD66" s="5"/>
      <c r="VFE66" s="5"/>
      <c r="VFF66" s="5"/>
      <c r="VFG66" s="5"/>
      <c r="VFH66" s="5"/>
      <c r="VFI66" s="5"/>
      <c r="VFJ66" s="5"/>
      <c r="VFK66" s="5"/>
      <c r="VFL66" s="5"/>
      <c r="VFM66" s="5"/>
      <c r="VFN66" s="5"/>
      <c r="VFO66" s="5"/>
      <c r="VFP66" s="5"/>
      <c r="VFQ66" s="5"/>
      <c r="VFR66" s="5"/>
      <c r="VFS66" s="5"/>
      <c r="VFT66" s="5"/>
      <c r="VFU66" s="5"/>
      <c r="VFV66" s="5"/>
      <c r="VFW66" s="5"/>
      <c r="VFX66" s="5"/>
      <c r="VFY66" s="5"/>
      <c r="VFZ66" s="5"/>
      <c r="VGA66" s="5"/>
      <c r="VGB66" s="5"/>
      <c r="VGC66" s="5"/>
      <c r="VGD66" s="5"/>
      <c r="VGE66" s="5"/>
      <c r="VGF66" s="5"/>
      <c r="VGG66" s="5"/>
      <c r="VGH66" s="5"/>
      <c r="VGI66" s="5"/>
      <c r="VGJ66" s="5"/>
      <c r="VGK66" s="5"/>
      <c r="VGL66" s="5"/>
      <c r="VGM66" s="5"/>
      <c r="VGN66" s="5"/>
      <c r="VGO66" s="5"/>
      <c r="VGP66" s="5"/>
      <c r="VGQ66" s="5"/>
      <c r="VGR66" s="5"/>
      <c r="VGS66" s="5"/>
      <c r="VGT66" s="5"/>
      <c r="VGU66" s="5"/>
      <c r="VGV66" s="5"/>
      <c r="VGW66" s="5"/>
      <c r="VGX66" s="5"/>
      <c r="VGY66" s="5"/>
      <c r="VGZ66" s="5"/>
      <c r="VHA66" s="5"/>
      <c r="VHB66" s="5"/>
      <c r="VHC66" s="5"/>
      <c r="VHD66" s="5"/>
      <c r="VHE66" s="5"/>
      <c r="VHF66" s="5"/>
      <c r="VHG66" s="5"/>
      <c r="VHH66" s="5"/>
      <c r="VHI66" s="5"/>
      <c r="VHJ66" s="5"/>
      <c r="VHK66" s="5"/>
      <c r="VHL66" s="5"/>
      <c r="VHM66" s="5"/>
      <c r="VHN66" s="5"/>
      <c r="VHO66" s="5"/>
      <c r="VHP66" s="5"/>
      <c r="VHQ66" s="5"/>
      <c r="VHR66" s="5"/>
      <c r="VHS66" s="5"/>
      <c r="VHT66" s="5"/>
      <c r="VHU66" s="5"/>
      <c r="VHV66" s="5"/>
      <c r="VHW66" s="5"/>
      <c r="VHX66" s="5"/>
      <c r="VHY66" s="5"/>
      <c r="VHZ66" s="5"/>
      <c r="VIA66" s="5"/>
      <c r="VIB66" s="5"/>
      <c r="VIC66" s="5"/>
      <c r="VID66" s="5"/>
      <c r="VIE66" s="5"/>
      <c r="VIF66" s="5"/>
      <c r="VIG66" s="5"/>
      <c r="VIH66" s="5"/>
      <c r="VII66" s="5"/>
      <c r="VIJ66" s="5"/>
      <c r="VIK66" s="5"/>
      <c r="VIL66" s="5"/>
      <c r="VIM66" s="5"/>
      <c r="VIN66" s="5"/>
      <c r="VIO66" s="5"/>
      <c r="VIP66" s="5"/>
      <c r="VIQ66" s="5"/>
      <c r="VIR66" s="5"/>
      <c r="VIS66" s="5"/>
      <c r="VIT66" s="5"/>
      <c r="VIU66" s="5"/>
      <c r="VIV66" s="5"/>
      <c r="VIW66" s="5"/>
      <c r="VIX66" s="5"/>
      <c r="VIY66" s="5"/>
      <c r="VIZ66" s="5"/>
      <c r="VJA66" s="5"/>
      <c r="VJB66" s="5"/>
      <c r="VJC66" s="5"/>
      <c r="VJD66" s="5"/>
      <c r="VJE66" s="5"/>
      <c r="VJF66" s="5"/>
      <c r="VJG66" s="5"/>
      <c r="VJH66" s="5"/>
      <c r="VJI66" s="5"/>
      <c r="VJJ66" s="5"/>
      <c r="VJK66" s="5"/>
      <c r="VJL66" s="5"/>
      <c r="VJM66" s="5"/>
      <c r="VJN66" s="5"/>
      <c r="VJO66" s="5"/>
      <c r="VJP66" s="5"/>
      <c r="VJQ66" s="5"/>
      <c r="VJR66" s="5"/>
      <c r="VJS66" s="5"/>
      <c r="VJT66" s="5"/>
      <c r="VJU66" s="5"/>
      <c r="VJV66" s="5"/>
      <c r="VJW66" s="5"/>
      <c r="VJX66" s="5"/>
      <c r="VJY66" s="5"/>
      <c r="VJZ66" s="5"/>
      <c r="VKA66" s="5"/>
      <c r="VKB66" s="5"/>
      <c r="VKC66" s="5"/>
      <c r="VKD66" s="5"/>
      <c r="VKE66" s="5"/>
      <c r="VKF66" s="5"/>
      <c r="VKG66" s="5"/>
      <c r="VKH66" s="5"/>
      <c r="VKI66" s="5"/>
      <c r="VKJ66" s="5"/>
      <c r="VKK66" s="5"/>
      <c r="VKL66" s="5"/>
      <c r="VKM66" s="5"/>
      <c r="VKN66" s="5"/>
      <c r="VKO66" s="5"/>
      <c r="VKP66" s="5"/>
      <c r="VKQ66" s="5"/>
      <c r="VKR66" s="5"/>
      <c r="VKS66" s="5"/>
      <c r="VKT66" s="5"/>
      <c r="VKU66" s="5"/>
      <c r="VKV66" s="5"/>
      <c r="VKW66" s="5"/>
      <c r="VKX66" s="5"/>
      <c r="VKY66" s="5"/>
      <c r="VKZ66" s="5"/>
      <c r="VLA66" s="5"/>
      <c r="VLB66" s="5"/>
      <c r="VLC66" s="5"/>
      <c r="VLD66" s="5"/>
      <c r="VLE66" s="5"/>
      <c r="VLF66" s="5"/>
      <c r="VLG66" s="5"/>
      <c r="VLH66" s="5"/>
      <c r="VLI66" s="5"/>
      <c r="VLJ66" s="5"/>
      <c r="VLK66" s="5"/>
      <c r="VLL66" s="5"/>
      <c r="VLM66" s="5"/>
      <c r="VLN66" s="5"/>
      <c r="VLO66" s="5"/>
      <c r="VLP66" s="5"/>
      <c r="VLQ66" s="5"/>
      <c r="VLR66" s="5"/>
      <c r="VLS66" s="5"/>
      <c r="VLT66" s="5"/>
      <c r="VLU66" s="5"/>
      <c r="VLV66" s="5"/>
      <c r="VLW66" s="5"/>
      <c r="VLX66" s="5"/>
      <c r="VLY66" s="5"/>
      <c r="VLZ66" s="5"/>
      <c r="VMA66" s="5"/>
      <c r="VMB66" s="5"/>
      <c r="VMC66" s="5"/>
      <c r="VMD66" s="5"/>
      <c r="VME66" s="5"/>
      <c r="VMF66" s="5"/>
      <c r="VMG66" s="5"/>
      <c r="VMH66" s="5"/>
      <c r="VMI66" s="5"/>
      <c r="VMJ66" s="5"/>
      <c r="VMK66" s="5"/>
      <c r="VML66" s="5"/>
      <c r="VMM66" s="5"/>
      <c r="VMN66" s="5"/>
      <c r="VMO66" s="5"/>
      <c r="VMP66" s="5"/>
      <c r="VMQ66" s="5"/>
      <c r="VMR66" s="5"/>
      <c r="VMS66" s="5"/>
      <c r="VMT66" s="5"/>
      <c r="VMU66" s="5"/>
      <c r="VMV66" s="5"/>
      <c r="VMW66" s="5"/>
      <c r="VMX66" s="5"/>
      <c r="VMY66" s="5"/>
      <c r="VMZ66" s="5"/>
      <c r="VNA66" s="5"/>
      <c r="VNB66" s="5"/>
      <c r="VNC66" s="5"/>
      <c r="VND66" s="5"/>
      <c r="VNE66" s="5"/>
      <c r="VNF66" s="5"/>
      <c r="VNG66" s="5"/>
      <c r="VNH66" s="5"/>
      <c r="VNI66" s="5"/>
      <c r="VNJ66" s="5"/>
      <c r="VNK66" s="5"/>
      <c r="VNL66" s="5"/>
      <c r="VNM66" s="5"/>
      <c r="VNN66" s="5"/>
      <c r="VNO66" s="5"/>
      <c r="VNP66" s="5"/>
      <c r="VNQ66" s="5"/>
      <c r="VNR66" s="5"/>
      <c r="VNS66" s="5"/>
      <c r="VNT66" s="5"/>
      <c r="VNU66" s="5"/>
      <c r="VNV66" s="5"/>
      <c r="VNW66" s="5"/>
      <c r="VNX66" s="5"/>
      <c r="VNY66" s="5"/>
      <c r="VNZ66" s="5"/>
      <c r="VOA66" s="5"/>
      <c r="VOB66" s="5"/>
      <c r="VOC66" s="5"/>
      <c r="VOD66" s="5"/>
      <c r="VOE66" s="5"/>
      <c r="VOF66" s="5"/>
      <c r="VOG66" s="5"/>
      <c r="VOH66" s="5"/>
      <c r="VOI66" s="5"/>
      <c r="VOJ66" s="5"/>
      <c r="VOK66" s="5"/>
      <c r="VOL66" s="5"/>
      <c r="VOM66" s="5"/>
      <c r="VON66" s="5"/>
      <c r="VOO66" s="5"/>
      <c r="VOP66" s="5"/>
      <c r="VOQ66" s="5"/>
      <c r="VOR66" s="5"/>
      <c r="VOS66" s="5"/>
      <c r="VOT66" s="5"/>
      <c r="VOU66" s="5"/>
      <c r="VOV66" s="5"/>
      <c r="VOW66" s="5"/>
      <c r="VOX66" s="5"/>
      <c r="VOY66" s="5"/>
      <c r="VOZ66" s="5"/>
      <c r="VPA66" s="5"/>
      <c r="VPB66" s="5"/>
      <c r="VPC66" s="5"/>
      <c r="VPD66" s="5"/>
      <c r="VPE66" s="5"/>
      <c r="VPF66" s="5"/>
      <c r="VPG66" s="5"/>
      <c r="VPH66" s="5"/>
      <c r="VPI66" s="5"/>
      <c r="VPJ66" s="5"/>
      <c r="VPK66" s="5"/>
      <c r="VPL66" s="5"/>
      <c r="VPM66" s="5"/>
      <c r="VPN66" s="5"/>
      <c r="VPO66" s="5"/>
      <c r="VPP66" s="5"/>
      <c r="VPQ66" s="5"/>
      <c r="VPR66" s="5"/>
      <c r="VPS66" s="5"/>
      <c r="VPT66" s="5"/>
      <c r="VPU66" s="5"/>
      <c r="VPV66" s="5"/>
      <c r="VPW66" s="5"/>
      <c r="VPX66" s="5"/>
      <c r="VPY66" s="5"/>
      <c r="VPZ66" s="5"/>
      <c r="VQA66" s="5"/>
      <c r="VQB66" s="5"/>
      <c r="VQC66" s="5"/>
      <c r="VQD66" s="5"/>
      <c r="VQE66" s="5"/>
      <c r="VQF66" s="5"/>
      <c r="VQG66" s="5"/>
      <c r="VQH66" s="5"/>
      <c r="VQI66" s="5"/>
      <c r="VQJ66" s="5"/>
      <c r="VQK66" s="5"/>
      <c r="VQL66" s="5"/>
      <c r="VQM66" s="5"/>
      <c r="VQN66" s="5"/>
      <c r="VQO66" s="5"/>
      <c r="VQP66" s="5"/>
      <c r="VQQ66" s="5"/>
      <c r="VQR66" s="5"/>
      <c r="VQS66" s="5"/>
      <c r="VQT66" s="5"/>
      <c r="VQU66" s="5"/>
      <c r="VQV66" s="5"/>
      <c r="VQW66" s="5"/>
      <c r="VQX66" s="5"/>
      <c r="VQY66" s="5"/>
      <c r="VQZ66" s="5"/>
      <c r="VRA66" s="5"/>
      <c r="VRB66" s="5"/>
      <c r="VRC66" s="5"/>
      <c r="VRD66" s="5"/>
      <c r="VRE66" s="5"/>
      <c r="VRF66" s="5"/>
      <c r="VRG66" s="5"/>
      <c r="VRH66" s="5"/>
      <c r="VRI66" s="5"/>
      <c r="VRJ66" s="5"/>
      <c r="VRK66" s="5"/>
      <c r="VRL66" s="5"/>
      <c r="VRM66" s="5"/>
      <c r="VRN66" s="5"/>
      <c r="VRO66" s="5"/>
      <c r="VRP66" s="5"/>
      <c r="VRQ66" s="5"/>
      <c r="VRR66" s="5"/>
      <c r="VRS66" s="5"/>
      <c r="VRT66" s="5"/>
      <c r="VRU66" s="5"/>
      <c r="VRV66" s="5"/>
      <c r="VRW66" s="5"/>
      <c r="VRX66" s="5"/>
      <c r="VRY66" s="5"/>
      <c r="VRZ66" s="5"/>
      <c r="VSA66" s="5"/>
      <c r="VSB66" s="5"/>
      <c r="VSC66" s="5"/>
      <c r="VSD66" s="5"/>
      <c r="VSE66" s="5"/>
      <c r="VSF66" s="5"/>
      <c r="VSG66" s="5"/>
      <c r="VSH66" s="5"/>
      <c r="VSI66" s="5"/>
      <c r="VSJ66" s="5"/>
      <c r="VSK66" s="5"/>
      <c r="VSL66" s="5"/>
      <c r="VSM66" s="5"/>
      <c r="VSN66" s="5"/>
      <c r="VSO66" s="5"/>
      <c r="VSP66" s="5"/>
      <c r="VSQ66" s="5"/>
      <c r="VSR66" s="5"/>
      <c r="VSS66" s="5"/>
      <c r="VST66" s="5"/>
      <c r="VSU66" s="5"/>
      <c r="VSV66" s="5"/>
      <c r="VSW66" s="5"/>
      <c r="VSX66" s="5"/>
      <c r="VSY66" s="5"/>
      <c r="VSZ66" s="5"/>
      <c r="VTA66" s="5"/>
      <c r="VTB66" s="5"/>
      <c r="VTC66" s="5"/>
      <c r="VTD66" s="5"/>
      <c r="VTE66" s="5"/>
      <c r="VTF66" s="5"/>
      <c r="VTG66" s="5"/>
      <c r="VTH66" s="5"/>
      <c r="VTI66" s="5"/>
      <c r="VTJ66" s="5"/>
      <c r="VTK66" s="5"/>
      <c r="VTL66" s="5"/>
      <c r="VTM66" s="5"/>
      <c r="VTN66" s="5"/>
      <c r="VTO66" s="5"/>
      <c r="VTP66" s="5"/>
      <c r="VTQ66" s="5"/>
      <c r="VTR66" s="5"/>
      <c r="VTS66" s="5"/>
      <c r="VTT66" s="5"/>
      <c r="VTU66" s="5"/>
      <c r="VTV66" s="5"/>
      <c r="VTW66" s="5"/>
      <c r="VTX66" s="5"/>
      <c r="VTY66" s="5"/>
      <c r="VTZ66" s="5"/>
      <c r="VUA66" s="5"/>
      <c r="VUB66" s="5"/>
      <c r="VUC66" s="5"/>
      <c r="VUD66" s="5"/>
      <c r="VUE66" s="5"/>
      <c r="VUF66" s="5"/>
      <c r="VUG66" s="5"/>
      <c r="VUH66" s="5"/>
      <c r="VUI66" s="5"/>
      <c r="VUJ66" s="5"/>
      <c r="VUK66" s="5"/>
      <c r="VUL66" s="5"/>
      <c r="VUM66" s="5"/>
      <c r="VUN66" s="5"/>
      <c r="VUO66" s="5"/>
      <c r="VUP66" s="5"/>
      <c r="VUQ66" s="5"/>
      <c r="VUR66" s="5"/>
      <c r="VUS66" s="5"/>
      <c r="VUT66" s="5"/>
      <c r="VUU66" s="5"/>
      <c r="VUV66" s="5"/>
      <c r="VUW66" s="5"/>
      <c r="VUX66" s="5"/>
      <c r="VUY66" s="5"/>
      <c r="VUZ66" s="5"/>
      <c r="VVA66" s="5"/>
      <c r="VVB66" s="5"/>
      <c r="VVC66" s="5"/>
      <c r="VVD66" s="5"/>
      <c r="VVE66" s="5"/>
      <c r="VVF66" s="5"/>
      <c r="VVG66" s="5"/>
      <c r="VVH66" s="5"/>
      <c r="VVI66" s="5"/>
      <c r="VVJ66" s="5"/>
      <c r="VVK66" s="5"/>
      <c r="VVL66" s="5"/>
      <c r="VVM66" s="5"/>
      <c r="VVN66" s="5"/>
      <c r="VVO66" s="5"/>
      <c r="VVP66" s="5"/>
      <c r="VVQ66" s="5"/>
      <c r="VVR66" s="5"/>
      <c r="VVS66" s="5"/>
      <c r="VVT66" s="5"/>
      <c r="VVU66" s="5"/>
      <c r="VVV66" s="5"/>
      <c r="VVW66" s="5"/>
      <c r="VVX66" s="5"/>
      <c r="VVY66" s="5"/>
      <c r="VVZ66" s="5"/>
      <c r="VWA66" s="5"/>
      <c r="VWB66" s="5"/>
      <c r="VWC66" s="5"/>
      <c r="VWD66" s="5"/>
      <c r="VWE66" s="5"/>
      <c r="VWF66" s="5"/>
      <c r="VWG66" s="5"/>
      <c r="VWH66" s="5"/>
      <c r="VWI66" s="5"/>
      <c r="VWJ66" s="5"/>
      <c r="VWK66" s="5"/>
      <c r="VWL66" s="5"/>
      <c r="VWM66" s="5"/>
      <c r="VWN66" s="5"/>
      <c r="VWO66" s="5"/>
      <c r="VWP66" s="5"/>
      <c r="VWQ66" s="5"/>
      <c r="VWR66" s="5"/>
      <c r="VWS66" s="5"/>
      <c r="VWT66" s="5"/>
      <c r="VWU66" s="5"/>
      <c r="VWV66" s="5"/>
      <c r="VWW66" s="5"/>
      <c r="VWX66" s="5"/>
      <c r="VWY66" s="5"/>
      <c r="VWZ66" s="5"/>
      <c r="VXA66" s="5"/>
      <c r="VXB66" s="5"/>
      <c r="VXC66" s="5"/>
      <c r="VXD66" s="5"/>
      <c r="VXE66" s="5"/>
      <c r="VXF66" s="5"/>
      <c r="VXG66" s="5"/>
      <c r="VXH66" s="5"/>
      <c r="VXI66" s="5"/>
      <c r="VXJ66" s="5"/>
      <c r="VXK66" s="5"/>
      <c r="VXL66" s="5"/>
      <c r="VXM66" s="5"/>
      <c r="VXN66" s="5"/>
      <c r="VXO66" s="5"/>
      <c r="VXP66" s="5"/>
      <c r="VXQ66" s="5"/>
      <c r="VXR66" s="5"/>
      <c r="VXS66" s="5"/>
      <c r="VXT66" s="5"/>
      <c r="VXU66" s="5"/>
      <c r="VXV66" s="5"/>
      <c r="VXW66" s="5"/>
      <c r="VXX66" s="5"/>
      <c r="VXY66" s="5"/>
      <c r="VXZ66" s="5"/>
      <c r="VYA66" s="5"/>
      <c r="VYB66" s="5"/>
      <c r="VYC66" s="5"/>
      <c r="VYD66" s="5"/>
      <c r="VYE66" s="5"/>
      <c r="VYF66" s="5"/>
      <c r="VYG66" s="5"/>
      <c r="VYH66" s="5"/>
      <c r="VYI66" s="5"/>
      <c r="VYJ66" s="5"/>
      <c r="VYK66" s="5"/>
      <c r="VYL66" s="5"/>
      <c r="VYM66" s="5"/>
      <c r="VYN66" s="5"/>
      <c r="VYO66" s="5"/>
      <c r="VYP66" s="5"/>
      <c r="VYQ66" s="5"/>
      <c r="VYR66" s="5"/>
      <c r="VYS66" s="5"/>
      <c r="VYT66" s="5"/>
      <c r="VYU66" s="5"/>
      <c r="VYV66" s="5"/>
      <c r="VYW66" s="5"/>
      <c r="VYX66" s="5"/>
      <c r="VYY66" s="5"/>
      <c r="VYZ66" s="5"/>
      <c r="VZA66" s="5"/>
      <c r="VZB66" s="5"/>
      <c r="VZC66" s="5"/>
      <c r="VZD66" s="5"/>
      <c r="VZE66" s="5"/>
      <c r="VZF66" s="5"/>
      <c r="VZG66" s="5"/>
      <c r="VZH66" s="5"/>
      <c r="VZI66" s="5"/>
      <c r="VZJ66" s="5"/>
      <c r="VZK66" s="5"/>
      <c r="VZL66" s="5"/>
      <c r="VZM66" s="5"/>
      <c r="VZN66" s="5"/>
      <c r="VZO66" s="5"/>
      <c r="VZP66" s="5"/>
      <c r="VZQ66" s="5"/>
      <c r="VZR66" s="5"/>
      <c r="VZS66" s="5"/>
      <c r="VZT66" s="5"/>
      <c r="VZU66" s="5"/>
      <c r="VZV66" s="5"/>
      <c r="VZW66" s="5"/>
      <c r="VZX66" s="5"/>
      <c r="VZY66" s="5"/>
      <c r="VZZ66" s="5"/>
      <c r="WAA66" s="5"/>
      <c r="WAB66" s="5"/>
      <c r="WAC66" s="5"/>
      <c r="WAD66" s="5"/>
      <c r="WAE66" s="5"/>
      <c r="WAF66" s="5"/>
      <c r="WAG66" s="5"/>
      <c r="WAH66" s="5"/>
      <c r="WAI66" s="5"/>
      <c r="WAJ66" s="5"/>
      <c r="WAK66" s="5"/>
      <c r="WAL66" s="5"/>
      <c r="WAM66" s="5"/>
      <c r="WAN66" s="5"/>
      <c r="WAO66" s="5"/>
      <c r="WAP66" s="5"/>
      <c r="WAQ66" s="5"/>
      <c r="WAR66" s="5"/>
      <c r="WAS66" s="5"/>
      <c r="WAT66" s="5"/>
      <c r="WAU66" s="5"/>
      <c r="WAV66" s="5"/>
      <c r="WAW66" s="5"/>
      <c r="WAX66" s="5"/>
      <c r="WAY66" s="5"/>
      <c r="WAZ66" s="5"/>
      <c r="WBA66" s="5"/>
      <c r="WBB66" s="5"/>
      <c r="WBC66" s="5"/>
      <c r="WBD66" s="5"/>
      <c r="WBE66" s="5"/>
      <c r="WBF66" s="5"/>
      <c r="WBG66" s="5"/>
      <c r="WBH66" s="5"/>
      <c r="WBI66" s="5"/>
      <c r="WBJ66" s="5"/>
      <c r="WBK66" s="5"/>
      <c r="WBL66" s="5"/>
      <c r="WBM66" s="5"/>
      <c r="WBN66" s="5"/>
      <c r="WBO66" s="5"/>
      <c r="WBP66" s="5"/>
      <c r="WBQ66" s="5"/>
      <c r="WBR66" s="5"/>
      <c r="WBS66" s="5"/>
      <c r="WBT66" s="5"/>
      <c r="WBU66" s="5"/>
      <c r="WBV66" s="5"/>
      <c r="WBW66" s="5"/>
      <c r="WBX66" s="5"/>
      <c r="WBY66" s="5"/>
      <c r="WBZ66" s="5"/>
      <c r="WCA66" s="5"/>
      <c r="WCB66" s="5"/>
      <c r="WCC66" s="5"/>
      <c r="WCD66" s="5"/>
      <c r="WCE66" s="5"/>
      <c r="WCF66" s="5"/>
      <c r="WCG66" s="5"/>
      <c r="WCH66" s="5"/>
      <c r="WCI66" s="5"/>
      <c r="WCJ66" s="5"/>
      <c r="WCK66" s="5"/>
      <c r="WCL66" s="5"/>
      <c r="WCM66" s="5"/>
      <c r="WCN66" s="5"/>
      <c r="WCO66" s="5"/>
      <c r="WCP66" s="5"/>
      <c r="WCQ66" s="5"/>
      <c r="WCR66" s="5"/>
      <c r="WCS66" s="5"/>
      <c r="WCT66" s="5"/>
      <c r="WCU66" s="5"/>
      <c r="WCV66" s="5"/>
      <c r="WCW66" s="5"/>
      <c r="WCX66" s="5"/>
      <c r="WCY66" s="5"/>
      <c r="WCZ66" s="5"/>
      <c r="WDA66" s="5"/>
      <c r="WDB66" s="5"/>
      <c r="WDC66" s="5"/>
      <c r="WDD66" s="5"/>
      <c r="WDE66" s="5"/>
      <c r="WDF66" s="5"/>
      <c r="WDG66" s="5"/>
      <c r="WDH66" s="5"/>
      <c r="WDI66" s="5"/>
      <c r="WDJ66" s="5"/>
      <c r="WDK66" s="5"/>
      <c r="WDL66" s="5"/>
      <c r="WDM66" s="5"/>
      <c r="WDN66" s="5"/>
      <c r="WDO66" s="5"/>
      <c r="WDP66" s="5"/>
      <c r="WDQ66" s="5"/>
      <c r="WDR66" s="5"/>
      <c r="WDS66" s="5"/>
      <c r="WDT66" s="5"/>
      <c r="WDU66" s="5"/>
      <c r="WDV66" s="5"/>
      <c r="WDW66" s="5"/>
      <c r="WDX66" s="5"/>
      <c r="WDY66" s="5"/>
      <c r="WDZ66" s="5"/>
      <c r="WEA66" s="5"/>
      <c r="WEB66" s="5"/>
      <c r="WEC66" s="5"/>
      <c r="WED66" s="5"/>
      <c r="WEE66" s="5"/>
      <c r="WEF66" s="5"/>
      <c r="WEG66" s="5"/>
      <c r="WEH66" s="5"/>
      <c r="WEI66" s="5"/>
      <c r="WEJ66" s="5"/>
      <c r="WEK66" s="5"/>
      <c r="WEL66" s="5"/>
      <c r="WEM66" s="5"/>
      <c r="WEN66" s="5"/>
      <c r="WEO66" s="5"/>
      <c r="WEP66" s="5"/>
      <c r="WEQ66" s="5"/>
      <c r="WER66" s="5"/>
      <c r="WES66" s="5"/>
      <c r="WET66" s="5"/>
      <c r="WEU66" s="5"/>
      <c r="WEV66" s="5"/>
      <c r="WEW66" s="5"/>
      <c r="WEX66" s="5"/>
      <c r="WEY66" s="5"/>
      <c r="WEZ66" s="5"/>
      <c r="WFA66" s="5"/>
      <c r="WFB66" s="5"/>
      <c r="WFC66" s="5"/>
      <c r="WFD66" s="5"/>
      <c r="WFE66" s="5"/>
      <c r="WFF66" s="5"/>
      <c r="WFG66" s="5"/>
      <c r="WFH66" s="5"/>
      <c r="WFI66" s="5"/>
      <c r="WFJ66" s="5"/>
      <c r="WFK66" s="5"/>
      <c r="WFL66" s="5"/>
      <c r="WFM66" s="5"/>
      <c r="WFN66" s="5"/>
      <c r="WFO66" s="5"/>
      <c r="WFP66" s="5"/>
      <c r="WFQ66" s="5"/>
      <c r="WFR66" s="5"/>
      <c r="WFS66" s="5"/>
      <c r="WFT66" s="5"/>
      <c r="WFU66" s="5"/>
      <c r="WFV66" s="5"/>
      <c r="WFW66" s="5"/>
      <c r="WFX66" s="5"/>
      <c r="WFY66" s="5"/>
      <c r="WFZ66" s="5"/>
      <c r="WGA66" s="5"/>
      <c r="WGB66" s="5"/>
      <c r="WGC66" s="5"/>
      <c r="WGD66" s="5"/>
      <c r="WGE66" s="5"/>
      <c r="WGF66" s="5"/>
      <c r="WGG66" s="5"/>
      <c r="WGH66" s="5"/>
      <c r="WGI66" s="5"/>
      <c r="WGJ66" s="5"/>
      <c r="WGK66" s="5"/>
      <c r="WGL66" s="5"/>
      <c r="WGM66" s="5"/>
      <c r="WGN66" s="5"/>
      <c r="WGO66" s="5"/>
      <c r="WGP66" s="5"/>
      <c r="WGQ66" s="5"/>
      <c r="WGR66" s="5"/>
      <c r="WGS66" s="5"/>
      <c r="WGT66" s="5"/>
      <c r="WGU66" s="5"/>
      <c r="WGV66" s="5"/>
      <c r="WGW66" s="5"/>
      <c r="WGX66" s="5"/>
      <c r="WGY66" s="5"/>
      <c r="WGZ66" s="5"/>
      <c r="WHA66" s="5"/>
      <c r="WHB66" s="5"/>
      <c r="WHC66" s="5"/>
      <c r="WHD66" s="5"/>
      <c r="WHE66" s="5"/>
      <c r="WHF66" s="5"/>
      <c r="WHG66" s="5"/>
      <c r="WHH66" s="5"/>
      <c r="WHI66" s="5"/>
      <c r="WHJ66" s="5"/>
      <c r="WHK66" s="5"/>
      <c r="WHL66" s="5"/>
      <c r="WHM66" s="5"/>
      <c r="WHN66" s="5"/>
      <c r="WHO66" s="5"/>
      <c r="WHP66" s="5"/>
      <c r="WHQ66" s="5"/>
      <c r="WHR66" s="5"/>
      <c r="WHS66" s="5"/>
      <c r="WHT66" s="5"/>
      <c r="WHU66" s="5"/>
      <c r="WHV66" s="5"/>
      <c r="WHW66" s="5"/>
      <c r="WHX66" s="5"/>
      <c r="WHY66" s="5"/>
      <c r="WHZ66" s="5"/>
      <c r="WIA66" s="5"/>
      <c r="WIB66" s="5"/>
      <c r="WIC66" s="5"/>
      <c r="WID66" s="5"/>
      <c r="WIE66" s="5"/>
      <c r="WIF66" s="5"/>
      <c r="WIG66" s="5"/>
      <c r="WIH66" s="5"/>
      <c r="WII66" s="5"/>
      <c r="WIJ66" s="5"/>
      <c r="WIK66" s="5"/>
      <c r="WIL66" s="5"/>
      <c r="WIM66" s="5"/>
      <c r="WIN66" s="5"/>
      <c r="WIO66" s="5"/>
      <c r="WIP66" s="5"/>
      <c r="WIQ66" s="5"/>
      <c r="WIR66" s="5"/>
      <c r="WIS66" s="5"/>
      <c r="WIT66" s="5"/>
      <c r="WIU66" s="5"/>
      <c r="WIV66" s="5"/>
      <c r="WIW66" s="5"/>
      <c r="WIX66" s="5"/>
      <c r="WIY66" s="5"/>
      <c r="WIZ66" s="5"/>
      <c r="WJA66" s="5"/>
      <c r="WJB66" s="5"/>
      <c r="WJC66" s="5"/>
      <c r="WJD66" s="5"/>
      <c r="WJE66" s="5"/>
      <c r="WJF66" s="5"/>
      <c r="WJG66" s="5"/>
      <c r="WJH66" s="5"/>
      <c r="WJI66" s="5"/>
      <c r="WJJ66" s="5"/>
      <c r="WJK66" s="5"/>
      <c r="WJL66" s="5"/>
      <c r="WJM66" s="5"/>
      <c r="WJN66" s="5"/>
      <c r="WJO66" s="5"/>
      <c r="WJP66" s="5"/>
      <c r="WJQ66" s="5"/>
      <c r="WJR66" s="5"/>
      <c r="WJS66" s="5"/>
      <c r="WJT66" s="5"/>
      <c r="WJU66" s="5"/>
      <c r="WJV66" s="5"/>
      <c r="WJW66" s="5"/>
      <c r="WJX66" s="5"/>
      <c r="WJY66" s="5"/>
      <c r="WJZ66" s="5"/>
      <c r="WKA66" s="5"/>
      <c r="WKB66" s="5"/>
      <c r="WKC66" s="5"/>
      <c r="WKD66" s="5"/>
      <c r="WKE66" s="5"/>
      <c r="WKF66" s="5"/>
      <c r="WKG66" s="5"/>
      <c r="WKH66" s="5"/>
      <c r="WKI66" s="5"/>
      <c r="WKJ66" s="5"/>
      <c r="WKK66" s="5"/>
      <c r="WKL66" s="5"/>
      <c r="WKM66" s="5"/>
      <c r="WKN66" s="5"/>
      <c r="WKO66" s="5"/>
      <c r="WKP66" s="5"/>
      <c r="WKQ66" s="5"/>
      <c r="WKR66" s="5"/>
      <c r="WKS66" s="5"/>
      <c r="WKT66" s="5"/>
      <c r="WKU66" s="5"/>
      <c r="WKV66" s="5"/>
      <c r="WKW66" s="5"/>
      <c r="WKX66" s="5"/>
      <c r="WKY66" s="5"/>
      <c r="WKZ66" s="5"/>
      <c r="WLA66" s="5"/>
      <c r="WLB66" s="5"/>
      <c r="WLC66" s="5"/>
      <c r="WLD66" s="5"/>
      <c r="WLE66" s="5"/>
      <c r="WLF66" s="5"/>
      <c r="WLG66" s="5"/>
      <c r="WLH66" s="5"/>
      <c r="WLI66" s="5"/>
      <c r="WLJ66" s="5"/>
      <c r="WLK66" s="5"/>
      <c r="WLL66" s="5"/>
      <c r="WLM66" s="5"/>
      <c r="WLN66" s="5"/>
      <c r="WLO66" s="5"/>
      <c r="WLP66" s="5"/>
      <c r="WLQ66" s="5"/>
      <c r="WLR66" s="5"/>
      <c r="WLS66" s="5"/>
      <c r="WLT66" s="5"/>
      <c r="WLU66" s="5"/>
      <c r="WLV66" s="5"/>
      <c r="WLW66" s="5"/>
      <c r="WLX66" s="5"/>
      <c r="WLY66" s="5"/>
      <c r="WLZ66" s="5"/>
      <c r="WMA66" s="5"/>
      <c r="WMB66" s="5"/>
      <c r="WMC66" s="5"/>
      <c r="WMD66" s="5"/>
      <c r="WME66" s="5"/>
      <c r="WMF66" s="5"/>
      <c r="WMG66" s="5"/>
      <c r="WMH66" s="5"/>
      <c r="WMI66" s="5"/>
      <c r="WMJ66" s="5"/>
      <c r="WMK66" s="5"/>
      <c r="WML66" s="5"/>
      <c r="WMM66" s="5"/>
      <c r="WMN66" s="5"/>
      <c r="WMO66" s="5"/>
      <c r="WMP66" s="5"/>
      <c r="WMQ66" s="5"/>
      <c r="WMR66" s="5"/>
      <c r="WMS66" s="5"/>
      <c r="WMT66" s="5"/>
      <c r="WMU66" s="5"/>
      <c r="WMV66" s="5"/>
      <c r="WMW66" s="5"/>
      <c r="WMX66" s="5"/>
      <c r="WMY66" s="5"/>
      <c r="WMZ66" s="5"/>
      <c r="WNA66" s="5"/>
      <c r="WNB66" s="5"/>
      <c r="WNC66" s="5"/>
      <c r="WND66" s="5"/>
      <c r="WNE66" s="5"/>
      <c r="WNF66" s="5"/>
      <c r="WNG66" s="5"/>
      <c r="WNH66" s="5"/>
      <c r="WNI66" s="5"/>
      <c r="WNJ66" s="5"/>
      <c r="WNK66" s="5"/>
      <c r="WNL66" s="5"/>
      <c r="WNM66" s="5"/>
      <c r="WNN66" s="5"/>
      <c r="WNO66" s="5"/>
      <c r="WNP66" s="5"/>
      <c r="WNQ66" s="5"/>
      <c r="WNR66" s="5"/>
      <c r="WNS66" s="5"/>
      <c r="WNT66" s="5"/>
      <c r="WNU66" s="5"/>
      <c r="WNV66" s="5"/>
      <c r="WNW66" s="5"/>
      <c r="WNX66" s="5"/>
      <c r="WNY66" s="5"/>
      <c r="WNZ66" s="5"/>
      <c r="WOA66" s="5"/>
      <c r="WOB66" s="5"/>
      <c r="WOC66" s="5"/>
      <c r="WOD66" s="5"/>
      <c r="WOE66" s="5"/>
      <c r="WOF66" s="5"/>
      <c r="WOG66" s="5"/>
      <c r="WOH66" s="5"/>
      <c r="WOI66" s="5"/>
      <c r="WOJ66" s="5"/>
      <c r="WOK66" s="5"/>
      <c r="WOL66" s="5"/>
      <c r="WOM66" s="5"/>
      <c r="WON66" s="5"/>
      <c r="WOO66" s="5"/>
      <c r="WOP66" s="5"/>
      <c r="WOQ66" s="5"/>
      <c r="WOR66" s="5"/>
      <c r="WOS66" s="5"/>
      <c r="WOT66" s="5"/>
      <c r="WOU66" s="5"/>
      <c r="WOV66" s="5"/>
      <c r="WOW66" s="5"/>
      <c r="WOX66" s="5"/>
      <c r="WOY66" s="5"/>
      <c r="WOZ66" s="5"/>
      <c r="WPA66" s="5"/>
      <c r="WPB66" s="5"/>
      <c r="WPC66" s="5"/>
      <c r="WPD66" s="5"/>
      <c r="WPE66" s="5"/>
      <c r="WPF66" s="5"/>
      <c r="WPG66" s="5"/>
      <c r="WPH66" s="5"/>
      <c r="WPI66" s="5"/>
      <c r="WPJ66" s="5"/>
      <c r="WPK66" s="5"/>
      <c r="WPL66" s="5"/>
      <c r="WPM66" s="5"/>
      <c r="WPN66" s="5"/>
      <c r="WPO66" s="5"/>
      <c r="WPP66" s="5"/>
      <c r="WPQ66" s="5"/>
      <c r="WPR66" s="5"/>
      <c r="WPS66" s="5"/>
      <c r="WPT66" s="5"/>
      <c r="WPU66" s="5"/>
      <c r="WPV66" s="5"/>
      <c r="WPW66" s="5"/>
      <c r="WPX66" s="5"/>
      <c r="WPY66" s="5"/>
      <c r="WPZ66" s="5"/>
      <c r="WQA66" s="5"/>
      <c r="WQB66" s="5"/>
      <c r="WQC66" s="5"/>
      <c r="WQD66" s="5"/>
      <c r="WQE66" s="5"/>
      <c r="WQF66" s="5"/>
      <c r="WQG66" s="5"/>
      <c r="WQH66" s="5"/>
      <c r="WQI66" s="5"/>
      <c r="WQJ66" s="5"/>
      <c r="WQK66" s="5"/>
      <c r="WQL66" s="5"/>
      <c r="WQM66" s="5"/>
      <c r="WQN66" s="5"/>
      <c r="WQO66" s="5"/>
      <c r="WQP66" s="5"/>
      <c r="WQQ66" s="5"/>
      <c r="WQR66" s="5"/>
      <c r="WQS66" s="5"/>
      <c r="WQT66" s="5"/>
      <c r="WQU66" s="5"/>
      <c r="WQV66" s="5"/>
      <c r="WQW66" s="5"/>
      <c r="WQX66" s="5"/>
      <c r="WQY66" s="5"/>
      <c r="WQZ66" s="5"/>
      <c r="WRA66" s="5"/>
      <c r="WRB66" s="5"/>
      <c r="WRC66" s="5"/>
      <c r="WRD66" s="5"/>
      <c r="WRE66" s="5"/>
      <c r="WRF66" s="5"/>
      <c r="WRG66" s="5"/>
      <c r="WRH66" s="5"/>
      <c r="WRI66" s="5"/>
      <c r="WRJ66" s="5"/>
      <c r="WRK66" s="5"/>
      <c r="WRL66" s="5"/>
      <c r="WRM66" s="5"/>
      <c r="WRN66" s="5"/>
      <c r="WRO66" s="5"/>
      <c r="WRP66" s="5"/>
      <c r="WRQ66" s="5"/>
      <c r="WRR66" s="5"/>
      <c r="WRS66" s="5"/>
      <c r="WRT66" s="5"/>
      <c r="WRU66" s="5"/>
      <c r="WRV66" s="5"/>
      <c r="WRW66" s="5"/>
      <c r="WRX66" s="5"/>
      <c r="WRY66" s="5"/>
      <c r="WRZ66" s="5"/>
      <c r="WSA66" s="5"/>
      <c r="WSB66" s="5"/>
      <c r="WSC66" s="5"/>
      <c r="WSD66" s="5"/>
      <c r="WSE66" s="5"/>
      <c r="WSF66" s="5"/>
      <c r="WSG66" s="5"/>
      <c r="WSH66" s="5"/>
      <c r="WSI66" s="5"/>
      <c r="WSJ66" s="5"/>
      <c r="WSK66" s="5"/>
      <c r="WSL66" s="5"/>
      <c r="WSM66" s="5"/>
      <c r="WSN66" s="5"/>
      <c r="WSO66" s="5"/>
      <c r="WSP66" s="5"/>
      <c r="WSQ66" s="5"/>
      <c r="WSR66" s="5"/>
      <c r="WSS66" s="5"/>
      <c r="WST66" s="5"/>
      <c r="WSU66" s="5"/>
      <c r="WSV66" s="5"/>
      <c r="WSW66" s="5"/>
      <c r="WSX66" s="5"/>
      <c r="WSY66" s="5"/>
      <c r="WSZ66" s="5"/>
      <c r="WTA66" s="5"/>
      <c r="WTB66" s="5"/>
      <c r="WTC66" s="5"/>
      <c r="WTD66" s="5"/>
      <c r="WTE66" s="5"/>
      <c r="WTF66" s="5"/>
      <c r="WTG66" s="5"/>
      <c r="WTH66" s="5"/>
      <c r="WTI66" s="5"/>
      <c r="WTJ66" s="5"/>
      <c r="WTK66" s="5"/>
      <c r="WTL66" s="5"/>
      <c r="WTM66" s="5"/>
      <c r="WTN66" s="5"/>
      <c r="WTO66" s="5"/>
      <c r="WTP66" s="5"/>
      <c r="WTQ66" s="5"/>
      <c r="WTR66" s="5"/>
      <c r="WTS66" s="5"/>
      <c r="WTT66" s="5"/>
      <c r="WTU66" s="5"/>
      <c r="WTV66" s="5"/>
      <c r="WTW66" s="5"/>
      <c r="WTX66" s="5"/>
      <c r="WTY66" s="5"/>
      <c r="WTZ66" s="5"/>
      <c r="WUA66" s="5"/>
      <c r="WUB66" s="5"/>
      <c r="WUC66" s="5"/>
      <c r="WUD66" s="5"/>
      <c r="WUE66" s="5"/>
      <c r="WUF66" s="5"/>
      <c r="WUG66" s="5"/>
      <c r="WUH66" s="5"/>
      <c r="WUI66" s="5"/>
      <c r="WUJ66" s="5"/>
      <c r="WUK66" s="5"/>
      <c r="WUL66" s="5"/>
      <c r="WUM66" s="5"/>
      <c r="WUN66" s="5"/>
      <c r="WUO66" s="5"/>
      <c r="WUP66" s="5"/>
      <c r="WUQ66" s="5"/>
      <c r="WUR66" s="5"/>
      <c r="WUS66" s="5"/>
      <c r="WUT66" s="5"/>
      <c r="WUU66" s="5"/>
      <c r="WUV66" s="5"/>
      <c r="WUW66" s="5"/>
      <c r="WUX66" s="5"/>
      <c r="WUY66" s="5"/>
      <c r="WUZ66" s="5"/>
      <c r="WVA66" s="5"/>
      <c r="WVB66" s="5"/>
      <c r="WVC66" s="5"/>
      <c r="WVD66" s="5"/>
      <c r="WVE66" s="5"/>
      <c r="WVF66" s="5"/>
      <c r="WVG66" s="5"/>
      <c r="WVH66" s="5"/>
      <c r="WVI66" s="5"/>
      <c r="WVJ66" s="5"/>
      <c r="WVK66" s="5"/>
      <c r="WVL66" s="5"/>
      <c r="WVM66" s="5"/>
      <c r="WVN66" s="5"/>
      <c r="WVO66" s="5"/>
      <c r="WVP66" s="5"/>
      <c r="WVQ66" s="5"/>
      <c r="WVR66" s="5"/>
      <c r="WVS66" s="5"/>
      <c r="WVT66" s="5"/>
      <c r="WVU66" s="5"/>
      <c r="WVV66" s="5"/>
      <c r="WVW66" s="5"/>
      <c r="WVX66" s="5"/>
      <c r="WVY66" s="5"/>
      <c r="WVZ66" s="5"/>
      <c r="WWA66" s="5"/>
      <c r="WWB66" s="5"/>
      <c r="WWC66" s="5"/>
      <c r="WWD66" s="5"/>
      <c r="WWE66" s="5"/>
      <c r="WWF66" s="5"/>
      <c r="WWG66" s="5"/>
      <c r="WWH66" s="5"/>
      <c r="WWI66" s="5"/>
      <c r="WWJ66" s="5"/>
      <c r="WWK66" s="5"/>
      <c r="WWL66" s="5"/>
      <c r="WWM66" s="5"/>
      <c r="WWN66" s="5"/>
      <c r="WWO66" s="5"/>
      <c r="WWP66" s="5"/>
      <c r="WWQ66" s="5"/>
      <c r="WWR66" s="5"/>
      <c r="WWS66" s="5"/>
      <c r="WWT66" s="5"/>
      <c r="WWU66" s="5"/>
      <c r="WWV66" s="5"/>
      <c r="WWW66" s="5"/>
      <c r="WWX66" s="5"/>
      <c r="WWY66" s="5"/>
      <c r="WWZ66" s="5"/>
      <c r="WXA66" s="5"/>
      <c r="WXB66" s="5"/>
      <c r="WXC66" s="5"/>
      <c r="WXD66" s="5"/>
      <c r="WXE66" s="5"/>
      <c r="WXF66" s="5"/>
      <c r="WXG66" s="5"/>
      <c r="WXH66" s="5"/>
      <c r="WXI66" s="5"/>
      <c r="WXJ66" s="5"/>
      <c r="WXK66" s="5"/>
      <c r="WXL66" s="5"/>
      <c r="WXM66" s="5"/>
      <c r="WXN66" s="5"/>
      <c r="WXO66" s="5"/>
      <c r="WXP66" s="5"/>
      <c r="WXQ66" s="5"/>
      <c r="WXR66" s="5"/>
      <c r="WXS66" s="5"/>
      <c r="WXT66" s="5"/>
      <c r="WXU66" s="5"/>
      <c r="WXV66" s="5"/>
      <c r="WXW66" s="5"/>
      <c r="WXX66" s="5"/>
      <c r="WXY66" s="5"/>
      <c r="WXZ66" s="5"/>
      <c r="WYA66" s="5"/>
      <c r="WYB66" s="5"/>
      <c r="WYC66" s="5"/>
      <c r="WYD66" s="5"/>
      <c r="WYE66" s="5"/>
      <c r="WYF66" s="5"/>
      <c r="WYG66" s="5"/>
      <c r="WYH66" s="5"/>
      <c r="WYI66" s="5"/>
      <c r="WYJ66" s="5"/>
      <c r="WYK66" s="5"/>
      <c r="WYL66" s="5"/>
      <c r="WYM66" s="5"/>
      <c r="WYN66" s="5"/>
      <c r="WYO66" s="5"/>
      <c r="WYP66" s="5"/>
      <c r="WYQ66" s="5"/>
      <c r="WYR66" s="5"/>
      <c r="WYS66" s="5"/>
      <c r="WYT66" s="5"/>
      <c r="WYU66" s="5"/>
      <c r="WYV66" s="5"/>
      <c r="WYW66" s="5"/>
      <c r="WYX66" s="5"/>
      <c r="WYY66" s="5"/>
      <c r="WYZ66" s="5"/>
      <c r="WZA66" s="5"/>
      <c r="WZB66" s="5"/>
      <c r="WZC66" s="5"/>
      <c r="WZD66" s="5"/>
      <c r="WZE66" s="5"/>
      <c r="WZF66" s="5"/>
      <c r="WZG66" s="5"/>
      <c r="WZH66" s="5"/>
      <c r="WZI66" s="5"/>
      <c r="WZJ66" s="5"/>
      <c r="WZK66" s="5"/>
      <c r="WZL66" s="5"/>
      <c r="WZM66" s="5"/>
      <c r="WZN66" s="5"/>
      <c r="WZO66" s="5"/>
      <c r="WZP66" s="5"/>
      <c r="WZQ66" s="5"/>
      <c r="WZR66" s="5"/>
      <c r="WZS66" s="5"/>
      <c r="WZT66" s="5"/>
      <c r="WZU66" s="5"/>
      <c r="WZV66" s="5"/>
      <c r="WZW66" s="5"/>
      <c r="WZX66" s="5"/>
      <c r="WZY66" s="5"/>
      <c r="WZZ66" s="5"/>
      <c r="XAA66" s="5"/>
      <c r="XAB66" s="5"/>
      <c r="XAC66" s="5"/>
      <c r="XAD66" s="5"/>
      <c r="XAE66" s="5"/>
      <c r="XAF66" s="5"/>
      <c r="XAG66" s="5"/>
      <c r="XAH66" s="5"/>
      <c r="XAI66" s="5"/>
      <c r="XAJ66" s="5"/>
      <c r="XAK66" s="5"/>
      <c r="XAL66" s="5"/>
      <c r="XAM66" s="5"/>
      <c r="XAN66" s="5"/>
      <c r="XAO66" s="5"/>
      <c r="XAP66" s="5"/>
      <c r="XAQ66" s="5"/>
      <c r="XAR66" s="5"/>
      <c r="XAS66" s="5"/>
      <c r="XAT66" s="5"/>
      <c r="XAU66" s="5"/>
      <c r="XAV66" s="5"/>
      <c r="XAW66" s="5"/>
      <c r="XAX66" s="5"/>
      <c r="XAY66" s="5"/>
      <c r="XAZ66" s="5"/>
      <c r="XBA66" s="5"/>
      <c r="XBB66" s="5"/>
      <c r="XBC66" s="5"/>
      <c r="XBD66" s="5"/>
      <c r="XBE66" s="5"/>
      <c r="XBF66" s="5"/>
      <c r="XBG66" s="5"/>
      <c r="XBH66" s="5"/>
      <c r="XBI66" s="5"/>
      <c r="XBJ66" s="5"/>
      <c r="XBK66" s="5"/>
      <c r="XBL66" s="5"/>
      <c r="XBM66" s="5"/>
      <c r="XBN66" s="5"/>
      <c r="XBO66" s="5"/>
      <c r="XBP66" s="5"/>
      <c r="XBQ66" s="5"/>
      <c r="XBR66" s="5"/>
      <c r="XBS66" s="5"/>
      <c r="XBT66" s="5"/>
      <c r="XBU66" s="5"/>
      <c r="XBV66" s="5"/>
      <c r="XBW66" s="5"/>
      <c r="XBX66" s="5"/>
      <c r="XBY66" s="5"/>
      <c r="XBZ66" s="5"/>
      <c r="XCA66" s="5"/>
      <c r="XCB66" s="5"/>
      <c r="XCC66" s="5"/>
      <c r="XCD66" s="5"/>
      <c r="XCE66" s="5"/>
      <c r="XCF66" s="5"/>
      <c r="XCG66" s="5"/>
      <c r="XCH66" s="5"/>
      <c r="XCI66" s="5"/>
      <c r="XCJ66" s="5"/>
      <c r="XCK66" s="5"/>
      <c r="XCL66" s="5"/>
      <c r="XCM66" s="5"/>
      <c r="XCN66" s="5"/>
      <c r="XCO66" s="5"/>
      <c r="XCP66" s="5"/>
      <c r="XCQ66" s="5"/>
      <c r="XCR66" s="5"/>
      <c r="XCS66" s="5"/>
      <c r="XCT66" s="5"/>
      <c r="XCU66" s="5"/>
      <c r="XCV66" s="5"/>
      <c r="XCW66" s="5"/>
      <c r="XCX66" s="5"/>
      <c r="XCY66" s="5"/>
      <c r="XCZ66" s="5"/>
      <c r="XDA66" s="5"/>
      <c r="XDB66" s="5"/>
      <c r="XDC66" s="5"/>
      <c r="XDD66" s="5"/>
      <c r="XDE66" s="5"/>
      <c r="XDF66" s="5"/>
      <c r="XDG66" s="5"/>
      <c r="XDH66" s="5"/>
      <c r="XDI66" s="5"/>
      <c r="XDJ66" s="5"/>
      <c r="XDK66" s="5"/>
      <c r="XDL66" s="5"/>
      <c r="XDM66" s="5"/>
      <c r="XDN66" s="5"/>
      <c r="XDO66" s="5"/>
      <c r="XDP66" s="5"/>
      <c r="XDQ66" s="5"/>
      <c r="XDR66" s="5"/>
      <c r="XDS66" s="5"/>
      <c r="XDT66" s="5"/>
      <c r="XDU66" s="5"/>
      <c r="XDV66" s="5"/>
      <c r="XDW66" s="5"/>
      <c r="XDX66" s="5"/>
      <c r="XDY66" s="5"/>
      <c r="XDZ66" s="5"/>
      <c r="XEA66" s="5"/>
      <c r="XEB66" s="5"/>
      <c r="XEC66" s="5"/>
    </row>
    <row r="67" spans="1:16357" s="4" customFormat="1" ht="28.5" customHeight="1">
      <c r="A67" s="5"/>
      <c r="B67" s="5"/>
      <c r="I67" s="58"/>
      <c r="Y67" s="39"/>
      <c r="AD67" s="39"/>
      <c r="AI67" s="39"/>
      <c r="AK67" s="91"/>
      <c r="AL67" s="5"/>
      <c r="AO67" s="39"/>
      <c r="AT67" s="39"/>
      <c r="AY67" s="39"/>
      <c r="BD67" s="39"/>
      <c r="BF67" s="637"/>
      <c r="BI67" s="39"/>
      <c r="BK67" s="631"/>
      <c r="BN67" s="39"/>
      <c r="BP67" s="631"/>
      <c r="BS67" s="39"/>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row>
  </sheetData>
  <mergeCells count="2919">
    <mergeCell ref="BL2:BP2"/>
    <mergeCell ref="BQ2:BU2"/>
    <mergeCell ref="BV2:BZ2"/>
    <mergeCell ref="CA2:CE2"/>
    <mergeCell ref="C3:G3"/>
    <mergeCell ref="H3:L3"/>
    <mergeCell ref="M3:Q3"/>
    <mergeCell ref="R3:V3"/>
    <mergeCell ref="W3:AA3"/>
    <mergeCell ref="AB3:AF3"/>
    <mergeCell ref="AG2:AK2"/>
    <mergeCell ref="AM2:AQ2"/>
    <mergeCell ref="AR2:AV2"/>
    <mergeCell ref="AW2:BA2"/>
    <mergeCell ref="BB2:BF2"/>
    <mergeCell ref="BG2:BK2"/>
    <mergeCell ref="C2:G2"/>
    <mergeCell ref="H2:L2"/>
    <mergeCell ref="M2:Q2"/>
    <mergeCell ref="R2:V2"/>
    <mergeCell ref="W2:AA2"/>
    <mergeCell ref="AB2:AF2"/>
    <mergeCell ref="CO48:DE48"/>
    <mergeCell ref="DF48:DV48"/>
    <mergeCell ref="DW48:EM48"/>
    <mergeCell ref="EN48:FD48"/>
    <mergeCell ref="FE48:FU48"/>
    <mergeCell ref="FV48:GL48"/>
    <mergeCell ref="BL3:BP3"/>
    <mergeCell ref="BQ3:BU3"/>
    <mergeCell ref="BV3:BZ3"/>
    <mergeCell ref="CA3:CE3"/>
    <mergeCell ref="S48:AG48"/>
    <mergeCell ref="AX48:BM48"/>
    <mergeCell ref="BN48:BP48"/>
    <mergeCell ref="BQ48:BU48"/>
    <mergeCell ref="BY48:CN48"/>
    <mergeCell ref="AG3:AK3"/>
    <mergeCell ref="AM3:AQ3"/>
    <mergeCell ref="AR3:AV3"/>
    <mergeCell ref="AW3:BA3"/>
    <mergeCell ref="BB3:BF3"/>
    <mergeCell ref="BG3:BK3"/>
    <mergeCell ref="OI48:OY48"/>
    <mergeCell ref="OZ48:PP48"/>
    <mergeCell ref="PQ48:QG48"/>
    <mergeCell ref="QH48:QX48"/>
    <mergeCell ref="QY48:RO48"/>
    <mergeCell ref="RP48:SF48"/>
    <mergeCell ref="KK48:LA48"/>
    <mergeCell ref="LB48:LR48"/>
    <mergeCell ref="LS48:MI48"/>
    <mergeCell ref="MJ48:MZ48"/>
    <mergeCell ref="NA48:NQ48"/>
    <mergeCell ref="NR48:OH48"/>
    <mergeCell ref="GM48:HC48"/>
    <mergeCell ref="HD48:HT48"/>
    <mergeCell ref="HU48:IK48"/>
    <mergeCell ref="IL48:JB48"/>
    <mergeCell ref="JC48:JS48"/>
    <mergeCell ref="JT48:KJ48"/>
    <mergeCell ref="AAC48:AAS48"/>
    <mergeCell ref="AAT48:ABJ48"/>
    <mergeCell ref="ABK48:ACA48"/>
    <mergeCell ref="ACB48:ACR48"/>
    <mergeCell ref="ACS48:ADI48"/>
    <mergeCell ref="ADJ48:ADZ48"/>
    <mergeCell ref="WE48:WU48"/>
    <mergeCell ref="WV48:XL48"/>
    <mergeCell ref="XM48:YC48"/>
    <mergeCell ref="YD48:YT48"/>
    <mergeCell ref="YU48:ZK48"/>
    <mergeCell ref="ZL48:AAB48"/>
    <mergeCell ref="SG48:SW48"/>
    <mergeCell ref="SX48:TN48"/>
    <mergeCell ref="TO48:UE48"/>
    <mergeCell ref="UF48:UV48"/>
    <mergeCell ref="UW48:VM48"/>
    <mergeCell ref="VN48:WD48"/>
    <mergeCell ref="ALW48:AMM48"/>
    <mergeCell ref="AMN48:AND48"/>
    <mergeCell ref="ANE48:ANU48"/>
    <mergeCell ref="ANV48:AOL48"/>
    <mergeCell ref="AOM48:APC48"/>
    <mergeCell ref="APD48:APT48"/>
    <mergeCell ref="AHY48:AIO48"/>
    <mergeCell ref="AIP48:AJF48"/>
    <mergeCell ref="AJG48:AJW48"/>
    <mergeCell ref="AJX48:AKN48"/>
    <mergeCell ref="AKO48:ALE48"/>
    <mergeCell ref="ALF48:ALV48"/>
    <mergeCell ref="AEA48:AEQ48"/>
    <mergeCell ref="AER48:AFH48"/>
    <mergeCell ref="AFI48:AFY48"/>
    <mergeCell ref="AFZ48:AGP48"/>
    <mergeCell ref="AGQ48:AHG48"/>
    <mergeCell ref="AHH48:AHX48"/>
    <mergeCell ref="AXQ48:AYG48"/>
    <mergeCell ref="AYH48:AYX48"/>
    <mergeCell ref="AYY48:AZO48"/>
    <mergeCell ref="AZP48:BAF48"/>
    <mergeCell ref="BAG48:BAW48"/>
    <mergeCell ref="BAX48:BBN48"/>
    <mergeCell ref="ATS48:AUI48"/>
    <mergeCell ref="AUJ48:AUZ48"/>
    <mergeCell ref="AVA48:AVQ48"/>
    <mergeCell ref="AVR48:AWH48"/>
    <mergeCell ref="AWI48:AWY48"/>
    <mergeCell ref="AWZ48:AXP48"/>
    <mergeCell ref="APU48:AQK48"/>
    <mergeCell ref="AQL48:ARB48"/>
    <mergeCell ref="ARC48:ARS48"/>
    <mergeCell ref="ART48:ASJ48"/>
    <mergeCell ref="ASK48:ATA48"/>
    <mergeCell ref="ATB48:ATR48"/>
    <mergeCell ref="BJK48:BKA48"/>
    <mergeCell ref="BKB48:BKR48"/>
    <mergeCell ref="BKS48:BLI48"/>
    <mergeCell ref="BLJ48:BLZ48"/>
    <mergeCell ref="BMA48:BMQ48"/>
    <mergeCell ref="BMR48:BNH48"/>
    <mergeCell ref="BFM48:BGC48"/>
    <mergeCell ref="BGD48:BGT48"/>
    <mergeCell ref="BGU48:BHK48"/>
    <mergeCell ref="BHL48:BIB48"/>
    <mergeCell ref="BIC48:BIS48"/>
    <mergeCell ref="BIT48:BJJ48"/>
    <mergeCell ref="BBO48:BCE48"/>
    <mergeCell ref="BCF48:BCV48"/>
    <mergeCell ref="BCW48:BDM48"/>
    <mergeCell ref="BDN48:BED48"/>
    <mergeCell ref="BEE48:BEU48"/>
    <mergeCell ref="BEV48:BFL48"/>
    <mergeCell ref="BVE48:BVU48"/>
    <mergeCell ref="BVV48:BWL48"/>
    <mergeCell ref="BWM48:BXC48"/>
    <mergeCell ref="BXD48:BXT48"/>
    <mergeCell ref="BXU48:BYK48"/>
    <mergeCell ref="BYL48:BZB48"/>
    <mergeCell ref="BRG48:BRW48"/>
    <mergeCell ref="BRX48:BSN48"/>
    <mergeCell ref="BSO48:BTE48"/>
    <mergeCell ref="BTF48:BTV48"/>
    <mergeCell ref="BTW48:BUM48"/>
    <mergeCell ref="BUN48:BVD48"/>
    <mergeCell ref="BNI48:BNY48"/>
    <mergeCell ref="BNZ48:BOP48"/>
    <mergeCell ref="BOQ48:BPG48"/>
    <mergeCell ref="BPH48:BPX48"/>
    <mergeCell ref="BPY48:BQO48"/>
    <mergeCell ref="BQP48:BRF48"/>
    <mergeCell ref="CGY48:CHO48"/>
    <mergeCell ref="CHP48:CIF48"/>
    <mergeCell ref="CIG48:CIW48"/>
    <mergeCell ref="CIX48:CJN48"/>
    <mergeCell ref="CJO48:CKE48"/>
    <mergeCell ref="CKF48:CKV48"/>
    <mergeCell ref="CDA48:CDQ48"/>
    <mergeCell ref="CDR48:CEH48"/>
    <mergeCell ref="CEI48:CEY48"/>
    <mergeCell ref="CEZ48:CFP48"/>
    <mergeCell ref="CFQ48:CGG48"/>
    <mergeCell ref="CGH48:CGX48"/>
    <mergeCell ref="BZC48:BZS48"/>
    <mergeCell ref="BZT48:CAJ48"/>
    <mergeCell ref="CAK48:CBA48"/>
    <mergeCell ref="CBB48:CBR48"/>
    <mergeCell ref="CBS48:CCI48"/>
    <mergeCell ref="CCJ48:CCZ48"/>
    <mergeCell ref="CSS48:CTI48"/>
    <mergeCell ref="CTJ48:CTZ48"/>
    <mergeCell ref="CUA48:CUQ48"/>
    <mergeCell ref="CUR48:CVH48"/>
    <mergeCell ref="CVI48:CVY48"/>
    <mergeCell ref="CVZ48:CWP48"/>
    <mergeCell ref="COU48:CPK48"/>
    <mergeCell ref="CPL48:CQB48"/>
    <mergeCell ref="CQC48:CQS48"/>
    <mergeCell ref="CQT48:CRJ48"/>
    <mergeCell ref="CRK48:CSA48"/>
    <mergeCell ref="CSB48:CSR48"/>
    <mergeCell ref="CKW48:CLM48"/>
    <mergeCell ref="CLN48:CMD48"/>
    <mergeCell ref="CME48:CMU48"/>
    <mergeCell ref="CMV48:CNL48"/>
    <mergeCell ref="CNM48:COC48"/>
    <mergeCell ref="COD48:COT48"/>
    <mergeCell ref="DEM48:DFC48"/>
    <mergeCell ref="DFD48:DFT48"/>
    <mergeCell ref="DFU48:DGK48"/>
    <mergeCell ref="DGL48:DHB48"/>
    <mergeCell ref="DHC48:DHS48"/>
    <mergeCell ref="DHT48:DIJ48"/>
    <mergeCell ref="DAO48:DBE48"/>
    <mergeCell ref="DBF48:DBV48"/>
    <mergeCell ref="DBW48:DCM48"/>
    <mergeCell ref="DCN48:DDD48"/>
    <mergeCell ref="DDE48:DDU48"/>
    <mergeCell ref="DDV48:DEL48"/>
    <mergeCell ref="CWQ48:CXG48"/>
    <mergeCell ref="CXH48:CXX48"/>
    <mergeCell ref="CXY48:CYO48"/>
    <mergeCell ref="CYP48:CZF48"/>
    <mergeCell ref="CZG48:CZW48"/>
    <mergeCell ref="CZX48:DAN48"/>
    <mergeCell ref="DQG48:DQW48"/>
    <mergeCell ref="DQX48:DRN48"/>
    <mergeCell ref="DRO48:DSE48"/>
    <mergeCell ref="DSF48:DSV48"/>
    <mergeCell ref="DSW48:DTM48"/>
    <mergeCell ref="DTN48:DUD48"/>
    <mergeCell ref="DMI48:DMY48"/>
    <mergeCell ref="DMZ48:DNP48"/>
    <mergeCell ref="DNQ48:DOG48"/>
    <mergeCell ref="DOH48:DOX48"/>
    <mergeCell ref="DOY48:DPO48"/>
    <mergeCell ref="DPP48:DQF48"/>
    <mergeCell ref="DIK48:DJA48"/>
    <mergeCell ref="DJB48:DJR48"/>
    <mergeCell ref="DJS48:DKI48"/>
    <mergeCell ref="DKJ48:DKZ48"/>
    <mergeCell ref="DLA48:DLQ48"/>
    <mergeCell ref="DLR48:DMH48"/>
    <mergeCell ref="ECA48:ECQ48"/>
    <mergeCell ref="ECR48:EDH48"/>
    <mergeCell ref="EDI48:EDY48"/>
    <mergeCell ref="EDZ48:EEP48"/>
    <mergeCell ref="EEQ48:EFG48"/>
    <mergeCell ref="EFH48:EFX48"/>
    <mergeCell ref="DYC48:DYS48"/>
    <mergeCell ref="DYT48:DZJ48"/>
    <mergeCell ref="DZK48:EAA48"/>
    <mergeCell ref="EAB48:EAR48"/>
    <mergeCell ref="EAS48:EBI48"/>
    <mergeCell ref="EBJ48:EBZ48"/>
    <mergeCell ref="DUE48:DUU48"/>
    <mergeCell ref="DUV48:DVL48"/>
    <mergeCell ref="DVM48:DWC48"/>
    <mergeCell ref="DWD48:DWT48"/>
    <mergeCell ref="DWU48:DXK48"/>
    <mergeCell ref="DXL48:DYB48"/>
    <mergeCell ref="ENU48:EOK48"/>
    <mergeCell ref="EOL48:EPB48"/>
    <mergeCell ref="EPC48:EPS48"/>
    <mergeCell ref="EPT48:EQJ48"/>
    <mergeCell ref="EQK48:ERA48"/>
    <mergeCell ref="ERB48:ERR48"/>
    <mergeCell ref="EJW48:EKM48"/>
    <mergeCell ref="EKN48:ELD48"/>
    <mergeCell ref="ELE48:ELU48"/>
    <mergeCell ref="ELV48:EML48"/>
    <mergeCell ref="EMM48:ENC48"/>
    <mergeCell ref="END48:ENT48"/>
    <mergeCell ref="EFY48:EGO48"/>
    <mergeCell ref="EGP48:EHF48"/>
    <mergeCell ref="EHG48:EHW48"/>
    <mergeCell ref="EHX48:EIN48"/>
    <mergeCell ref="EIO48:EJE48"/>
    <mergeCell ref="EJF48:EJV48"/>
    <mergeCell ref="EZO48:FAE48"/>
    <mergeCell ref="FAF48:FAV48"/>
    <mergeCell ref="FAW48:FBM48"/>
    <mergeCell ref="FBN48:FCD48"/>
    <mergeCell ref="FCE48:FCU48"/>
    <mergeCell ref="FCV48:FDL48"/>
    <mergeCell ref="EVQ48:EWG48"/>
    <mergeCell ref="EWH48:EWX48"/>
    <mergeCell ref="EWY48:EXO48"/>
    <mergeCell ref="EXP48:EYF48"/>
    <mergeCell ref="EYG48:EYW48"/>
    <mergeCell ref="EYX48:EZN48"/>
    <mergeCell ref="ERS48:ESI48"/>
    <mergeCell ref="ESJ48:ESZ48"/>
    <mergeCell ref="ETA48:ETQ48"/>
    <mergeCell ref="ETR48:EUH48"/>
    <mergeCell ref="EUI48:EUY48"/>
    <mergeCell ref="EUZ48:EVP48"/>
    <mergeCell ref="FLI48:FLY48"/>
    <mergeCell ref="FLZ48:FMP48"/>
    <mergeCell ref="FMQ48:FNG48"/>
    <mergeCell ref="FNH48:FNX48"/>
    <mergeCell ref="FNY48:FOO48"/>
    <mergeCell ref="FOP48:FPF48"/>
    <mergeCell ref="FHK48:FIA48"/>
    <mergeCell ref="FIB48:FIR48"/>
    <mergeCell ref="FIS48:FJI48"/>
    <mergeCell ref="FJJ48:FJZ48"/>
    <mergeCell ref="FKA48:FKQ48"/>
    <mergeCell ref="FKR48:FLH48"/>
    <mergeCell ref="FDM48:FEC48"/>
    <mergeCell ref="FED48:FET48"/>
    <mergeCell ref="FEU48:FFK48"/>
    <mergeCell ref="FFL48:FGB48"/>
    <mergeCell ref="FGC48:FGS48"/>
    <mergeCell ref="FGT48:FHJ48"/>
    <mergeCell ref="FXC48:FXS48"/>
    <mergeCell ref="FXT48:FYJ48"/>
    <mergeCell ref="FYK48:FZA48"/>
    <mergeCell ref="FZB48:FZR48"/>
    <mergeCell ref="FZS48:GAI48"/>
    <mergeCell ref="GAJ48:GAZ48"/>
    <mergeCell ref="FTE48:FTU48"/>
    <mergeCell ref="FTV48:FUL48"/>
    <mergeCell ref="FUM48:FVC48"/>
    <mergeCell ref="FVD48:FVT48"/>
    <mergeCell ref="FVU48:FWK48"/>
    <mergeCell ref="FWL48:FXB48"/>
    <mergeCell ref="FPG48:FPW48"/>
    <mergeCell ref="FPX48:FQN48"/>
    <mergeCell ref="FQO48:FRE48"/>
    <mergeCell ref="FRF48:FRV48"/>
    <mergeCell ref="FRW48:FSM48"/>
    <mergeCell ref="FSN48:FTD48"/>
    <mergeCell ref="GIW48:GJM48"/>
    <mergeCell ref="GJN48:GKD48"/>
    <mergeCell ref="GKE48:GKU48"/>
    <mergeCell ref="GKV48:GLL48"/>
    <mergeCell ref="GLM48:GMC48"/>
    <mergeCell ref="GMD48:GMT48"/>
    <mergeCell ref="GEY48:GFO48"/>
    <mergeCell ref="GFP48:GGF48"/>
    <mergeCell ref="GGG48:GGW48"/>
    <mergeCell ref="GGX48:GHN48"/>
    <mergeCell ref="GHO48:GIE48"/>
    <mergeCell ref="GIF48:GIV48"/>
    <mergeCell ref="GBA48:GBQ48"/>
    <mergeCell ref="GBR48:GCH48"/>
    <mergeCell ref="GCI48:GCY48"/>
    <mergeCell ref="GCZ48:GDP48"/>
    <mergeCell ref="GDQ48:GEG48"/>
    <mergeCell ref="GEH48:GEX48"/>
    <mergeCell ref="GUQ48:GVG48"/>
    <mergeCell ref="GVH48:GVX48"/>
    <mergeCell ref="GVY48:GWO48"/>
    <mergeCell ref="GWP48:GXF48"/>
    <mergeCell ref="GXG48:GXW48"/>
    <mergeCell ref="GXX48:GYN48"/>
    <mergeCell ref="GQS48:GRI48"/>
    <mergeCell ref="GRJ48:GRZ48"/>
    <mergeCell ref="GSA48:GSQ48"/>
    <mergeCell ref="GSR48:GTH48"/>
    <mergeCell ref="GTI48:GTY48"/>
    <mergeCell ref="GTZ48:GUP48"/>
    <mergeCell ref="GMU48:GNK48"/>
    <mergeCell ref="GNL48:GOB48"/>
    <mergeCell ref="GOC48:GOS48"/>
    <mergeCell ref="GOT48:GPJ48"/>
    <mergeCell ref="GPK48:GQA48"/>
    <mergeCell ref="GQB48:GQR48"/>
    <mergeCell ref="HGK48:HHA48"/>
    <mergeCell ref="HHB48:HHR48"/>
    <mergeCell ref="HHS48:HII48"/>
    <mergeCell ref="HIJ48:HIZ48"/>
    <mergeCell ref="HJA48:HJQ48"/>
    <mergeCell ref="HJR48:HKH48"/>
    <mergeCell ref="HCM48:HDC48"/>
    <mergeCell ref="HDD48:HDT48"/>
    <mergeCell ref="HDU48:HEK48"/>
    <mergeCell ref="HEL48:HFB48"/>
    <mergeCell ref="HFC48:HFS48"/>
    <mergeCell ref="HFT48:HGJ48"/>
    <mergeCell ref="GYO48:GZE48"/>
    <mergeCell ref="GZF48:GZV48"/>
    <mergeCell ref="GZW48:HAM48"/>
    <mergeCell ref="HAN48:HBD48"/>
    <mergeCell ref="HBE48:HBU48"/>
    <mergeCell ref="HBV48:HCL48"/>
    <mergeCell ref="HSE48:HSU48"/>
    <mergeCell ref="HSV48:HTL48"/>
    <mergeCell ref="HTM48:HUC48"/>
    <mergeCell ref="HUD48:HUT48"/>
    <mergeCell ref="HUU48:HVK48"/>
    <mergeCell ref="HVL48:HWB48"/>
    <mergeCell ref="HOG48:HOW48"/>
    <mergeCell ref="HOX48:HPN48"/>
    <mergeCell ref="HPO48:HQE48"/>
    <mergeCell ref="HQF48:HQV48"/>
    <mergeCell ref="HQW48:HRM48"/>
    <mergeCell ref="HRN48:HSD48"/>
    <mergeCell ref="HKI48:HKY48"/>
    <mergeCell ref="HKZ48:HLP48"/>
    <mergeCell ref="HLQ48:HMG48"/>
    <mergeCell ref="HMH48:HMX48"/>
    <mergeCell ref="HMY48:HNO48"/>
    <mergeCell ref="HNP48:HOF48"/>
    <mergeCell ref="IDY48:IEO48"/>
    <mergeCell ref="IEP48:IFF48"/>
    <mergeCell ref="IFG48:IFW48"/>
    <mergeCell ref="IFX48:IGN48"/>
    <mergeCell ref="IGO48:IHE48"/>
    <mergeCell ref="IHF48:IHV48"/>
    <mergeCell ref="IAA48:IAQ48"/>
    <mergeCell ref="IAR48:IBH48"/>
    <mergeCell ref="IBI48:IBY48"/>
    <mergeCell ref="IBZ48:ICP48"/>
    <mergeCell ref="ICQ48:IDG48"/>
    <mergeCell ref="IDH48:IDX48"/>
    <mergeCell ref="HWC48:HWS48"/>
    <mergeCell ref="HWT48:HXJ48"/>
    <mergeCell ref="HXK48:HYA48"/>
    <mergeCell ref="HYB48:HYR48"/>
    <mergeCell ref="HYS48:HZI48"/>
    <mergeCell ref="HZJ48:HZZ48"/>
    <mergeCell ref="IPS48:IQI48"/>
    <mergeCell ref="IQJ48:IQZ48"/>
    <mergeCell ref="IRA48:IRQ48"/>
    <mergeCell ref="IRR48:ISH48"/>
    <mergeCell ref="ISI48:ISY48"/>
    <mergeCell ref="ISZ48:ITP48"/>
    <mergeCell ref="ILU48:IMK48"/>
    <mergeCell ref="IML48:INB48"/>
    <mergeCell ref="INC48:INS48"/>
    <mergeCell ref="INT48:IOJ48"/>
    <mergeCell ref="IOK48:IPA48"/>
    <mergeCell ref="IPB48:IPR48"/>
    <mergeCell ref="IHW48:IIM48"/>
    <mergeCell ref="IIN48:IJD48"/>
    <mergeCell ref="IJE48:IJU48"/>
    <mergeCell ref="IJV48:IKL48"/>
    <mergeCell ref="IKM48:ILC48"/>
    <mergeCell ref="ILD48:ILT48"/>
    <mergeCell ref="JBM48:JCC48"/>
    <mergeCell ref="JCD48:JCT48"/>
    <mergeCell ref="JCU48:JDK48"/>
    <mergeCell ref="JDL48:JEB48"/>
    <mergeCell ref="JEC48:JES48"/>
    <mergeCell ref="JET48:JFJ48"/>
    <mergeCell ref="IXO48:IYE48"/>
    <mergeCell ref="IYF48:IYV48"/>
    <mergeCell ref="IYW48:IZM48"/>
    <mergeCell ref="IZN48:JAD48"/>
    <mergeCell ref="JAE48:JAU48"/>
    <mergeCell ref="JAV48:JBL48"/>
    <mergeCell ref="ITQ48:IUG48"/>
    <mergeCell ref="IUH48:IUX48"/>
    <mergeCell ref="IUY48:IVO48"/>
    <mergeCell ref="IVP48:IWF48"/>
    <mergeCell ref="IWG48:IWW48"/>
    <mergeCell ref="IWX48:IXN48"/>
    <mergeCell ref="JNG48:JNW48"/>
    <mergeCell ref="JNX48:JON48"/>
    <mergeCell ref="JOO48:JPE48"/>
    <mergeCell ref="JPF48:JPV48"/>
    <mergeCell ref="JPW48:JQM48"/>
    <mergeCell ref="JQN48:JRD48"/>
    <mergeCell ref="JJI48:JJY48"/>
    <mergeCell ref="JJZ48:JKP48"/>
    <mergeCell ref="JKQ48:JLG48"/>
    <mergeCell ref="JLH48:JLX48"/>
    <mergeCell ref="JLY48:JMO48"/>
    <mergeCell ref="JMP48:JNF48"/>
    <mergeCell ref="JFK48:JGA48"/>
    <mergeCell ref="JGB48:JGR48"/>
    <mergeCell ref="JGS48:JHI48"/>
    <mergeCell ref="JHJ48:JHZ48"/>
    <mergeCell ref="JIA48:JIQ48"/>
    <mergeCell ref="JIR48:JJH48"/>
    <mergeCell ref="JZA48:JZQ48"/>
    <mergeCell ref="JZR48:KAH48"/>
    <mergeCell ref="KAI48:KAY48"/>
    <mergeCell ref="KAZ48:KBP48"/>
    <mergeCell ref="KBQ48:KCG48"/>
    <mergeCell ref="KCH48:KCX48"/>
    <mergeCell ref="JVC48:JVS48"/>
    <mergeCell ref="JVT48:JWJ48"/>
    <mergeCell ref="JWK48:JXA48"/>
    <mergeCell ref="JXB48:JXR48"/>
    <mergeCell ref="JXS48:JYI48"/>
    <mergeCell ref="JYJ48:JYZ48"/>
    <mergeCell ref="JRE48:JRU48"/>
    <mergeCell ref="JRV48:JSL48"/>
    <mergeCell ref="JSM48:JTC48"/>
    <mergeCell ref="JTD48:JTT48"/>
    <mergeCell ref="JTU48:JUK48"/>
    <mergeCell ref="JUL48:JVB48"/>
    <mergeCell ref="KKU48:KLK48"/>
    <mergeCell ref="KLL48:KMB48"/>
    <mergeCell ref="KMC48:KMS48"/>
    <mergeCell ref="KMT48:KNJ48"/>
    <mergeCell ref="KNK48:KOA48"/>
    <mergeCell ref="KOB48:KOR48"/>
    <mergeCell ref="KGW48:KHM48"/>
    <mergeCell ref="KHN48:KID48"/>
    <mergeCell ref="KIE48:KIU48"/>
    <mergeCell ref="KIV48:KJL48"/>
    <mergeCell ref="KJM48:KKC48"/>
    <mergeCell ref="KKD48:KKT48"/>
    <mergeCell ref="KCY48:KDO48"/>
    <mergeCell ref="KDP48:KEF48"/>
    <mergeCell ref="KEG48:KEW48"/>
    <mergeCell ref="KEX48:KFN48"/>
    <mergeCell ref="KFO48:KGE48"/>
    <mergeCell ref="KGF48:KGV48"/>
    <mergeCell ref="KWO48:KXE48"/>
    <mergeCell ref="KXF48:KXV48"/>
    <mergeCell ref="KXW48:KYM48"/>
    <mergeCell ref="KYN48:KZD48"/>
    <mergeCell ref="KZE48:KZU48"/>
    <mergeCell ref="KZV48:LAL48"/>
    <mergeCell ref="KSQ48:KTG48"/>
    <mergeCell ref="KTH48:KTX48"/>
    <mergeCell ref="KTY48:KUO48"/>
    <mergeCell ref="KUP48:KVF48"/>
    <mergeCell ref="KVG48:KVW48"/>
    <mergeCell ref="KVX48:KWN48"/>
    <mergeCell ref="KOS48:KPI48"/>
    <mergeCell ref="KPJ48:KPZ48"/>
    <mergeCell ref="KQA48:KQQ48"/>
    <mergeCell ref="KQR48:KRH48"/>
    <mergeCell ref="KRI48:KRY48"/>
    <mergeCell ref="KRZ48:KSP48"/>
    <mergeCell ref="LII48:LIY48"/>
    <mergeCell ref="LIZ48:LJP48"/>
    <mergeCell ref="LJQ48:LKG48"/>
    <mergeCell ref="LKH48:LKX48"/>
    <mergeCell ref="LKY48:LLO48"/>
    <mergeCell ref="LLP48:LMF48"/>
    <mergeCell ref="LEK48:LFA48"/>
    <mergeCell ref="LFB48:LFR48"/>
    <mergeCell ref="LFS48:LGI48"/>
    <mergeCell ref="LGJ48:LGZ48"/>
    <mergeCell ref="LHA48:LHQ48"/>
    <mergeCell ref="LHR48:LIH48"/>
    <mergeCell ref="LAM48:LBC48"/>
    <mergeCell ref="LBD48:LBT48"/>
    <mergeCell ref="LBU48:LCK48"/>
    <mergeCell ref="LCL48:LDB48"/>
    <mergeCell ref="LDC48:LDS48"/>
    <mergeCell ref="LDT48:LEJ48"/>
    <mergeCell ref="LUC48:LUS48"/>
    <mergeCell ref="LUT48:LVJ48"/>
    <mergeCell ref="LVK48:LWA48"/>
    <mergeCell ref="LWB48:LWR48"/>
    <mergeCell ref="LWS48:LXI48"/>
    <mergeCell ref="LXJ48:LXZ48"/>
    <mergeCell ref="LQE48:LQU48"/>
    <mergeCell ref="LQV48:LRL48"/>
    <mergeCell ref="LRM48:LSC48"/>
    <mergeCell ref="LSD48:LST48"/>
    <mergeCell ref="LSU48:LTK48"/>
    <mergeCell ref="LTL48:LUB48"/>
    <mergeCell ref="LMG48:LMW48"/>
    <mergeCell ref="LMX48:LNN48"/>
    <mergeCell ref="LNO48:LOE48"/>
    <mergeCell ref="LOF48:LOV48"/>
    <mergeCell ref="LOW48:LPM48"/>
    <mergeCell ref="LPN48:LQD48"/>
    <mergeCell ref="MFW48:MGM48"/>
    <mergeCell ref="MGN48:MHD48"/>
    <mergeCell ref="MHE48:MHU48"/>
    <mergeCell ref="MHV48:MIL48"/>
    <mergeCell ref="MIM48:MJC48"/>
    <mergeCell ref="MJD48:MJT48"/>
    <mergeCell ref="MBY48:MCO48"/>
    <mergeCell ref="MCP48:MDF48"/>
    <mergeCell ref="MDG48:MDW48"/>
    <mergeCell ref="MDX48:MEN48"/>
    <mergeCell ref="MEO48:MFE48"/>
    <mergeCell ref="MFF48:MFV48"/>
    <mergeCell ref="LYA48:LYQ48"/>
    <mergeCell ref="LYR48:LZH48"/>
    <mergeCell ref="LZI48:LZY48"/>
    <mergeCell ref="LZZ48:MAP48"/>
    <mergeCell ref="MAQ48:MBG48"/>
    <mergeCell ref="MBH48:MBX48"/>
    <mergeCell ref="MRQ48:MSG48"/>
    <mergeCell ref="MSH48:MSX48"/>
    <mergeCell ref="MSY48:MTO48"/>
    <mergeCell ref="MTP48:MUF48"/>
    <mergeCell ref="MUG48:MUW48"/>
    <mergeCell ref="MUX48:MVN48"/>
    <mergeCell ref="MNS48:MOI48"/>
    <mergeCell ref="MOJ48:MOZ48"/>
    <mergeCell ref="MPA48:MPQ48"/>
    <mergeCell ref="MPR48:MQH48"/>
    <mergeCell ref="MQI48:MQY48"/>
    <mergeCell ref="MQZ48:MRP48"/>
    <mergeCell ref="MJU48:MKK48"/>
    <mergeCell ref="MKL48:MLB48"/>
    <mergeCell ref="MLC48:MLS48"/>
    <mergeCell ref="MLT48:MMJ48"/>
    <mergeCell ref="MMK48:MNA48"/>
    <mergeCell ref="MNB48:MNR48"/>
    <mergeCell ref="NDK48:NEA48"/>
    <mergeCell ref="NEB48:NER48"/>
    <mergeCell ref="NES48:NFI48"/>
    <mergeCell ref="NFJ48:NFZ48"/>
    <mergeCell ref="NGA48:NGQ48"/>
    <mergeCell ref="NGR48:NHH48"/>
    <mergeCell ref="MZM48:NAC48"/>
    <mergeCell ref="NAD48:NAT48"/>
    <mergeCell ref="NAU48:NBK48"/>
    <mergeCell ref="NBL48:NCB48"/>
    <mergeCell ref="NCC48:NCS48"/>
    <mergeCell ref="NCT48:NDJ48"/>
    <mergeCell ref="MVO48:MWE48"/>
    <mergeCell ref="MWF48:MWV48"/>
    <mergeCell ref="MWW48:MXM48"/>
    <mergeCell ref="MXN48:MYD48"/>
    <mergeCell ref="MYE48:MYU48"/>
    <mergeCell ref="MYV48:MZL48"/>
    <mergeCell ref="NPE48:NPU48"/>
    <mergeCell ref="NPV48:NQL48"/>
    <mergeCell ref="NQM48:NRC48"/>
    <mergeCell ref="NRD48:NRT48"/>
    <mergeCell ref="NRU48:NSK48"/>
    <mergeCell ref="NSL48:NTB48"/>
    <mergeCell ref="NLG48:NLW48"/>
    <mergeCell ref="NLX48:NMN48"/>
    <mergeCell ref="NMO48:NNE48"/>
    <mergeCell ref="NNF48:NNV48"/>
    <mergeCell ref="NNW48:NOM48"/>
    <mergeCell ref="NON48:NPD48"/>
    <mergeCell ref="NHI48:NHY48"/>
    <mergeCell ref="NHZ48:NIP48"/>
    <mergeCell ref="NIQ48:NJG48"/>
    <mergeCell ref="NJH48:NJX48"/>
    <mergeCell ref="NJY48:NKO48"/>
    <mergeCell ref="NKP48:NLF48"/>
    <mergeCell ref="OAY48:OBO48"/>
    <mergeCell ref="OBP48:OCF48"/>
    <mergeCell ref="OCG48:OCW48"/>
    <mergeCell ref="OCX48:ODN48"/>
    <mergeCell ref="ODO48:OEE48"/>
    <mergeCell ref="OEF48:OEV48"/>
    <mergeCell ref="NXA48:NXQ48"/>
    <mergeCell ref="NXR48:NYH48"/>
    <mergeCell ref="NYI48:NYY48"/>
    <mergeCell ref="NYZ48:NZP48"/>
    <mergeCell ref="NZQ48:OAG48"/>
    <mergeCell ref="OAH48:OAX48"/>
    <mergeCell ref="NTC48:NTS48"/>
    <mergeCell ref="NTT48:NUJ48"/>
    <mergeCell ref="NUK48:NVA48"/>
    <mergeCell ref="NVB48:NVR48"/>
    <mergeCell ref="NVS48:NWI48"/>
    <mergeCell ref="NWJ48:NWZ48"/>
    <mergeCell ref="OMS48:ONI48"/>
    <mergeCell ref="ONJ48:ONZ48"/>
    <mergeCell ref="OOA48:OOQ48"/>
    <mergeCell ref="OOR48:OPH48"/>
    <mergeCell ref="OPI48:OPY48"/>
    <mergeCell ref="OPZ48:OQP48"/>
    <mergeCell ref="OIU48:OJK48"/>
    <mergeCell ref="OJL48:OKB48"/>
    <mergeCell ref="OKC48:OKS48"/>
    <mergeCell ref="OKT48:OLJ48"/>
    <mergeCell ref="OLK48:OMA48"/>
    <mergeCell ref="OMB48:OMR48"/>
    <mergeCell ref="OEW48:OFM48"/>
    <mergeCell ref="OFN48:OGD48"/>
    <mergeCell ref="OGE48:OGU48"/>
    <mergeCell ref="OGV48:OHL48"/>
    <mergeCell ref="OHM48:OIC48"/>
    <mergeCell ref="OID48:OIT48"/>
    <mergeCell ref="OYM48:OZC48"/>
    <mergeCell ref="OZD48:OZT48"/>
    <mergeCell ref="OZU48:PAK48"/>
    <mergeCell ref="PAL48:PBB48"/>
    <mergeCell ref="PBC48:PBS48"/>
    <mergeCell ref="PBT48:PCJ48"/>
    <mergeCell ref="OUO48:OVE48"/>
    <mergeCell ref="OVF48:OVV48"/>
    <mergeCell ref="OVW48:OWM48"/>
    <mergeCell ref="OWN48:OXD48"/>
    <mergeCell ref="OXE48:OXU48"/>
    <mergeCell ref="OXV48:OYL48"/>
    <mergeCell ref="OQQ48:ORG48"/>
    <mergeCell ref="ORH48:ORX48"/>
    <mergeCell ref="ORY48:OSO48"/>
    <mergeCell ref="OSP48:OTF48"/>
    <mergeCell ref="OTG48:OTW48"/>
    <mergeCell ref="OTX48:OUN48"/>
    <mergeCell ref="PKG48:PKW48"/>
    <mergeCell ref="PKX48:PLN48"/>
    <mergeCell ref="PLO48:PME48"/>
    <mergeCell ref="PMF48:PMV48"/>
    <mergeCell ref="PMW48:PNM48"/>
    <mergeCell ref="PNN48:POD48"/>
    <mergeCell ref="PGI48:PGY48"/>
    <mergeCell ref="PGZ48:PHP48"/>
    <mergeCell ref="PHQ48:PIG48"/>
    <mergeCell ref="PIH48:PIX48"/>
    <mergeCell ref="PIY48:PJO48"/>
    <mergeCell ref="PJP48:PKF48"/>
    <mergeCell ref="PCK48:PDA48"/>
    <mergeCell ref="PDB48:PDR48"/>
    <mergeCell ref="PDS48:PEI48"/>
    <mergeCell ref="PEJ48:PEZ48"/>
    <mergeCell ref="PFA48:PFQ48"/>
    <mergeCell ref="PFR48:PGH48"/>
    <mergeCell ref="PWA48:PWQ48"/>
    <mergeCell ref="PWR48:PXH48"/>
    <mergeCell ref="PXI48:PXY48"/>
    <mergeCell ref="PXZ48:PYP48"/>
    <mergeCell ref="PYQ48:PZG48"/>
    <mergeCell ref="PZH48:PZX48"/>
    <mergeCell ref="PSC48:PSS48"/>
    <mergeCell ref="PST48:PTJ48"/>
    <mergeCell ref="PTK48:PUA48"/>
    <mergeCell ref="PUB48:PUR48"/>
    <mergeCell ref="PUS48:PVI48"/>
    <mergeCell ref="PVJ48:PVZ48"/>
    <mergeCell ref="POE48:POU48"/>
    <mergeCell ref="POV48:PPL48"/>
    <mergeCell ref="PPM48:PQC48"/>
    <mergeCell ref="PQD48:PQT48"/>
    <mergeCell ref="PQU48:PRK48"/>
    <mergeCell ref="PRL48:PSB48"/>
    <mergeCell ref="QHU48:QIK48"/>
    <mergeCell ref="QIL48:QJB48"/>
    <mergeCell ref="QJC48:QJS48"/>
    <mergeCell ref="QJT48:QKJ48"/>
    <mergeCell ref="QKK48:QLA48"/>
    <mergeCell ref="QLB48:QLR48"/>
    <mergeCell ref="QDW48:QEM48"/>
    <mergeCell ref="QEN48:QFD48"/>
    <mergeCell ref="QFE48:QFU48"/>
    <mergeCell ref="QFV48:QGL48"/>
    <mergeCell ref="QGM48:QHC48"/>
    <mergeCell ref="QHD48:QHT48"/>
    <mergeCell ref="PZY48:QAO48"/>
    <mergeCell ref="QAP48:QBF48"/>
    <mergeCell ref="QBG48:QBW48"/>
    <mergeCell ref="QBX48:QCN48"/>
    <mergeCell ref="QCO48:QDE48"/>
    <mergeCell ref="QDF48:QDV48"/>
    <mergeCell ref="QTO48:QUE48"/>
    <mergeCell ref="QUF48:QUV48"/>
    <mergeCell ref="QUW48:QVM48"/>
    <mergeCell ref="QVN48:QWD48"/>
    <mergeCell ref="QWE48:QWU48"/>
    <mergeCell ref="QWV48:QXL48"/>
    <mergeCell ref="QPQ48:QQG48"/>
    <mergeCell ref="QQH48:QQX48"/>
    <mergeCell ref="QQY48:QRO48"/>
    <mergeCell ref="QRP48:QSF48"/>
    <mergeCell ref="QSG48:QSW48"/>
    <mergeCell ref="QSX48:QTN48"/>
    <mergeCell ref="QLS48:QMI48"/>
    <mergeCell ref="QMJ48:QMZ48"/>
    <mergeCell ref="QNA48:QNQ48"/>
    <mergeCell ref="QNR48:QOH48"/>
    <mergeCell ref="QOI48:QOY48"/>
    <mergeCell ref="QOZ48:QPP48"/>
    <mergeCell ref="RFI48:RFY48"/>
    <mergeCell ref="RFZ48:RGP48"/>
    <mergeCell ref="RGQ48:RHG48"/>
    <mergeCell ref="RHH48:RHX48"/>
    <mergeCell ref="RHY48:RIO48"/>
    <mergeCell ref="RIP48:RJF48"/>
    <mergeCell ref="RBK48:RCA48"/>
    <mergeCell ref="RCB48:RCR48"/>
    <mergeCell ref="RCS48:RDI48"/>
    <mergeCell ref="RDJ48:RDZ48"/>
    <mergeCell ref="REA48:REQ48"/>
    <mergeCell ref="RER48:RFH48"/>
    <mergeCell ref="QXM48:QYC48"/>
    <mergeCell ref="QYD48:QYT48"/>
    <mergeCell ref="QYU48:QZK48"/>
    <mergeCell ref="QZL48:RAB48"/>
    <mergeCell ref="RAC48:RAS48"/>
    <mergeCell ref="RAT48:RBJ48"/>
    <mergeCell ref="RRC48:RRS48"/>
    <mergeCell ref="RRT48:RSJ48"/>
    <mergeCell ref="RSK48:RTA48"/>
    <mergeCell ref="RTB48:RTR48"/>
    <mergeCell ref="RTS48:RUI48"/>
    <mergeCell ref="RUJ48:RUZ48"/>
    <mergeCell ref="RNE48:RNU48"/>
    <mergeCell ref="RNV48:ROL48"/>
    <mergeCell ref="ROM48:RPC48"/>
    <mergeCell ref="RPD48:RPT48"/>
    <mergeCell ref="RPU48:RQK48"/>
    <mergeCell ref="RQL48:RRB48"/>
    <mergeCell ref="RJG48:RJW48"/>
    <mergeCell ref="RJX48:RKN48"/>
    <mergeCell ref="RKO48:RLE48"/>
    <mergeCell ref="RLF48:RLV48"/>
    <mergeCell ref="RLW48:RMM48"/>
    <mergeCell ref="RMN48:RND48"/>
    <mergeCell ref="SCW48:SDM48"/>
    <mergeCell ref="SDN48:SED48"/>
    <mergeCell ref="SEE48:SEU48"/>
    <mergeCell ref="SEV48:SFL48"/>
    <mergeCell ref="SFM48:SGC48"/>
    <mergeCell ref="SGD48:SGT48"/>
    <mergeCell ref="RYY48:RZO48"/>
    <mergeCell ref="RZP48:SAF48"/>
    <mergeCell ref="SAG48:SAW48"/>
    <mergeCell ref="SAX48:SBN48"/>
    <mergeCell ref="SBO48:SCE48"/>
    <mergeCell ref="SCF48:SCV48"/>
    <mergeCell ref="RVA48:RVQ48"/>
    <mergeCell ref="RVR48:RWH48"/>
    <mergeCell ref="RWI48:RWY48"/>
    <mergeCell ref="RWZ48:RXP48"/>
    <mergeCell ref="RXQ48:RYG48"/>
    <mergeCell ref="RYH48:RYX48"/>
    <mergeCell ref="SOQ48:SPG48"/>
    <mergeCell ref="SPH48:SPX48"/>
    <mergeCell ref="SPY48:SQO48"/>
    <mergeCell ref="SQP48:SRF48"/>
    <mergeCell ref="SRG48:SRW48"/>
    <mergeCell ref="SRX48:SSN48"/>
    <mergeCell ref="SKS48:SLI48"/>
    <mergeCell ref="SLJ48:SLZ48"/>
    <mergeCell ref="SMA48:SMQ48"/>
    <mergeCell ref="SMR48:SNH48"/>
    <mergeCell ref="SNI48:SNY48"/>
    <mergeCell ref="SNZ48:SOP48"/>
    <mergeCell ref="SGU48:SHK48"/>
    <mergeCell ref="SHL48:SIB48"/>
    <mergeCell ref="SIC48:SIS48"/>
    <mergeCell ref="SIT48:SJJ48"/>
    <mergeCell ref="SJK48:SKA48"/>
    <mergeCell ref="SKB48:SKR48"/>
    <mergeCell ref="TAK48:TBA48"/>
    <mergeCell ref="TBB48:TBR48"/>
    <mergeCell ref="TBS48:TCI48"/>
    <mergeCell ref="TCJ48:TCZ48"/>
    <mergeCell ref="TDA48:TDQ48"/>
    <mergeCell ref="TDR48:TEH48"/>
    <mergeCell ref="SWM48:SXC48"/>
    <mergeCell ref="SXD48:SXT48"/>
    <mergeCell ref="SXU48:SYK48"/>
    <mergeCell ref="SYL48:SZB48"/>
    <mergeCell ref="SZC48:SZS48"/>
    <mergeCell ref="SZT48:TAJ48"/>
    <mergeCell ref="SSO48:STE48"/>
    <mergeCell ref="STF48:STV48"/>
    <mergeCell ref="STW48:SUM48"/>
    <mergeCell ref="SUN48:SVD48"/>
    <mergeCell ref="SVE48:SVU48"/>
    <mergeCell ref="SVV48:SWL48"/>
    <mergeCell ref="TME48:TMU48"/>
    <mergeCell ref="TMV48:TNL48"/>
    <mergeCell ref="TNM48:TOC48"/>
    <mergeCell ref="TOD48:TOT48"/>
    <mergeCell ref="TOU48:TPK48"/>
    <mergeCell ref="TPL48:TQB48"/>
    <mergeCell ref="TIG48:TIW48"/>
    <mergeCell ref="TIX48:TJN48"/>
    <mergeCell ref="TJO48:TKE48"/>
    <mergeCell ref="TKF48:TKV48"/>
    <mergeCell ref="TKW48:TLM48"/>
    <mergeCell ref="TLN48:TMD48"/>
    <mergeCell ref="TEI48:TEY48"/>
    <mergeCell ref="TEZ48:TFP48"/>
    <mergeCell ref="TFQ48:TGG48"/>
    <mergeCell ref="TGH48:TGX48"/>
    <mergeCell ref="TGY48:THO48"/>
    <mergeCell ref="THP48:TIF48"/>
    <mergeCell ref="TXY48:TYO48"/>
    <mergeCell ref="TYP48:TZF48"/>
    <mergeCell ref="TZG48:TZW48"/>
    <mergeCell ref="TZX48:UAN48"/>
    <mergeCell ref="UAO48:UBE48"/>
    <mergeCell ref="UBF48:UBV48"/>
    <mergeCell ref="TUA48:TUQ48"/>
    <mergeCell ref="TUR48:TVH48"/>
    <mergeCell ref="TVI48:TVY48"/>
    <mergeCell ref="TVZ48:TWP48"/>
    <mergeCell ref="TWQ48:TXG48"/>
    <mergeCell ref="TXH48:TXX48"/>
    <mergeCell ref="TQC48:TQS48"/>
    <mergeCell ref="TQT48:TRJ48"/>
    <mergeCell ref="TRK48:TSA48"/>
    <mergeCell ref="TSB48:TSR48"/>
    <mergeCell ref="TSS48:TTI48"/>
    <mergeCell ref="TTJ48:TTZ48"/>
    <mergeCell ref="UJS48:UKI48"/>
    <mergeCell ref="UKJ48:UKZ48"/>
    <mergeCell ref="ULA48:ULQ48"/>
    <mergeCell ref="ULR48:UMH48"/>
    <mergeCell ref="UMI48:UMY48"/>
    <mergeCell ref="UMZ48:UNP48"/>
    <mergeCell ref="UFU48:UGK48"/>
    <mergeCell ref="UGL48:UHB48"/>
    <mergeCell ref="UHC48:UHS48"/>
    <mergeCell ref="UHT48:UIJ48"/>
    <mergeCell ref="UIK48:UJA48"/>
    <mergeCell ref="UJB48:UJR48"/>
    <mergeCell ref="UBW48:UCM48"/>
    <mergeCell ref="UCN48:UDD48"/>
    <mergeCell ref="UDE48:UDU48"/>
    <mergeCell ref="UDV48:UEL48"/>
    <mergeCell ref="UEM48:UFC48"/>
    <mergeCell ref="UFD48:UFT48"/>
    <mergeCell ref="UVM48:UWC48"/>
    <mergeCell ref="UWD48:UWT48"/>
    <mergeCell ref="UWU48:UXK48"/>
    <mergeCell ref="UXL48:UYB48"/>
    <mergeCell ref="UYC48:UYS48"/>
    <mergeCell ref="UYT48:UZJ48"/>
    <mergeCell ref="URO48:USE48"/>
    <mergeCell ref="USF48:USV48"/>
    <mergeCell ref="USW48:UTM48"/>
    <mergeCell ref="UTN48:UUD48"/>
    <mergeCell ref="UUE48:UUU48"/>
    <mergeCell ref="UUV48:UVL48"/>
    <mergeCell ref="UNQ48:UOG48"/>
    <mergeCell ref="UOH48:UOX48"/>
    <mergeCell ref="UOY48:UPO48"/>
    <mergeCell ref="UPP48:UQF48"/>
    <mergeCell ref="UQG48:UQW48"/>
    <mergeCell ref="UQX48:URN48"/>
    <mergeCell ref="VHG48:VHW48"/>
    <mergeCell ref="VHX48:VIN48"/>
    <mergeCell ref="VIO48:VJE48"/>
    <mergeCell ref="VJF48:VJV48"/>
    <mergeCell ref="VJW48:VKM48"/>
    <mergeCell ref="VKN48:VLD48"/>
    <mergeCell ref="VDI48:VDY48"/>
    <mergeCell ref="VDZ48:VEP48"/>
    <mergeCell ref="VEQ48:VFG48"/>
    <mergeCell ref="VFH48:VFX48"/>
    <mergeCell ref="VFY48:VGO48"/>
    <mergeCell ref="VGP48:VHF48"/>
    <mergeCell ref="UZK48:VAA48"/>
    <mergeCell ref="VAB48:VAR48"/>
    <mergeCell ref="VAS48:VBI48"/>
    <mergeCell ref="VBJ48:VBZ48"/>
    <mergeCell ref="VCA48:VCQ48"/>
    <mergeCell ref="VCR48:VDH48"/>
    <mergeCell ref="VTA48:VTQ48"/>
    <mergeCell ref="VTR48:VUH48"/>
    <mergeCell ref="VUI48:VUY48"/>
    <mergeCell ref="VUZ48:VVP48"/>
    <mergeCell ref="VVQ48:VWG48"/>
    <mergeCell ref="VWH48:VWX48"/>
    <mergeCell ref="VPC48:VPS48"/>
    <mergeCell ref="VPT48:VQJ48"/>
    <mergeCell ref="VQK48:VRA48"/>
    <mergeCell ref="VRB48:VRR48"/>
    <mergeCell ref="VRS48:VSI48"/>
    <mergeCell ref="VSJ48:VSZ48"/>
    <mergeCell ref="VLE48:VLU48"/>
    <mergeCell ref="VLV48:VML48"/>
    <mergeCell ref="VMM48:VNC48"/>
    <mergeCell ref="VND48:VNT48"/>
    <mergeCell ref="VNU48:VOK48"/>
    <mergeCell ref="VOL48:VPB48"/>
    <mergeCell ref="WEU48:WFK48"/>
    <mergeCell ref="WFL48:WGB48"/>
    <mergeCell ref="WGC48:WGS48"/>
    <mergeCell ref="WGT48:WHJ48"/>
    <mergeCell ref="WHK48:WIA48"/>
    <mergeCell ref="WIB48:WIR48"/>
    <mergeCell ref="WAW48:WBM48"/>
    <mergeCell ref="WBN48:WCD48"/>
    <mergeCell ref="WCE48:WCU48"/>
    <mergeCell ref="WCV48:WDL48"/>
    <mergeCell ref="WDM48:WEC48"/>
    <mergeCell ref="WED48:WET48"/>
    <mergeCell ref="VWY48:VXO48"/>
    <mergeCell ref="VXP48:VYF48"/>
    <mergeCell ref="VYG48:VYW48"/>
    <mergeCell ref="VYX48:VZN48"/>
    <mergeCell ref="VZO48:WAE48"/>
    <mergeCell ref="WAF48:WAV48"/>
    <mergeCell ref="WXC48:WXS48"/>
    <mergeCell ref="WXT48:WYJ48"/>
    <mergeCell ref="WQO48:WRE48"/>
    <mergeCell ref="WRF48:WRV48"/>
    <mergeCell ref="WRW48:WSM48"/>
    <mergeCell ref="WSN48:WTD48"/>
    <mergeCell ref="WTE48:WTU48"/>
    <mergeCell ref="WTV48:WUL48"/>
    <mergeCell ref="WMQ48:WNG48"/>
    <mergeCell ref="WNH48:WNX48"/>
    <mergeCell ref="WNY48:WOO48"/>
    <mergeCell ref="WOP48:WPF48"/>
    <mergeCell ref="WPG48:WPW48"/>
    <mergeCell ref="WPX48:WQN48"/>
    <mergeCell ref="WIS48:WJI48"/>
    <mergeCell ref="WJJ48:WJZ48"/>
    <mergeCell ref="WKA48:WKQ48"/>
    <mergeCell ref="WKR48:WLH48"/>
    <mergeCell ref="WLI48:WLY48"/>
    <mergeCell ref="WLZ48:WMP48"/>
    <mergeCell ref="HU49:IK49"/>
    <mergeCell ref="IL49:JB49"/>
    <mergeCell ref="JC49:JS49"/>
    <mergeCell ref="JT49:KJ49"/>
    <mergeCell ref="KK49:LA49"/>
    <mergeCell ref="LB49:LR49"/>
    <mergeCell ref="DW49:EM49"/>
    <mergeCell ref="EN49:FD49"/>
    <mergeCell ref="FE49:FU49"/>
    <mergeCell ref="FV49:GL49"/>
    <mergeCell ref="GM49:HC49"/>
    <mergeCell ref="HD49:HT49"/>
    <mergeCell ref="XCI48:XCY48"/>
    <mergeCell ref="XCZ48:XDP48"/>
    <mergeCell ref="XDQ48:XEC48"/>
    <mergeCell ref="S49:AG49"/>
    <mergeCell ref="AX49:BM49"/>
    <mergeCell ref="BN49:BP49"/>
    <mergeCell ref="BQ49:BU49"/>
    <mergeCell ref="BY49:CN49"/>
    <mergeCell ref="CO49:DE49"/>
    <mergeCell ref="DF49:DV49"/>
    <mergeCell ref="WYK48:WZA48"/>
    <mergeCell ref="WZB48:WZR48"/>
    <mergeCell ref="WZS48:XAI48"/>
    <mergeCell ref="XAJ48:XAZ48"/>
    <mergeCell ref="XBA48:XBQ48"/>
    <mergeCell ref="XBR48:XCH48"/>
    <mergeCell ref="WUM48:WVC48"/>
    <mergeCell ref="WVD48:WVT48"/>
    <mergeCell ref="WVU48:WWK48"/>
    <mergeCell ref="WWL48:WXB48"/>
    <mergeCell ref="TO49:UE49"/>
    <mergeCell ref="UF49:UV49"/>
    <mergeCell ref="UW49:VM49"/>
    <mergeCell ref="VN49:WD49"/>
    <mergeCell ref="WE49:WU49"/>
    <mergeCell ref="WV49:XL49"/>
    <mergeCell ref="PQ49:QG49"/>
    <mergeCell ref="QH49:QX49"/>
    <mergeCell ref="QY49:RO49"/>
    <mergeCell ref="RP49:SF49"/>
    <mergeCell ref="SG49:SW49"/>
    <mergeCell ref="SX49:TN49"/>
    <mergeCell ref="LS49:MI49"/>
    <mergeCell ref="MJ49:MZ49"/>
    <mergeCell ref="NA49:NQ49"/>
    <mergeCell ref="NR49:OH49"/>
    <mergeCell ref="OI49:OY49"/>
    <mergeCell ref="OZ49:PP49"/>
    <mergeCell ref="AFI49:AFY49"/>
    <mergeCell ref="AFZ49:AGP49"/>
    <mergeCell ref="AGQ49:AHG49"/>
    <mergeCell ref="AHH49:AHX49"/>
    <mergeCell ref="AHY49:AIO49"/>
    <mergeCell ref="AIP49:AJF49"/>
    <mergeCell ref="ABK49:ACA49"/>
    <mergeCell ref="ACB49:ACR49"/>
    <mergeCell ref="ACS49:ADI49"/>
    <mergeCell ref="ADJ49:ADZ49"/>
    <mergeCell ref="AEA49:AEQ49"/>
    <mergeCell ref="AER49:AFH49"/>
    <mergeCell ref="XM49:YC49"/>
    <mergeCell ref="YD49:YT49"/>
    <mergeCell ref="YU49:ZK49"/>
    <mergeCell ref="ZL49:AAB49"/>
    <mergeCell ref="AAC49:AAS49"/>
    <mergeCell ref="AAT49:ABJ49"/>
    <mergeCell ref="ARC49:ARS49"/>
    <mergeCell ref="ART49:ASJ49"/>
    <mergeCell ref="ASK49:ATA49"/>
    <mergeCell ref="ATB49:ATR49"/>
    <mergeCell ref="ATS49:AUI49"/>
    <mergeCell ref="AUJ49:AUZ49"/>
    <mergeCell ref="ANE49:ANU49"/>
    <mergeCell ref="ANV49:AOL49"/>
    <mergeCell ref="AOM49:APC49"/>
    <mergeCell ref="APD49:APT49"/>
    <mergeCell ref="APU49:AQK49"/>
    <mergeCell ref="AQL49:ARB49"/>
    <mergeCell ref="AJG49:AJW49"/>
    <mergeCell ref="AJX49:AKN49"/>
    <mergeCell ref="AKO49:ALE49"/>
    <mergeCell ref="ALF49:ALV49"/>
    <mergeCell ref="ALW49:AMM49"/>
    <mergeCell ref="AMN49:AND49"/>
    <mergeCell ref="BCW49:BDM49"/>
    <mergeCell ref="BDN49:BED49"/>
    <mergeCell ref="BEE49:BEU49"/>
    <mergeCell ref="BEV49:BFL49"/>
    <mergeCell ref="BFM49:BGC49"/>
    <mergeCell ref="BGD49:BGT49"/>
    <mergeCell ref="AYY49:AZO49"/>
    <mergeCell ref="AZP49:BAF49"/>
    <mergeCell ref="BAG49:BAW49"/>
    <mergeCell ref="BAX49:BBN49"/>
    <mergeCell ref="BBO49:BCE49"/>
    <mergeCell ref="BCF49:BCV49"/>
    <mergeCell ref="AVA49:AVQ49"/>
    <mergeCell ref="AVR49:AWH49"/>
    <mergeCell ref="AWI49:AWY49"/>
    <mergeCell ref="AWZ49:AXP49"/>
    <mergeCell ref="AXQ49:AYG49"/>
    <mergeCell ref="AYH49:AYX49"/>
    <mergeCell ref="BOQ49:BPG49"/>
    <mergeCell ref="BPH49:BPX49"/>
    <mergeCell ref="BPY49:BQO49"/>
    <mergeCell ref="BQP49:BRF49"/>
    <mergeCell ref="BRG49:BRW49"/>
    <mergeCell ref="BRX49:BSN49"/>
    <mergeCell ref="BKS49:BLI49"/>
    <mergeCell ref="BLJ49:BLZ49"/>
    <mergeCell ref="BMA49:BMQ49"/>
    <mergeCell ref="BMR49:BNH49"/>
    <mergeCell ref="BNI49:BNY49"/>
    <mergeCell ref="BNZ49:BOP49"/>
    <mergeCell ref="BGU49:BHK49"/>
    <mergeCell ref="BHL49:BIB49"/>
    <mergeCell ref="BIC49:BIS49"/>
    <mergeCell ref="BIT49:BJJ49"/>
    <mergeCell ref="BJK49:BKA49"/>
    <mergeCell ref="BKB49:BKR49"/>
    <mergeCell ref="CAK49:CBA49"/>
    <mergeCell ref="CBB49:CBR49"/>
    <mergeCell ref="CBS49:CCI49"/>
    <mergeCell ref="CCJ49:CCZ49"/>
    <mergeCell ref="CDA49:CDQ49"/>
    <mergeCell ref="CDR49:CEH49"/>
    <mergeCell ref="BWM49:BXC49"/>
    <mergeCell ref="BXD49:BXT49"/>
    <mergeCell ref="BXU49:BYK49"/>
    <mergeCell ref="BYL49:BZB49"/>
    <mergeCell ref="BZC49:BZS49"/>
    <mergeCell ref="BZT49:CAJ49"/>
    <mergeCell ref="BSO49:BTE49"/>
    <mergeCell ref="BTF49:BTV49"/>
    <mergeCell ref="BTW49:BUM49"/>
    <mergeCell ref="BUN49:BVD49"/>
    <mergeCell ref="BVE49:BVU49"/>
    <mergeCell ref="BVV49:BWL49"/>
    <mergeCell ref="CME49:CMU49"/>
    <mergeCell ref="CMV49:CNL49"/>
    <mergeCell ref="CNM49:COC49"/>
    <mergeCell ref="COD49:COT49"/>
    <mergeCell ref="COU49:CPK49"/>
    <mergeCell ref="CPL49:CQB49"/>
    <mergeCell ref="CIG49:CIW49"/>
    <mergeCell ref="CIX49:CJN49"/>
    <mergeCell ref="CJO49:CKE49"/>
    <mergeCell ref="CKF49:CKV49"/>
    <mergeCell ref="CKW49:CLM49"/>
    <mergeCell ref="CLN49:CMD49"/>
    <mergeCell ref="CEI49:CEY49"/>
    <mergeCell ref="CEZ49:CFP49"/>
    <mergeCell ref="CFQ49:CGG49"/>
    <mergeCell ref="CGH49:CGX49"/>
    <mergeCell ref="CGY49:CHO49"/>
    <mergeCell ref="CHP49:CIF49"/>
    <mergeCell ref="CXY49:CYO49"/>
    <mergeCell ref="CYP49:CZF49"/>
    <mergeCell ref="CZG49:CZW49"/>
    <mergeCell ref="CZX49:DAN49"/>
    <mergeCell ref="DAO49:DBE49"/>
    <mergeCell ref="DBF49:DBV49"/>
    <mergeCell ref="CUA49:CUQ49"/>
    <mergeCell ref="CUR49:CVH49"/>
    <mergeCell ref="CVI49:CVY49"/>
    <mergeCell ref="CVZ49:CWP49"/>
    <mergeCell ref="CWQ49:CXG49"/>
    <mergeCell ref="CXH49:CXX49"/>
    <mergeCell ref="CQC49:CQS49"/>
    <mergeCell ref="CQT49:CRJ49"/>
    <mergeCell ref="CRK49:CSA49"/>
    <mergeCell ref="CSB49:CSR49"/>
    <mergeCell ref="CSS49:CTI49"/>
    <mergeCell ref="CTJ49:CTZ49"/>
    <mergeCell ref="DJS49:DKI49"/>
    <mergeCell ref="DKJ49:DKZ49"/>
    <mergeCell ref="DLA49:DLQ49"/>
    <mergeCell ref="DLR49:DMH49"/>
    <mergeCell ref="DMI49:DMY49"/>
    <mergeCell ref="DMZ49:DNP49"/>
    <mergeCell ref="DFU49:DGK49"/>
    <mergeCell ref="DGL49:DHB49"/>
    <mergeCell ref="DHC49:DHS49"/>
    <mergeCell ref="DHT49:DIJ49"/>
    <mergeCell ref="DIK49:DJA49"/>
    <mergeCell ref="DJB49:DJR49"/>
    <mergeCell ref="DBW49:DCM49"/>
    <mergeCell ref="DCN49:DDD49"/>
    <mergeCell ref="DDE49:DDU49"/>
    <mergeCell ref="DDV49:DEL49"/>
    <mergeCell ref="DEM49:DFC49"/>
    <mergeCell ref="DFD49:DFT49"/>
    <mergeCell ref="DVM49:DWC49"/>
    <mergeCell ref="DWD49:DWT49"/>
    <mergeCell ref="DWU49:DXK49"/>
    <mergeCell ref="DXL49:DYB49"/>
    <mergeCell ref="DYC49:DYS49"/>
    <mergeCell ref="DYT49:DZJ49"/>
    <mergeCell ref="DRO49:DSE49"/>
    <mergeCell ref="DSF49:DSV49"/>
    <mergeCell ref="DSW49:DTM49"/>
    <mergeCell ref="DTN49:DUD49"/>
    <mergeCell ref="DUE49:DUU49"/>
    <mergeCell ref="DUV49:DVL49"/>
    <mergeCell ref="DNQ49:DOG49"/>
    <mergeCell ref="DOH49:DOX49"/>
    <mergeCell ref="DOY49:DPO49"/>
    <mergeCell ref="DPP49:DQF49"/>
    <mergeCell ref="DQG49:DQW49"/>
    <mergeCell ref="DQX49:DRN49"/>
    <mergeCell ref="EHG49:EHW49"/>
    <mergeCell ref="EHX49:EIN49"/>
    <mergeCell ref="EIO49:EJE49"/>
    <mergeCell ref="EJF49:EJV49"/>
    <mergeCell ref="EJW49:EKM49"/>
    <mergeCell ref="EKN49:ELD49"/>
    <mergeCell ref="EDI49:EDY49"/>
    <mergeCell ref="EDZ49:EEP49"/>
    <mergeCell ref="EEQ49:EFG49"/>
    <mergeCell ref="EFH49:EFX49"/>
    <mergeCell ref="EFY49:EGO49"/>
    <mergeCell ref="EGP49:EHF49"/>
    <mergeCell ref="DZK49:EAA49"/>
    <mergeCell ref="EAB49:EAR49"/>
    <mergeCell ref="EAS49:EBI49"/>
    <mergeCell ref="EBJ49:EBZ49"/>
    <mergeCell ref="ECA49:ECQ49"/>
    <mergeCell ref="ECR49:EDH49"/>
    <mergeCell ref="ETA49:ETQ49"/>
    <mergeCell ref="ETR49:EUH49"/>
    <mergeCell ref="EUI49:EUY49"/>
    <mergeCell ref="EUZ49:EVP49"/>
    <mergeCell ref="EVQ49:EWG49"/>
    <mergeCell ref="EWH49:EWX49"/>
    <mergeCell ref="EPC49:EPS49"/>
    <mergeCell ref="EPT49:EQJ49"/>
    <mergeCell ref="EQK49:ERA49"/>
    <mergeCell ref="ERB49:ERR49"/>
    <mergeCell ref="ERS49:ESI49"/>
    <mergeCell ref="ESJ49:ESZ49"/>
    <mergeCell ref="ELE49:ELU49"/>
    <mergeCell ref="ELV49:EML49"/>
    <mergeCell ref="EMM49:ENC49"/>
    <mergeCell ref="END49:ENT49"/>
    <mergeCell ref="ENU49:EOK49"/>
    <mergeCell ref="EOL49:EPB49"/>
    <mergeCell ref="FEU49:FFK49"/>
    <mergeCell ref="FFL49:FGB49"/>
    <mergeCell ref="FGC49:FGS49"/>
    <mergeCell ref="FGT49:FHJ49"/>
    <mergeCell ref="FHK49:FIA49"/>
    <mergeCell ref="FIB49:FIR49"/>
    <mergeCell ref="FAW49:FBM49"/>
    <mergeCell ref="FBN49:FCD49"/>
    <mergeCell ref="FCE49:FCU49"/>
    <mergeCell ref="FCV49:FDL49"/>
    <mergeCell ref="FDM49:FEC49"/>
    <mergeCell ref="FED49:FET49"/>
    <mergeCell ref="EWY49:EXO49"/>
    <mergeCell ref="EXP49:EYF49"/>
    <mergeCell ref="EYG49:EYW49"/>
    <mergeCell ref="EYX49:EZN49"/>
    <mergeCell ref="EZO49:FAE49"/>
    <mergeCell ref="FAF49:FAV49"/>
    <mergeCell ref="FQO49:FRE49"/>
    <mergeCell ref="FRF49:FRV49"/>
    <mergeCell ref="FRW49:FSM49"/>
    <mergeCell ref="FSN49:FTD49"/>
    <mergeCell ref="FTE49:FTU49"/>
    <mergeCell ref="FTV49:FUL49"/>
    <mergeCell ref="FMQ49:FNG49"/>
    <mergeCell ref="FNH49:FNX49"/>
    <mergeCell ref="FNY49:FOO49"/>
    <mergeCell ref="FOP49:FPF49"/>
    <mergeCell ref="FPG49:FPW49"/>
    <mergeCell ref="FPX49:FQN49"/>
    <mergeCell ref="FIS49:FJI49"/>
    <mergeCell ref="FJJ49:FJZ49"/>
    <mergeCell ref="FKA49:FKQ49"/>
    <mergeCell ref="FKR49:FLH49"/>
    <mergeCell ref="FLI49:FLY49"/>
    <mergeCell ref="FLZ49:FMP49"/>
    <mergeCell ref="GCI49:GCY49"/>
    <mergeCell ref="GCZ49:GDP49"/>
    <mergeCell ref="GDQ49:GEG49"/>
    <mergeCell ref="GEH49:GEX49"/>
    <mergeCell ref="GEY49:GFO49"/>
    <mergeCell ref="GFP49:GGF49"/>
    <mergeCell ref="FYK49:FZA49"/>
    <mergeCell ref="FZB49:FZR49"/>
    <mergeCell ref="FZS49:GAI49"/>
    <mergeCell ref="GAJ49:GAZ49"/>
    <mergeCell ref="GBA49:GBQ49"/>
    <mergeCell ref="GBR49:GCH49"/>
    <mergeCell ref="FUM49:FVC49"/>
    <mergeCell ref="FVD49:FVT49"/>
    <mergeCell ref="FVU49:FWK49"/>
    <mergeCell ref="FWL49:FXB49"/>
    <mergeCell ref="FXC49:FXS49"/>
    <mergeCell ref="FXT49:FYJ49"/>
    <mergeCell ref="GOC49:GOS49"/>
    <mergeCell ref="GOT49:GPJ49"/>
    <mergeCell ref="GPK49:GQA49"/>
    <mergeCell ref="GQB49:GQR49"/>
    <mergeCell ref="GQS49:GRI49"/>
    <mergeCell ref="GRJ49:GRZ49"/>
    <mergeCell ref="GKE49:GKU49"/>
    <mergeCell ref="GKV49:GLL49"/>
    <mergeCell ref="GLM49:GMC49"/>
    <mergeCell ref="GMD49:GMT49"/>
    <mergeCell ref="GMU49:GNK49"/>
    <mergeCell ref="GNL49:GOB49"/>
    <mergeCell ref="GGG49:GGW49"/>
    <mergeCell ref="GGX49:GHN49"/>
    <mergeCell ref="GHO49:GIE49"/>
    <mergeCell ref="GIF49:GIV49"/>
    <mergeCell ref="GIW49:GJM49"/>
    <mergeCell ref="GJN49:GKD49"/>
    <mergeCell ref="GZW49:HAM49"/>
    <mergeCell ref="HAN49:HBD49"/>
    <mergeCell ref="HBE49:HBU49"/>
    <mergeCell ref="HBV49:HCL49"/>
    <mergeCell ref="HCM49:HDC49"/>
    <mergeCell ref="HDD49:HDT49"/>
    <mergeCell ref="GVY49:GWO49"/>
    <mergeCell ref="GWP49:GXF49"/>
    <mergeCell ref="GXG49:GXW49"/>
    <mergeCell ref="GXX49:GYN49"/>
    <mergeCell ref="GYO49:GZE49"/>
    <mergeCell ref="GZF49:GZV49"/>
    <mergeCell ref="GSA49:GSQ49"/>
    <mergeCell ref="GSR49:GTH49"/>
    <mergeCell ref="GTI49:GTY49"/>
    <mergeCell ref="GTZ49:GUP49"/>
    <mergeCell ref="GUQ49:GVG49"/>
    <mergeCell ref="GVH49:GVX49"/>
    <mergeCell ref="HLQ49:HMG49"/>
    <mergeCell ref="HMH49:HMX49"/>
    <mergeCell ref="HMY49:HNO49"/>
    <mergeCell ref="HNP49:HOF49"/>
    <mergeCell ref="HOG49:HOW49"/>
    <mergeCell ref="HOX49:HPN49"/>
    <mergeCell ref="HHS49:HII49"/>
    <mergeCell ref="HIJ49:HIZ49"/>
    <mergeCell ref="HJA49:HJQ49"/>
    <mergeCell ref="HJR49:HKH49"/>
    <mergeCell ref="HKI49:HKY49"/>
    <mergeCell ref="HKZ49:HLP49"/>
    <mergeCell ref="HDU49:HEK49"/>
    <mergeCell ref="HEL49:HFB49"/>
    <mergeCell ref="HFC49:HFS49"/>
    <mergeCell ref="HFT49:HGJ49"/>
    <mergeCell ref="HGK49:HHA49"/>
    <mergeCell ref="HHB49:HHR49"/>
    <mergeCell ref="HXK49:HYA49"/>
    <mergeCell ref="HYB49:HYR49"/>
    <mergeCell ref="HYS49:HZI49"/>
    <mergeCell ref="HZJ49:HZZ49"/>
    <mergeCell ref="IAA49:IAQ49"/>
    <mergeCell ref="IAR49:IBH49"/>
    <mergeCell ref="HTM49:HUC49"/>
    <mergeCell ref="HUD49:HUT49"/>
    <mergeCell ref="HUU49:HVK49"/>
    <mergeCell ref="HVL49:HWB49"/>
    <mergeCell ref="HWC49:HWS49"/>
    <mergeCell ref="HWT49:HXJ49"/>
    <mergeCell ref="HPO49:HQE49"/>
    <mergeCell ref="HQF49:HQV49"/>
    <mergeCell ref="HQW49:HRM49"/>
    <mergeCell ref="HRN49:HSD49"/>
    <mergeCell ref="HSE49:HSU49"/>
    <mergeCell ref="HSV49:HTL49"/>
    <mergeCell ref="IJE49:IJU49"/>
    <mergeCell ref="IJV49:IKL49"/>
    <mergeCell ref="IKM49:ILC49"/>
    <mergeCell ref="ILD49:ILT49"/>
    <mergeCell ref="ILU49:IMK49"/>
    <mergeCell ref="IML49:INB49"/>
    <mergeCell ref="IFG49:IFW49"/>
    <mergeCell ref="IFX49:IGN49"/>
    <mergeCell ref="IGO49:IHE49"/>
    <mergeCell ref="IHF49:IHV49"/>
    <mergeCell ref="IHW49:IIM49"/>
    <mergeCell ref="IIN49:IJD49"/>
    <mergeCell ref="IBI49:IBY49"/>
    <mergeCell ref="IBZ49:ICP49"/>
    <mergeCell ref="ICQ49:IDG49"/>
    <mergeCell ref="IDH49:IDX49"/>
    <mergeCell ref="IDY49:IEO49"/>
    <mergeCell ref="IEP49:IFF49"/>
    <mergeCell ref="IUY49:IVO49"/>
    <mergeCell ref="IVP49:IWF49"/>
    <mergeCell ref="IWG49:IWW49"/>
    <mergeCell ref="IWX49:IXN49"/>
    <mergeCell ref="IXO49:IYE49"/>
    <mergeCell ref="IYF49:IYV49"/>
    <mergeCell ref="IRA49:IRQ49"/>
    <mergeCell ref="IRR49:ISH49"/>
    <mergeCell ref="ISI49:ISY49"/>
    <mergeCell ref="ISZ49:ITP49"/>
    <mergeCell ref="ITQ49:IUG49"/>
    <mergeCell ref="IUH49:IUX49"/>
    <mergeCell ref="INC49:INS49"/>
    <mergeCell ref="INT49:IOJ49"/>
    <mergeCell ref="IOK49:IPA49"/>
    <mergeCell ref="IPB49:IPR49"/>
    <mergeCell ref="IPS49:IQI49"/>
    <mergeCell ref="IQJ49:IQZ49"/>
    <mergeCell ref="JGS49:JHI49"/>
    <mergeCell ref="JHJ49:JHZ49"/>
    <mergeCell ref="JIA49:JIQ49"/>
    <mergeCell ref="JIR49:JJH49"/>
    <mergeCell ref="JJI49:JJY49"/>
    <mergeCell ref="JJZ49:JKP49"/>
    <mergeCell ref="JCU49:JDK49"/>
    <mergeCell ref="JDL49:JEB49"/>
    <mergeCell ref="JEC49:JES49"/>
    <mergeCell ref="JET49:JFJ49"/>
    <mergeCell ref="JFK49:JGA49"/>
    <mergeCell ref="JGB49:JGR49"/>
    <mergeCell ref="IYW49:IZM49"/>
    <mergeCell ref="IZN49:JAD49"/>
    <mergeCell ref="JAE49:JAU49"/>
    <mergeCell ref="JAV49:JBL49"/>
    <mergeCell ref="JBM49:JCC49"/>
    <mergeCell ref="JCD49:JCT49"/>
    <mergeCell ref="JSM49:JTC49"/>
    <mergeCell ref="JTD49:JTT49"/>
    <mergeCell ref="JTU49:JUK49"/>
    <mergeCell ref="JUL49:JVB49"/>
    <mergeCell ref="JVC49:JVS49"/>
    <mergeCell ref="JVT49:JWJ49"/>
    <mergeCell ref="JOO49:JPE49"/>
    <mergeCell ref="JPF49:JPV49"/>
    <mergeCell ref="JPW49:JQM49"/>
    <mergeCell ref="JQN49:JRD49"/>
    <mergeCell ref="JRE49:JRU49"/>
    <mergeCell ref="JRV49:JSL49"/>
    <mergeCell ref="JKQ49:JLG49"/>
    <mergeCell ref="JLH49:JLX49"/>
    <mergeCell ref="JLY49:JMO49"/>
    <mergeCell ref="JMP49:JNF49"/>
    <mergeCell ref="JNG49:JNW49"/>
    <mergeCell ref="JNX49:JON49"/>
    <mergeCell ref="KEG49:KEW49"/>
    <mergeCell ref="KEX49:KFN49"/>
    <mergeCell ref="KFO49:KGE49"/>
    <mergeCell ref="KGF49:KGV49"/>
    <mergeCell ref="KGW49:KHM49"/>
    <mergeCell ref="KHN49:KID49"/>
    <mergeCell ref="KAI49:KAY49"/>
    <mergeCell ref="KAZ49:KBP49"/>
    <mergeCell ref="KBQ49:KCG49"/>
    <mergeCell ref="KCH49:KCX49"/>
    <mergeCell ref="KCY49:KDO49"/>
    <mergeCell ref="KDP49:KEF49"/>
    <mergeCell ref="JWK49:JXA49"/>
    <mergeCell ref="JXB49:JXR49"/>
    <mergeCell ref="JXS49:JYI49"/>
    <mergeCell ref="JYJ49:JYZ49"/>
    <mergeCell ref="JZA49:JZQ49"/>
    <mergeCell ref="JZR49:KAH49"/>
    <mergeCell ref="KQA49:KQQ49"/>
    <mergeCell ref="KQR49:KRH49"/>
    <mergeCell ref="KRI49:KRY49"/>
    <mergeCell ref="KRZ49:KSP49"/>
    <mergeCell ref="KSQ49:KTG49"/>
    <mergeCell ref="KTH49:KTX49"/>
    <mergeCell ref="KMC49:KMS49"/>
    <mergeCell ref="KMT49:KNJ49"/>
    <mergeCell ref="KNK49:KOA49"/>
    <mergeCell ref="KOB49:KOR49"/>
    <mergeCell ref="KOS49:KPI49"/>
    <mergeCell ref="KPJ49:KPZ49"/>
    <mergeCell ref="KIE49:KIU49"/>
    <mergeCell ref="KIV49:KJL49"/>
    <mergeCell ref="KJM49:KKC49"/>
    <mergeCell ref="KKD49:KKT49"/>
    <mergeCell ref="KKU49:KLK49"/>
    <mergeCell ref="KLL49:KMB49"/>
    <mergeCell ref="LBU49:LCK49"/>
    <mergeCell ref="LCL49:LDB49"/>
    <mergeCell ref="LDC49:LDS49"/>
    <mergeCell ref="LDT49:LEJ49"/>
    <mergeCell ref="LEK49:LFA49"/>
    <mergeCell ref="LFB49:LFR49"/>
    <mergeCell ref="KXW49:KYM49"/>
    <mergeCell ref="KYN49:KZD49"/>
    <mergeCell ref="KZE49:KZU49"/>
    <mergeCell ref="KZV49:LAL49"/>
    <mergeCell ref="LAM49:LBC49"/>
    <mergeCell ref="LBD49:LBT49"/>
    <mergeCell ref="KTY49:KUO49"/>
    <mergeCell ref="KUP49:KVF49"/>
    <mergeCell ref="KVG49:KVW49"/>
    <mergeCell ref="KVX49:KWN49"/>
    <mergeCell ref="KWO49:KXE49"/>
    <mergeCell ref="KXF49:KXV49"/>
    <mergeCell ref="LNO49:LOE49"/>
    <mergeCell ref="LOF49:LOV49"/>
    <mergeCell ref="LOW49:LPM49"/>
    <mergeCell ref="LPN49:LQD49"/>
    <mergeCell ref="LQE49:LQU49"/>
    <mergeCell ref="LQV49:LRL49"/>
    <mergeCell ref="LJQ49:LKG49"/>
    <mergeCell ref="LKH49:LKX49"/>
    <mergeCell ref="LKY49:LLO49"/>
    <mergeCell ref="LLP49:LMF49"/>
    <mergeCell ref="LMG49:LMW49"/>
    <mergeCell ref="LMX49:LNN49"/>
    <mergeCell ref="LFS49:LGI49"/>
    <mergeCell ref="LGJ49:LGZ49"/>
    <mergeCell ref="LHA49:LHQ49"/>
    <mergeCell ref="LHR49:LIH49"/>
    <mergeCell ref="LII49:LIY49"/>
    <mergeCell ref="LIZ49:LJP49"/>
    <mergeCell ref="LZI49:LZY49"/>
    <mergeCell ref="LZZ49:MAP49"/>
    <mergeCell ref="MAQ49:MBG49"/>
    <mergeCell ref="MBH49:MBX49"/>
    <mergeCell ref="MBY49:MCO49"/>
    <mergeCell ref="MCP49:MDF49"/>
    <mergeCell ref="LVK49:LWA49"/>
    <mergeCell ref="LWB49:LWR49"/>
    <mergeCell ref="LWS49:LXI49"/>
    <mergeCell ref="LXJ49:LXZ49"/>
    <mergeCell ref="LYA49:LYQ49"/>
    <mergeCell ref="LYR49:LZH49"/>
    <mergeCell ref="LRM49:LSC49"/>
    <mergeCell ref="LSD49:LST49"/>
    <mergeCell ref="LSU49:LTK49"/>
    <mergeCell ref="LTL49:LUB49"/>
    <mergeCell ref="LUC49:LUS49"/>
    <mergeCell ref="LUT49:LVJ49"/>
    <mergeCell ref="MLC49:MLS49"/>
    <mergeCell ref="MLT49:MMJ49"/>
    <mergeCell ref="MMK49:MNA49"/>
    <mergeCell ref="MNB49:MNR49"/>
    <mergeCell ref="MNS49:MOI49"/>
    <mergeCell ref="MOJ49:MOZ49"/>
    <mergeCell ref="MHE49:MHU49"/>
    <mergeCell ref="MHV49:MIL49"/>
    <mergeCell ref="MIM49:MJC49"/>
    <mergeCell ref="MJD49:MJT49"/>
    <mergeCell ref="MJU49:MKK49"/>
    <mergeCell ref="MKL49:MLB49"/>
    <mergeCell ref="MDG49:MDW49"/>
    <mergeCell ref="MDX49:MEN49"/>
    <mergeCell ref="MEO49:MFE49"/>
    <mergeCell ref="MFF49:MFV49"/>
    <mergeCell ref="MFW49:MGM49"/>
    <mergeCell ref="MGN49:MHD49"/>
    <mergeCell ref="MWW49:MXM49"/>
    <mergeCell ref="MXN49:MYD49"/>
    <mergeCell ref="MYE49:MYU49"/>
    <mergeCell ref="MYV49:MZL49"/>
    <mergeCell ref="MZM49:NAC49"/>
    <mergeCell ref="NAD49:NAT49"/>
    <mergeCell ref="MSY49:MTO49"/>
    <mergeCell ref="MTP49:MUF49"/>
    <mergeCell ref="MUG49:MUW49"/>
    <mergeCell ref="MUX49:MVN49"/>
    <mergeCell ref="MVO49:MWE49"/>
    <mergeCell ref="MWF49:MWV49"/>
    <mergeCell ref="MPA49:MPQ49"/>
    <mergeCell ref="MPR49:MQH49"/>
    <mergeCell ref="MQI49:MQY49"/>
    <mergeCell ref="MQZ49:MRP49"/>
    <mergeCell ref="MRQ49:MSG49"/>
    <mergeCell ref="MSH49:MSX49"/>
    <mergeCell ref="NIQ49:NJG49"/>
    <mergeCell ref="NJH49:NJX49"/>
    <mergeCell ref="NJY49:NKO49"/>
    <mergeCell ref="NKP49:NLF49"/>
    <mergeCell ref="NLG49:NLW49"/>
    <mergeCell ref="NLX49:NMN49"/>
    <mergeCell ref="NES49:NFI49"/>
    <mergeCell ref="NFJ49:NFZ49"/>
    <mergeCell ref="NGA49:NGQ49"/>
    <mergeCell ref="NGR49:NHH49"/>
    <mergeCell ref="NHI49:NHY49"/>
    <mergeCell ref="NHZ49:NIP49"/>
    <mergeCell ref="NAU49:NBK49"/>
    <mergeCell ref="NBL49:NCB49"/>
    <mergeCell ref="NCC49:NCS49"/>
    <mergeCell ref="NCT49:NDJ49"/>
    <mergeCell ref="NDK49:NEA49"/>
    <mergeCell ref="NEB49:NER49"/>
    <mergeCell ref="NUK49:NVA49"/>
    <mergeCell ref="NVB49:NVR49"/>
    <mergeCell ref="NVS49:NWI49"/>
    <mergeCell ref="NWJ49:NWZ49"/>
    <mergeCell ref="NXA49:NXQ49"/>
    <mergeCell ref="NXR49:NYH49"/>
    <mergeCell ref="NQM49:NRC49"/>
    <mergeCell ref="NRD49:NRT49"/>
    <mergeCell ref="NRU49:NSK49"/>
    <mergeCell ref="NSL49:NTB49"/>
    <mergeCell ref="NTC49:NTS49"/>
    <mergeCell ref="NTT49:NUJ49"/>
    <mergeCell ref="NMO49:NNE49"/>
    <mergeCell ref="NNF49:NNV49"/>
    <mergeCell ref="NNW49:NOM49"/>
    <mergeCell ref="NON49:NPD49"/>
    <mergeCell ref="NPE49:NPU49"/>
    <mergeCell ref="NPV49:NQL49"/>
    <mergeCell ref="OGE49:OGU49"/>
    <mergeCell ref="OGV49:OHL49"/>
    <mergeCell ref="OHM49:OIC49"/>
    <mergeCell ref="OID49:OIT49"/>
    <mergeCell ref="OIU49:OJK49"/>
    <mergeCell ref="OJL49:OKB49"/>
    <mergeCell ref="OCG49:OCW49"/>
    <mergeCell ref="OCX49:ODN49"/>
    <mergeCell ref="ODO49:OEE49"/>
    <mergeCell ref="OEF49:OEV49"/>
    <mergeCell ref="OEW49:OFM49"/>
    <mergeCell ref="OFN49:OGD49"/>
    <mergeCell ref="NYI49:NYY49"/>
    <mergeCell ref="NYZ49:NZP49"/>
    <mergeCell ref="NZQ49:OAG49"/>
    <mergeCell ref="OAH49:OAX49"/>
    <mergeCell ref="OAY49:OBO49"/>
    <mergeCell ref="OBP49:OCF49"/>
    <mergeCell ref="ORY49:OSO49"/>
    <mergeCell ref="OSP49:OTF49"/>
    <mergeCell ref="OTG49:OTW49"/>
    <mergeCell ref="OTX49:OUN49"/>
    <mergeCell ref="OUO49:OVE49"/>
    <mergeCell ref="OVF49:OVV49"/>
    <mergeCell ref="OOA49:OOQ49"/>
    <mergeCell ref="OOR49:OPH49"/>
    <mergeCell ref="OPI49:OPY49"/>
    <mergeCell ref="OPZ49:OQP49"/>
    <mergeCell ref="OQQ49:ORG49"/>
    <mergeCell ref="ORH49:ORX49"/>
    <mergeCell ref="OKC49:OKS49"/>
    <mergeCell ref="OKT49:OLJ49"/>
    <mergeCell ref="OLK49:OMA49"/>
    <mergeCell ref="OMB49:OMR49"/>
    <mergeCell ref="OMS49:ONI49"/>
    <mergeCell ref="ONJ49:ONZ49"/>
    <mergeCell ref="PDS49:PEI49"/>
    <mergeCell ref="PEJ49:PEZ49"/>
    <mergeCell ref="PFA49:PFQ49"/>
    <mergeCell ref="PFR49:PGH49"/>
    <mergeCell ref="PGI49:PGY49"/>
    <mergeCell ref="PGZ49:PHP49"/>
    <mergeCell ref="OZU49:PAK49"/>
    <mergeCell ref="PAL49:PBB49"/>
    <mergeCell ref="PBC49:PBS49"/>
    <mergeCell ref="PBT49:PCJ49"/>
    <mergeCell ref="PCK49:PDA49"/>
    <mergeCell ref="PDB49:PDR49"/>
    <mergeCell ref="OVW49:OWM49"/>
    <mergeCell ref="OWN49:OXD49"/>
    <mergeCell ref="OXE49:OXU49"/>
    <mergeCell ref="OXV49:OYL49"/>
    <mergeCell ref="OYM49:OZC49"/>
    <mergeCell ref="OZD49:OZT49"/>
    <mergeCell ref="PPM49:PQC49"/>
    <mergeCell ref="PQD49:PQT49"/>
    <mergeCell ref="PQU49:PRK49"/>
    <mergeCell ref="PRL49:PSB49"/>
    <mergeCell ref="PSC49:PSS49"/>
    <mergeCell ref="PST49:PTJ49"/>
    <mergeCell ref="PLO49:PME49"/>
    <mergeCell ref="PMF49:PMV49"/>
    <mergeCell ref="PMW49:PNM49"/>
    <mergeCell ref="PNN49:POD49"/>
    <mergeCell ref="POE49:POU49"/>
    <mergeCell ref="POV49:PPL49"/>
    <mergeCell ref="PHQ49:PIG49"/>
    <mergeCell ref="PIH49:PIX49"/>
    <mergeCell ref="PIY49:PJO49"/>
    <mergeCell ref="PJP49:PKF49"/>
    <mergeCell ref="PKG49:PKW49"/>
    <mergeCell ref="PKX49:PLN49"/>
    <mergeCell ref="QBG49:QBW49"/>
    <mergeCell ref="QBX49:QCN49"/>
    <mergeCell ref="QCO49:QDE49"/>
    <mergeCell ref="QDF49:QDV49"/>
    <mergeCell ref="QDW49:QEM49"/>
    <mergeCell ref="QEN49:QFD49"/>
    <mergeCell ref="PXI49:PXY49"/>
    <mergeCell ref="PXZ49:PYP49"/>
    <mergeCell ref="PYQ49:PZG49"/>
    <mergeCell ref="PZH49:PZX49"/>
    <mergeCell ref="PZY49:QAO49"/>
    <mergeCell ref="QAP49:QBF49"/>
    <mergeCell ref="PTK49:PUA49"/>
    <mergeCell ref="PUB49:PUR49"/>
    <mergeCell ref="PUS49:PVI49"/>
    <mergeCell ref="PVJ49:PVZ49"/>
    <mergeCell ref="PWA49:PWQ49"/>
    <mergeCell ref="PWR49:PXH49"/>
    <mergeCell ref="QNA49:QNQ49"/>
    <mergeCell ref="QNR49:QOH49"/>
    <mergeCell ref="QOI49:QOY49"/>
    <mergeCell ref="QOZ49:QPP49"/>
    <mergeCell ref="QPQ49:QQG49"/>
    <mergeCell ref="QQH49:QQX49"/>
    <mergeCell ref="QJC49:QJS49"/>
    <mergeCell ref="QJT49:QKJ49"/>
    <mergeCell ref="QKK49:QLA49"/>
    <mergeCell ref="QLB49:QLR49"/>
    <mergeCell ref="QLS49:QMI49"/>
    <mergeCell ref="QMJ49:QMZ49"/>
    <mergeCell ref="QFE49:QFU49"/>
    <mergeCell ref="QFV49:QGL49"/>
    <mergeCell ref="QGM49:QHC49"/>
    <mergeCell ref="QHD49:QHT49"/>
    <mergeCell ref="QHU49:QIK49"/>
    <mergeCell ref="QIL49:QJB49"/>
    <mergeCell ref="QYU49:QZK49"/>
    <mergeCell ref="QZL49:RAB49"/>
    <mergeCell ref="RAC49:RAS49"/>
    <mergeCell ref="RAT49:RBJ49"/>
    <mergeCell ref="RBK49:RCA49"/>
    <mergeCell ref="RCB49:RCR49"/>
    <mergeCell ref="QUW49:QVM49"/>
    <mergeCell ref="QVN49:QWD49"/>
    <mergeCell ref="QWE49:QWU49"/>
    <mergeCell ref="QWV49:QXL49"/>
    <mergeCell ref="QXM49:QYC49"/>
    <mergeCell ref="QYD49:QYT49"/>
    <mergeCell ref="QQY49:QRO49"/>
    <mergeCell ref="QRP49:QSF49"/>
    <mergeCell ref="QSG49:QSW49"/>
    <mergeCell ref="QSX49:QTN49"/>
    <mergeCell ref="QTO49:QUE49"/>
    <mergeCell ref="QUF49:QUV49"/>
    <mergeCell ref="RKO49:RLE49"/>
    <mergeCell ref="RLF49:RLV49"/>
    <mergeCell ref="RLW49:RMM49"/>
    <mergeCell ref="RMN49:RND49"/>
    <mergeCell ref="RNE49:RNU49"/>
    <mergeCell ref="RNV49:ROL49"/>
    <mergeCell ref="RGQ49:RHG49"/>
    <mergeCell ref="RHH49:RHX49"/>
    <mergeCell ref="RHY49:RIO49"/>
    <mergeCell ref="RIP49:RJF49"/>
    <mergeCell ref="RJG49:RJW49"/>
    <mergeCell ref="RJX49:RKN49"/>
    <mergeCell ref="RCS49:RDI49"/>
    <mergeCell ref="RDJ49:RDZ49"/>
    <mergeCell ref="REA49:REQ49"/>
    <mergeCell ref="RER49:RFH49"/>
    <mergeCell ref="RFI49:RFY49"/>
    <mergeCell ref="RFZ49:RGP49"/>
    <mergeCell ref="RWI49:RWY49"/>
    <mergeCell ref="RWZ49:RXP49"/>
    <mergeCell ref="RXQ49:RYG49"/>
    <mergeCell ref="RYH49:RYX49"/>
    <mergeCell ref="RYY49:RZO49"/>
    <mergeCell ref="RZP49:SAF49"/>
    <mergeCell ref="RSK49:RTA49"/>
    <mergeCell ref="RTB49:RTR49"/>
    <mergeCell ref="RTS49:RUI49"/>
    <mergeCell ref="RUJ49:RUZ49"/>
    <mergeCell ref="RVA49:RVQ49"/>
    <mergeCell ref="RVR49:RWH49"/>
    <mergeCell ref="ROM49:RPC49"/>
    <mergeCell ref="RPD49:RPT49"/>
    <mergeCell ref="RPU49:RQK49"/>
    <mergeCell ref="RQL49:RRB49"/>
    <mergeCell ref="RRC49:RRS49"/>
    <mergeCell ref="RRT49:RSJ49"/>
    <mergeCell ref="SIC49:SIS49"/>
    <mergeCell ref="SIT49:SJJ49"/>
    <mergeCell ref="SJK49:SKA49"/>
    <mergeCell ref="SKB49:SKR49"/>
    <mergeCell ref="SKS49:SLI49"/>
    <mergeCell ref="SLJ49:SLZ49"/>
    <mergeCell ref="SEE49:SEU49"/>
    <mergeCell ref="SEV49:SFL49"/>
    <mergeCell ref="SFM49:SGC49"/>
    <mergeCell ref="SGD49:SGT49"/>
    <mergeCell ref="SGU49:SHK49"/>
    <mergeCell ref="SHL49:SIB49"/>
    <mergeCell ref="SAG49:SAW49"/>
    <mergeCell ref="SAX49:SBN49"/>
    <mergeCell ref="SBO49:SCE49"/>
    <mergeCell ref="SCF49:SCV49"/>
    <mergeCell ref="SCW49:SDM49"/>
    <mergeCell ref="SDN49:SED49"/>
    <mergeCell ref="STW49:SUM49"/>
    <mergeCell ref="SUN49:SVD49"/>
    <mergeCell ref="SVE49:SVU49"/>
    <mergeCell ref="SVV49:SWL49"/>
    <mergeCell ref="SWM49:SXC49"/>
    <mergeCell ref="SXD49:SXT49"/>
    <mergeCell ref="SPY49:SQO49"/>
    <mergeCell ref="SQP49:SRF49"/>
    <mergeCell ref="SRG49:SRW49"/>
    <mergeCell ref="SRX49:SSN49"/>
    <mergeCell ref="SSO49:STE49"/>
    <mergeCell ref="STF49:STV49"/>
    <mergeCell ref="SMA49:SMQ49"/>
    <mergeCell ref="SMR49:SNH49"/>
    <mergeCell ref="SNI49:SNY49"/>
    <mergeCell ref="SNZ49:SOP49"/>
    <mergeCell ref="SOQ49:SPG49"/>
    <mergeCell ref="SPH49:SPX49"/>
    <mergeCell ref="TFQ49:TGG49"/>
    <mergeCell ref="TGH49:TGX49"/>
    <mergeCell ref="TGY49:THO49"/>
    <mergeCell ref="THP49:TIF49"/>
    <mergeCell ref="TIG49:TIW49"/>
    <mergeCell ref="TIX49:TJN49"/>
    <mergeCell ref="TBS49:TCI49"/>
    <mergeCell ref="TCJ49:TCZ49"/>
    <mergeCell ref="TDA49:TDQ49"/>
    <mergeCell ref="TDR49:TEH49"/>
    <mergeCell ref="TEI49:TEY49"/>
    <mergeCell ref="TEZ49:TFP49"/>
    <mergeCell ref="SXU49:SYK49"/>
    <mergeCell ref="SYL49:SZB49"/>
    <mergeCell ref="SZC49:SZS49"/>
    <mergeCell ref="SZT49:TAJ49"/>
    <mergeCell ref="TAK49:TBA49"/>
    <mergeCell ref="TBB49:TBR49"/>
    <mergeCell ref="TRK49:TSA49"/>
    <mergeCell ref="TSB49:TSR49"/>
    <mergeCell ref="TSS49:TTI49"/>
    <mergeCell ref="TTJ49:TTZ49"/>
    <mergeCell ref="TUA49:TUQ49"/>
    <mergeCell ref="TUR49:TVH49"/>
    <mergeCell ref="TNM49:TOC49"/>
    <mergeCell ref="TOD49:TOT49"/>
    <mergeCell ref="TOU49:TPK49"/>
    <mergeCell ref="TPL49:TQB49"/>
    <mergeCell ref="TQC49:TQS49"/>
    <mergeCell ref="TQT49:TRJ49"/>
    <mergeCell ref="TJO49:TKE49"/>
    <mergeCell ref="TKF49:TKV49"/>
    <mergeCell ref="TKW49:TLM49"/>
    <mergeCell ref="TLN49:TMD49"/>
    <mergeCell ref="TME49:TMU49"/>
    <mergeCell ref="TMV49:TNL49"/>
    <mergeCell ref="UDE49:UDU49"/>
    <mergeCell ref="UDV49:UEL49"/>
    <mergeCell ref="UEM49:UFC49"/>
    <mergeCell ref="UFD49:UFT49"/>
    <mergeCell ref="UFU49:UGK49"/>
    <mergeCell ref="UGL49:UHB49"/>
    <mergeCell ref="TZG49:TZW49"/>
    <mergeCell ref="TZX49:UAN49"/>
    <mergeCell ref="UAO49:UBE49"/>
    <mergeCell ref="UBF49:UBV49"/>
    <mergeCell ref="UBW49:UCM49"/>
    <mergeCell ref="UCN49:UDD49"/>
    <mergeCell ref="TVI49:TVY49"/>
    <mergeCell ref="TVZ49:TWP49"/>
    <mergeCell ref="TWQ49:TXG49"/>
    <mergeCell ref="TXH49:TXX49"/>
    <mergeCell ref="TXY49:TYO49"/>
    <mergeCell ref="TYP49:TZF49"/>
    <mergeCell ref="UOY49:UPO49"/>
    <mergeCell ref="UPP49:UQF49"/>
    <mergeCell ref="UQG49:UQW49"/>
    <mergeCell ref="UQX49:URN49"/>
    <mergeCell ref="URO49:USE49"/>
    <mergeCell ref="USF49:USV49"/>
    <mergeCell ref="ULA49:ULQ49"/>
    <mergeCell ref="ULR49:UMH49"/>
    <mergeCell ref="UMI49:UMY49"/>
    <mergeCell ref="UMZ49:UNP49"/>
    <mergeCell ref="UNQ49:UOG49"/>
    <mergeCell ref="UOH49:UOX49"/>
    <mergeCell ref="UHC49:UHS49"/>
    <mergeCell ref="UHT49:UIJ49"/>
    <mergeCell ref="UIK49:UJA49"/>
    <mergeCell ref="UJB49:UJR49"/>
    <mergeCell ref="UJS49:UKI49"/>
    <mergeCell ref="UKJ49:UKZ49"/>
    <mergeCell ref="VAS49:VBI49"/>
    <mergeCell ref="VBJ49:VBZ49"/>
    <mergeCell ref="VCA49:VCQ49"/>
    <mergeCell ref="VCR49:VDH49"/>
    <mergeCell ref="VDI49:VDY49"/>
    <mergeCell ref="VDZ49:VEP49"/>
    <mergeCell ref="UWU49:UXK49"/>
    <mergeCell ref="UXL49:UYB49"/>
    <mergeCell ref="UYC49:UYS49"/>
    <mergeCell ref="UYT49:UZJ49"/>
    <mergeCell ref="UZK49:VAA49"/>
    <mergeCell ref="VAB49:VAR49"/>
    <mergeCell ref="USW49:UTM49"/>
    <mergeCell ref="UTN49:UUD49"/>
    <mergeCell ref="UUE49:UUU49"/>
    <mergeCell ref="UUV49:UVL49"/>
    <mergeCell ref="UVM49:UWC49"/>
    <mergeCell ref="UWD49:UWT49"/>
    <mergeCell ref="VMM49:VNC49"/>
    <mergeCell ref="VND49:VNT49"/>
    <mergeCell ref="VNU49:VOK49"/>
    <mergeCell ref="VOL49:VPB49"/>
    <mergeCell ref="VPC49:VPS49"/>
    <mergeCell ref="VPT49:VQJ49"/>
    <mergeCell ref="VIO49:VJE49"/>
    <mergeCell ref="VJF49:VJV49"/>
    <mergeCell ref="VJW49:VKM49"/>
    <mergeCell ref="VKN49:VLD49"/>
    <mergeCell ref="VLE49:VLU49"/>
    <mergeCell ref="VLV49:VML49"/>
    <mergeCell ref="VEQ49:VFG49"/>
    <mergeCell ref="VFH49:VFX49"/>
    <mergeCell ref="VFY49:VGO49"/>
    <mergeCell ref="VGP49:VHF49"/>
    <mergeCell ref="VHG49:VHW49"/>
    <mergeCell ref="VHX49:VIN49"/>
    <mergeCell ref="VYG49:VYW49"/>
    <mergeCell ref="VYX49:VZN49"/>
    <mergeCell ref="VZO49:WAE49"/>
    <mergeCell ref="WAF49:WAV49"/>
    <mergeCell ref="WAW49:WBM49"/>
    <mergeCell ref="WBN49:WCD49"/>
    <mergeCell ref="VUI49:VUY49"/>
    <mergeCell ref="VUZ49:VVP49"/>
    <mergeCell ref="VVQ49:VWG49"/>
    <mergeCell ref="VWH49:VWX49"/>
    <mergeCell ref="VWY49:VXO49"/>
    <mergeCell ref="VXP49:VYF49"/>
    <mergeCell ref="VQK49:VRA49"/>
    <mergeCell ref="VRB49:VRR49"/>
    <mergeCell ref="VRS49:VSI49"/>
    <mergeCell ref="VSJ49:VSZ49"/>
    <mergeCell ref="VTA49:VTQ49"/>
    <mergeCell ref="VTR49:VUH49"/>
    <mergeCell ref="WQO49:WRE49"/>
    <mergeCell ref="WRF49:WRV49"/>
    <mergeCell ref="WKA49:WKQ49"/>
    <mergeCell ref="WKR49:WLH49"/>
    <mergeCell ref="WLI49:WLY49"/>
    <mergeCell ref="WLZ49:WMP49"/>
    <mergeCell ref="WMQ49:WNG49"/>
    <mergeCell ref="WNH49:WNX49"/>
    <mergeCell ref="WGC49:WGS49"/>
    <mergeCell ref="WGT49:WHJ49"/>
    <mergeCell ref="WHK49:WIA49"/>
    <mergeCell ref="WIB49:WIR49"/>
    <mergeCell ref="WIS49:WJI49"/>
    <mergeCell ref="WJJ49:WJZ49"/>
    <mergeCell ref="WCE49:WCU49"/>
    <mergeCell ref="WCV49:WDL49"/>
    <mergeCell ref="WDM49:WEC49"/>
    <mergeCell ref="WED49:WET49"/>
    <mergeCell ref="WEU49:WFK49"/>
    <mergeCell ref="WFL49:WGB49"/>
    <mergeCell ref="XDQ49:XEC49"/>
    <mergeCell ref="S50:AG50"/>
    <mergeCell ref="AX50:BM50"/>
    <mergeCell ref="BN50:BP50"/>
    <mergeCell ref="BQ50:BU50"/>
    <mergeCell ref="BY50:CN50"/>
    <mergeCell ref="CO50:DE50"/>
    <mergeCell ref="DF50:DV50"/>
    <mergeCell ref="DW50:EM50"/>
    <mergeCell ref="EN50:FD50"/>
    <mergeCell ref="WZS49:XAI49"/>
    <mergeCell ref="XAJ49:XAZ49"/>
    <mergeCell ref="XBA49:XBQ49"/>
    <mergeCell ref="XBR49:XCH49"/>
    <mergeCell ref="XCI49:XCY49"/>
    <mergeCell ref="XCZ49:XDP49"/>
    <mergeCell ref="WVU49:WWK49"/>
    <mergeCell ref="WWL49:WXB49"/>
    <mergeCell ref="WXC49:WXS49"/>
    <mergeCell ref="WXT49:WYJ49"/>
    <mergeCell ref="WYK49:WZA49"/>
    <mergeCell ref="WZB49:WZR49"/>
    <mergeCell ref="WRW49:WSM49"/>
    <mergeCell ref="WSN49:WTD49"/>
    <mergeCell ref="WTE49:WTU49"/>
    <mergeCell ref="WTV49:WUL49"/>
    <mergeCell ref="WUM49:WVC49"/>
    <mergeCell ref="WVD49:WVT49"/>
    <mergeCell ref="WNY49:WOO49"/>
    <mergeCell ref="WOP49:WPF49"/>
    <mergeCell ref="WPG49:WPW49"/>
    <mergeCell ref="WPX49:WQN49"/>
    <mergeCell ref="NA50:NQ50"/>
    <mergeCell ref="NR50:OH50"/>
    <mergeCell ref="OI50:OY50"/>
    <mergeCell ref="OZ50:PP50"/>
    <mergeCell ref="PQ50:QG50"/>
    <mergeCell ref="QH50:QX50"/>
    <mergeCell ref="JC50:JS50"/>
    <mergeCell ref="JT50:KJ50"/>
    <mergeCell ref="KK50:LA50"/>
    <mergeCell ref="LB50:LR50"/>
    <mergeCell ref="LS50:MI50"/>
    <mergeCell ref="MJ50:MZ50"/>
    <mergeCell ref="FE50:FU50"/>
    <mergeCell ref="FV50:GL50"/>
    <mergeCell ref="GM50:HC50"/>
    <mergeCell ref="HD50:HT50"/>
    <mergeCell ref="HU50:IK50"/>
    <mergeCell ref="IL50:JB50"/>
    <mergeCell ref="YU50:ZK50"/>
    <mergeCell ref="ZL50:AAB50"/>
    <mergeCell ref="AAC50:AAS50"/>
    <mergeCell ref="AAT50:ABJ50"/>
    <mergeCell ref="ABK50:ACA50"/>
    <mergeCell ref="ACB50:ACR50"/>
    <mergeCell ref="UW50:VM50"/>
    <mergeCell ref="VN50:WD50"/>
    <mergeCell ref="WE50:WU50"/>
    <mergeCell ref="WV50:XL50"/>
    <mergeCell ref="XM50:YC50"/>
    <mergeCell ref="YD50:YT50"/>
    <mergeCell ref="QY50:RO50"/>
    <mergeCell ref="RP50:SF50"/>
    <mergeCell ref="SG50:SW50"/>
    <mergeCell ref="SX50:TN50"/>
    <mergeCell ref="TO50:UE50"/>
    <mergeCell ref="UF50:UV50"/>
    <mergeCell ref="AKO50:ALE50"/>
    <mergeCell ref="ALF50:ALV50"/>
    <mergeCell ref="ALW50:AMM50"/>
    <mergeCell ref="AMN50:AND50"/>
    <mergeCell ref="ANE50:ANU50"/>
    <mergeCell ref="ANV50:AOL50"/>
    <mergeCell ref="AGQ50:AHG50"/>
    <mergeCell ref="AHH50:AHX50"/>
    <mergeCell ref="AHY50:AIO50"/>
    <mergeCell ref="AIP50:AJF50"/>
    <mergeCell ref="AJG50:AJW50"/>
    <mergeCell ref="AJX50:AKN50"/>
    <mergeCell ref="ACS50:ADI50"/>
    <mergeCell ref="ADJ50:ADZ50"/>
    <mergeCell ref="AEA50:AEQ50"/>
    <mergeCell ref="AER50:AFH50"/>
    <mergeCell ref="AFI50:AFY50"/>
    <mergeCell ref="AFZ50:AGP50"/>
    <mergeCell ref="AWI50:AWY50"/>
    <mergeCell ref="AWZ50:AXP50"/>
    <mergeCell ref="AXQ50:AYG50"/>
    <mergeCell ref="AYH50:AYX50"/>
    <mergeCell ref="AYY50:AZO50"/>
    <mergeCell ref="AZP50:BAF50"/>
    <mergeCell ref="ASK50:ATA50"/>
    <mergeCell ref="ATB50:ATR50"/>
    <mergeCell ref="ATS50:AUI50"/>
    <mergeCell ref="AUJ50:AUZ50"/>
    <mergeCell ref="AVA50:AVQ50"/>
    <mergeCell ref="AVR50:AWH50"/>
    <mergeCell ref="AOM50:APC50"/>
    <mergeCell ref="APD50:APT50"/>
    <mergeCell ref="APU50:AQK50"/>
    <mergeCell ref="AQL50:ARB50"/>
    <mergeCell ref="ARC50:ARS50"/>
    <mergeCell ref="ART50:ASJ50"/>
    <mergeCell ref="BIC50:BIS50"/>
    <mergeCell ref="BIT50:BJJ50"/>
    <mergeCell ref="BJK50:BKA50"/>
    <mergeCell ref="BKB50:BKR50"/>
    <mergeCell ref="BKS50:BLI50"/>
    <mergeCell ref="BLJ50:BLZ50"/>
    <mergeCell ref="BEE50:BEU50"/>
    <mergeCell ref="BEV50:BFL50"/>
    <mergeCell ref="BFM50:BGC50"/>
    <mergeCell ref="BGD50:BGT50"/>
    <mergeCell ref="BGU50:BHK50"/>
    <mergeCell ref="BHL50:BIB50"/>
    <mergeCell ref="BAG50:BAW50"/>
    <mergeCell ref="BAX50:BBN50"/>
    <mergeCell ref="BBO50:BCE50"/>
    <mergeCell ref="BCF50:BCV50"/>
    <mergeCell ref="BCW50:BDM50"/>
    <mergeCell ref="BDN50:BED50"/>
    <mergeCell ref="BTW50:BUM50"/>
    <mergeCell ref="BUN50:BVD50"/>
    <mergeCell ref="BVE50:BVU50"/>
    <mergeCell ref="BVV50:BWL50"/>
    <mergeCell ref="BWM50:BXC50"/>
    <mergeCell ref="BXD50:BXT50"/>
    <mergeCell ref="BPY50:BQO50"/>
    <mergeCell ref="BQP50:BRF50"/>
    <mergeCell ref="BRG50:BRW50"/>
    <mergeCell ref="BRX50:BSN50"/>
    <mergeCell ref="BSO50:BTE50"/>
    <mergeCell ref="BTF50:BTV50"/>
    <mergeCell ref="BMA50:BMQ50"/>
    <mergeCell ref="BMR50:BNH50"/>
    <mergeCell ref="BNI50:BNY50"/>
    <mergeCell ref="BNZ50:BOP50"/>
    <mergeCell ref="BOQ50:BPG50"/>
    <mergeCell ref="BPH50:BPX50"/>
    <mergeCell ref="CFQ50:CGG50"/>
    <mergeCell ref="CGH50:CGX50"/>
    <mergeCell ref="CGY50:CHO50"/>
    <mergeCell ref="CHP50:CIF50"/>
    <mergeCell ref="CIG50:CIW50"/>
    <mergeCell ref="CIX50:CJN50"/>
    <mergeCell ref="CBS50:CCI50"/>
    <mergeCell ref="CCJ50:CCZ50"/>
    <mergeCell ref="CDA50:CDQ50"/>
    <mergeCell ref="CDR50:CEH50"/>
    <mergeCell ref="CEI50:CEY50"/>
    <mergeCell ref="CEZ50:CFP50"/>
    <mergeCell ref="BXU50:BYK50"/>
    <mergeCell ref="BYL50:BZB50"/>
    <mergeCell ref="BZC50:BZS50"/>
    <mergeCell ref="BZT50:CAJ50"/>
    <mergeCell ref="CAK50:CBA50"/>
    <mergeCell ref="CBB50:CBR50"/>
    <mergeCell ref="CRK50:CSA50"/>
    <mergeCell ref="CSB50:CSR50"/>
    <mergeCell ref="CSS50:CTI50"/>
    <mergeCell ref="CTJ50:CTZ50"/>
    <mergeCell ref="CUA50:CUQ50"/>
    <mergeCell ref="CUR50:CVH50"/>
    <mergeCell ref="CNM50:COC50"/>
    <mergeCell ref="COD50:COT50"/>
    <mergeCell ref="COU50:CPK50"/>
    <mergeCell ref="CPL50:CQB50"/>
    <mergeCell ref="CQC50:CQS50"/>
    <mergeCell ref="CQT50:CRJ50"/>
    <mergeCell ref="CJO50:CKE50"/>
    <mergeCell ref="CKF50:CKV50"/>
    <mergeCell ref="CKW50:CLM50"/>
    <mergeCell ref="CLN50:CMD50"/>
    <mergeCell ref="CME50:CMU50"/>
    <mergeCell ref="CMV50:CNL50"/>
    <mergeCell ref="DDE50:DDU50"/>
    <mergeCell ref="DDV50:DEL50"/>
    <mergeCell ref="DEM50:DFC50"/>
    <mergeCell ref="DFD50:DFT50"/>
    <mergeCell ref="DFU50:DGK50"/>
    <mergeCell ref="DGL50:DHB50"/>
    <mergeCell ref="CZG50:CZW50"/>
    <mergeCell ref="CZX50:DAN50"/>
    <mergeCell ref="DAO50:DBE50"/>
    <mergeCell ref="DBF50:DBV50"/>
    <mergeCell ref="DBW50:DCM50"/>
    <mergeCell ref="DCN50:DDD50"/>
    <mergeCell ref="CVI50:CVY50"/>
    <mergeCell ref="CVZ50:CWP50"/>
    <mergeCell ref="CWQ50:CXG50"/>
    <mergeCell ref="CXH50:CXX50"/>
    <mergeCell ref="CXY50:CYO50"/>
    <mergeCell ref="CYP50:CZF50"/>
    <mergeCell ref="DOY50:DPO50"/>
    <mergeCell ref="DPP50:DQF50"/>
    <mergeCell ref="DQG50:DQW50"/>
    <mergeCell ref="DQX50:DRN50"/>
    <mergeCell ref="DRO50:DSE50"/>
    <mergeCell ref="DSF50:DSV50"/>
    <mergeCell ref="DLA50:DLQ50"/>
    <mergeCell ref="DLR50:DMH50"/>
    <mergeCell ref="DMI50:DMY50"/>
    <mergeCell ref="DMZ50:DNP50"/>
    <mergeCell ref="DNQ50:DOG50"/>
    <mergeCell ref="DOH50:DOX50"/>
    <mergeCell ref="DHC50:DHS50"/>
    <mergeCell ref="DHT50:DIJ50"/>
    <mergeCell ref="DIK50:DJA50"/>
    <mergeCell ref="DJB50:DJR50"/>
    <mergeCell ref="DJS50:DKI50"/>
    <mergeCell ref="DKJ50:DKZ50"/>
    <mergeCell ref="EAS50:EBI50"/>
    <mergeCell ref="EBJ50:EBZ50"/>
    <mergeCell ref="ECA50:ECQ50"/>
    <mergeCell ref="ECR50:EDH50"/>
    <mergeCell ref="EDI50:EDY50"/>
    <mergeCell ref="EDZ50:EEP50"/>
    <mergeCell ref="DWU50:DXK50"/>
    <mergeCell ref="DXL50:DYB50"/>
    <mergeCell ref="DYC50:DYS50"/>
    <mergeCell ref="DYT50:DZJ50"/>
    <mergeCell ref="DZK50:EAA50"/>
    <mergeCell ref="EAB50:EAR50"/>
    <mergeCell ref="DSW50:DTM50"/>
    <mergeCell ref="DTN50:DUD50"/>
    <mergeCell ref="DUE50:DUU50"/>
    <mergeCell ref="DUV50:DVL50"/>
    <mergeCell ref="DVM50:DWC50"/>
    <mergeCell ref="DWD50:DWT50"/>
    <mergeCell ref="EMM50:ENC50"/>
    <mergeCell ref="END50:ENT50"/>
    <mergeCell ref="ENU50:EOK50"/>
    <mergeCell ref="EOL50:EPB50"/>
    <mergeCell ref="EPC50:EPS50"/>
    <mergeCell ref="EPT50:EQJ50"/>
    <mergeCell ref="EIO50:EJE50"/>
    <mergeCell ref="EJF50:EJV50"/>
    <mergeCell ref="EJW50:EKM50"/>
    <mergeCell ref="EKN50:ELD50"/>
    <mergeCell ref="ELE50:ELU50"/>
    <mergeCell ref="ELV50:EML50"/>
    <mergeCell ref="EEQ50:EFG50"/>
    <mergeCell ref="EFH50:EFX50"/>
    <mergeCell ref="EFY50:EGO50"/>
    <mergeCell ref="EGP50:EHF50"/>
    <mergeCell ref="EHG50:EHW50"/>
    <mergeCell ref="EHX50:EIN50"/>
    <mergeCell ref="EYG50:EYW50"/>
    <mergeCell ref="EYX50:EZN50"/>
    <mergeCell ref="EZO50:FAE50"/>
    <mergeCell ref="FAF50:FAV50"/>
    <mergeCell ref="FAW50:FBM50"/>
    <mergeCell ref="FBN50:FCD50"/>
    <mergeCell ref="EUI50:EUY50"/>
    <mergeCell ref="EUZ50:EVP50"/>
    <mergeCell ref="EVQ50:EWG50"/>
    <mergeCell ref="EWH50:EWX50"/>
    <mergeCell ref="EWY50:EXO50"/>
    <mergeCell ref="EXP50:EYF50"/>
    <mergeCell ref="EQK50:ERA50"/>
    <mergeCell ref="ERB50:ERR50"/>
    <mergeCell ref="ERS50:ESI50"/>
    <mergeCell ref="ESJ50:ESZ50"/>
    <mergeCell ref="ETA50:ETQ50"/>
    <mergeCell ref="ETR50:EUH50"/>
    <mergeCell ref="FKA50:FKQ50"/>
    <mergeCell ref="FKR50:FLH50"/>
    <mergeCell ref="FLI50:FLY50"/>
    <mergeCell ref="FLZ50:FMP50"/>
    <mergeCell ref="FMQ50:FNG50"/>
    <mergeCell ref="FNH50:FNX50"/>
    <mergeCell ref="FGC50:FGS50"/>
    <mergeCell ref="FGT50:FHJ50"/>
    <mergeCell ref="FHK50:FIA50"/>
    <mergeCell ref="FIB50:FIR50"/>
    <mergeCell ref="FIS50:FJI50"/>
    <mergeCell ref="FJJ50:FJZ50"/>
    <mergeCell ref="FCE50:FCU50"/>
    <mergeCell ref="FCV50:FDL50"/>
    <mergeCell ref="FDM50:FEC50"/>
    <mergeCell ref="FED50:FET50"/>
    <mergeCell ref="FEU50:FFK50"/>
    <mergeCell ref="FFL50:FGB50"/>
    <mergeCell ref="FVU50:FWK50"/>
    <mergeCell ref="FWL50:FXB50"/>
    <mergeCell ref="FXC50:FXS50"/>
    <mergeCell ref="FXT50:FYJ50"/>
    <mergeCell ref="FYK50:FZA50"/>
    <mergeCell ref="FZB50:FZR50"/>
    <mergeCell ref="FRW50:FSM50"/>
    <mergeCell ref="FSN50:FTD50"/>
    <mergeCell ref="FTE50:FTU50"/>
    <mergeCell ref="FTV50:FUL50"/>
    <mergeCell ref="FUM50:FVC50"/>
    <mergeCell ref="FVD50:FVT50"/>
    <mergeCell ref="FNY50:FOO50"/>
    <mergeCell ref="FOP50:FPF50"/>
    <mergeCell ref="FPG50:FPW50"/>
    <mergeCell ref="FPX50:FQN50"/>
    <mergeCell ref="FQO50:FRE50"/>
    <mergeCell ref="FRF50:FRV50"/>
    <mergeCell ref="GHO50:GIE50"/>
    <mergeCell ref="GIF50:GIV50"/>
    <mergeCell ref="GIW50:GJM50"/>
    <mergeCell ref="GJN50:GKD50"/>
    <mergeCell ref="GKE50:GKU50"/>
    <mergeCell ref="GKV50:GLL50"/>
    <mergeCell ref="GDQ50:GEG50"/>
    <mergeCell ref="GEH50:GEX50"/>
    <mergeCell ref="GEY50:GFO50"/>
    <mergeCell ref="GFP50:GGF50"/>
    <mergeCell ref="GGG50:GGW50"/>
    <mergeCell ref="GGX50:GHN50"/>
    <mergeCell ref="FZS50:GAI50"/>
    <mergeCell ref="GAJ50:GAZ50"/>
    <mergeCell ref="GBA50:GBQ50"/>
    <mergeCell ref="GBR50:GCH50"/>
    <mergeCell ref="GCI50:GCY50"/>
    <mergeCell ref="GCZ50:GDP50"/>
    <mergeCell ref="GTI50:GTY50"/>
    <mergeCell ref="GTZ50:GUP50"/>
    <mergeCell ref="GUQ50:GVG50"/>
    <mergeCell ref="GVH50:GVX50"/>
    <mergeCell ref="GVY50:GWO50"/>
    <mergeCell ref="GWP50:GXF50"/>
    <mergeCell ref="GPK50:GQA50"/>
    <mergeCell ref="GQB50:GQR50"/>
    <mergeCell ref="GQS50:GRI50"/>
    <mergeCell ref="GRJ50:GRZ50"/>
    <mergeCell ref="GSA50:GSQ50"/>
    <mergeCell ref="GSR50:GTH50"/>
    <mergeCell ref="GLM50:GMC50"/>
    <mergeCell ref="GMD50:GMT50"/>
    <mergeCell ref="GMU50:GNK50"/>
    <mergeCell ref="GNL50:GOB50"/>
    <mergeCell ref="GOC50:GOS50"/>
    <mergeCell ref="GOT50:GPJ50"/>
    <mergeCell ref="HFC50:HFS50"/>
    <mergeCell ref="HFT50:HGJ50"/>
    <mergeCell ref="HGK50:HHA50"/>
    <mergeCell ref="HHB50:HHR50"/>
    <mergeCell ref="HHS50:HII50"/>
    <mergeCell ref="HIJ50:HIZ50"/>
    <mergeCell ref="HBE50:HBU50"/>
    <mergeCell ref="HBV50:HCL50"/>
    <mergeCell ref="HCM50:HDC50"/>
    <mergeCell ref="HDD50:HDT50"/>
    <mergeCell ref="HDU50:HEK50"/>
    <mergeCell ref="HEL50:HFB50"/>
    <mergeCell ref="GXG50:GXW50"/>
    <mergeCell ref="GXX50:GYN50"/>
    <mergeCell ref="GYO50:GZE50"/>
    <mergeCell ref="GZF50:GZV50"/>
    <mergeCell ref="GZW50:HAM50"/>
    <mergeCell ref="HAN50:HBD50"/>
    <mergeCell ref="HQW50:HRM50"/>
    <mergeCell ref="HRN50:HSD50"/>
    <mergeCell ref="HSE50:HSU50"/>
    <mergeCell ref="HSV50:HTL50"/>
    <mergeCell ref="HTM50:HUC50"/>
    <mergeCell ref="HUD50:HUT50"/>
    <mergeCell ref="HMY50:HNO50"/>
    <mergeCell ref="HNP50:HOF50"/>
    <mergeCell ref="HOG50:HOW50"/>
    <mergeCell ref="HOX50:HPN50"/>
    <mergeCell ref="HPO50:HQE50"/>
    <mergeCell ref="HQF50:HQV50"/>
    <mergeCell ref="HJA50:HJQ50"/>
    <mergeCell ref="HJR50:HKH50"/>
    <mergeCell ref="HKI50:HKY50"/>
    <mergeCell ref="HKZ50:HLP50"/>
    <mergeCell ref="HLQ50:HMG50"/>
    <mergeCell ref="HMH50:HMX50"/>
    <mergeCell ref="ICQ50:IDG50"/>
    <mergeCell ref="IDH50:IDX50"/>
    <mergeCell ref="IDY50:IEO50"/>
    <mergeCell ref="IEP50:IFF50"/>
    <mergeCell ref="IFG50:IFW50"/>
    <mergeCell ref="IFX50:IGN50"/>
    <mergeCell ref="HYS50:HZI50"/>
    <mergeCell ref="HZJ50:HZZ50"/>
    <mergeCell ref="IAA50:IAQ50"/>
    <mergeCell ref="IAR50:IBH50"/>
    <mergeCell ref="IBI50:IBY50"/>
    <mergeCell ref="IBZ50:ICP50"/>
    <mergeCell ref="HUU50:HVK50"/>
    <mergeCell ref="HVL50:HWB50"/>
    <mergeCell ref="HWC50:HWS50"/>
    <mergeCell ref="HWT50:HXJ50"/>
    <mergeCell ref="HXK50:HYA50"/>
    <mergeCell ref="HYB50:HYR50"/>
    <mergeCell ref="IOK50:IPA50"/>
    <mergeCell ref="IPB50:IPR50"/>
    <mergeCell ref="IPS50:IQI50"/>
    <mergeCell ref="IQJ50:IQZ50"/>
    <mergeCell ref="IRA50:IRQ50"/>
    <mergeCell ref="IRR50:ISH50"/>
    <mergeCell ref="IKM50:ILC50"/>
    <mergeCell ref="ILD50:ILT50"/>
    <mergeCell ref="ILU50:IMK50"/>
    <mergeCell ref="IML50:INB50"/>
    <mergeCell ref="INC50:INS50"/>
    <mergeCell ref="INT50:IOJ50"/>
    <mergeCell ref="IGO50:IHE50"/>
    <mergeCell ref="IHF50:IHV50"/>
    <mergeCell ref="IHW50:IIM50"/>
    <mergeCell ref="IIN50:IJD50"/>
    <mergeCell ref="IJE50:IJU50"/>
    <mergeCell ref="IJV50:IKL50"/>
    <mergeCell ref="JAE50:JAU50"/>
    <mergeCell ref="JAV50:JBL50"/>
    <mergeCell ref="JBM50:JCC50"/>
    <mergeCell ref="JCD50:JCT50"/>
    <mergeCell ref="JCU50:JDK50"/>
    <mergeCell ref="JDL50:JEB50"/>
    <mergeCell ref="IWG50:IWW50"/>
    <mergeCell ref="IWX50:IXN50"/>
    <mergeCell ref="IXO50:IYE50"/>
    <mergeCell ref="IYF50:IYV50"/>
    <mergeCell ref="IYW50:IZM50"/>
    <mergeCell ref="IZN50:JAD50"/>
    <mergeCell ref="ISI50:ISY50"/>
    <mergeCell ref="ISZ50:ITP50"/>
    <mergeCell ref="ITQ50:IUG50"/>
    <mergeCell ref="IUH50:IUX50"/>
    <mergeCell ref="IUY50:IVO50"/>
    <mergeCell ref="IVP50:IWF50"/>
    <mergeCell ref="JLY50:JMO50"/>
    <mergeCell ref="JMP50:JNF50"/>
    <mergeCell ref="JNG50:JNW50"/>
    <mergeCell ref="JNX50:JON50"/>
    <mergeCell ref="JOO50:JPE50"/>
    <mergeCell ref="JPF50:JPV50"/>
    <mergeCell ref="JIA50:JIQ50"/>
    <mergeCell ref="JIR50:JJH50"/>
    <mergeCell ref="JJI50:JJY50"/>
    <mergeCell ref="JJZ50:JKP50"/>
    <mergeCell ref="JKQ50:JLG50"/>
    <mergeCell ref="JLH50:JLX50"/>
    <mergeCell ref="JEC50:JES50"/>
    <mergeCell ref="JET50:JFJ50"/>
    <mergeCell ref="JFK50:JGA50"/>
    <mergeCell ref="JGB50:JGR50"/>
    <mergeCell ref="JGS50:JHI50"/>
    <mergeCell ref="JHJ50:JHZ50"/>
    <mergeCell ref="JXS50:JYI50"/>
    <mergeCell ref="JYJ50:JYZ50"/>
    <mergeCell ref="JZA50:JZQ50"/>
    <mergeCell ref="JZR50:KAH50"/>
    <mergeCell ref="KAI50:KAY50"/>
    <mergeCell ref="KAZ50:KBP50"/>
    <mergeCell ref="JTU50:JUK50"/>
    <mergeCell ref="JUL50:JVB50"/>
    <mergeCell ref="JVC50:JVS50"/>
    <mergeCell ref="JVT50:JWJ50"/>
    <mergeCell ref="JWK50:JXA50"/>
    <mergeCell ref="JXB50:JXR50"/>
    <mergeCell ref="JPW50:JQM50"/>
    <mergeCell ref="JQN50:JRD50"/>
    <mergeCell ref="JRE50:JRU50"/>
    <mergeCell ref="JRV50:JSL50"/>
    <mergeCell ref="JSM50:JTC50"/>
    <mergeCell ref="JTD50:JTT50"/>
    <mergeCell ref="KJM50:KKC50"/>
    <mergeCell ref="KKD50:KKT50"/>
    <mergeCell ref="KKU50:KLK50"/>
    <mergeCell ref="KLL50:KMB50"/>
    <mergeCell ref="KMC50:KMS50"/>
    <mergeCell ref="KMT50:KNJ50"/>
    <mergeCell ref="KFO50:KGE50"/>
    <mergeCell ref="KGF50:KGV50"/>
    <mergeCell ref="KGW50:KHM50"/>
    <mergeCell ref="KHN50:KID50"/>
    <mergeCell ref="KIE50:KIU50"/>
    <mergeCell ref="KIV50:KJL50"/>
    <mergeCell ref="KBQ50:KCG50"/>
    <mergeCell ref="KCH50:KCX50"/>
    <mergeCell ref="KCY50:KDO50"/>
    <mergeCell ref="KDP50:KEF50"/>
    <mergeCell ref="KEG50:KEW50"/>
    <mergeCell ref="KEX50:KFN50"/>
    <mergeCell ref="KVG50:KVW50"/>
    <mergeCell ref="KVX50:KWN50"/>
    <mergeCell ref="KWO50:KXE50"/>
    <mergeCell ref="KXF50:KXV50"/>
    <mergeCell ref="KXW50:KYM50"/>
    <mergeCell ref="KYN50:KZD50"/>
    <mergeCell ref="KRI50:KRY50"/>
    <mergeCell ref="KRZ50:KSP50"/>
    <mergeCell ref="KSQ50:KTG50"/>
    <mergeCell ref="KTH50:KTX50"/>
    <mergeCell ref="KTY50:KUO50"/>
    <mergeCell ref="KUP50:KVF50"/>
    <mergeCell ref="KNK50:KOA50"/>
    <mergeCell ref="KOB50:KOR50"/>
    <mergeCell ref="KOS50:KPI50"/>
    <mergeCell ref="KPJ50:KPZ50"/>
    <mergeCell ref="KQA50:KQQ50"/>
    <mergeCell ref="KQR50:KRH50"/>
    <mergeCell ref="LHA50:LHQ50"/>
    <mergeCell ref="LHR50:LIH50"/>
    <mergeCell ref="LII50:LIY50"/>
    <mergeCell ref="LIZ50:LJP50"/>
    <mergeCell ref="LJQ50:LKG50"/>
    <mergeCell ref="LKH50:LKX50"/>
    <mergeCell ref="LDC50:LDS50"/>
    <mergeCell ref="LDT50:LEJ50"/>
    <mergeCell ref="LEK50:LFA50"/>
    <mergeCell ref="LFB50:LFR50"/>
    <mergeCell ref="LFS50:LGI50"/>
    <mergeCell ref="LGJ50:LGZ50"/>
    <mergeCell ref="KZE50:KZU50"/>
    <mergeCell ref="KZV50:LAL50"/>
    <mergeCell ref="LAM50:LBC50"/>
    <mergeCell ref="LBD50:LBT50"/>
    <mergeCell ref="LBU50:LCK50"/>
    <mergeCell ref="LCL50:LDB50"/>
    <mergeCell ref="LSU50:LTK50"/>
    <mergeCell ref="LTL50:LUB50"/>
    <mergeCell ref="LUC50:LUS50"/>
    <mergeCell ref="LUT50:LVJ50"/>
    <mergeCell ref="LVK50:LWA50"/>
    <mergeCell ref="LWB50:LWR50"/>
    <mergeCell ref="LOW50:LPM50"/>
    <mergeCell ref="LPN50:LQD50"/>
    <mergeCell ref="LQE50:LQU50"/>
    <mergeCell ref="LQV50:LRL50"/>
    <mergeCell ref="LRM50:LSC50"/>
    <mergeCell ref="LSD50:LST50"/>
    <mergeCell ref="LKY50:LLO50"/>
    <mergeCell ref="LLP50:LMF50"/>
    <mergeCell ref="LMG50:LMW50"/>
    <mergeCell ref="LMX50:LNN50"/>
    <mergeCell ref="LNO50:LOE50"/>
    <mergeCell ref="LOF50:LOV50"/>
    <mergeCell ref="MEO50:MFE50"/>
    <mergeCell ref="MFF50:MFV50"/>
    <mergeCell ref="MFW50:MGM50"/>
    <mergeCell ref="MGN50:MHD50"/>
    <mergeCell ref="MHE50:MHU50"/>
    <mergeCell ref="MHV50:MIL50"/>
    <mergeCell ref="MAQ50:MBG50"/>
    <mergeCell ref="MBH50:MBX50"/>
    <mergeCell ref="MBY50:MCO50"/>
    <mergeCell ref="MCP50:MDF50"/>
    <mergeCell ref="MDG50:MDW50"/>
    <mergeCell ref="MDX50:MEN50"/>
    <mergeCell ref="LWS50:LXI50"/>
    <mergeCell ref="LXJ50:LXZ50"/>
    <mergeCell ref="LYA50:LYQ50"/>
    <mergeCell ref="LYR50:LZH50"/>
    <mergeCell ref="LZI50:LZY50"/>
    <mergeCell ref="LZZ50:MAP50"/>
    <mergeCell ref="MQI50:MQY50"/>
    <mergeCell ref="MQZ50:MRP50"/>
    <mergeCell ref="MRQ50:MSG50"/>
    <mergeCell ref="MSH50:MSX50"/>
    <mergeCell ref="MSY50:MTO50"/>
    <mergeCell ref="MTP50:MUF50"/>
    <mergeCell ref="MMK50:MNA50"/>
    <mergeCell ref="MNB50:MNR50"/>
    <mergeCell ref="MNS50:MOI50"/>
    <mergeCell ref="MOJ50:MOZ50"/>
    <mergeCell ref="MPA50:MPQ50"/>
    <mergeCell ref="MPR50:MQH50"/>
    <mergeCell ref="MIM50:MJC50"/>
    <mergeCell ref="MJD50:MJT50"/>
    <mergeCell ref="MJU50:MKK50"/>
    <mergeCell ref="MKL50:MLB50"/>
    <mergeCell ref="MLC50:MLS50"/>
    <mergeCell ref="MLT50:MMJ50"/>
    <mergeCell ref="NCC50:NCS50"/>
    <mergeCell ref="NCT50:NDJ50"/>
    <mergeCell ref="NDK50:NEA50"/>
    <mergeCell ref="NEB50:NER50"/>
    <mergeCell ref="NES50:NFI50"/>
    <mergeCell ref="NFJ50:NFZ50"/>
    <mergeCell ref="MYE50:MYU50"/>
    <mergeCell ref="MYV50:MZL50"/>
    <mergeCell ref="MZM50:NAC50"/>
    <mergeCell ref="NAD50:NAT50"/>
    <mergeCell ref="NAU50:NBK50"/>
    <mergeCell ref="NBL50:NCB50"/>
    <mergeCell ref="MUG50:MUW50"/>
    <mergeCell ref="MUX50:MVN50"/>
    <mergeCell ref="MVO50:MWE50"/>
    <mergeCell ref="MWF50:MWV50"/>
    <mergeCell ref="MWW50:MXM50"/>
    <mergeCell ref="MXN50:MYD50"/>
    <mergeCell ref="NNW50:NOM50"/>
    <mergeCell ref="NON50:NPD50"/>
    <mergeCell ref="NPE50:NPU50"/>
    <mergeCell ref="NPV50:NQL50"/>
    <mergeCell ref="NQM50:NRC50"/>
    <mergeCell ref="NRD50:NRT50"/>
    <mergeCell ref="NJY50:NKO50"/>
    <mergeCell ref="NKP50:NLF50"/>
    <mergeCell ref="NLG50:NLW50"/>
    <mergeCell ref="NLX50:NMN50"/>
    <mergeCell ref="NMO50:NNE50"/>
    <mergeCell ref="NNF50:NNV50"/>
    <mergeCell ref="NGA50:NGQ50"/>
    <mergeCell ref="NGR50:NHH50"/>
    <mergeCell ref="NHI50:NHY50"/>
    <mergeCell ref="NHZ50:NIP50"/>
    <mergeCell ref="NIQ50:NJG50"/>
    <mergeCell ref="NJH50:NJX50"/>
    <mergeCell ref="NZQ50:OAG50"/>
    <mergeCell ref="OAH50:OAX50"/>
    <mergeCell ref="OAY50:OBO50"/>
    <mergeCell ref="OBP50:OCF50"/>
    <mergeCell ref="OCG50:OCW50"/>
    <mergeCell ref="OCX50:ODN50"/>
    <mergeCell ref="NVS50:NWI50"/>
    <mergeCell ref="NWJ50:NWZ50"/>
    <mergeCell ref="NXA50:NXQ50"/>
    <mergeCell ref="NXR50:NYH50"/>
    <mergeCell ref="NYI50:NYY50"/>
    <mergeCell ref="NYZ50:NZP50"/>
    <mergeCell ref="NRU50:NSK50"/>
    <mergeCell ref="NSL50:NTB50"/>
    <mergeCell ref="NTC50:NTS50"/>
    <mergeCell ref="NTT50:NUJ50"/>
    <mergeCell ref="NUK50:NVA50"/>
    <mergeCell ref="NVB50:NVR50"/>
    <mergeCell ref="OLK50:OMA50"/>
    <mergeCell ref="OMB50:OMR50"/>
    <mergeCell ref="OMS50:ONI50"/>
    <mergeCell ref="ONJ50:ONZ50"/>
    <mergeCell ref="OOA50:OOQ50"/>
    <mergeCell ref="OOR50:OPH50"/>
    <mergeCell ref="OHM50:OIC50"/>
    <mergeCell ref="OID50:OIT50"/>
    <mergeCell ref="OIU50:OJK50"/>
    <mergeCell ref="OJL50:OKB50"/>
    <mergeCell ref="OKC50:OKS50"/>
    <mergeCell ref="OKT50:OLJ50"/>
    <mergeCell ref="ODO50:OEE50"/>
    <mergeCell ref="OEF50:OEV50"/>
    <mergeCell ref="OEW50:OFM50"/>
    <mergeCell ref="OFN50:OGD50"/>
    <mergeCell ref="OGE50:OGU50"/>
    <mergeCell ref="OGV50:OHL50"/>
    <mergeCell ref="OXE50:OXU50"/>
    <mergeCell ref="OXV50:OYL50"/>
    <mergeCell ref="OYM50:OZC50"/>
    <mergeCell ref="OZD50:OZT50"/>
    <mergeCell ref="OZU50:PAK50"/>
    <mergeCell ref="PAL50:PBB50"/>
    <mergeCell ref="OTG50:OTW50"/>
    <mergeCell ref="OTX50:OUN50"/>
    <mergeCell ref="OUO50:OVE50"/>
    <mergeCell ref="OVF50:OVV50"/>
    <mergeCell ref="OVW50:OWM50"/>
    <mergeCell ref="OWN50:OXD50"/>
    <mergeCell ref="OPI50:OPY50"/>
    <mergeCell ref="OPZ50:OQP50"/>
    <mergeCell ref="OQQ50:ORG50"/>
    <mergeCell ref="ORH50:ORX50"/>
    <mergeCell ref="ORY50:OSO50"/>
    <mergeCell ref="OSP50:OTF50"/>
    <mergeCell ref="PIY50:PJO50"/>
    <mergeCell ref="PJP50:PKF50"/>
    <mergeCell ref="PKG50:PKW50"/>
    <mergeCell ref="PKX50:PLN50"/>
    <mergeCell ref="PLO50:PME50"/>
    <mergeCell ref="PMF50:PMV50"/>
    <mergeCell ref="PFA50:PFQ50"/>
    <mergeCell ref="PFR50:PGH50"/>
    <mergeCell ref="PGI50:PGY50"/>
    <mergeCell ref="PGZ50:PHP50"/>
    <mergeCell ref="PHQ50:PIG50"/>
    <mergeCell ref="PIH50:PIX50"/>
    <mergeCell ref="PBC50:PBS50"/>
    <mergeCell ref="PBT50:PCJ50"/>
    <mergeCell ref="PCK50:PDA50"/>
    <mergeCell ref="PDB50:PDR50"/>
    <mergeCell ref="PDS50:PEI50"/>
    <mergeCell ref="PEJ50:PEZ50"/>
    <mergeCell ref="PUS50:PVI50"/>
    <mergeCell ref="PVJ50:PVZ50"/>
    <mergeCell ref="PWA50:PWQ50"/>
    <mergeCell ref="PWR50:PXH50"/>
    <mergeCell ref="PXI50:PXY50"/>
    <mergeCell ref="PXZ50:PYP50"/>
    <mergeCell ref="PQU50:PRK50"/>
    <mergeCell ref="PRL50:PSB50"/>
    <mergeCell ref="PSC50:PSS50"/>
    <mergeCell ref="PST50:PTJ50"/>
    <mergeCell ref="PTK50:PUA50"/>
    <mergeCell ref="PUB50:PUR50"/>
    <mergeCell ref="PMW50:PNM50"/>
    <mergeCell ref="PNN50:POD50"/>
    <mergeCell ref="POE50:POU50"/>
    <mergeCell ref="POV50:PPL50"/>
    <mergeCell ref="PPM50:PQC50"/>
    <mergeCell ref="PQD50:PQT50"/>
    <mergeCell ref="QGM50:QHC50"/>
    <mergeCell ref="QHD50:QHT50"/>
    <mergeCell ref="QHU50:QIK50"/>
    <mergeCell ref="QIL50:QJB50"/>
    <mergeCell ref="QJC50:QJS50"/>
    <mergeCell ref="QJT50:QKJ50"/>
    <mergeCell ref="QCO50:QDE50"/>
    <mergeCell ref="QDF50:QDV50"/>
    <mergeCell ref="QDW50:QEM50"/>
    <mergeCell ref="QEN50:QFD50"/>
    <mergeCell ref="QFE50:QFU50"/>
    <mergeCell ref="QFV50:QGL50"/>
    <mergeCell ref="PYQ50:PZG50"/>
    <mergeCell ref="PZH50:PZX50"/>
    <mergeCell ref="PZY50:QAO50"/>
    <mergeCell ref="QAP50:QBF50"/>
    <mergeCell ref="QBG50:QBW50"/>
    <mergeCell ref="QBX50:QCN50"/>
    <mergeCell ref="QSG50:QSW50"/>
    <mergeCell ref="QSX50:QTN50"/>
    <mergeCell ref="QTO50:QUE50"/>
    <mergeCell ref="QUF50:QUV50"/>
    <mergeCell ref="QUW50:QVM50"/>
    <mergeCell ref="QVN50:QWD50"/>
    <mergeCell ref="QOI50:QOY50"/>
    <mergeCell ref="QOZ50:QPP50"/>
    <mergeCell ref="QPQ50:QQG50"/>
    <mergeCell ref="QQH50:QQX50"/>
    <mergeCell ref="QQY50:QRO50"/>
    <mergeCell ref="QRP50:QSF50"/>
    <mergeCell ref="QKK50:QLA50"/>
    <mergeCell ref="QLB50:QLR50"/>
    <mergeCell ref="QLS50:QMI50"/>
    <mergeCell ref="QMJ50:QMZ50"/>
    <mergeCell ref="QNA50:QNQ50"/>
    <mergeCell ref="QNR50:QOH50"/>
    <mergeCell ref="REA50:REQ50"/>
    <mergeCell ref="RER50:RFH50"/>
    <mergeCell ref="RFI50:RFY50"/>
    <mergeCell ref="RFZ50:RGP50"/>
    <mergeCell ref="RGQ50:RHG50"/>
    <mergeCell ref="RHH50:RHX50"/>
    <mergeCell ref="RAC50:RAS50"/>
    <mergeCell ref="RAT50:RBJ50"/>
    <mergeCell ref="RBK50:RCA50"/>
    <mergeCell ref="RCB50:RCR50"/>
    <mergeCell ref="RCS50:RDI50"/>
    <mergeCell ref="RDJ50:RDZ50"/>
    <mergeCell ref="QWE50:QWU50"/>
    <mergeCell ref="QWV50:QXL50"/>
    <mergeCell ref="QXM50:QYC50"/>
    <mergeCell ref="QYD50:QYT50"/>
    <mergeCell ref="QYU50:QZK50"/>
    <mergeCell ref="QZL50:RAB50"/>
    <mergeCell ref="RPU50:RQK50"/>
    <mergeCell ref="RQL50:RRB50"/>
    <mergeCell ref="RRC50:RRS50"/>
    <mergeCell ref="RRT50:RSJ50"/>
    <mergeCell ref="RSK50:RTA50"/>
    <mergeCell ref="RTB50:RTR50"/>
    <mergeCell ref="RLW50:RMM50"/>
    <mergeCell ref="RMN50:RND50"/>
    <mergeCell ref="RNE50:RNU50"/>
    <mergeCell ref="RNV50:ROL50"/>
    <mergeCell ref="ROM50:RPC50"/>
    <mergeCell ref="RPD50:RPT50"/>
    <mergeCell ref="RHY50:RIO50"/>
    <mergeCell ref="RIP50:RJF50"/>
    <mergeCell ref="RJG50:RJW50"/>
    <mergeCell ref="RJX50:RKN50"/>
    <mergeCell ref="RKO50:RLE50"/>
    <mergeCell ref="RLF50:RLV50"/>
    <mergeCell ref="SBO50:SCE50"/>
    <mergeCell ref="SCF50:SCV50"/>
    <mergeCell ref="SCW50:SDM50"/>
    <mergeCell ref="SDN50:SED50"/>
    <mergeCell ref="SEE50:SEU50"/>
    <mergeCell ref="SEV50:SFL50"/>
    <mergeCell ref="RXQ50:RYG50"/>
    <mergeCell ref="RYH50:RYX50"/>
    <mergeCell ref="RYY50:RZO50"/>
    <mergeCell ref="RZP50:SAF50"/>
    <mergeCell ref="SAG50:SAW50"/>
    <mergeCell ref="SAX50:SBN50"/>
    <mergeCell ref="RTS50:RUI50"/>
    <mergeCell ref="RUJ50:RUZ50"/>
    <mergeCell ref="RVA50:RVQ50"/>
    <mergeCell ref="RVR50:RWH50"/>
    <mergeCell ref="RWI50:RWY50"/>
    <mergeCell ref="RWZ50:RXP50"/>
    <mergeCell ref="SNI50:SNY50"/>
    <mergeCell ref="SNZ50:SOP50"/>
    <mergeCell ref="SOQ50:SPG50"/>
    <mergeCell ref="SPH50:SPX50"/>
    <mergeCell ref="SPY50:SQO50"/>
    <mergeCell ref="SQP50:SRF50"/>
    <mergeCell ref="SJK50:SKA50"/>
    <mergeCell ref="SKB50:SKR50"/>
    <mergeCell ref="SKS50:SLI50"/>
    <mergeCell ref="SLJ50:SLZ50"/>
    <mergeCell ref="SMA50:SMQ50"/>
    <mergeCell ref="SMR50:SNH50"/>
    <mergeCell ref="SFM50:SGC50"/>
    <mergeCell ref="SGD50:SGT50"/>
    <mergeCell ref="SGU50:SHK50"/>
    <mergeCell ref="SHL50:SIB50"/>
    <mergeCell ref="SIC50:SIS50"/>
    <mergeCell ref="SIT50:SJJ50"/>
    <mergeCell ref="SZC50:SZS50"/>
    <mergeCell ref="SZT50:TAJ50"/>
    <mergeCell ref="TAK50:TBA50"/>
    <mergeCell ref="TBB50:TBR50"/>
    <mergeCell ref="TBS50:TCI50"/>
    <mergeCell ref="TCJ50:TCZ50"/>
    <mergeCell ref="SVE50:SVU50"/>
    <mergeCell ref="SVV50:SWL50"/>
    <mergeCell ref="SWM50:SXC50"/>
    <mergeCell ref="SXD50:SXT50"/>
    <mergeCell ref="SXU50:SYK50"/>
    <mergeCell ref="SYL50:SZB50"/>
    <mergeCell ref="SRG50:SRW50"/>
    <mergeCell ref="SRX50:SSN50"/>
    <mergeCell ref="SSO50:STE50"/>
    <mergeCell ref="STF50:STV50"/>
    <mergeCell ref="STW50:SUM50"/>
    <mergeCell ref="SUN50:SVD50"/>
    <mergeCell ref="TKW50:TLM50"/>
    <mergeCell ref="TLN50:TMD50"/>
    <mergeCell ref="TME50:TMU50"/>
    <mergeCell ref="TMV50:TNL50"/>
    <mergeCell ref="TNM50:TOC50"/>
    <mergeCell ref="TOD50:TOT50"/>
    <mergeCell ref="TGY50:THO50"/>
    <mergeCell ref="THP50:TIF50"/>
    <mergeCell ref="TIG50:TIW50"/>
    <mergeCell ref="TIX50:TJN50"/>
    <mergeCell ref="TJO50:TKE50"/>
    <mergeCell ref="TKF50:TKV50"/>
    <mergeCell ref="TDA50:TDQ50"/>
    <mergeCell ref="TDR50:TEH50"/>
    <mergeCell ref="TEI50:TEY50"/>
    <mergeCell ref="TEZ50:TFP50"/>
    <mergeCell ref="TFQ50:TGG50"/>
    <mergeCell ref="TGH50:TGX50"/>
    <mergeCell ref="TWQ50:TXG50"/>
    <mergeCell ref="TXH50:TXX50"/>
    <mergeCell ref="TXY50:TYO50"/>
    <mergeCell ref="TYP50:TZF50"/>
    <mergeCell ref="TZG50:TZW50"/>
    <mergeCell ref="TZX50:UAN50"/>
    <mergeCell ref="TSS50:TTI50"/>
    <mergeCell ref="TTJ50:TTZ50"/>
    <mergeCell ref="TUA50:TUQ50"/>
    <mergeCell ref="TUR50:TVH50"/>
    <mergeCell ref="TVI50:TVY50"/>
    <mergeCell ref="TVZ50:TWP50"/>
    <mergeCell ref="TOU50:TPK50"/>
    <mergeCell ref="TPL50:TQB50"/>
    <mergeCell ref="TQC50:TQS50"/>
    <mergeCell ref="TQT50:TRJ50"/>
    <mergeCell ref="TRK50:TSA50"/>
    <mergeCell ref="TSB50:TSR50"/>
    <mergeCell ref="UIK50:UJA50"/>
    <mergeCell ref="UJB50:UJR50"/>
    <mergeCell ref="UJS50:UKI50"/>
    <mergeCell ref="UKJ50:UKZ50"/>
    <mergeCell ref="ULA50:ULQ50"/>
    <mergeCell ref="ULR50:UMH50"/>
    <mergeCell ref="UEM50:UFC50"/>
    <mergeCell ref="UFD50:UFT50"/>
    <mergeCell ref="UFU50:UGK50"/>
    <mergeCell ref="UGL50:UHB50"/>
    <mergeCell ref="UHC50:UHS50"/>
    <mergeCell ref="UHT50:UIJ50"/>
    <mergeCell ref="UAO50:UBE50"/>
    <mergeCell ref="UBF50:UBV50"/>
    <mergeCell ref="UBW50:UCM50"/>
    <mergeCell ref="UCN50:UDD50"/>
    <mergeCell ref="UDE50:UDU50"/>
    <mergeCell ref="UDV50:UEL50"/>
    <mergeCell ref="UUE50:UUU50"/>
    <mergeCell ref="UUV50:UVL50"/>
    <mergeCell ref="UVM50:UWC50"/>
    <mergeCell ref="UWD50:UWT50"/>
    <mergeCell ref="UWU50:UXK50"/>
    <mergeCell ref="UXL50:UYB50"/>
    <mergeCell ref="UQG50:UQW50"/>
    <mergeCell ref="UQX50:URN50"/>
    <mergeCell ref="URO50:USE50"/>
    <mergeCell ref="USF50:USV50"/>
    <mergeCell ref="USW50:UTM50"/>
    <mergeCell ref="UTN50:UUD50"/>
    <mergeCell ref="UMI50:UMY50"/>
    <mergeCell ref="UMZ50:UNP50"/>
    <mergeCell ref="UNQ50:UOG50"/>
    <mergeCell ref="UOH50:UOX50"/>
    <mergeCell ref="UOY50:UPO50"/>
    <mergeCell ref="UPP50:UQF50"/>
    <mergeCell ref="VFY50:VGO50"/>
    <mergeCell ref="VGP50:VHF50"/>
    <mergeCell ref="VHG50:VHW50"/>
    <mergeCell ref="VHX50:VIN50"/>
    <mergeCell ref="VIO50:VJE50"/>
    <mergeCell ref="VJF50:VJV50"/>
    <mergeCell ref="VCA50:VCQ50"/>
    <mergeCell ref="VCR50:VDH50"/>
    <mergeCell ref="VDI50:VDY50"/>
    <mergeCell ref="VDZ50:VEP50"/>
    <mergeCell ref="VEQ50:VFG50"/>
    <mergeCell ref="VFH50:VFX50"/>
    <mergeCell ref="UYC50:UYS50"/>
    <mergeCell ref="UYT50:UZJ50"/>
    <mergeCell ref="UZK50:VAA50"/>
    <mergeCell ref="VAB50:VAR50"/>
    <mergeCell ref="VAS50:VBI50"/>
    <mergeCell ref="VBJ50:VBZ50"/>
    <mergeCell ref="VRS50:VSI50"/>
    <mergeCell ref="VSJ50:VSZ50"/>
    <mergeCell ref="VTA50:VTQ50"/>
    <mergeCell ref="VTR50:VUH50"/>
    <mergeCell ref="VUI50:VUY50"/>
    <mergeCell ref="VUZ50:VVP50"/>
    <mergeCell ref="VNU50:VOK50"/>
    <mergeCell ref="VOL50:VPB50"/>
    <mergeCell ref="VPC50:VPS50"/>
    <mergeCell ref="VPT50:VQJ50"/>
    <mergeCell ref="VQK50:VRA50"/>
    <mergeCell ref="VRB50:VRR50"/>
    <mergeCell ref="VJW50:VKM50"/>
    <mergeCell ref="VKN50:VLD50"/>
    <mergeCell ref="VLE50:VLU50"/>
    <mergeCell ref="VLV50:VML50"/>
    <mergeCell ref="VMM50:VNC50"/>
    <mergeCell ref="VND50:VNT50"/>
    <mergeCell ref="WIS50:WJI50"/>
    <mergeCell ref="WJJ50:WJZ50"/>
    <mergeCell ref="WKA50:WKQ50"/>
    <mergeCell ref="WKR50:WLH50"/>
    <mergeCell ref="WDM50:WEC50"/>
    <mergeCell ref="WED50:WET50"/>
    <mergeCell ref="WEU50:WFK50"/>
    <mergeCell ref="WFL50:WGB50"/>
    <mergeCell ref="WGC50:WGS50"/>
    <mergeCell ref="WGT50:WHJ50"/>
    <mergeCell ref="VZO50:WAE50"/>
    <mergeCell ref="WAF50:WAV50"/>
    <mergeCell ref="WAW50:WBM50"/>
    <mergeCell ref="WBN50:WCD50"/>
    <mergeCell ref="WCE50:WCU50"/>
    <mergeCell ref="WCV50:WDL50"/>
    <mergeCell ref="VVQ50:VWG50"/>
    <mergeCell ref="VWH50:VWX50"/>
    <mergeCell ref="VWY50:VXO50"/>
    <mergeCell ref="VXP50:VYF50"/>
    <mergeCell ref="VYG50:VYW50"/>
    <mergeCell ref="VYX50:VZN50"/>
    <mergeCell ref="XBA50:XBQ50"/>
    <mergeCell ref="XBR50:XCH50"/>
    <mergeCell ref="XCI50:XCY50"/>
    <mergeCell ref="XCZ50:XDP50"/>
    <mergeCell ref="XDQ50:XEC50"/>
    <mergeCell ref="A53:N53"/>
    <mergeCell ref="WXC50:WXS50"/>
    <mergeCell ref="WXT50:WYJ50"/>
    <mergeCell ref="WYK50:WZA50"/>
    <mergeCell ref="WZB50:WZR50"/>
    <mergeCell ref="WZS50:XAI50"/>
    <mergeCell ref="XAJ50:XAZ50"/>
    <mergeCell ref="WTE50:WTU50"/>
    <mergeCell ref="WTV50:WUL50"/>
    <mergeCell ref="WUM50:WVC50"/>
    <mergeCell ref="WVD50:WVT50"/>
    <mergeCell ref="WVU50:WWK50"/>
    <mergeCell ref="WWL50:WXB50"/>
    <mergeCell ref="WPG50:WPW50"/>
    <mergeCell ref="WPX50:WQN50"/>
    <mergeCell ref="WQO50:WRE50"/>
    <mergeCell ref="WRF50:WRV50"/>
    <mergeCell ref="WRW50:WSM50"/>
    <mergeCell ref="WSN50:WTD50"/>
    <mergeCell ref="WLI50:WLY50"/>
    <mergeCell ref="WLZ50:WMP50"/>
    <mergeCell ref="WMQ50:WNG50"/>
    <mergeCell ref="WNH50:WNX50"/>
    <mergeCell ref="WNY50:WOO50"/>
    <mergeCell ref="WOP50:WPF50"/>
    <mergeCell ref="WHK50:WIA50"/>
    <mergeCell ref="WIB50:WIR50"/>
  </mergeCells>
  <pageMargins left="0.70866141732283472" right="0.70866141732283472" top="0.74803149606299213" bottom="0.74803149606299213" header="0.31496062992125984" footer="0.31496062992125984"/>
  <pageSetup paperSize="9" scale="48" orientation="landscape"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A56"/>
  <sheetViews>
    <sheetView showGridLines="0" topLeftCell="AC1" zoomScaleNormal="100" zoomScaleSheetLayoutView="85" workbookViewId="0">
      <selection activeCell="AW15" sqref="AW15"/>
    </sheetView>
  </sheetViews>
  <sheetFormatPr defaultColWidth="9" defaultRowHeight="28.5" customHeight="1" outlineLevelRow="1" outlineLevelCol="1"/>
  <cols>
    <col min="1" max="2" width="40.58203125" style="1" customWidth="1"/>
    <col min="3" max="14" width="10.58203125" style="1" customWidth="1" outlineLevel="1"/>
    <col min="15" max="15" width="9" style="1" customWidth="1" outlineLevel="1"/>
    <col min="16" max="17" width="10.58203125" style="1" customWidth="1" outlineLevel="1"/>
    <col min="18" max="20" width="9" style="1" customWidth="1" outlineLevel="1"/>
    <col min="21" max="22" width="10.58203125" style="1" customWidth="1" outlineLevel="1"/>
    <col min="23" max="25" width="9" style="1" customWidth="1" outlineLevel="1"/>
    <col min="26" max="27" width="10.58203125" style="1" customWidth="1" outlineLevel="1"/>
    <col min="28" max="30" width="9" style="1" customWidth="1" outlineLevel="1"/>
    <col min="31" max="32" width="10.58203125" style="1" customWidth="1" outlineLevel="1"/>
    <col min="33" max="35" width="9" style="1"/>
    <col min="36" max="37" width="10.58203125" style="1" customWidth="1"/>
    <col min="38" max="16384" width="9" style="1"/>
  </cols>
  <sheetData>
    <row r="1" spans="1:53" s="9" customFormat="1" ht="89.25" customHeight="1">
      <c r="A1" s="3"/>
      <c r="B1" s="3"/>
      <c r="C1" s="3"/>
      <c r="AM1" s="10"/>
      <c r="AN1" s="10"/>
      <c r="AR1" s="10"/>
      <c r="AS1" s="10"/>
      <c r="AW1" s="10"/>
      <c r="AX1" s="10"/>
    </row>
    <row r="2" spans="1:53" s="33" customFormat="1" ht="12.5" thickBot="1">
      <c r="A2" s="995"/>
      <c r="B2" s="995"/>
      <c r="C2" s="995"/>
      <c r="D2" s="995"/>
      <c r="E2" s="995"/>
      <c r="F2" s="995"/>
      <c r="G2" s="995"/>
      <c r="H2" s="995"/>
      <c r="I2" s="995"/>
      <c r="J2" s="995"/>
      <c r="K2" s="995"/>
      <c r="L2" s="995"/>
      <c r="M2" s="995"/>
      <c r="N2" s="995"/>
      <c r="O2" s="995"/>
      <c r="AK2" s="67"/>
      <c r="AM2" s="1"/>
      <c r="AN2" s="1"/>
      <c r="AR2" s="1"/>
      <c r="AS2" s="1"/>
      <c r="AW2" s="1"/>
      <c r="AX2" s="1"/>
    </row>
    <row r="3" spans="1:53" s="312" customFormat="1" ht="20.149999999999999" customHeight="1">
      <c r="A3" s="177" t="s">
        <v>618</v>
      </c>
      <c r="B3" s="178" t="s">
        <v>619</v>
      </c>
      <c r="C3" s="993">
        <v>2012</v>
      </c>
      <c r="D3" s="994"/>
      <c r="E3" s="994"/>
      <c r="F3" s="994"/>
      <c r="G3" s="996">
        <v>2012</v>
      </c>
      <c r="H3" s="993">
        <v>2013</v>
      </c>
      <c r="I3" s="994"/>
      <c r="J3" s="994"/>
      <c r="K3" s="994"/>
      <c r="L3" s="996">
        <v>2013</v>
      </c>
      <c r="M3" s="993">
        <v>2014</v>
      </c>
      <c r="N3" s="994"/>
      <c r="O3" s="994"/>
      <c r="P3" s="994"/>
      <c r="Q3" s="996">
        <v>2014</v>
      </c>
      <c r="R3" s="993">
        <v>2015</v>
      </c>
      <c r="S3" s="994"/>
      <c r="T3" s="994"/>
      <c r="U3" s="994"/>
      <c r="V3" s="996">
        <v>2015</v>
      </c>
      <c r="W3" s="993">
        <v>2016</v>
      </c>
      <c r="X3" s="994"/>
      <c r="Y3" s="994"/>
      <c r="Z3" s="994"/>
      <c r="AA3" s="996">
        <v>2016</v>
      </c>
      <c r="AB3" s="993">
        <v>2017</v>
      </c>
      <c r="AC3" s="994"/>
      <c r="AD3" s="994"/>
      <c r="AE3" s="994"/>
      <c r="AF3" s="996">
        <v>2017</v>
      </c>
      <c r="AG3" s="993">
        <v>2018</v>
      </c>
      <c r="AH3" s="994"/>
      <c r="AI3" s="994"/>
      <c r="AJ3" s="994"/>
      <c r="AK3" s="996" t="s">
        <v>730</v>
      </c>
      <c r="AL3" s="993">
        <v>2019</v>
      </c>
      <c r="AM3" s="994"/>
      <c r="AN3" s="994"/>
      <c r="AO3" s="994"/>
      <c r="AP3" s="996" t="s">
        <v>27</v>
      </c>
      <c r="AQ3" s="993">
        <v>2020</v>
      </c>
      <c r="AR3" s="994"/>
      <c r="AS3" s="994"/>
      <c r="AT3" s="994"/>
      <c r="AU3" s="996" t="s">
        <v>28</v>
      </c>
      <c r="AV3" s="993">
        <v>2021</v>
      </c>
      <c r="AW3" s="994"/>
      <c r="AX3" s="994"/>
      <c r="AY3" s="994"/>
      <c r="AZ3" s="996" t="s">
        <v>29</v>
      </c>
    </row>
    <row r="4" spans="1:53" s="312" customFormat="1" ht="21.75" customHeight="1" thickBot="1">
      <c r="A4" s="179"/>
      <c r="B4" s="180"/>
      <c r="C4" s="261" t="s">
        <v>620</v>
      </c>
      <c r="D4" s="262" t="s">
        <v>621</v>
      </c>
      <c r="E4" s="262" t="s">
        <v>622</v>
      </c>
      <c r="F4" s="262" t="s">
        <v>623</v>
      </c>
      <c r="G4" s="997"/>
      <c r="H4" s="313" t="s">
        <v>620</v>
      </c>
      <c r="I4" s="314" t="s">
        <v>621</v>
      </c>
      <c r="J4" s="314" t="s">
        <v>622</v>
      </c>
      <c r="K4" s="314" t="s">
        <v>623</v>
      </c>
      <c r="L4" s="997"/>
      <c r="M4" s="313" t="s">
        <v>620</v>
      </c>
      <c r="N4" s="314" t="s">
        <v>621</v>
      </c>
      <c r="O4" s="314" t="s">
        <v>622</v>
      </c>
      <c r="P4" s="314" t="s">
        <v>623</v>
      </c>
      <c r="Q4" s="997"/>
      <c r="R4" s="313" t="s">
        <v>620</v>
      </c>
      <c r="S4" s="314" t="s">
        <v>621</v>
      </c>
      <c r="T4" s="314" t="s">
        <v>622</v>
      </c>
      <c r="U4" s="314" t="s">
        <v>623</v>
      </c>
      <c r="V4" s="997"/>
      <c r="W4" s="313" t="s">
        <v>620</v>
      </c>
      <c r="X4" s="262" t="s">
        <v>621</v>
      </c>
      <c r="Y4" s="262" t="s">
        <v>622</v>
      </c>
      <c r="Z4" s="314" t="s">
        <v>623</v>
      </c>
      <c r="AA4" s="997"/>
      <c r="AB4" s="313" t="s">
        <v>620</v>
      </c>
      <c r="AC4" s="262" t="s">
        <v>621</v>
      </c>
      <c r="AD4" s="262" t="s">
        <v>622</v>
      </c>
      <c r="AE4" s="314" t="s">
        <v>623</v>
      </c>
      <c r="AF4" s="997"/>
      <c r="AG4" s="313" t="s">
        <v>620</v>
      </c>
      <c r="AH4" s="262" t="s">
        <v>731</v>
      </c>
      <c r="AI4" s="262" t="s">
        <v>732</v>
      </c>
      <c r="AJ4" s="314" t="s">
        <v>733</v>
      </c>
      <c r="AK4" s="997"/>
      <c r="AL4" s="313" t="s">
        <v>734</v>
      </c>
      <c r="AM4" s="262" t="s">
        <v>731</v>
      </c>
      <c r="AN4" s="262" t="s">
        <v>732</v>
      </c>
      <c r="AO4" s="314" t="s">
        <v>733</v>
      </c>
      <c r="AP4" s="997"/>
      <c r="AQ4" s="313" t="s">
        <v>734</v>
      </c>
      <c r="AR4" s="262" t="s">
        <v>731</v>
      </c>
      <c r="AS4" s="262" t="s">
        <v>732</v>
      </c>
      <c r="AT4" s="314" t="s">
        <v>733</v>
      </c>
      <c r="AU4" s="997"/>
      <c r="AV4" s="313" t="s">
        <v>734</v>
      </c>
      <c r="AW4" s="262" t="s">
        <v>731</v>
      </c>
      <c r="AX4" s="262" t="s">
        <v>732</v>
      </c>
      <c r="AY4" s="314" t="s">
        <v>733</v>
      </c>
      <c r="AZ4" s="997"/>
    </row>
    <row r="5" spans="1:53" s="4" customFormat="1" ht="20.149999999999999" customHeight="1" thickBot="1">
      <c r="A5" s="175" t="s">
        <v>735</v>
      </c>
      <c r="B5" s="175" t="s">
        <v>736</v>
      </c>
      <c r="C5" s="264" t="s">
        <v>737</v>
      </c>
      <c r="D5" s="265" t="s">
        <v>737</v>
      </c>
      <c r="E5" s="265" t="s">
        <v>737</v>
      </c>
      <c r="F5" s="265" t="s">
        <v>737</v>
      </c>
      <c r="G5" s="266" t="s">
        <v>737</v>
      </c>
      <c r="H5" s="268">
        <f t="shared" ref="H5:AJ5" si="0">H7+H24</f>
        <v>16348336</v>
      </c>
      <c r="I5" s="269">
        <f t="shared" si="0"/>
        <v>16434266</v>
      </c>
      <c r="J5" s="269">
        <f t="shared" si="0"/>
        <v>16627551</v>
      </c>
      <c r="K5" s="269">
        <f t="shared" si="0"/>
        <v>16447334</v>
      </c>
      <c r="L5" s="305">
        <f t="shared" si="0"/>
        <v>16447334</v>
      </c>
      <c r="M5" s="268">
        <f t="shared" si="0"/>
        <v>16333003</v>
      </c>
      <c r="N5" s="269">
        <f t="shared" si="0"/>
        <v>16250497</v>
      </c>
      <c r="O5" s="269">
        <f t="shared" si="0"/>
        <v>16449992</v>
      </c>
      <c r="P5" s="269">
        <f t="shared" si="0"/>
        <v>16482031</v>
      </c>
      <c r="Q5" s="305">
        <f t="shared" si="0"/>
        <v>16482031</v>
      </c>
      <c r="R5" s="268">
        <f t="shared" si="0"/>
        <v>16429469</v>
      </c>
      <c r="S5" s="269">
        <f t="shared" si="0"/>
        <v>16349090</v>
      </c>
      <c r="T5" s="269">
        <f t="shared" si="0"/>
        <v>16395514</v>
      </c>
      <c r="U5" s="269">
        <f t="shared" si="0"/>
        <v>16469696</v>
      </c>
      <c r="V5" s="305">
        <f t="shared" si="0"/>
        <v>16469696</v>
      </c>
      <c r="W5" s="268">
        <f t="shared" si="0"/>
        <v>16531833</v>
      </c>
      <c r="X5" s="269">
        <f t="shared" si="0"/>
        <v>16711541</v>
      </c>
      <c r="Y5" s="269">
        <f t="shared" si="0"/>
        <v>16545653</v>
      </c>
      <c r="Z5" s="269">
        <f t="shared" si="0"/>
        <v>16524936</v>
      </c>
      <c r="AA5" s="305">
        <f t="shared" si="0"/>
        <v>16524936</v>
      </c>
      <c r="AB5" s="268">
        <f t="shared" si="0"/>
        <v>16216128</v>
      </c>
      <c r="AC5" s="269">
        <f t="shared" si="0"/>
        <v>16273840</v>
      </c>
      <c r="AD5" s="269">
        <f t="shared" si="0"/>
        <v>16410325</v>
      </c>
      <c r="AE5" s="269">
        <f t="shared" si="0"/>
        <v>16522597</v>
      </c>
      <c r="AF5" s="305">
        <f t="shared" si="0"/>
        <v>16522597</v>
      </c>
      <c r="AG5" s="268">
        <f>AG7+AG24</f>
        <v>16579337</v>
      </c>
      <c r="AH5" s="269">
        <f t="shared" si="0"/>
        <v>16698622</v>
      </c>
      <c r="AI5" s="269">
        <f>AI7+AI24</f>
        <v>16851153</v>
      </c>
      <c r="AJ5" s="269">
        <f t="shared" si="0"/>
        <v>16906133</v>
      </c>
      <c r="AK5" s="305">
        <f>AK7+AK24</f>
        <v>16906133</v>
      </c>
      <c r="AL5" s="268">
        <f t="shared" ref="AL5:AT5" si="1">AL7+AL24</f>
        <v>16973770</v>
      </c>
      <c r="AM5" s="269">
        <f t="shared" si="1"/>
        <v>17058921</v>
      </c>
      <c r="AN5" s="269">
        <f t="shared" si="1"/>
        <v>17266759</v>
      </c>
      <c r="AO5" s="269">
        <f t="shared" si="1"/>
        <v>17386252</v>
      </c>
      <c r="AP5" s="305">
        <f t="shared" si="1"/>
        <v>17386252</v>
      </c>
      <c r="AQ5" s="268">
        <f t="shared" si="1"/>
        <v>17435613</v>
      </c>
      <c r="AR5" s="269">
        <f>AR7+AR24</f>
        <v>17504720</v>
      </c>
      <c r="AS5" s="269">
        <f t="shared" si="1"/>
        <v>17840155</v>
      </c>
      <c r="AT5" s="269">
        <f t="shared" si="1"/>
        <v>17989701</v>
      </c>
      <c r="AU5" s="305">
        <f>AU7+AU24</f>
        <v>17989701</v>
      </c>
      <c r="AV5" s="268">
        <f t="shared" ref="AV5" si="2">AV7+AV24</f>
        <v>18094192</v>
      </c>
      <c r="AW5" s="269">
        <f>AW7+AW24</f>
        <v>18022621</v>
      </c>
      <c r="AX5" s="269">
        <f t="shared" ref="AX5:AY5" si="3">AX7+AX24</f>
        <v>18121078</v>
      </c>
      <c r="AY5" s="269">
        <f t="shared" si="3"/>
        <v>0</v>
      </c>
      <c r="AZ5" s="305">
        <f>AZ7+AZ24</f>
        <v>18121078</v>
      </c>
    </row>
    <row r="6" spans="1:53" s="263" customFormat="1" ht="20.149999999999999" customHeight="1" thickBot="1">
      <c r="A6" s="177" t="s">
        <v>738</v>
      </c>
      <c r="B6" s="177" t="s">
        <v>739</v>
      </c>
      <c r="C6" s="285"/>
      <c r="D6" s="286"/>
      <c r="E6" s="286"/>
      <c r="F6" s="286"/>
      <c r="G6" s="287"/>
      <c r="H6" s="288"/>
      <c r="I6" s="286"/>
      <c r="J6" s="286"/>
      <c r="K6" s="286"/>
      <c r="L6" s="287"/>
      <c r="M6" s="289"/>
      <c r="N6" s="286"/>
      <c r="O6" s="286"/>
      <c r="P6" s="286"/>
      <c r="Q6" s="287"/>
      <c r="R6" s="289"/>
      <c r="S6" s="286"/>
      <c r="T6" s="286"/>
      <c r="U6" s="286"/>
      <c r="V6" s="287"/>
      <c r="W6" s="289"/>
      <c r="X6" s="290"/>
      <c r="Y6" s="290"/>
      <c r="Z6" s="286"/>
      <c r="AA6" s="287"/>
      <c r="AB6" s="289"/>
      <c r="AC6" s="290"/>
      <c r="AD6" s="290"/>
      <c r="AE6" s="286"/>
      <c r="AF6" s="287"/>
      <c r="AG6" s="290"/>
      <c r="AH6" s="290"/>
      <c r="AI6" s="290"/>
      <c r="AJ6" s="290"/>
      <c r="AK6" s="287"/>
      <c r="AL6" s="290"/>
      <c r="AM6" s="290"/>
      <c r="AN6" s="290"/>
      <c r="AO6" s="290"/>
      <c r="AP6" s="287"/>
      <c r="AQ6" s="290"/>
      <c r="AR6" s="290"/>
      <c r="AS6" s="290"/>
      <c r="AT6" s="290"/>
      <c r="AU6" s="287"/>
      <c r="AV6" s="290"/>
      <c r="AW6" s="290"/>
      <c r="AX6" s="290"/>
      <c r="AY6" s="290"/>
      <c r="AZ6" s="287"/>
    </row>
    <row r="7" spans="1:53" ht="20.149999999999999" customHeight="1" thickBot="1">
      <c r="A7" s="273" t="s">
        <v>740</v>
      </c>
      <c r="B7" s="274" t="s">
        <v>741</v>
      </c>
      <c r="C7" s="275">
        <f>C8+C10+C11</f>
        <v>11532547</v>
      </c>
      <c r="D7" s="276">
        <f t="shared" ref="D7:N7" si="4">D8+D10+D11</f>
        <v>11516833</v>
      </c>
      <c r="E7" s="276">
        <f t="shared" si="4"/>
        <v>11605099</v>
      </c>
      <c r="F7" s="276">
        <f t="shared" si="4"/>
        <v>11735100</v>
      </c>
      <c r="G7" s="284">
        <f>SUM(G8,G10:G11)</f>
        <v>11735100</v>
      </c>
      <c r="H7" s="275">
        <f t="shared" si="4"/>
        <v>11799951</v>
      </c>
      <c r="I7" s="276">
        <f t="shared" si="4"/>
        <v>11868947</v>
      </c>
      <c r="J7" s="276">
        <f t="shared" si="4"/>
        <v>11908422</v>
      </c>
      <c r="K7" s="276">
        <f t="shared" si="4"/>
        <v>11978807</v>
      </c>
      <c r="L7" s="284">
        <f>SUM(L8,L10:L11)</f>
        <v>11978807</v>
      </c>
      <c r="M7" s="275">
        <f t="shared" si="4"/>
        <v>11982678</v>
      </c>
      <c r="N7" s="276">
        <f t="shared" si="4"/>
        <v>12023369</v>
      </c>
      <c r="O7" s="276">
        <f>O8+O10+O11</f>
        <v>12230798</v>
      </c>
      <c r="P7" s="276">
        <f>P8+P10+P11</f>
        <v>12347828</v>
      </c>
      <c r="Q7" s="284">
        <f>Q8+Q10+Q11</f>
        <v>12347828</v>
      </c>
      <c r="R7" s="275">
        <f t="shared" ref="R7:AJ7" si="5">R8+R10+R11</f>
        <v>12394712</v>
      </c>
      <c r="S7" s="276">
        <f t="shared" si="5"/>
        <v>12377021</v>
      </c>
      <c r="T7" s="276">
        <f t="shared" si="5"/>
        <v>12418707</v>
      </c>
      <c r="U7" s="276">
        <f t="shared" si="5"/>
        <v>12614703</v>
      </c>
      <c r="V7" s="284">
        <f t="shared" si="5"/>
        <v>12614703</v>
      </c>
      <c r="W7" s="275">
        <f t="shared" si="5"/>
        <v>12744166</v>
      </c>
      <c r="X7" s="276">
        <f t="shared" si="5"/>
        <v>12880725</v>
      </c>
      <c r="Y7" s="276">
        <f t="shared" si="5"/>
        <v>13017749</v>
      </c>
      <c r="Z7" s="276">
        <f t="shared" si="5"/>
        <v>13254598</v>
      </c>
      <c r="AA7" s="284">
        <f t="shared" si="5"/>
        <v>13254598</v>
      </c>
      <c r="AB7" s="275">
        <f t="shared" si="5"/>
        <v>13337038</v>
      </c>
      <c r="AC7" s="276">
        <f t="shared" si="5"/>
        <v>13419539</v>
      </c>
      <c r="AD7" s="276">
        <f t="shared" si="5"/>
        <v>13530164</v>
      </c>
      <c r="AE7" s="276">
        <f t="shared" si="5"/>
        <v>13685044</v>
      </c>
      <c r="AF7" s="284">
        <f t="shared" si="5"/>
        <v>13685044</v>
      </c>
      <c r="AG7" s="276">
        <f t="shared" si="5"/>
        <v>13796153</v>
      </c>
      <c r="AH7" s="276">
        <v>13929804</v>
      </c>
      <c r="AI7" s="276">
        <v>14057045</v>
      </c>
      <c r="AJ7" s="276">
        <f t="shared" si="5"/>
        <v>14259264</v>
      </c>
      <c r="AK7" s="284">
        <f>AK8+AK10+AK11</f>
        <v>14259264</v>
      </c>
      <c r="AL7" s="276">
        <f>SUM(AL8,AL10:AL11)</f>
        <v>14330995</v>
      </c>
      <c r="AM7" s="276">
        <f t="shared" ref="AM7:AP7" si="6">SUM(AM8,AM10:AM11)</f>
        <v>14451610</v>
      </c>
      <c r="AN7" s="276">
        <f t="shared" si="6"/>
        <v>14587869</v>
      </c>
      <c r="AO7" s="276">
        <f t="shared" si="6"/>
        <v>14728758</v>
      </c>
      <c r="AP7" s="284">
        <f t="shared" si="6"/>
        <v>14728758</v>
      </c>
      <c r="AQ7" s="276">
        <f>SUM(AQ8,AQ10:AQ11)</f>
        <v>14796975</v>
      </c>
      <c r="AR7" s="276">
        <f t="shared" ref="AR7:AT7" si="7">SUM(AR8,AR10:AR11)</f>
        <v>14979496</v>
      </c>
      <c r="AS7" s="276">
        <f t="shared" si="7"/>
        <v>15168916</v>
      </c>
      <c r="AT7" s="276">
        <f t="shared" si="7"/>
        <v>15371888</v>
      </c>
      <c r="AU7" s="284">
        <f>SUM(AU8,AU10:AU11)</f>
        <v>15371888</v>
      </c>
      <c r="AV7" s="276">
        <f>SUM(AV8,AV10:AV11)</f>
        <v>15358097</v>
      </c>
      <c r="AW7" s="276">
        <f t="shared" ref="AW7:AZ7" si="8">SUM(AW8,AW10:AW11)</f>
        <v>15426731</v>
      </c>
      <c r="AX7" s="276">
        <f t="shared" si="8"/>
        <v>15490364</v>
      </c>
      <c r="AY7" s="276">
        <f t="shared" si="8"/>
        <v>0</v>
      </c>
      <c r="AZ7" s="284">
        <f t="shared" si="8"/>
        <v>15490364</v>
      </c>
      <c r="BA7" s="241"/>
    </row>
    <row r="8" spans="1:53" ht="20.149999999999999" customHeight="1">
      <c r="A8" s="242" t="s">
        <v>742</v>
      </c>
      <c r="B8" s="242" t="s">
        <v>743</v>
      </c>
      <c r="C8" s="240">
        <v>3885022</v>
      </c>
      <c r="D8" s="70">
        <v>3868733</v>
      </c>
      <c r="E8" s="70">
        <v>3921673</v>
      </c>
      <c r="F8" s="70">
        <v>3994875</v>
      </c>
      <c r="G8" s="283">
        <f>F8</f>
        <v>3994875</v>
      </c>
      <c r="H8" s="240">
        <v>4047592</v>
      </c>
      <c r="I8" s="70">
        <v>4127560</v>
      </c>
      <c r="J8" s="70">
        <v>4160343</v>
      </c>
      <c r="K8" s="70">
        <v>4212323</v>
      </c>
      <c r="L8" s="283">
        <f>K8</f>
        <v>4212323</v>
      </c>
      <c r="M8" s="240">
        <v>4236986</v>
      </c>
      <c r="N8" s="70">
        <v>4255544</v>
      </c>
      <c r="O8" s="243">
        <v>4344773</v>
      </c>
      <c r="P8" s="70">
        <v>4391702</v>
      </c>
      <c r="Q8" s="283">
        <v>4391702</v>
      </c>
      <c r="R8" s="240">
        <v>4405464</v>
      </c>
      <c r="S8" s="70">
        <v>4374517</v>
      </c>
      <c r="T8" s="70">
        <v>4396361</v>
      </c>
      <c r="U8" s="70">
        <v>4503320</v>
      </c>
      <c r="V8" s="283">
        <f t="shared" ref="V8:V12" si="9">U8</f>
        <v>4503320</v>
      </c>
      <c r="W8" s="240">
        <v>4560267</v>
      </c>
      <c r="X8" s="70">
        <v>4632246</v>
      </c>
      <c r="Y8" s="70">
        <v>4679114</v>
      </c>
      <c r="Z8" s="70">
        <v>4766429</v>
      </c>
      <c r="AA8" s="283">
        <f t="shared" ref="AA8:AA12" si="10">Z8</f>
        <v>4766429</v>
      </c>
      <c r="AB8" s="240">
        <v>4785947</v>
      </c>
      <c r="AC8" s="70">
        <v>4835534</v>
      </c>
      <c r="AD8" s="70">
        <v>4882505</v>
      </c>
      <c r="AE8" s="70">
        <v>4942640</v>
      </c>
      <c r="AF8" s="283">
        <f t="shared" ref="AF8:AF12" si="11">AE8</f>
        <v>4942640</v>
      </c>
      <c r="AG8" s="70">
        <v>4984391</v>
      </c>
      <c r="AH8" s="70">
        <v>5027520</v>
      </c>
      <c r="AI8" s="70">
        <v>5038210</v>
      </c>
      <c r="AJ8" s="70">
        <v>5098917</v>
      </c>
      <c r="AK8" s="283">
        <v>5098917</v>
      </c>
      <c r="AL8" s="70">
        <v>5077221</v>
      </c>
      <c r="AM8" s="70">
        <v>5058740</v>
      </c>
      <c r="AN8" s="70">
        <v>5033398</v>
      </c>
      <c r="AO8" s="70">
        <v>5038448</v>
      </c>
      <c r="AP8" s="283">
        <f>AO8</f>
        <v>5038448</v>
      </c>
      <c r="AQ8" s="70">
        <v>4992356</v>
      </c>
      <c r="AR8" s="70">
        <v>5000734</v>
      </c>
      <c r="AS8" s="70">
        <v>5010376</v>
      </c>
      <c r="AT8" s="70">
        <v>5010358</v>
      </c>
      <c r="AU8" s="283">
        <f>AT8</f>
        <v>5010358</v>
      </c>
      <c r="AV8" s="70">
        <v>4985621</v>
      </c>
      <c r="AW8" s="70">
        <v>4961196</v>
      </c>
      <c r="AX8" s="70">
        <v>4922037</v>
      </c>
      <c r="AY8" s="69"/>
      <c r="AZ8" s="283">
        <f>AX8</f>
        <v>4922037</v>
      </c>
      <c r="BA8" s="241"/>
    </row>
    <row r="9" spans="1:53" ht="20.149999999999999" customHeight="1">
      <c r="A9" s="244" t="s">
        <v>744</v>
      </c>
      <c r="B9" s="244" t="s">
        <v>744</v>
      </c>
      <c r="C9" s="245">
        <v>394001</v>
      </c>
      <c r="D9" s="79">
        <v>416027</v>
      </c>
      <c r="E9" s="79">
        <v>470578</v>
      </c>
      <c r="F9" s="79">
        <v>510617</v>
      </c>
      <c r="G9" s="304">
        <f t="shared" ref="G9:G11" si="12">F9</f>
        <v>510617</v>
      </c>
      <c r="H9" s="245">
        <v>559997</v>
      </c>
      <c r="I9" s="79">
        <v>633475</v>
      </c>
      <c r="J9" s="79">
        <v>680316</v>
      </c>
      <c r="K9" s="79">
        <v>719935</v>
      </c>
      <c r="L9" s="304">
        <f>K9</f>
        <v>719935</v>
      </c>
      <c r="M9" s="245">
        <v>749319</v>
      </c>
      <c r="N9" s="79">
        <v>771481</v>
      </c>
      <c r="O9" s="246">
        <v>806064</v>
      </c>
      <c r="P9" s="79">
        <v>844809</v>
      </c>
      <c r="Q9" s="304">
        <v>844809</v>
      </c>
      <c r="R9" s="245">
        <v>872628</v>
      </c>
      <c r="S9" s="79">
        <v>886305</v>
      </c>
      <c r="T9" s="79">
        <v>901271</v>
      </c>
      <c r="U9" s="79">
        <v>936307</v>
      </c>
      <c r="V9" s="304">
        <f t="shared" si="9"/>
        <v>936307</v>
      </c>
      <c r="W9" s="245">
        <v>957952</v>
      </c>
      <c r="X9" s="79">
        <v>972771</v>
      </c>
      <c r="Y9" s="79">
        <v>982068</v>
      </c>
      <c r="Z9" s="79">
        <v>1021720</v>
      </c>
      <c r="AA9" s="304">
        <f t="shared" si="10"/>
        <v>1021720</v>
      </c>
      <c r="AB9" s="245">
        <v>1031294</v>
      </c>
      <c r="AC9" s="79">
        <v>1058982</v>
      </c>
      <c r="AD9" s="79">
        <v>1072513</v>
      </c>
      <c r="AE9" s="79">
        <v>1099582</v>
      </c>
      <c r="AF9" s="304">
        <f t="shared" si="11"/>
        <v>1099582</v>
      </c>
      <c r="AG9" s="79">
        <v>1114833</v>
      </c>
      <c r="AH9" s="79">
        <v>1127285</v>
      </c>
      <c r="AI9" s="79">
        <v>1141820</v>
      </c>
      <c r="AJ9" s="79">
        <v>1160353</v>
      </c>
      <c r="AK9" s="304">
        <v>1160353</v>
      </c>
      <c r="AL9" s="79">
        <v>1167983</v>
      </c>
      <c r="AM9" s="79">
        <v>1173866</v>
      </c>
      <c r="AN9" s="79">
        <v>1180891</v>
      </c>
      <c r="AO9" s="79">
        <v>1192984</v>
      </c>
      <c r="AP9" s="304">
        <f t="shared" ref="AP9:AP12" si="13">AO9</f>
        <v>1192984</v>
      </c>
      <c r="AQ9" s="79">
        <v>1187199</v>
      </c>
      <c r="AR9" s="79">
        <v>1197486</v>
      </c>
      <c r="AS9" s="79">
        <v>1200561</v>
      </c>
      <c r="AT9" s="79">
        <v>1208676</v>
      </c>
      <c r="AU9" s="304">
        <f>AT9</f>
        <v>1208676</v>
      </c>
      <c r="AV9" s="79">
        <v>1206068</v>
      </c>
      <c r="AW9" s="79">
        <v>1202991</v>
      </c>
      <c r="AX9" s="79">
        <v>1198803</v>
      </c>
      <c r="AY9" s="79"/>
      <c r="AZ9" s="304">
        <f t="shared" ref="AZ9:AZ11" si="14">AX9</f>
        <v>1198803</v>
      </c>
      <c r="BA9" s="241"/>
    </row>
    <row r="10" spans="1:53" ht="20.149999999999999" customHeight="1">
      <c r="A10" s="242" t="s">
        <v>630</v>
      </c>
      <c r="B10" s="242" t="s">
        <v>631</v>
      </c>
      <c r="C10" s="240">
        <v>6985015</v>
      </c>
      <c r="D10" s="70">
        <v>6978192</v>
      </c>
      <c r="E10" s="70">
        <v>6976594</v>
      </c>
      <c r="F10" s="70">
        <v>6979590</v>
      </c>
      <c r="G10" s="283">
        <f t="shared" si="12"/>
        <v>6979590</v>
      </c>
      <c r="H10" s="240">
        <v>6941638</v>
      </c>
      <c r="I10" s="70">
        <v>6891314</v>
      </c>
      <c r="J10" s="70">
        <v>6834719</v>
      </c>
      <c r="K10" s="70">
        <v>6778675</v>
      </c>
      <c r="L10" s="283">
        <f t="shared" ref="L10:L11" si="15">K10</f>
        <v>6778675</v>
      </c>
      <c r="M10" s="240">
        <v>6713629</v>
      </c>
      <c r="N10" s="70">
        <v>6644687</v>
      </c>
      <c r="O10" s="243">
        <v>6617382</v>
      </c>
      <c r="P10" s="70">
        <v>6587915</v>
      </c>
      <c r="Q10" s="283">
        <v>6587915</v>
      </c>
      <c r="R10" s="240">
        <v>6552365</v>
      </c>
      <c r="S10" s="70">
        <v>6519311</v>
      </c>
      <c r="T10" s="70">
        <v>6505016</v>
      </c>
      <c r="U10" s="70">
        <v>6516643</v>
      </c>
      <c r="V10" s="283">
        <f t="shared" si="9"/>
        <v>6516643</v>
      </c>
      <c r="W10" s="240">
        <v>6536366</v>
      </c>
      <c r="X10" s="70">
        <v>6559223</v>
      </c>
      <c r="Y10" s="70">
        <v>6616579</v>
      </c>
      <c r="Z10" s="70">
        <v>6730427</v>
      </c>
      <c r="AA10" s="283">
        <f t="shared" si="10"/>
        <v>6730427</v>
      </c>
      <c r="AB10" s="240">
        <v>6785002</v>
      </c>
      <c r="AC10" s="70">
        <v>6810999</v>
      </c>
      <c r="AD10" s="70">
        <v>6864787</v>
      </c>
      <c r="AE10" s="70">
        <v>6932676</v>
      </c>
      <c r="AF10" s="283">
        <f t="shared" si="11"/>
        <v>6932676</v>
      </c>
      <c r="AG10" s="70">
        <v>6997850</v>
      </c>
      <c r="AH10" s="70">
        <v>7098239</v>
      </c>
      <c r="AI10" s="70">
        <v>7209240</v>
      </c>
      <c r="AJ10" s="70">
        <v>7345213</v>
      </c>
      <c r="AK10" s="283">
        <v>7345213</v>
      </c>
      <c r="AL10" s="70">
        <v>7452479</v>
      </c>
      <c r="AM10" s="70">
        <v>7597611</v>
      </c>
      <c r="AN10" s="70">
        <v>7752113</v>
      </c>
      <c r="AO10" s="70">
        <v>7894581</v>
      </c>
      <c r="AP10" s="283">
        <f t="shared" si="13"/>
        <v>7894581</v>
      </c>
      <c r="AQ10" s="70">
        <v>8016501</v>
      </c>
      <c r="AR10" s="70">
        <v>8188807</v>
      </c>
      <c r="AS10" s="70">
        <v>8366901.0000000009</v>
      </c>
      <c r="AT10" s="70">
        <v>8534841</v>
      </c>
      <c r="AU10" s="283">
        <f>AT10</f>
        <v>8534841</v>
      </c>
      <c r="AV10" s="70">
        <v>8551871</v>
      </c>
      <c r="AW10" s="70">
        <v>8649761</v>
      </c>
      <c r="AX10" s="70">
        <v>8781111</v>
      </c>
      <c r="AY10" s="70"/>
      <c r="AZ10" s="283">
        <f t="shared" si="14"/>
        <v>8781111</v>
      </c>
      <c r="BA10" s="241"/>
    </row>
    <row r="11" spans="1:53" ht="20.149999999999999" customHeight="1" thickBot="1">
      <c r="A11" s="242" t="s">
        <v>633</v>
      </c>
      <c r="B11" s="242" t="s">
        <v>633</v>
      </c>
      <c r="C11" s="240">
        <v>662510</v>
      </c>
      <c r="D11" s="70">
        <v>669908</v>
      </c>
      <c r="E11" s="70">
        <v>706832</v>
      </c>
      <c r="F11" s="70">
        <v>760635</v>
      </c>
      <c r="G11" s="283">
        <f t="shared" si="12"/>
        <v>760635</v>
      </c>
      <c r="H11" s="240">
        <v>810721</v>
      </c>
      <c r="I11" s="70">
        <v>850073</v>
      </c>
      <c r="J11" s="70">
        <v>913360</v>
      </c>
      <c r="K11" s="70">
        <v>987809</v>
      </c>
      <c r="L11" s="283">
        <f t="shared" si="15"/>
        <v>987809</v>
      </c>
      <c r="M11" s="247">
        <v>1032063</v>
      </c>
      <c r="N11" s="71">
        <v>1123138</v>
      </c>
      <c r="O11" s="243">
        <v>1268643</v>
      </c>
      <c r="P11" s="1">
        <v>1368211</v>
      </c>
      <c r="Q11" s="283">
        <v>1368211</v>
      </c>
      <c r="R11" s="247">
        <v>1436883</v>
      </c>
      <c r="S11" s="71">
        <v>1483193</v>
      </c>
      <c r="T11" s="71">
        <v>1517330</v>
      </c>
      <c r="U11" s="70">
        <v>1594740</v>
      </c>
      <c r="V11" s="283">
        <f t="shared" si="9"/>
        <v>1594740</v>
      </c>
      <c r="W11" s="247">
        <v>1647533</v>
      </c>
      <c r="X11" s="71">
        <v>1689256</v>
      </c>
      <c r="Y11" s="71">
        <v>1722056</v>
      </c>
      <c r="Z11" s="70">
        <v>1757742</v>
      </c>
      <c r="AA11" s="283">
        <f t="shared" si="10"/>
        <v>1757742</v>
      </c>
      <c r="AB11" s="247">
        <v>1766089</v>
      </c>
      <c r="AC11" s="71">
        <v>1773006</v>
      </c>
      <c r="AD11" s="71">
        <v>1782872</v>
      </c>
      <c r="AE11" s="71">
        <v>1809728</v>
      </c>
      <c r="AF11" s="283">
        <f t="shared" si="11"/>
        <v>1809728</v>
      </c>
      <c r="AG11" s="71">
        <v>1813912</v>
      </c>
      <c r="AH11" s="71">
        <v>1804045</v>
      </c>
      <c r="AI11" s="71">
        <v>1809595</v>
      </c>
      <c r="AJ11" s="71">
        <v>1815134</v>
      </c>
      <c r="AK11" s="283">
        <v>1815134</v>
      </c>
      <c r="AL11" s="71">
        <v>1801295</v>
      </c>
      <c r="AM11" s="71">
        <v>1795259</v>
      </c>
      <c r="AN11" s="71">
        <v>1802358</v>
      </c>
      <c r="AO11" s="71">
        <v>1795729</v>
      </c>
      <c r="AP11" s="283">
        <f t="shared" si="13"/>
        <v>1795729</v>
      </c>
      <c r="AQ11" s="71">
        <v>1788118</v>
      </c>
      <c r="AR11" s="71">
        <v>1789955</v>
      </c>
      <c r="AS11" s="71">
        <v>1791639</v>
      </c>
      <c r="AT11" s="71">
        <v>1826689</v>
      </c>
      <c r="AU11" s="283">
        <f>AT11</f>
        <v>1826689</v>
      </c>
      <c r="AV11" s="71">
        <v>1820605</v>
      </c>
      <c r="AW11" s="71">
        <v>1815774</v>
      </c>
      <c r="AX11" s="70">
        <v>1787216</v>
      </c>
      <c r="AY11" s="71"/>
      <c r="AZ11" s="283">
        <f t="shared" si="14"/>
        <v>1787216</v>
      </c>
      <c r="BA11" s="241"/>
    </row>
    <row r="12" spans="1:53" ht="20.149999999999999" customHeight="1" thickBot="1">
      <c r="A12" s="175" t="s">
        <v>745</v>
      </c>
      <c r="B12" s="175" t="s">
        <v>746</v>
      </c>
      <c r="C12" s="268">
        <v>6282300</v>
      </c>
      <c r="D12" s="269">
        <v>6264412</v>
      </c>
      <c r="E12" s="269">
        <v>6281184</v>
      </c>
      <c r="F12" s="269">
        <v>6313423</v>
      </c>
      <c r="G12" s="270">
        <f>F12</f>
        <v>6313423</v>
      </c>
      <c r="H12" s="268">
        <v>6318321</v>
      </c>
      <c r="I12" s="269">
        <v>6306877</v>
      </c>
      <c r="J12" s="269">
        <v>6285607</v>
      </c>
      <c r="K12" s="269">
        <v>6287658</v>
      </c>
      <c r="L12" s="270">
        <f>K12</f>
        <v>6287658</v>
      </c>
      <c r="M12" s="268">
        <v>6260662</v>
      </c>
      <c r="N12" s="269">
        <v>6221111</v>
      </c>
      <c r="O12" s="269">
        <v>6184775</v>
      </c>
      <c r="P12" s="269">
        <v>6137531</v>
      </c>
      <c r="Q12" s="270">
        <v>6137531</v>
      </c>
      <c r="R12" s="268">
        <v>6068839</v>
      </c>
      <c r="S12" s="269">
        <v>5990051</v>
      </c>
      <c r="T12" s="269">
        <v>5937768</v>
      </c>
      <c r="U12" s="269">
        <v>5916103</v>
      </c>
      <c r="V12" s="270">
        <f t="shared" si="9"/>
        <v>5916103</v>
      </c>
      <c r="W12" s="268">
        <v>5893225</v>
      </c>
      <c r="X12" s="269">
        <v>5862310</v>
      </c>
      <c r="Y12" s="269">
        <v>5860884</v>
      </c>
      <c r="Z12" s="269">
        <v>5882804</v>
      </c>
      <c r="AA12" s="270">
        <f t="shared" si="10"/>
        <v>5882804</v>
      </c>
      <c r="AB12" s="268">
        <v>5847401</v>
      </c>
      <c r="AC12" s="269">
        <v>5819386</v>
      </c>
      <c r="AD12" s="269">
        <v>5791841</v>
      </c>
      <c r="AE12" s="269">
        <v>5776598</v>
      </c>
      <c r="AF12" s="270">
        <f t="shared" si="11"/>
        <v>5776598</v>
      </c>
      <c r="AG12" s="268">
        <v>5743832</v>
      </c>
      <c r="AH12" s="269">
        <v>5724492</v>
      </c>
      <c r="AI12" s="269">
        <v>5712151</v>
      </c>
      <c r="AJ12" s="269">
        <v>5706147</v>
      </c>
      <c r="AK12" s="270">
        <v>5706147</v>
      </c>
      <c r="AL12" s="268">
        <v>5672790</v>
      </c>
      <c r="AM12" s="269">
        <v>5652912</v>
      </c>
      <c r="AN12" s="269">
        <v>5644291</v>
      </c>
      <c r="AO12" s="269">
        <v>5637734</v>
      </c>
      <c r="AP12" s="270">
        <f t="shared" si="13"/>
        <v>5637734</v>
      </c>
      <c r="AQ12" s="268">
        <v>5601300</v>
      </c>
      <c r="AR12" s="269">
        <v>5587104</v>
      </c>
      <c r="AS12" s="269">
        <v>5569734</v>
      </c>
      <c r="AT12" s="269">
        <v>5548417</v>
      </c>
      <c r="AU12" s="270">
        <f>AT12</f>
        <v>5548417</v>
      </c>
      <c r="AV12" s="268">
        <v>5504797</v>
      </c>
      <c r="AW12" s="269">
        <v>5472855</v>
      </c>
      <c r="AX12" s="269">
        <v>5446111</v>
      </c>
      <c r="AY12" s="269"/>
      <c r="AZ12" s="270">
        <f>AX12</f>
        <v>5446111</v>
      </c>
      <c r="BA12" s="241"/>
    </row>
    <row r="13" spans="1:53" s="282" customFormat="1" ht="20.149999999999999" customHeight="1" thickBot="1">
      <c r="A13" s="280" t="s">
        <v>747</v>
      </c>
      <c r="B13" s="281" t="s">
        <v>748</v>
      </c>
      <c r="C13" s="278"/>
      <c r="D13" s="279"/>
      <c r="E13" s="279"/>
      <c r="F13" s="279"/>
      <c r="G13" s="277"/>
      <c r="H13" s="278"/>
      <c r="I13" s="279"/>
      <c r="J13" s="279"/>
      <c r="K13" s="279"/>
      <c r="L13" s="277"/>
      <c r="M13" s="278"/>
      <c r="N13" s="279"/>
      <c r="O13" s="279"/>
      <c r="P13" s="279"/>
      <c r="Q13" s="277"/>
      <c r="R13" s="278"/>
      <c r="S13" s="279"/>
      <c r="T13" s="279"/>
      <c r="U13" s="279"/>
      <c r="V13" s="277"/>
      <c r="W13" s="278"/>
      <c r="X13" s="279"/>
      <c r="Y13" s="279"/>
      <c r="Z13" s="279"/>
      <c r="AA13" s="277"/>
      <c r="AB13" s="278">
        <v>80.3</v>
      </c>
      <c r="AC13" s="279">
        <v>81.2</v>
      </c>
      <c r="AD13" s="279">
        <v>80.5</v>
      </c>
      <c r="AE13" s="279">
        <v>81.900000000000006</v>
      </c>
      <c r="AF13" s="277"/>
      <c r="AG13" s="279">
        <v>81.900000000000006</v>
      </c>
      <c r="AH13" s="279">
        <v>82.9</v>
      </c>
      <c r="AI13" s="279">
        <v>84</v>
      </c>
      <c r="AJ13" s="279">
        <v>84</v>
      </c>
      <c r="AK13" s="277">
        <v>83.2</v>
      </c>
      <c r="AL13" s="279">
        <v>82.9</v>
      </c>
      <c r="AM13" s="279">
        <v>83.4</v>
      </c>
      <c r="AN13" s="279">
        <v>84.8</v>
      </c>
      <c r="AO13" s="279">
        <v>85.6</v>
      </c>
      <c r="AP13" s="277">
        <v>84.2</v>
      </c>
      <c r="AQ13" s="279">
        <v>85.4</v>
      </c>
      <c r="AR13" s="279">
        <v>86.5</v>
      </c>
      <c r="AS13" s="279">
        <v>86.9</v>
      </c>
      <c r="AT13" s="279">
        <v>89.9</v>
      </c>
      <c r="AU13" s="277">
        <v>87.2</v>
      </c>
      <c r="AV13" s="279">
        <v>90.5</v>
      </c>
      <c r="AW13" s="279">
        <v>91.427769176968681</v>
      </c>
      <c r="AX13" s="279">
        <v>90.3</v>
      </c>
      <c r="AY13" s="279"/>
      <c r="AZ13" s="277">
        <v>90.737123963303631</v>
      </c>
    </row>
    <row r="14" spans="1:53" ht="20.149999999999999" hidden="1" customHeight="1" outlineLevel="1">
      <c r="A14" s="249" t="s">
        <v>749</v>
      </c>
      <c r="B14" s="249" t="s">
        <v>750</v>
      </c>
      <c r="C14" s="250">
        <v>92.5</v>
      </c>
      <c r="D14" s="80">
        <v>94.4</v>
      </c>
      <c r="E14" s="80">
        <v>93.8</v>
      </c>
      <c r="F14" s="80">
        <v>93.8</v>
      </c>
      <c r="G14" s="267">
        <v>93.6</v>
      </c>
      <c r="H14" s="250">
        <v>89.1</v>
      </c>
      <c r="I14" s="80">
        <v>90.3</v>
      </c>
      <c r="J14" s="80">
        <v>87.6</v>
      </c>
      <c r="K14" s="80">
        <v>87.1</v>
      </c>
      <c r="L14" s="267">
        <v>88.5</v>
      </c>
      <c r="M14" s="250">
        <v>84.8</v>
      </c>
      <c r="N14" s="80">
        <v>85.3</v>
      </c>
      <c r="O14" s="248">
        <v>86.5</v>
      </c>
      <c r="P14" s="80">
        <v>87.2</v>
      </c>
      <c r="Q14" s="267">
        <v>85.9</v>
      </c>
      <c r="R14" s="250">
        <v>85.8</v>
      </c>
      <c r="S14" s="80">
        <v>87</v>
      </c>
      <c r="T14" s="80">
        <v>88.1</v>
      </c>
      <c r="U14" s="80">
        <v>88.3</v>
      </c>
      <c r="V14" s="267">
        <v>87.3</v>
      </c>
      <c r="W14" s="250">
        <v>87</v>
      </c>
      <c r="X14" s="80">
        <v>88.4</v>
      </c>
      <c r="Y14" s="80">
        <v>88.6</v>
      </c>
      <c r="Z14" s="80">
        <v>90.7</v>
      </c>
      <c r="AA14" s="267">
        <v>88.7</v>
      </c>
      <c r="AB14" s="250">
        <v>89.1</v>
      </c>
      <c r="AC14" s="80">
        <v>89.6</v>
      </c>
      <c r="AD14" s="80">
        <v>88.4</v>
      </c>
      <c r="AE14" s="80">
        <v>89</v>
      </c>
      <c r="AF14" s="267">
        <v>89</v>
      </c>
      <c r="AG14" s="250">
        <v>88.7</v>
      </c>
      <c r="AH14" s="80">
        <v>89.6</v>
      </c>
      <c r="AI14" s="80">
        <v>90.1</v>
      </c>
      <c r="AJ14" s="80">
        <v>90.5</v>
      </c>
      <c r="AK14" s="267">
        <v>89.7</v>
      </c>
      <c r="AL14" s="250"/>
      <c r="AM14" s="80"/>
      <c r="AN14" s="80"/>
      <c r="AO14" s="80"/>
      <c r="AP14" s="267"/>
      <c r="AQ14" s="250"/>
      <c r="AR14" s="80"/>
      <c r="AS14" s="80"/>
      <c r="AT14" s="80">
        <v>6.4768102002308398E-2</v>
      </c>
      <c r="AU14" s="267"/>
      <c r="AV14" s="250"/>
      <c r="AW14" s="250">
        <v>7.00890484236706E-2</v>
      </c>
      <c r="AX14" s="80">
        <v>7.0767951058226197E-2</v>
      </c>
      <c r="AY14" s="80"/>
      <c r="AZ14" s="267"/>
      <c r="BA14" s="241"/>
    </row>
    <row r="15" spans="1:53" ht="20.149999999999999" customHeight="1" collapsed="1">
      <c r="A15" s="251" t="s">
        <v>751</v>
      </c>
      <c r="B15" s="251" t="s">
        <v>752</v>
      </c>
      <c r="C15" s="240" t="s">
        <v>737</v>
      </c>
      <c r="D15" s="70" t="s">
        <v>737</v>
      </c>
      <c r="E15" s="70" t="s">
        <v>737</v>
      </c>
      <c r="F15" s="72">
        <v>8.4252884188563901E-2</v>
      </c>
      <c r="G15" s="271">
        <f>F15</f>
        <v>8.4252884188563901E-2</v>
      </c>
      <c r="H15" s="252">
        <v>8.6500864834109098E-2</v>
      </c>
      <c r="I15" s="72">
        <v>8.7995678097648605E-2</v>
      </c>
      <c r="J15" s="72">
        <v>8.95665783401738E-2</v>
      </c>
      <c r="K15" s="72">
        <v>9.1612274770678806E-2</v>
      </c>
      <c r="L15" s="271">
        <f>K15</f>
        <v>9.1612274770678806E-2</v>
      </c>
      <c r="M15" s="252">
        <v>9.0641340484564806E-2</v>
      </c>
      <c r="N15" s="72">
        <v>8.7627794752018207E-2</v>
      </c>
      <c r="O15" s="253">
        <f>8.8%</f>
        <v>8.8000000000000009E-2</v>
      </c>
      <c r="P15" s="72">
        <v>9.0976359886998898E-2</v>
      </c>
      <c r="Q15" s="271">
        <v>9.0999999999999998E-2</v>
      </c>
      <c r="R15" s="252">
        <v>9.5000000000000001E-2</v>
      </c>
      <c r="S15" s="72">
        <v>0.10100000000000001</v>
      </c>
      <c r="T15" s="72">
        <v>0.10199999999999999</v>
      </c>
      <c r="U15" s="72">
        <v>0.1</v>
      </c>
      <c r="V15" s="271">
        <v>0.1</v>
      </c>
      <c r="W15" s="252">
        <v>9.8000000000000004E-2</v>
      </c>
      <c r="X15" s="72">
        <v>0.09</v>
      </c>
      <c r="Y15" s="72">
        <v>8.5000000000000006E-2</v>
      </c>
      <c r="Z15" s="72">
        <v>8.3000000000000004E-2</v>
      </c>
      <c r="AA15" s="271">
        <v>8.3000000000000004E-2</v>
      </c>
      <c r="AB15" s="252">
        <v>8.5000000000000006E-2</v>
      </c>
      <c r="AC15" s="72">
        <v>8.5999999999999993E-2</v>
      </c>
      <c r="AD15" s="72">
        <v>8.7999999999999995E-2</v>
      </c>
      <c r="AE15" s="72">
        <v>8.7999999999999995E-2</v>
      </c>
      <c r="AF15" s="271">
        <v>8.7999999999999995E-2</v>
      </c>
      <c r="AG15" s="72">
        <v>8.5000000000000006E-2</v>
      </c>
      <c r="AH15" s="72">
        <v>8.3000000000000004E-2</v>
      </c>
      <c r="AI15" s="72">
        <v>7.9000000000000001E-2</v>
      </c>
      <c r="AJ15" s="72">
        <v>7.5999999999999998E-2</v>
      </c>
      <c r="AK15" s="271">
        <v>7.5999999999999998E-2</v>
      </c>
      <c r="AL15" s="72">
        <v>7.1999999999999995E-2</v>
      </c>
      <c r="AM15" s="72">
        <v>7.0000000000000007E-2</v>
      </c>
      <c r="AN15" s="72">
        <v>6.8000000000000005E-2</v>
      </c>
      <c r="AO15" s="72">
        <v>6.4000000000000001E-2</v>
      </c>
      <c r="AP15" s="271">
        <f>AO15:AO16</f>
        <v>6.4000000000000001E-2</v>
      </c>
      <c r="AQ15" s="72">
        <v>6.6000000000000003E-2</v>
      </c>
      <c r="AR15" s="72">
        <v>6.4000000000000001E-2</v>
      </c>
      <c r="AS15" s="72">
        <v>6.0999999999999999E-2</v>
      </c>
      <c r="AT15" s="72">
        <v>6.5000000000000002E-2</v>
      </c>
      <c r="AU15" s="271">
        <f>AT15</f>
        <v>6.5000000000000002E-2</v>
      </c>
      <c r="AV15" s="72">
        <v>6.7000000000000004E-2</v>
      </c>
      <c r="AW15" s="72">
        <v>7.00890484236706E-2</v>
      </c>
      <c r="AX15" s="72">
        <v>7.0999999999999994E-2</v>
      </c>
      <c r="AY15" s="72"/>
      <c r="AZ15" s="271">
        <f t="shared" ref="AZ15:AZ16" si="16">AX15</f>
        <v>7.0999999999999994E-2</v>
      </c>
      <c r="BA15" s="241"/>
    </row>
    <row r="16" spans="1:53" ht="20.149999999999999" customHeight="1" thickBot="1">
      <c r="A16" s="251" t="s">
        <v>753</v>
      </c>
      <c r="B16" s="251" t="s">
        <v>754</v>
      </c>
      <c r="C16" s="298">
        <f t="shared" ref="C16:N16" si="17">C7/C12</f>
        <v>1.8357205163713926</v>
      </c>
      <c r="D16" s="299">
        <f t="shared" si="17"/>
        <v>1.838453952262399</v>
      </c>
      <c r="E16" s="299">
        <f t="shared" si="17"/>
        <v>1.8475973638091163</v>
      </c>
      <c r="F16" s="299">
        <f t="shared" si="17"/>
        <v>1.858753959619053</v>
      </c>
      <c r="G16" s="272">
        <f t="shared" si="17"/>
        <v>1.858753959619053</v>
      </c>
      <c r="H16" s="298">
        <f t="shared" si="17"/>
        <v>1.8675770034475931</v>
      </c>
      <c r="I16" s="299">
        <f t="shared" si="17"/>
        <v>1.8819055770391591</v>
      </c>
      <c r="J16" s="299">
        <f t="shared" si="17"/>
        <v>1.8945540184106324</v>
      </c>
      <c r="K16" s="299">
        <f t="shared" si="17"/>
        <v>1.9051301772456453</v>
      </c>
      <c r="L16" s="272">
        <f t="shared" si="17"/>
        <v>1.9051301772456453</v>
      </c>
      <c r="M16" s="298">
        <f t="shared" si="17"/>
        <v>1.9139634115369908</v>
      </c>
      <c r="N16" s="299">
        <f t="shared" si="17"/>
        <v>1.9326723152825918</v>
      </c>
      <c r="O16" s="300">
        <v>1.98</v>
      </c>
      <c r="P16" s="299">
        <v>2.0099999999999998</v>
      </c>
      <c r="Q16" s="272">
        <v>2.0099999999999998</v>
      </c>
      <c r="R16" s="298">
        <f>R7/R12</f>
        <v>2.0423530760990696</v>
      </c>
      <c r="S16" s="299">
        <v>2.0699999999999998</v>
      </c>
      <c r="T16" s="299">
        <v>2.09</v>
      </c>
      <c r="U16" s="299">
        <v>2.13</v>
      </c>
      <c r="V16" s="272">
        <v>2.13</v>
      </c>
      <c r="W16" s="298">
        <v>2.16</v>
      </c>
      <c r="X16" s="299">
        <v>2.2000000000000002</v>
      </c>
      <c r="Y16" s="299">
        <v>2.2200000000000002</v>
      </c>
      <c r="Z16" s="299">
        <v>2.25</v>
      </c>
      <c r="AA16" s="272">
        <f>Z16</f>
        <v>2.25</v>
      </c>
      <c r="AB16" s="298">
        <v>2.2799999999999998</v>
      </c>
      <c r="AC16" s="299">
        <v>2.31</v>
      </c>
      <c r="AD16" s="299">
        <v>2.34</v>
      </c>
      <c r="AE16" s="299">
        <v>2.37</v>
      </c>
      <c r="AF16" s="272">
        <v>2.37</v>
      </c>
      <c r="AG16" s="299">
        <v>2.4</v>
      </c>
      <c r="AH16" s="299">
        <v>2.4300000000000002</v>
      </c>
      <c r="AI16" s="299">
        <v>2.46</v>
      </c>
      <c r="AJ16" s="299">
        <v>2.5</v>
      </c>
      <c r="AK16" s="272">
        <v>2.5</v>
      </c>
      <c r="AL16" s="299">
        <v>2.5299999999999998</v>
      </c>
      <c r="AM16" s="299">
        <v>2.56</v>
      </c>
      <c r="AN16" s="299">
        <v>2.58</v>
      </c>
      <c r="AO16" s="299">
        <v>2.61</v>
      </c>
      <c r="AP16" s="272">
        <f>AO16</f>
        <v>2.61</v>
      </c>
      <c r="AQ16" s="299">
        <v>2.64</v>
      </c>
      <c r="AR16" s="299">
        <v>2.68</v>
      </c>
      <c r="AS16" s="299">
        <v>2.72</v>
      </c>
      <c r="AT16" s="299">
        <v>2.77</v>
      </c>
      <c r="AU16" s="272">
        <f>AT16</f>
        <v>2.77</v>
      </c>
      <c r="AV16" s="299">
        <v>2.79</v>
      </c>
      <c r="AW16" s="299">
        <v>2.8187721034085502</v>
      </c>
      <c r="AX16" s="299">
        <v>2.84</v>
      </c>
      <c r="AY16" s="299"/>
      <c r="AZ16" s="272">
        <f t="shared" si="16"/>
        <v>2.84</v>
      </c>
      <c r="BA16" s="241"/>
    </row>
    <row r="17" spans="1:53" ht="20.149999999999999" customHeight="1" thickBot="1">
      <c r="A17" s="273" t="s">
        <v>755</v>
      </c>
      <c r="B17" s="274" t="s">
        <v>756</v>
      </c>
      <c r="C17" s="301">
        <f>C18+C20+C21</f>
        <v>11497022</v>
      </c>
      <c r="D17" s="302">
        <f t="shared" ref="D17:N17" si="18">D18+D20+D21</f>
        <v>11521707</v>
      </c>
      <c r="E17" s="302">
        <f t="shared" si="18"/>
        <v>11558288</v>
      </c>
      <c r="F17" s="302">
        <f t="shared" si="18"/>
        <v>11659474</v>
      </c>
      <c r="G17" s="303">
        <f t="shared" si="18"/>
        <v>11559122.75</v>
      </c>
      <c r="H17" s="301">
        <f t="shared" si="18"/>
        <v>11772318</v>
      </c>
      <c r="I17" s="302">
        <f t="shared" si="18"/>
        <v>11846507</v>
      </c>
      <c r="J17" s="302">
        <f t="shared" si="18"/>
        <v>11884574</v>
      </c>
      <c r="K17" s="302">
        <f t="shared" si="18"/>
        <v>11924710</v>
      </c>
      <c r="L17" s="303">
        <f t="shared" si="18"/>
        <v>11857027.25</v>
      </c>
      <c r="M17" s="301">
        <f t="shared" si="18"/>
        <v>11986199</v>
      </c>
      <c r="N17" s="302">
        <f t="shared" si="18"/>
        <v>11981389</v>
      </c>
      <c r="O17" s="302">
        <f>O18+O20+O21</f>
        <v>12125363</v>
      </c>
      <c r="P17" s="302">
        <f>P18+P20+P21</f>
        <v>12272311</v>
      </c>
      <c r="Q17" s="303">
        <f>Q18+Q20+Q21</f>
        <v>12091316</v>
      </c>
      <c r="R17" s="301">
        <f t="shared" ref="R17:AJ17" si="19">R18+R20+R21</f>
        <v>12376603</v>
      </c>
      <c r="S17" s="302">
        <f t="shared" si="19"/>
        <v>12391326</v>
      </c>
      <c r="T17" s="302">
        <f t="shared" si="19"/>
        <v>12378586</v>
      </c>
      <c r="U17" s="302">
        <f t="shared" si="19"/>
        <v>12496080</v>
      </c>
      <c r="V17" s="303">
        <f t="shared" si="19"/>
        <v>12410649</v>
      </c>
      <c r="W17" s="301">
        <f t="shared" si="19"/>
        <v>12675864</v>
      </c>
      <c r="X17" s="302">
        <f t="shared" si="19"/>
        <v>12809438</v>
      </c>
      <c r="Y17" s="302">
        <f t="shared" si="19"/>
        <v>12940680</v>
      </c>
      <c r="Z17" s="302">
        <f t="shared" si="19"/>
        <v>13119033</v>
      </c>
      <c r="AA17" s="303">
        <f t="shared" si="19"/>
        <v>12886254</v>
      </c>
      <c r="AB17" s="301">
        <f t="shared" si="19"/>
        <v>13313971</v>
      </c>
      <c r="AC17" s="302">
        <f t="shared" si="19"/>
        <v>13379081</v>
      </c>
      <c r="AD17" s="302">
        <f t="shared" si="19"/>
        <v>13467835</v>
      </c>
      <c r="AE17" s="302">
        <f t="shared" si="19"/>
        <v>13596202</v>
      </c>
      <c r="AF17" s="303">
        <f t="shared" si="19"/>
        <v>13439272</v>
      </c>
      <c r="AG17" s="302">
        <f t="shared" si="19"/>
        <v>13741811</v>
      </c>
      <c r="AH17" s="302">
        <f t="shared" si="19"/>
        <v>13858205</v>
      </c>
      <c r="AI17" s="302">
        <f t="shared" si="19"/>
        <v>13995952</v>
      </c>
      <c r="AJ17" s="302">
        <f t="shared" si="19"/>
        <v>14159632</v>
      </c>
      <c r="AK17" s="303">
        <f>AK18+AK20+AK21</f>
        <v>13938900</v>
      </c>
      <c r="AL17" s="302">
        <f>AL18+AL20+AL21</f>
        <v>14283823</v>
      </c>
      <c r="AM17" s="302">
        <f t="shared" ref="AM17:AP17" si="20">AM18+AM20+AM21</f>
        <v>14381445</v>
      </c>
      <c r="AN17" s="302">
        <f t="shared" si="20"/>
        <v>14515058</v>
      </c>
      <c r="AO17" s="302">
        <f t="shared" si="20"/>
        <v>14660255</v>
      </c>
      <c r="AP17" s="306">
        <f t="shared" si="20"/>
        <v>14460145</v>
      </c>
      <c r="AQ17" s="302">
        <f>AQ18+AQ20+AQ21</f>
        <v>14774076</v>
      </c>
      <c r="AR17" s="302">
        <f t="shared" ref="AR17:AU17" si="21">AR18+AR20+AR21</f>
        <v>14867672</v>
      </c>
      <c r="AS17" s="302">
        <f t="shared" si="21"/>
        <v>15080830</v>
      </c>
      <c r="AT17" s="302">
        <f t="shared" si="21"/>
        <v>15265725</v>
      </c>
      <c r="AU17" s="306">
        <f t="shared" si="21"/>
        <v>14997076</v>
      </c>
      <c r="AV17" s="302">
        <f>AV18+AV20+AV21</f>
        <v>15350346</v>
      </c>
      <c r="AW17" s="302">
        <f t="shared" ref="AW17:AZ17" si="22">AW18+AW20+AW21</f>
        <v>15390843.999999998</v>
      </c>
      <c r="AX17" s="302">
        <f t="shared" si="22"/>
        <v>15454487</v>
      </c>
      <c r="AY17" s="302">
        <f t="shared" si="22"/>
        <v>0</v>
      </c>
      <c r="AZ17" s="306">
        <f t="shared" si="22"/>
        <v>15398559.11111111</v>
      </c>
      <c r="BA17" s="241"/>
    </row>
    <row r="18" spans="1:53" ht="20.149999999999999" customHeight="1">
      <c r="A18" s="242" t="s">
        <v>742</v>
      </c>
      <c r="B18" s="242" t="s">
        <v>743</v>
      </c>
      <c r="C18" s="240">
        <v>3858338</v>
      </c>
      <c r="D18" s="70">
        <v>3879834</v>
      </c>
      <c r="E18" s="70">
        <v>3894623</v>
      </c>
      <c r="F18" s="70">
        <v>3955082</v>
      </c>
      <c r="G18" s="283">
        <f>AVERAGE(C18:F18)</f>
        <v>3896969.25</v>
      </c>
      <c r="H18" s="240">
        <v>4018307</v>
      </c>
      <c r="I18" s="70">
        <v>4098051</v>
      </c>
      <c r="J18" s="70">
        <v>4144131</v>
      </c>
      <c r="K18" s="70">
        <v>4175145</v>
      </c>
      <c r="L18" s="283">
        <f>AVERAGE(H18:K18)</f>
        <v>4108908.5</v>
      </c>
      <c r="M18" s="240">
        <v>4227450</v>
      </c>
      <c r="N18" s="70">
        <v>4243880</v>
      </c>
      <c r="O18" s="243">
        <v>4301558</v>
      </c>
      <c r="P18" s="70">
        <v>4361890</v>
      </c>
      <c r="Q18" s="283">
        <v>4283695</v>
      </c>
      <c r="R18" s="240">
        <v>4403541</v>
      </c>
      <c r="S18" s="70">
        <v>4397999</v>
      </c>
      <c r="T18" s="70">
        <v>4376405</v>
      </c>
      <c r="U18" s="70">
        <v>4441918</v>
      </c>
      <c r="V18" s="283">
        <v>4404966</v>
      </c>
      <c r="W18" s="240">
        <v>4532806</v>
      </c>
      <c r="X18" s="70">
        <v>4595313</v>
      </c>
      <c r="Y18" s="70">
        <v>4654591</v>
      </c>
      <c r="Z18" s="70">
        <v>4712813</v>
      </c>
      <c r="AA18" s="283">
        <v>4623881</v>
      </c>
      <c r="AB18" s="240">
        <v>4781680</v>
      </c>
      <c r="AC18" s="70">
        <v>4817543</v>
      </c>
      <c r="AD18" s="70">
        <v>4856979</v>
      </c>
      <c r="AE18" s="70">
        <v>4905839</v>
      </c>
      <c r="AF18" s="283">
        <v>4840510</v>
      </c>
      <c r="AG18" s="70">
        <v>4963830</v>
      </c>
      <c r="AH18" s="70">
        <v>5013604</v>
      </c>
      <c r="AI18" s="70">
        <v>5029344</v>
      </c>
      <c r="AJ18" s="70">
        <v>5070219</v>
      </c>
      <c r="AK18" s="283">
        <v>5019249</v>
      </c>
      <c r="AL18" s="70">
        <v>5090723</v>
      </c>
      <c r="AM18" s="70">
        <v>5066146</v>
      </c>
      <c r="AN18" s="70">
        <v>5036833</v>
      </c>
      <c r="AO18" s="70">
        <v>5039351</v>
      </c>
      <c r="AP18" s="283">
        <v>5058263</v>
      </c>
      <c r="AQ18" s="70">
        <v>5018607</v>
      </c>
      <c r="AR18" s="70">
        <v>4995884</v>
      </c>
      <c r="AS18" s="70">
        <v>5007407</v>
      </c>
      <c r="AT18" s="70">
        <v>5009102</v>
      </c>
      <c r="AU18" s="283">
        <v>5007750</v>
      </c>
      <c r="AV18" s="70">
        <v>4996954</v>
      </c>
      <c r="AW18" s="70">
        <v>4973593.833333333</v>
      </c>
      <c r="AX18" s="70">
        <v>4944068</v>
      </c>
      <c r="AY18" s="70"/>
      <c r="AZ18" s="283">
        <v>4971538.5</v>
      </c>
      <c r="BA18" s="241"/>
    </row>
    <row r="19" spans="1:53" ht="20.149999999999999" customHeight="1">
      <c r="A19" s="244" t="s">
        <v>744</v>
      </c>
      <c r="B19" s="244" t="s">
        <v>744</v>
      </c>
      <c r="C19" s="245">
        <v>358652</v>
      </c>
      <c r="D19" s="79">
        <v>406943</v>
      </c>
      <c r="E19" s="79">
        <v>443743.5</v>
      </c>
      <c r="F19" s="79">
        <v>494506</v>
      </c>
      <c r="G19" s="304">
        <f>AVERAGE(C19:F19)</f>
        <v>425961.125</v>
      </c>
      <c r="H19" s="245">
        <v>535271</v>
      </c>
      <c r="I19" s="79">
        <v>600411</v>
      </c>
      <c r="J19" s="79">
        <v>658475</v>
      </c>
      <c r="K19" s="79">
        <v>697978</v>
      </c>
      <c r="L19" s="304">
        <f t="shared" ref="L19:L21" si="23">AVERAGE(H19:K19)</f>
        <v>623033.75</v>
      </c>
      <c r="M19" s="254">
        <v>736315</v>
      </c>
      <c r="N19" s="79">
        <v>759922</v>
      </c>
      <c r="O19" s="246">
        <v>787736</v>
      </c>
      <c r="P19" s="79">
        <v>822568</v>
      </c>
      <c r="Q19" s="304">
        <v>776635</v>
      </c>
      <c r="R19" s="254">
        <v>860827</v>
      </c>
      <c r="S19" s="79">
        <v>881296</v>
      </c>
      <c r="T19" s="79">
        <v>893001</v>
      </c>
      <c r="U19" s="79">
        <v>915940</v>
      </c>
      <c r="V19" s="304">
        <v>887766</v>
      </c>
      <c r="W19" s="254">
        <v>948366</v>
      </c>
      <c r="X19" s="73">
        <v>964197</v>
      </c>
      <c r="Y19" s="73">
        <v>977142</v>
      </c>
      <c r="Z19" s="79">
        <v>995820</v>
      </c>
      <c r="AA19" s="304">
        <v>971381</v>
      </c>
      <c r="AB19" s="254">
        <v>1029294</v>
      </c>
      <c r="AC19" s="70">
        <v>1051692</v>
      </c>
      <c r="AD19" s="73">
        <v>1064544</v>
      </c>
      <c r="AE19" s="73">
        <v>1082951</v>
      </c>
      <c r="AF19" s="304">
        <v>1057120</v>
      </c>
      <c r="AG19" s="73">
        <v>1108316</v>
      </c>
      <c r="AH19" s="73">
        <v>1121333</v>
      </c>
      <c r="AI19" s="73">
        <v>1134327</v>
      </c>
      <c r="AJ19" s="73">
        <v>1149795</v>
      </c>
      <c r="AK19" s="304">
        <v>1128443</v>
      </c>
      <c r="AL19" s="73">
        <v>1164591</v>
      </c>
      <c r="AM19" s="73">
        <v>1171425</v>
      </c>
      <c r="AN19" s="73">
        <v>1177222</v>
      </c>
      <c r="AO19" s="73">
        <v>1185919</v>
      </c>
      <c r="AP19" s="304">
        <v>1174789</v>
      </c>
      <c r="AQ19" s="73">
        <v>1193663</v>
      </c>
      <c r="AR19" s="73">
        <v>1193706</v>
      </c>
      <c r="AS19" s="73">
        <v>1199160</v>
      </c>
      <c r="AT19" s="73">
        <v>1203210</v>
      </c>
      <c r="AU19" s="304">
        <v>1197435</v>
      </c>
      <c r="AV19" s="73">
        <v>1207961</v>
      </c>
      <c r="AW19" s="73">
        <v>1204404.5</v>
      </c>
      <c r="AX19" s="73">
        <v>1201462</v>
      </c>
      <c r="AY19" s="73"/>
      <c r="AZ19" s="304">
        <v>1204609.1666666667</v>
      </c>
      <c r="BA19" s="241"/>
    </row>
    <row r="20" spans="1:53" ht="20.149999999999999" customHeight="1">
      <c r="A20" s="242" t="s">
        <v>630</v>
      </c>
      <c r="B20" s="242" t="s">
        <v>631</v>
      </c>
      <c r="C20" s="240">
        <v>6986951</v>
      </c>
      <c r="D20" s="70">
        <v>6977393</v>
      </c>
      <c r="E20" s="70">
        <v>6978772</v>
      </c>
      <c r="F20" s="70">
        <v>6974525</v>
      </c>
      <c r="G20" s="283">
        <f t="shared" ref="G20:G21" si="24">AVERAGE(C20:F20)</f>
        <v>6979410.25</v>
      </c>
      <c r="H20" s="240">
        <v>6965606</v>
      </c>
      <c r="I20" s="70">
        <v>6917102</v>
      </c>
      <c r="J20" s="70">
        <v>6862047</v>
      </c>
      <c r="K20" s="70">
        <v>6801845</v>
      </c>
      <c r="L20" s="283">
        <f t="shared" si="23"/>
        <v>6886650</v>
      </c>
      <c r="M20" s="255">
        <v>6749396</v>
      </c>
      <c r="N20" s="70">
        <v>6670820</v>
      </c>
      <c r="O20" s="243">
        <v>6628199</v>
      </c>
      <c r="P20" s="70">
        <v>6597742</v>
      </c>
      <c r="Q20" s="283">
        <v>6661539</v>
      </c>
      <c r="R20" s="255">
        <v>6570344</v>
      </c>
      <c r="S20" s="70">
        <v>6532488</v>
      </c>
      <c r="T20" s="70">
        <v>6508391</v>
      </c>
      <c r="U20" s="70">
        <v>6502872</v>
      </c>
      <c r="V20" s="283">
        <v>6528524</v>
      </c>
      <c r="W20" s="255">
        <v>6523316</v>
      </c>
      <c r="X20" s="74">
        <v>6546774</v>
      </c>
      <c r="Y20" s="74">
        <v>6579908</v>
      </c>
      <c r="Z20" s="70">
        <v>6667869</v>
      </c>
      <c r="AA20" s="283">
        <v>6579467</v>
      </c>
      <c r="AB20" s="255">
        <v>6769379</v>
      </c>
      <c r="AC20" s="70">
        <v>6790804</v>
      </c>
      <c r="AD20" s="74">
        <v>6836282</v>
      </c>
      <c r="AE20" s="74">
        <v>6894295</v>
      </c>
      <c r="AF20" s="283">
        <v>6822690</v>
      </c>
      <c r="AG20" s="74">
        <v>6963584</v>
      </c>
      <c r="AH20" s="74">
        <v>7036346</v>
      </c>
      <c r="AI20" s="74">
        <v>7161022</v>
      </c>
      <c r="AJ20" s="74">
        <v>7276732</v>
      </c>
      <c r="AK20" s="283">
        <v>7109421</v>
      </c>
      <c r="AL20" s="74">
        <v>7384746</v>
      </c>
      <c r="AM20" s="74">
        <v>7519107</v>
      </c>
      <c r="AN20" s="74">
        <v>7679532</v>
      </c>
      <c r="AO20" s="74">
        <v>7823962</v>
      </c>
      <c r="AP20" s="283">
        <v>7601837</v>
      </c>
      <c r="AQ20" s="74">
        <v>7964689</v>
      </c>
      <c r="AR20" s="74">
        <v>8082768</v>
      </c>
      <c r="AS20" s="74">
        <v>8283242</v>
      </c>
      <c r="AT20" s="74">
        <v>8452883</v>
      </c>
      <c r="AU20" s="283">
        <v>8195896</v>
      </c>
      <c r="AV20" s="74">
        <v>8529814</v>
      </c>
      <c r="AW20" s="74">
        <v>8598959</v>
      </c>
      <c r="AX20" s="74">
        <v>8715614</v>
      </c>
      <c r="AY20" s="73"/>
      <c r="AZ20" s="283">
        <v>8614795.666666666</v>
      </c>
      <c r="BA20" s="241"/>
    </row>
    <row r="21" spans="1:53" ht="20.149999999999999" customHeight="1" thickBot="1">
      <c r="A21" s="242" t="s">
        <v>633</v>
      </c>
      <c r="B21" s="242" t="s">
        <v>633</v>
      </c>
      <c r="C21" s="240">
        <v>651733</v>
      </c>
      <c r="D21" s="70">
        <v>664480</v>
      </c>
      <c r="E21" s="70">
        <v>684893</v>
      </c>
      <c r="F21" s="70">
        <v>729867</v>
      </c>
      <c r="G21" s="283">
        <f t="shared" si="24"/>
        <v>682743.25</v>
      </c>
      <c r="H21" s="240">
        <v>788405</v>
      </c>
      <c r="I21" s="70">
        <v>831354</v>
      </c>
      <c r="J21" s="70">
        <v>878396</v>
      </c>
      <c r="K21" s="70">
        <v>947720</v>
      </c>
      <c r="L21" s="283">
        <f t="shared" si="23"/>
        <v>861468.75</v>
      </c>
      <c r="M21" s="255">
        <v>1009353</v>
      </c>
      <c r="N21" s="70">
        <v>1066689</v>
      </c>
      <c r="O21" s="243">
        <v>1195606</v>
      </c>
      <c r="P21" s="70">
        <v>1312679</v>
      </c>
      <c r="Q21" s="283">
        <v>1146082</v>
      </c>
      <c r="R21" s="255">
        <v>1402718</v>
      </c>
      <c r="S21" s="70">
        <v>1460839</v>
      </c>
      <c r="T21" s="70">
        <v>1493790</v>
      </c>
      <c r="U21" s="70">
        <v>1551290</v>
      </c>
      <c r="V21" s="283">
        <v>1477159</v>
      </c>
      <c r="W21" s="255">
        <v>1619742</v>
      </c>
      <c r="X21" s="74">
        <v>1667351</v>
      </c>
      <c r="Y21" s="74">
        <v>1706181</v>
      </c>
      <c r="Z21" s="70">
        <v>1738351</v>
      </c>
      <c r="AA21" s="283">
        <v>1682906</v>
      </c>
      <c r="AB21" s="255">
        <v>1762912</v>
      </c>
      <c r="AC21" s="70">
        <v>1770734</v>
      </c>
      <c r="AD21" s="74">
        <v>1774574</v>
      </c>
      <c r="AE21" s="74">
        <v>1796068</v>
      </c>
      <c r="AF21" s="283">
        <v>1776072</v>
      </c>
      <c r="AG21" s="74">
        <v>1814397</v>
      </c>
      <c r="AH21" s="74">
        <v>1808255</v>
      </c>
      <c r="AI21" s="74">
        <v>1805586</v>
      </c>
      <c r="AJ21" s="74">
        <v>1812681</v>
      </c>
      <c r="AK21" s="283">
        <v>1810230</v>
      </c>
      <c r="AL21" s="74">
        <v>1808354</v>
      </c>
      <c r="AM21" s="74">
        <v>1796192</v>
      </c>
      <c r="AN21" s="74">
        <v>1798693</v>
      </c>
      <c r="AO21" s="74">
        <v>1796942</v>
      </c>
      <c r="AP21" s="283">
        <v>1800045</v>
      </c>
      <c r="AQ21" s="74">
        <v>1790780</v>
      </c>
      <c r="AR21" s="74">
        <v>1789020</v>
      </c>
      <c r="AS21" s="74">
        <v>1790181</v>
      </c>
      <c r="AT21" s="74">
        <v>1803740</v>
      </c>
      <c r="AU21" s="283">
        <v>1793430</v>
      </c>
      <c r="AV21" s="74">
        <v>1823578</v>
      </c>
      <c r="AW21" s="74">
        <v>1818291.1666666667</v>
      </c>
      <c r="AX21" s="74">
        <v>1794805</v>
      </c>
      <c r="AY21" s="74"/>
      <c r="AZ21" s="283">
        <v>1812224.9444444445</v>
      </c>
      <c r="BA21" s="241"/>
    </row>
    <row r="22" spans="1:53" ht="20.149999999999999" customHeight="1">
      <c r="A22" s="291" t="s">
        <v>757</v>
      </c>
      <c r="B22" s="292" t="s">
        <v>758</v>
      </c>
      <c r="C22" s="293">
        <v>6288609</v>
      </c>
      <c r="D22" s="294">
        <v>6272029</v>
      </c>
      <c r="E22" s="294">
        <v>6271838</v>
      </c>
      <c r="F22" s="294">
        <v>6291791</v>
      </c>
      <c r="G22" s="295">
        <f>AVERAGE(C22:F22)</f>
        <v>6281066.75</v>
      </c>
      <c r="H22" s="293">
        <v>6316275</v>
      </c>
      <c r="I22" s="294">
        <v>6317333</v>
      </c>
      <c r="J22" s="294">
        <v>6293472</v>
      </c>
      <c r="K22" s="294">
        <v>6279979</v>
      </c>
      <c r="L22" s="295">
        <f>AVERAGE(H22:K22)</f>
        <v>6301764.75</v>
      </c>
      <c r="M22" s="293">
        <v>6274951</v>
      </c>
      <c r="N22" s="294">
        <v>6242450</v>
      </c>
      <c r="O22" s="294">
        <v>6201335</v>
      </c>
      <c r="P22" s="294">
        <v>6159902.666666667</v>
      </c>
      <c r="Q22" s="295">
        <v>6219660</v>
      </c>
      <c r="R22" s="293">
        <v>6105250</v>
      </c>
      <c r="S22" s="294">
        <v>6031638</v>
      </c>
      <c r="T22" s="294">
        <v>5960463</v>
      </c>
      <c r="U22" s="294">
        <v>5922397</v>
      </c>
      <c r="V22" s="295">
        <v>6004937</v>
      </c>
      <c r="W22" s="293">
        <v>5902526</v>
      </c>
      <c r="X22" s="294">
        <v>5876458</v>
      </c>
      <c r="Y22" s="294">
        <v>5858477</v>
      </c>
      <c r="Z22" s="294">
        <v>5868541</v>
      </c>
      <c r="AA22" s="295">
        <v>5876500</v>
      </c>
      <c r="AB22" s="293">
        <v>5872517</v>
      </c>
      <c r="AC22" s="294">
        <v>5828405</v>
      </c>
      <c r="AD22" s="294">
        <v>5803517</v>
      </c>
      <c r="AE22" s="294">
        <v>5781207</v>
      </c>
      <c r="AF22" s="295">
        <v>5821411</v>
      </c>
      <c r="AG22" s="294">
        <v>5760338</v>
      </c>
      <c r="AH22" s="294">
        <v>5732091</v>
      </c>
      <c r="AI22" s="294">
        <v>5717882</v>
      </c>
      <c r="AJ22" s="294">
        <v>5708353</v>
      </c>
      <c r="AK22" s="295">
        <v>5729666</v>
      </c>
      <c r="AL22" s="294">
        <v>5688071</v>
      </c>
      <c r="AM22" s="294">
        <v>5662168</v>
      </c>
      <c r="AN22" s="294">
        <v>5649225</v>
      </c>
      <c r="AO22" s="294">
        <v>5641301</v>
      </c>
      <c r="AP22" s="295">
        <v>5660191</v>
      </c>
      <c r="AQ22" s="294">
        <v>5625993</v>
      </c>
      <c r="AR22" s="294">
        <v>5591571</v>
      </c>
      <c r="AS22" s="294">
        <v>5579661</v>
      </c>
      <c r="AT22" s="294">
        <v>5558348</v>
      </c>
      <c r="AU22" s="295">
        <v>5588893</v>
      </c>
      <c r="AV22" s="294">
        <v>5526063</v>
      </c>
      <c r="AW22" s="294">
        <v>5487976.333333333</v>
      </c>
      <c r="AX22" s="294">
        <v>5461033</v>
      </c>
      <c r="AY22" s="294"/>
      <c r="AZ22" s="295">
        <v>5491690.888888889</v>
      </c>
      <c r="BA22" s="241"/>
    </row>
    <row r="23" spans="1:53" s="263" customFormat="1" ht="20.149999999999999" customHeight="1" thickBot="1">
      <c r="A23" s="296" t="s">
        <v>645</v>
      </c>
      <c r="B23" s="296" t="s">
        <v>646</v>
      </c>
      <c r="C23" s="285"/>
      <c r="D23" s="286"/>
      <c r="E23" s="286"/>
      <c r="F23" s="286"/>
      <c r="G23" s="297"/>
      <c r="H23" s="285"/>
      <c r="I23" s="286"/>
      <c r="J23" s="286"/>
      <c r="K23" s="286"/>
      <c r="L23" s="297"/>
      <c r="M23" s="289"/>
      <c r="N23" s="286"/>
      <c r="O23" s="286"/>
      <c r="P23" s="286"/>
      <c r="Q23" s="297"/>
      <c r="R23" s="289"/>
      <c r="S23" s="286"/>
      <c r="T23" s="286"/>
      <c r="U23" s="286"/>
      <c r="V23" s="297"/>
      <c r="W23" s="289"/>
      <c r="X23" s="290"/>
      <c r="Y23" s="290"/>
      <c r="Z23" s="286"/>
      <c r="AA23" s="297"/>
      <c r="AB23" s="289"/>
      <c r="AC23" s="290"/>
      <c r="AD23" s="290"/>
      <c r="AE23" s="286"/>
      <c r="AF23" s="297"/>
      <c r="AG23" s="290"/>
      <c r="AH23" s="290"/>
      <c r="AI23" s="290"/>
      <c r="AJ23" s="290"/>
      <c r="AK23" s="297"/>
      <c r="AL23" s="290"/>
      <c r="AM23" s="290"/>
      <c r="AN23" s="290"/>
      <c r="AO23" s="290"/>
      <c r="AP23" s="297"/>
      <c r="AQ23" s="290"/>
      <c r="AR23" s="290"/>
      <c r="AS23" s="290"/>
      <c r="AT23" s="290"/>
      <c r="AU23" s="297"/>
      <c r="AV23" s="290"/>
      <c r="AW23" s="290"/>
      <c r="AX23" s="290"/>
      <c r="AY23" s="290"/>
      <c r="AZ23" s="297"/>
    </row>
    <row r="24" spans="1:53" s="241" customFormat="1" ht="20.149999999999999" customHeight="1" thickBot="1">
      <c r="A24" s="310" t="s">
        <v>740</v>
      </c>
      <c r="B24" s="311" t="s">
        <v>759</v>
      </c>
      <c r="C24" s="275" t="s">
        <v>737</v>
      </c>
      <c r="D24" s="276" t="s">
        <v>737</v>
      </c>
      <c r="E24" s="276" t="s">
        <v>737</v>
      </c>
      <c r="F24" s="276" t="s">
        <v>737</v>
      </c>
      <c r="G24" s="284" t="s">
        <v>737</v>
      </c>
      <c r="H24" s="275">
        <f>SUM(H25:H27)</f>
        <v>4548385</v>
      </c>
      <c r="I24" s="276">
        <f t="shared" ref="I24:N24" si="25">SUM(I25:I27)</f>
        <v>4565319</v>
      </c>
      <c r="J24" s="276">
        <f t="shared" si="25"/>
        <v>4719129</v>
      </c>
      <c r="K24" s="276">
        <f t="shared" si="25"/>
        <v>4468527</v>
      </c>
      <c r="L24" s="284">
        <f t="shared" si="25"/>
        <v>4468527</v>
      </c>
      <c r="M24" s="275">
        <f t="shared" si="25"/>
        <v>4350325</v>
      </c>
      <c r="N24" s="276">
        <f t="shared" si="25"/>
        <v>4227128</v>
      </c>
      <c r="O24" s="276">
        <f>SUM(O25:O27)</f>
        <v>4219194</v>
      </c>
      <c r="P24" s="276">
        <f>SUM(P25:P27)</f>
        <v>4134203</v>
      </c>
      <c r="Q24" s="284">
        <f>SUM(Q25:Q27)</f>
        <v>4134203</v>
      </c>
      <c r="R24" s="275">
        <f t="shared" ref="R24:AK24" si="26">SUM(R25:R27)</f>
        <v>4034757</v>
      </c>
      <c r="S24" s="276">
        <f t="shared" si="26"/>
        <v>3972069</v>
      </c>
      <c r="T24" s="276">
        <f t="shared" si="26"/>
        <v>3976807</v>
      </c>
      <c r="U24" s="276">
        <f t="shared" si="26"/>
        <v>3854993</v>
      </c>
      <c r="V24" s="284">
        <f t="shared" si="26"/>
        <v>3854993</v>
      </c>
      <c r="W24" s="275">
        <f t="shared" si="26"/>
        <v>3787667</v>
      </c>
      <c r="X24" s="276">
        <f t="shared" si="26"/>
        <v>3830816</v>
      </c>
      <c r="Y24" s="276">
        <f t="shared" si="26"/>
        <v>3527904</v>
      </c>
      <c r="Z24" s="276">
        <f t="shared" si="26"/>
        <v>3270338</v>
      </c>
      <c r="AA24" s="284">
        <f t="shared" si="26"/>
        <v>3270338</v>
      </c>
      <c r="AB24" s="275">
        <f t="shared" si="26"/>
        <v>2879090</v>
      </c>
      <c r="AC24" s="276">
        <f t="shared" si="26"/>
        <v>2854301</v>
      </c>
      <c r="AD24" s="276">
        <f t="shared" si="26"/>
        <v>2880161</v>
      </c>
      <c r="AE24" s="276">
        <f t="shared" si="26"/>
        <v>2837553</v>
      </c>
      <c r="AF24" s="284">
        <f t="shared" si="26"/>
        <v>2837553</v>
      </c>
      <c r="AG24" s="276">
        <f t="shared" si="26"/>
        <v>2783184</v>
      </c>
      <c r="AH24" s="276">
        <f t="shared" si="26"/>
        <v>2768818</v>
      </c>
      <c r="AI24" s="276">
        <f>SUM(AI25:AI27)</f>
        <v>2794108</v>
      </c>
      <c r="AJ24" s="276">
        <f t="shared" si="26"/>
        <v>2646869</v>
      </c>
      <c r="AK24" s="284">
        <f t="shared" si="26"/>
        <v>2646869</v>
      </c>
      <c r="AL24" s="276">
        <f>SUM(AL25:AL27)</f>
        <v>2642775</v>
      </c>
      <c r="AM24" s="276">
        <f t="shared" ref="AM24:AP24" si="27">SUM(AM25:AM27)</f>
        <v>2607311</v>
      </c>
      <c r="AN24" s="276">
        <f t="shared" si="27"/>
        <v>2678890</v>
      </c>
      <c r="AO24" s="276">
        <f t="shared" si="27"/>
        <v>2657494</v>
      </c>
      <c r="AP24" s="284">
        <f t="shared" si="27"/>
        <v>2657494</v>
      </c>
      <c r="AQ24" s="276">
        <f>SUM(AQ25:AQ27)</f>
        <v>2638638</v>
      </c>
      <c r="AR24" s="276">
        <f>SUM(AR25:AR27)</f>
        <v>2525224</v>
      </c>
      <c r="AS24" s="276">
        <f t="shared" ref="AS24:AU24" si="28">SUM(AS25:AS27)</f>
        <v>2671239</v>
      </c>
      <c r="AT24" s="276">
        <f t="shared" si="28"/>
        <v>2617813</v>
      </c>
      <c r="AU24" s="284">
        <f t="shared" si="28"/>
        <v>2617813</v>
      </c>
      <c r="AV24" s="276">
        <f>SUM(AV25:AV27)</f>
        <v>2736095</v>
      </c>
      <c r="AW24" s="276">
        <f>SUM(AW25:AW27)</f>
        <v>2595890</v>
      </c>
      <c r="AX24" s="276">
        <f t="shared" ref="AX24:AY24" si="29">SUM(AX25:AX27)</f>
        <v>2630714</v>
      </c>
      <c r="AY24" s="276">
        <f t="shared" si="29"/>
        <v>0</v>
      </c>
      <c r="AZ24" s="284">
        <f>SUM(AZ25:AZ27)</f>
        <v>2630714</v>
      </c>
    </row>
    <row r="25" spans="1:53" s="241" customFormat="1" ht="20.149999999999999" customHeight="1">
      <c r="A25" s="307" t="s">
        <v>649</v>
      </c>
      <c r="B25" s="307" t="s">
        <v>650</v>
      </c>
      <c r="C25" s="240" t="s">
        <v>737</v>
      </c>
      <c r="D25" s="70" t="s">
        <v>737</v>
      </c>
      <c r="E25" s="70" t="s">
        <v>737</v>
      </c>
      <c r="F25" s="70" t="s">
        <v>737</v>
      </c>
      <c r="G25" s="283" t="s">
        <v>737</v>
      </c>
      <c r="H25" s="240">
        <v>85574</v>
      </c>
      <c r="I25" s="70">
        <v>81441</v>
      </c>
      <c r="J25" s="70">
        <v>84538</v>
      </c>
      <c r="K25" s="70">
        <v>77771</v>
      </c>
      <c r="L25" s="283">
        <f>K25</f>
        <v>77771</v>
      </c>
      <c r="M25" s="240">
        <v>81619</v>
      </c>
      <c r="N25" s="70">
        <v>66578</v>
      </c>
      <c r="O25" s="243">
        <v>98136</v>
      </c>
      <c r="P25" s="70">
        <v>122787</v>
      </c>
      <c r="Q25" s="283">
        <v>122787</v>
      </c>
      <c r="R25" s="240">
        <v>66163</v>
      </c>
      <c r="S25" s="70">
        <v>41517</v>
      </c>
      <c r="T25" s="70">
        <v>60471</v>
      </c>
      <c r="U25" s="70">
        <v>31972</v>
      </c>
      <c r="V25" s="283">
        <f>U25</f>
        <v>31972</v>
      </c>
      <c r="W25" s="240">
        <v>35754</v>
      </c>
      <c r="X25" s="70">
        <v>73544</v>
      </c>
      <c r="Y25" s="70">
        <v>44913</v>
      </c>
      <c r="Z25" s="70">
        <v>79306</v>
      </c>
      <c r="AA25" s="283">
        <f>Z25</f>
        <v>79306</v>
      </c>
      <c r="AB25" s="240">
        <v>48224</v>
      </c>
      <c r="AC25" s="70">
        <v>57183</v>
      </c>
      <c r="AD25" s="70">
        <v>63627</v>
      </c>
      <c r="AE25" s="70">
        <v>79561</v>
      </c>
      <c r="AF25" s="283">
        <f>AE25</f>
        <v>79561</v>
      </c>
      <c r="AG25" s="70">
        <v>75159</v>
      </c>
      <c r="AH25" s="70">
        <v>59722</v>
      </c>
      <c r="AI25" s="70">
        <v>91261</v>
      </c>
      <c r="AJ25" s="70">
        <v>95685</v>
      </c>
      <c r="AK25" s="283">
        <v>95685</v>
      </c>
      <c r="AL25" s="70">
        <v>144586</v>
      </c>
      <c r="AM25" s="70">
        <v>87176</v>
      </c>
      <c r="AN25" s="70">
        <v>142886</v>
      </c>
      <c r="AO25" s="70">
        <v>161208</v>
      </c>
      <c r="AP25" s="283">
        <v>161208</v>
      </c>
      <c r="AQ25" s="70">
        <v>171958</v>
      </c>
      <c r="AR25" s="70">
        <v>93292</v>
      </c>
      <c r="AS25" s="70">
        <v>158060</v>
      </c>
      <c r="AT25" s="70">
        <v>114416</v>
      </c>
      <c r="AU25" s="283">
        <f>AT25</f>
        <v>114416</v>
      </c>
      <c r="AV25" s="70">
        <v>224608</v>
      </c>
      <c r="AW25" s="70">
        <v>135476</v>
      </c>
      <c r="AX25" s="70">
        <v>144885</v>
      </c>
      <c r="AY25" s="70"/>
      <c r="AZ25" s="283">
        <f t="shared" ref="AZ25:AZ27" si="30">AX25</f>
        <v>144885</v>
      </c>
    </row>
    <row r="26" spans="1:53" s="241" customFormat="1" ht="20.149999999999999" customHeight="1">
      <c r="A26" s="307" t="s">
        <v>630</v>
      </c>
      <c r="B26" s="307" t="s">
        <v>651</v>
      </c>
      <c r="C26" s="240" t="s">
        <v>737</v>
      </c>
      <c r="D26" s="70" t="s">
        <v>737</v>
      </c>
      <c r="E26" s="70" t="s">
        <v>737</v>
      </c>
      <c r="F26" s="70" t="s">
        <v>737</v>
      </c>
      <c r="G26" s="283" t="s">
        <v>737</v>
      </c>
      <c r="H26" s="240">
        <v>4385742</v>
      </c>
      <c r="I26" s="70">
        <v>4379630</v>
      </c>
      <c r="J26" s="70">
        <v>4475541</v>
      </c>
      <c r="K26" s="70">
        <v>4171810</v>
      </c>
      <c r="L26" s="283">
        <f>K26</f>
        <v>4171810</v>
      </c>
      <c r="M26" s="240">
        <v>4042605</v>
      </c>
      <c r="N26" s="70">
        <v>3923778</v>
      </c>
      <c r="O26" s="243">
        <v>3855669</v>
      </c>
      <c r="P26" s="70">
        <v>3792978</v>
      </c>
      <c r="Q26" s="283">
        <v>3792978</v>
      </c>
      <c r="R26" s="240">
        <v>3775976</v>
      </c>
      <c r="S26" s="70">
        <v>3737282</v>
      </c>
      <c r="T26" s="70">
        <v>3685092</v>
      </c>
      <c r="U26" s="70">
        <v>3591736</v>
      </c>
      <c r="V26" s="283">
        <f t="shared" ref="V26:V27" si="31">U26</f>
        <v>3591736</v>
      </c>
      <c r="W26" s="240">
        <v>3495733</v>
      </c>
      <c r="X26" s="70">
        <v>3473228</v>
      </c>
      <c r="Y26" s="70">
        <v>3223224</v>
      </c>
      <c r="Z26" s="70">
        <v>2972443</v>
      </c>
      <c r="AA26" s="283">
        <f t="shared" ref="AA26:AA27" si="32">Z26</f>
        <v>2972443</v>
      </c>
      <c r="AB26" s="240">
        <v>2646477</v>
      </c>
      <c r="AC26" s="70">
        <v>2616592</v>
      </c>
      <c r="AD26" s="70">
        <v>2623950</v>
      </c>
      <c r="AE26" s="70">
        <v>2579613</v>
      </c>
      <c r="AF26" s="283">
        <f t="shared" ref="AF26:AF27" si="33">AE26</f>
        <v>2579613</v>
      </c>
      <c r="AG26" s="70">
        <v>2539402</v>
      </c>
      <c r="AH26" s="70">
        <v>2545749</v>
      </c>
      <c r="AI26" s="70">
        <v>2550355</v>
      </c>
      <c r="AJ26" s="70">
        <v>2423774</v>
      </c>
      <c r="AK26" s="283">
        <v>2423774</v>
      </c>
      <c r="AL26" s="70">
        <v>2387672</v>
      </c>
      <c r="AM26" s="70">
        <v>2418370</v>
      </c>
      <c r="AN26" s="70">
        <v>2443295</v>
      </c>
      <c r="AO26" s="70">
        <v>2415819</v>
      </c>
      <c r="AP26" s="283">
        <v>2415819</v>
      </c>
      <c r="AQ26" s="70">
        <v>2393373</v>
      </c>
      <c r="AR26" s="70">
        <v>2364248</v>
      </c>
      <c r="AS26" s="70">
        <v>2449237</v>
      </c>
      <c r="AT26" s="70">
        <v>2445873</v>
      </c>
      <c r="AU26" s="283">
        <f>AT26</f>
        <v>2445873</v>
      </c>
      <c r="AV26" s="70">
        <v>2458165</v>
      </c>
      <c r="AW26" s="70">
        <v>2413672</v>
      </c>
      <c r="AX26" s="70">
        <v>2441939</v>
      </c>
      <c r="AY26" s="70"/>
      <c r="AZ26" s="283">
        <f t="shared" si="30"/>
        <v>2441939</v>
      </c>
    </row>
    <row r="27" spans="1:53" s="241" customFormat="1" ht="20.149999999999999" customHeight="1" thickBot="1">
      <c r="A27" s="307" t="s">
        <v>632</v>
      </c>
      <c r="B27" s="307" t="s">
        <v>632</v>
      </c>
      <c r="C27" s="240" t="s">
        <v>737</v>
      </c>
      <c r="D27" s="70" t="s">
        <v>737</v>
      </c>
      <c r="E27" s="70" t="s">
        <v>737</v>
      </c>
      <c r="F27" s="70" t="s">
        <v>737</v>
      </c>
      <c r="G27" s="283" t="s">
        <v>737</v>
      </c>
      <c r="H27" s="240">
        <v>77069</v>
      </c>
      <c r="I27" s="70">
        <v>104248</v>
      </c>
      <c r="J27" s="70">
        <v>159050</v>
      </c>
      <c r="K27" s="70">
        <v>218946</v>
      </c>
      <c r="L27" s="283">
        <f>K27</f>
        <v>218946</v>
      </c>
      <c r="M27" s="240">
        <v>226101</v>
      </c>
      <c r="N27" s="70">
        <v>236772</v>
      </c>
      <c r="O27" s="243">
        <v>265389</v>
      </c>
      <c r="P27" s="70">
        <v>218438</v>
      </c>
      <c r="Q27" s="283">
        <v>218438</v>
      </c>
      <c r="R27" s="240">
        <v>192618</v>
      </c>
      <c r="S27" s="70">
        <v>193270</v>
      </c>
      <c r="T27" s="70">
        <v>231244</v>
      </c>
      <c r="U27" s="70">
        <v>231285</v>
      </c>
      <c r="V27" s="283">
        <f t="shared" si="31"/>
        <v>231285</v>
      </c>
      <c r="W27" s="240">
        <v>256180</v>
      </c>
      <c r="X27" s="70">
        <v>284044</v>
      </c>
      <c r="Y27" s="70">
        <v>259767</v>
      </c>
      <c r="Z27" s="70">
        <v>218589</v>
      </c>
      <c r="AA27" s="283">
        <f t="shared" si="32"/>
        <v>218589</v>
      </c>
      <c r="AB27" s="240">
        <v>184389</v>
      </c>
      <c r="AC27" s="70">
        <v>180526</v>
      </c>
      <c r="AD27" s="70">
        <v>192584</v>
      </c>
      <c r="AE27" s="70">
        <v>178379</v>
      </c>
      <c r="AF27" s="283">
        <f t="shared" si="33"/>
        <v>178379</v>
      </c>
      <c r="AG27" s="70">
        <v>168623</v>
      </c>
      <c r="AH27" s="70">
        <v>163347</v>
      </c>
      <c r="AI27" s="70">
        <v>152492</v>
      </c>
      <c r="AJ27" s="70">
        <v>127410</v>
      </c>
      <c r="AK27" s="283">
        <v>127410</v>
      </c>
      <c r="AL27" s="70">
        <v>110517</v>
      </c>
      <c r="AM27" s="70">
        <v>101765</v>
      </c>
      <c r="AN27" s="70">
        <v>92709</v>
      </c>
      <c r="AO27" s="70">
        <v>80467</v>
      </c>
      <c r="AP27" s="283">
        <v>80467</v>
      </c>
      <c r="AQ27" s="70">
        <v>73307</v>
      </c>
      <c r="AR27" s="70">
        <v>67684</v>
      </c>
      <c r="AS27" s="70">
        <v>63942</v>
      </c>
      <c r="AT27" s="70">
        <v>57524</v>
      </c>
      <c r="AU27" s="283">
        <f>AT27</f>
        <v>57524</v>
      </c>
      <c r="AV27" s="70">
        <v>53322</v>
      </c>
      <c r="AW27" s="70">
        <v>46742</v>
      </c>
      <c r="AX27" s="70">
        <v>43890</v>
      </c>
      <c r="AY27" s="70"/>
      <c r="AZ27" s="283">
        <f t="shared" si="30"/>
        <v>43890</v>
      </c>
    </row>
    <row r="28" spans="1:53" s="282" customFormat="1" ht="20.149999999999999" customHeight="1" thickBot="1">
      <c r="A28" s="280" t="s">
        <v>760</v>
      </c>
      <c r="B28" s="281" t="s">
        <v>761</v>
      </c>
      <c r="C28" s="278" t="s">
        <v>737</v>
      </c>
      <c r="D28" s="279" t="s">
        <v>737</v>
      </c>
      <c r="E28" s="279" t="s">
        <v>737</v>
      </c>
      <c r="F28" s="279" t="s">
        <v>737</v>
      </c>
      <c r="G28" s="277" t="s">
        <v>737</v>
      </c>
      <c r="H28" s="278">
        <v>18</v>
      </c>
      <c r="I28" s="279">
        <v>19.2</v>
      </c>
      <c r="J28" s="279">
        <v>18.2</v>
      </c>
      <c r="K28" s="279">
        <v>17.5</v>
      </c>
      <c r="L28" s="277">
        <v>18.2</v>
      </c>
      <c r="M28" s="278">
        <v>16.5</v>
      </c>
      <c r="N28" s="279">
        <v>17.899999999999999</v>
      </c>
      <c r="O28" s="279">
        <v>18.3</v>
      </c>
      <c r="P28" s="279">
        <v>18.2</v>
      </c>
      <c r="Q28" s="277">
        <v>17.7</v>
      </c>
      <c r="R28" s="278">
        <v>17.3</v>
      </c>
      <c r="S28" s="279">
        <v>18.3</v>
      </c>
      <c r="T28" s="279">
        <v>19</v>
      </c>
      <c r="U28" s="279">
        <v>18.5</v>
      </c>
      <c r="V28" s="277">
        <v>18.3</v>
      </c>
      <c r="W28" s="278">
        <v>17.7</v>
      </c>
      <c r="X28" s="279">
        <v>18.899999999999999</v>
      </c>
      <c r="Y28" s="279">
        <v>18.7</v>
      </c>
      <c r="Z28" s="279">
        <v>19.2</v>
      </c>
      <c r="AA28" s="277">
        <v>18.600000000000001</v>
      </c>
      <c r="AB28" s="278">
        <v>18.7</v>
      </c>
      <c r="AC28" s="279">
        <v>20.5</v>
      </c>
      <c r="AD28" s="279">
        <v>20.2</v>
      </c>
      <c r="AE28" s="279">
        <v>20.100000000000001</v>
      </c>
      <c r="AF28" s="277">
        <v>19.899999999999999</v>
      </c>
      <c r="AG28" s="279">
        <v>20.100000000000001</v>
      </c>
      <c r="AH28" s="279">
        <v>20.399999999999999</v>
      </c>
      <c r="AI28" s="279">
        <v>20.8</v>
      </c>
      <c r="AJ28" s="279">
        <v>20.3</v>
      </c>
      <c r="AK28" s="277">
        <v>20.399999999999999</v>
      </c>
      <c r="AL28" s="279">
        <v>20.100000000000001</v>
      </c>
      <c r="AM28" s="279">
        <v>20.8</v>
      </c>
      <c r="AN28" s="279">
        <v>20.8</v>
      </c>
      <c r="AO28" s="279">
        <v>20.3</v>
      </c>
      <c r="AP28" s="277">
        <v>20.5</v>
      </c>
      <c r="AQ28" s="279">
        <v>20.7</v>
      </c>
      <c r="AR28" s="279">
        <v>21.4</v>
      </c>
      <c r="AS28" s="279">
        <v>21.5</v>
      </c>
      <c r="AT28" s="279">
        <v>21.8</v>
      </c>
      <c r="AU28" s="277">
        <v>21.4</v>
      </c>
      <c r="AV28" s="279">
        <v>21.5</v>
      </c>
      <c r="AW28" s="279">
        <v>21.967114718613772</v>
      </c>
      <c r="AX28" s="279">
        <v>21.4</v>
      </c>
      <c r="AY28" s="279"/>
      <c r="AZ28" s="277">
        <v>21.61653706970829</v>
      </c>
    </row>
    <row r="29" spans="1:53" s="241" customFormat="1" ht="20.149999999999999" customHeight="1" thickBot="1">
      <c r="A29" s="310" t="s">
        <v>755</v>
      </c>
      <c r="B29" s="311" t="s">
        <v>762</v>
      </c>
      <c r="C29" s="275" t="s">
        <v>737</v>
      </c>
      <c r="D29" s="276" t="s">
        <v>737</v>
      </c>
      <c r="E29" s="276" t="s">
        <v>737</v>
      </c>
      <c r="F29" s="276" t="s">
        <v>737</v>
      </c>
      <c r="G29" s="284" t="s">
        <v>737</v>
      </c>
      <c r="H29" s="275">
        <f>SUM(H30:H32)</f>
        <v>4549031</v>
      </c>
      <c r="I29" s="276">
        <f t="shared" ref="I29:N29" si="34">SUM(I30:I32)</f>
        <v>4532090</v>
      </c>
      <c r="J29" s="276">
        <f t="shared" si="34"/>
        <v>4635182</v>
      </c>
      <c r="K29" s="276">
        <f t="shared" si="34"/>
        <v>4599374</v>
      </c>
      <c r="L29" s="284">
        <f t="shared" si="34"/>
        <v>4578919.25</v>
      </c>
      <c r="M29" s="275">
        <f t="shared" si="34"/>
        <v>4398038</v>
      </c>
      <c r="N29" s="276">
        <f t="shared" si="34"/>
        <v>4285747</v>
      </c>
      <c r="O29" s="276">
        <f>SUM(O30:O32)</f>
        <v>4212274</v>
      </c>
      <c r="P29" s="276">
        <f>SUM(P30:P32)</f>
        <v>4172129</v>
      </c>
      <c r="Q29" s="284">
        <f>SUM(Q30:Q32)</f>
        <v>4267047</v>
      </c>
      <c r="R29" s="275">
        <f t="shared" ref="R29:AU29" si="35">SUM(R30:R32)</f>
        <v>4068646</v>
      </c>
      <c r="S29" s="276">
        <f t="shared" si="35"/>
        <v>4006108</v>
      </c>
      <c r="T29" s="276">
        <f t="shared" si="35"/>
        <v>3970091</v>
      </c>
      <c r="U29" s="276">
        <f t="shared" si="35"/>
        <v>3917979</v>
      </c>
      <c r="V29" s="284">
        <f t="shared" si="35"/>
        <v>3990706</v>
      </c>
      <c r="W29" s="275">
        <f t="shared" si="35"/>
        <v>3801870</v>
      </c>
      <c r="X29" s="276">
        <f t="shared" si="35"/>
        <v>3794613</v>
      </c>
      <c r="Y29" s="276">
        <f t="shared" si="35"/>
        <v>3713417</v>
      </c>
      <c r="Z29" s="276">
        <f t="shared" si="35"/>
        <v>3341220</v>
      </c>
      <c r="AA29" s="284">
        <f t="shared" si="35"/>
        <v>3662780</v>
      </c>
      <c r="AB29" s="275">
        <f t="shared" si="35"/>
        <v>3050604</v>
      </c>
      <c r="AC29" s="276">
        <f t="shared" si="35"/>
        <v>2882155</v>
      </c>
      <c r="AD29" s="276">
        <f t="shared" si="35"/>
        <v>2863783</v>
      </c>
      <c r="AE29" s="276">
        <f t="shared" si="35"/>
        <v>2851766</v>
      </c>
      <c r="AF29" s="284">
        <f t="shared" si="35"/>
        <v>2912076</v>
      </c>
      <c r="AG29" s="276">
        <f t="shared" si="35"/>
        <v>2789695</v>
      </c>
      <c r="AH29" s="276">
        <f t="shared" si="35"/>
        <v>2771707.333333333</v>
      </c>
      <c r="AI29" s="276">
        <f t="shared" si="35"/>
        <v>2774199</v>
      </c>
      <c r="AJ29" s="276">
        <f t="shared" si="35"/>
        <v>2745638</v>
      </c>
      <c r="AK29" s="284">
        <f t="shared" si="35"/>
        <v>2770309</v>
      </c>
      <c r="AL29" s="276">
        <f t="shared" si="35"/>
        <v>2613613</v>
      </c>
      <c r="AM29" s="276">
        <f t="shared" si="35"/>
        <v>2616887</v>
      </c>
      <c r="AN29" s="276">
        <f t="shared" si="35"/>
        <v>2633673</v>
      </c>
      <c r="AO29" s="276">
        <f t="shared" si="35"/>
        <v>2656703</v>
      </c>
      <c r="AP29" s="284">
        <f t="shared" si="35"/>
        <v>2630219</v>
      </c>
      <c r="AQ29" s="276">
        <f t="shared" si="35"/>
        <v>2604742</v>
      </c>
      <c r="AR29" s="276">
        <f t="shared" si="35"/>
        <v>2591758</v>
      </c>
      <c r="AS29" s="276">
        <f t="shared" si="35"/>
        <v>2612383</v>
      </c>
      <c r="AT29" s="276">
        <f t="shared" si="35"/>
        <v>2687327</v>
      </c>
      <c r="AU29" s="284">
        <f t="shared" si="35"/>
        <v>2624052.4583333335</v>
      </c>
      <c r="AV29" s="276">
        <f t="shared" ref="AV29:AZ29" si="36">SUM(AV30:AV32)</f>
        <v>2638165</v>
      </c>
      <c r="AW29" s="276">
        <f t="shared" si="36"/>
        <v>2651956.8333333335</v>
      </c>
      <c r="AX29" s="276">
        <f t="shared" si="36"/>
        <v>2596767</v>
      </c>
      <c r="AY29" s="276">
        <f t="shared" si="36"/>
        <v>0</v>
      </c>
      <c r="AZ29" s="284">
        <f t="shared" si="36"/>
        <v>2628962.7222222225</v>
      </c>
    </row>
    <row r="30" spans="1:53" s="241" customFormat="1" ht="20.149999999999999" customHeight="1">
      <c r="A30" s="307" t="s">
        <v>649</v>
      </c>
      <c r="B30" s="307" t="s">
        <v>650</v>
      </c>
      <c r="C30" s="240" t="s">
        <v>737</v>
      </c>
      <c r="D30" s="70" t="s">
        <v>737</v>
      </c>
      <c r="E30" s="70" t="s">
        <v>737</v>
      </c>
      <c r="F30" s="70" t="s">
        <v>737</v>
      </c>
      <c r="G30" s="283" t="s">
        <v>737</v>
      </c>
      <c r="H30" s="240">
        <v>78707</v>
      </c>
      <c r="I30" s="70">
        <v>73828</v>
      </c>
      <c r="J30" s="70">
        <v>68740</v>
      </c>
      <c r="K30" s="70">
        <v>77953</v>
      </c>
      <c r="L30" s="283">
        <f>AVERAGE(H30:K30)</f>
        <v>74807</v>
      </c>
      <c r="M30" s="240">
        <v>77779</v>
      </c>
      <c r="N30" s="70">
        <v>79253</v>
      </c>
      <c r="O30" s="243">
        <v>69522</v>
      </c>
      <c r="P30" s="70">
        <v>129021</v>
      </c>
      <c r="Q30" s="283">
        <v>88894</v>
      </c>
      <c r="R30" s="240">
        <v>67972</v>
      </c>
      <c r="S30" s="70">
        <v>61165</v>
      </c>
      <c r="T30" s="70">
        <v>41313</v>
      </c>
      <c r="U30" s="70">
        <v>56743</v>
      </c>
      <c r="V30" s="283">
        <v>56798</v>
      </c>
      <c r="W30" s="240">
        <v>36255</v>
      </c>
      <c r="X30" s="70">
        <v>52114</v>
      </c>
      <c r="Y30" s="70">
        <v>42971</v>
      </c>
      <c r="Z30" s="70">
        <v>54083</v>
      </c>
      <c r="AA30" s="283">
        <v>46356</v>
      </c>
      <c r="AB30" s="240">
        <v>48659</v>
      </c>
      <c r="AC30" s="70">
        <v>69132</v>
      </c>
      <c r="AD30" s="70">
        <v>54950</v>
      </c>
      <c r="AE30" s="70">
        <v>65088</v>
      </c>
      <c r="AF30" s="283">
        <v>59457</v>
      </c>
      <c r="AG30" s="70">
        <v>58222</v>
      </c>
      <c r="AH30" s="70">
        <v>69503.166666666672</v>
      </c>
      <c r="AI30" s="70">
        <v>58358</v>
      </c>
      <c r="AJ30" s="70">
        <v>95346</v>
      </c>
      <c r="AK30" s="283">
        <v>70357</v>
      </c>
      <c r="AL30" s="70">
        <v>91940</v>
      </c>
      <c r="AM30" s="70">
        <v>113249</v>
      </c>
      <c r="AN30" s="70">
        <v>94727</v>
      </c>
      <c r="AO30" s="70">
        <v>145284</v>
      </c>
      <c r="AP30" s="283">
        <v>111300</v>
      </c>
      <c r="AQ30" s="70">
        <v>122482</v>
      </c>
      <c r="AR30" s="70">
        <v>160079</v>
      </c>
      <c r="AS30" s="70">
        <v>131105</v>
      </c>
      <c r="AT30" s="70">
        <v>176926</v>
      </c>
      <c r="AU30" s="283">
        <v>147648</v>
      </c>
      <c r="AV30" s="70">
        <v>140172</v>
      </c>
      <c r="AW30" s="70">
        <v>188256.66666666666</v>
      </c>
      <c r="AX30" s="70">
        <v>118857</v>
      </c>
      <c r="AY30" s="70"/>
      <c r="AZ30" s="283">
        <v>149094.94444444444</v>
      </c>
    </row>
    <row r="31" spans="1:53" s="241" customFormat="1" ht="20.149999999999999" customHeight="1">
      <c r="A31" s="307" t="s">
        <v>630</v>
      </c>
      <c r="B31" s="307" t="s">
        <v>651</v>
      </c>
      <c r="C31" s="240" t="s">
        <v>737</v>
      </c>
      <c r="D31" s="70" t="s">
        <v>737</v>
      </c>
      <c r="E31" s="70" t="s">
        <v>737</v>
      </c>
      <c r="F31" s="70" t="s">
        <v>737</v>
      </c>
      <c r="G31" s="283" t="s">
        <v>737</v>
      </c>
      <c r="H31" s="240">
        <v>4397976</v>
      </c>
      <c r="I31" s="70">
        <v>4370181</v>
      </c>
      <c r="J31" s="70">
        <v>4431149</v>
      </c>
      <c r="K31" s="70">
        <v>4338987</v>
      </c>
      <c r="L31" s="283">
        <f t="shared" ref="L31:L32" si="37">AVERAGE(H31:K31)</f>
        <v>4384573.25</v>
      </c>
      <c r="M31" s="240">
        <v>4091609</v>
      </c>
      <c r="N31" s="70">
        <v>3975410</v>
      </c>
      <c r="O31" s="243">
        <v>3893375</v>
      </c>
      <c r="P31" s="70">
        <v>3798701</v>
      </c>
      <c r="Q31" s="283">
        <v>3939774</v>
      </c>
      <c r="R31" s="240">
        <v>3797423</v>
      </c>
      <c r="S31" s="70">
        <v>3755130</v>
      </c>
      <c r="T31" s="70">
        <v>3713656</v>
      </c>
      <c r="U31" s="70">
        <v>3630863</v>
      </c>
      <c r="V31" s="283">
        <v>3724268</v>
      </c>
      <c r="W31" s="240">
        <v>3529840</v>
      </c>
      <c r="X31" s="70">
        <v>3473104</v>
      </c>
      <c r="Y31" s="70">
        <v>3386794</v>
      </c>
      <c r="Z31" s="70">
        <v>3058691</v>
      </c>
      <c r="AA31" s="283">
        <v>3362107</v>
      </c>
      <c r="AB31" s="240">
        <v>2800366</v>
      </c>
      <c r="AC31" s="70">
        <v>2631773</v>
      </c>
      <c r="AD31" s="70">
        <v>2620575</v>
      </c>
      <c r="AE31" s="70">
        <v>2601552</v>
      </c>
      <c r="AF31" s="283">
        <v>2663566</v>
      </c>
      <c r="AG31" s="70">
        <v>2558174</v>
      </c>
      <c r="AH31" s="70">
        <v>2536844.1666666665</v>
      </c>
      <c r="AI31" s="70">
        <v>2555414</v>
      </c>
      <c r="AJ31" s="70">
        <v>2511226</v>
      </c>
      <c r="AK31" s="283">
        <v>2540414</v>
      </c>
      <c r="AL31" s="70">
        <v>2403135</v>
      </c>
      <c r="AM31" s="70">
        <v>2398016</v>
      </c>
      <c r="AN31" s="70">
        <v>2441160</v>
      </c>
      <c r="AO31" s="70">
        <v>2425301</v>
      </c>
      <c r="AP31" s="283">
        <v>2416903</v>
      </c>
      <c r="AQ31" s="70">
        <v>2405796</v>
      </c>
      <c r="AR31" s="70">
        <v>2361397</v>
      </c>
      <c r="AS31" s="70">
        <v>2414825</v>
      </c>
      <c r="AT31" s="70">
        <v>2449774</v>
      </c>
      <c r="AU31" s="283">
        <v>2407948</v>
      </c>
      <c r="AV31" s="70">
        <v>2442879</v>
      </c>
      <c r="AW31" s="70">
        <v>2415289.8333333335</v>
      </c>
      <c r="AX31" s="70">
        <v>2432438</v>
      </c>
      <c r="AY31" s="70"/>
      <c r="AZ31" s="283">
        <v>2430202.3333333335</v>
      </c>
    </row>
    <row r="32" spans="1:53" s="241" customFormat="1" ht="20.149999999999999" customHeight="1" thickBot="1">
      <c r="A32" s="308" t="s">
        <v>632</v>
      </c>
      <c r="B32" s="308" t="s">
        <v>632</v>
      </c>
      <c r="C32" s="256" t="s">
        <v>737</v>
      </c>
      <c r="D32" s="643" t="s">
        <v>737</v>
      </c>
      <c r="E32" s="643" t="s">
        <v>737</v>
      </c>
      <c r="F32" s="643" t="s">
        <v>737</v>
      </c>
      <c r="G32" s="309" t="s">
        <v>737</v>
      </c>
      <c r="H32" s="256">
        <v>72348</v>
      </c>
      <c r="I32" s="643">
        <v>88081</v>
      </c>
      <c r="J32" s="643">
        <v>135293</v>
      </c>
      <c r="K32" s="643">
        <v>182434</v>
      </c>
      <c r="L32" s="309">
        <f t="shared" si="37"/>
        <v>119539</v>
      </c>
      <c r="M32" s="256">
        <v>228650</v>
      </c>
      <c r="N32" s="643">
        <v>231084</v>
      </c>
      <c r="O32" s="644">
        <v>249377</v>
      </c>
      <c r="P32" s="643">
        <v>244407</v>
      </c>
      <c r="Q32" s="309">
        <v>238379</v>
      </c>
      <c r="R32" s="256">
        <v>203251</v>
      </c>
      <c r="S32" s="643">
        <v>189813</v>
      </c>
      <c r="T32" s="643">
        <v>215122</v>
      </c>
      <c r="U32" s="643">
        <v>230373</v>
      </c>
      <c r="V32" s="309">
        <v>209640</v>
      </c>
      <c r="W32" s="256">
        <v>235775</v>
      </c>
      <c r="X32" s="643">
        <v>269395</v>
      </c>
      <c r="Y32" s="643">
        <v>283652</v>
      </c>
      <c r="Z32" s="643">
        <v>228446</v>
      </c>
      <c r="AA32" s="309">
        <v>254317</v>
      </c>
      <c r="AB32" s="256">
        <v>201579</v>
      </c>
      <c r="AC32" s="643">
        <v>181250</v>
      </c>
      <c r="AD32" s="643">
        <v>188258</v>
      </c>
      <c r="AE32" s="643">
        <v>185126</v>
      </c>
      <c r="AF32" s="309">
        <v>189053</v>
      </c>
      <c r="AG32" s="643">
        <v>173299</v>
      </c>
      <c r="AH32" s="643">
        <v>165360</v>
      </c>
      <c r="AI32" s="643">
        <v>160427</v>
      </c>
      <c r="AJ32" s="643">
        <v>139066</v>
      </c>
      <c r="AK32" s="309">
        <v>159538</v>
      </c>
      <c r="AL32" s="643">
        <v>118538</v>
      </c>
      <c r="AM32" s="643">
        <v>105622</v>
      </c>
      <c r="AN32" s="643">
        <v>97786</v>
      </c>
      <c r="AO32" s="643">
        <v>86118</v>
      </c>
      <c r="AP32" s="309">
        <v>102016</v>
      </c>
      <c r="AQ32" s="643">
        <v>76464</v>
      </c>
      <c r="AR32" s="643">
        <v>70282</v>
      </c>
      <c r="AS32" s="643">
        <v>66453</v>
      </c>
      <c r="AT32" s="643">
        <v>60627</v>
      </c>
      <c r="AU32" s="309">
        <v>68456.458333333299</v>
      </c>
      <c r="AV32" s="643">
        <v>55114</v>
      </c>
      <c r="AW32" s="643">
        <v>48410.333333333336</v>
      </c>
      <c r="AX32" s="643">
        <v>45472</v>
      </c>
      <c r="AY32" s="643"/>
      <c r="AZ32" s="309">
        <v>49665.444444444445</v>
      </c>
    </row>
    <row r="33" spans="1:37" ht="20.149999999999999" customHeight="1"/>
    <row r="34" spans="1:37" ht="36">
      <c r="A34" s="257" t="s">
        <v>763</v>
      </c>
      <c r="B34" s="257" t="s">
        <v>764</v>
      </c>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row>
    <row r="35" spans="1:37" ht="36">
      <c r="A35" s="257" t="s">
        <v>765</v>
      </c>
      <c r="B35" s="257" t="s">
        <v>766</v>
      </c>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row>
    <row r="36" spans="1:37" ht="48">
      <c r="A36" s="259" t="s">
        <v>767</v>
      </c>
      <c r="B36" s="257" t="s">
        <v>768</v>
      </c>
      <c r="C36" s="260"/>
      <c r="D36" s="260"/>
      <c r="E36" s="260"/>
      <c r="F36" s="260"/>
      <c r="G36" s="260"/>
      <c r="H36" s="260"/>
      <c r="I36" s="260"/>
      <c r="J36" s="260"/>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row>
    <row r="37" spans="1:37" ht="132" customHeight="1">
      <c r="A37" s="259" t="s">
        <v>769</v>
      </c>
      <c r="B37" s="257" t="s">
        <v>770</v>
      </c>
      <c r="C37" s="260"/>
      <c r="D37" s="260"/>
      <c r="E37" s="260"/>
      <c r="F37" s="260"/>
      <c r="G37" s="260"/>
      <c r="H37" s="260"/>
      <c r="I37" s="260"/>
      <c r="J37" s="260"/>
      <c r="K37" s="260"/>
      <c r="L37" s="260"/>
      <c r="M37" s="260"/>
      <c r="N37" s="260"/>
      <c r="O37" s="259"/>
      <c r="P37" s="259"/>
      <c r="Q37" s="259"/>
      <c r="R37" s="259"/>
      <c r="S37" s="259"/>
      <c r="T37" s="259"/>
    </row>
    <row r="38" spans="1:37" ht="36">
      <c r="A38" s="259" t="s">
        <v>771</v>
      </c>
      <c r="B38" s="257" t="s">
        <v>772</v>
      </c>
      <c r="C38" s="260"/>
      <c r="D38" s="260"/>
      <c r="E38" s="260"/>
      <c r="F38" s="260"/>
      <c r="G38" s="260"/>
      <c r="H38" s="260"/>
      <c r="I38" s="260"/>
      <c r="J38" s="260"/>
      <c r="K38" s="260"/>
      <c r="L38" s="260"/>
      <c r="M38" s="260"/>
      <c r="N38" s="260"/>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row>
    <row r="39" spans="1:37" ht="84">
      <c r="A39" s="257" t="s">
        <v>773</v>
      </c>
      <c r="B39" s="257" t="s">
        <v>774</v>
      </c>
    </row>
    <row r="40" spans="1:37" ht="20.149999999999999" customHeight="1"/>
    <row r="41" spans="1:37" ht="20.149999999999999" customHeight="1"/>
    <row r="42" spans="1:37" ht="20.149999999999999" customHeight="1"/>
    <row r="43" spans="1:37" ht="20.149999999999999" customHeight="1"/>
    <row r="44" spans="1:37" ht="20.149999999999999" customHeight="1"/>
    <row r="45" spans="1:37" ht="20.149999999999999" customHeight="1"/>
    <row r="46" spans="1:37" ht="20.149999999999999" customHeight="1"/>
    <row r="47" spans="1:37" ht="20.149999999999999" customHeight="1"/>
    <row r="48" spans="1:37"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sheetData>
  <customSheetViews>
    <customSheetView guid="{B87BD74C-18F3-4393-BF03-31B25889E08F}" scale="90" showGridLines="0" fitToPage="1" hiddenRows="1" hiddenColumns="1">
      <pane xSplit="31" ySplit="5" topLeftCell="AV6" activePane="bottomRight" state="frozen"/>
      <selection pane="bottomRight" activeCell="BB2" sqref="BB2"/>
      <pageMargins left="0" right="0" top="0" bottom="0" header="0" footer="0"/>
      <pageSetup paperSize="9" scale="53" orientation="landscape" horizontalDpi="4294967294" r:id="rId1"/>
    </customSheetView>
    <customSheetView guid="{0581D693-F741-454A-848A-FCD54BC91A66}" scale="90" showPageBreaks="1" showGridLines="0" fitToPage="1" printArea="1" hiddenRows="1" hiddenColumns="1">
      <pane xSplit="31" ySplit="5" topLeftCell="AL6" activePane="bottomRight" state="frozen"/>
      <selection pane="bottomRight" activeCell="BA12" sqref="BA12"/>
      <pageMargins left="0" right="0" top="0" bottom="0" header="0" footer="0"/>
      <pageSetup paperSize="9" scale="52" orientation="landscape" horizontalDpi="4294967294" r:id="rId2"/>
    </customSheetView>
    <customSheetView guid="{634BFE77-A2AA-4FA6-8ED5-F02244B9F10C}" scale="90" showPageBreaks="1" showGridLines="0" fitToPage="1" printArea="1" hiddenRows="1" hiddenColumns="1">
      <pane xSplit="31" ySplit="5" topLeftCell="AL6" activePane="bottomRight" state="frozen"/>
      <selection pane="bottomRight" activeCell="AV32" sqref="AV32"/>
      <pageMargins left="0" right="0" top="0" bottom="0" header="0" footer="0"/>
      <pageSetup paperSize="9" scale="53" orientation="landscape" horizontalDpi="4294967294"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cale="70" showPageBreaks="1" showGridLines="0" fitToPage="1" printArea="1" hiddenRows="1">
      <selection activeCell="A12" sqref="A12"/>
      <pageMargins left="0" right="0" top="0" bottom="0" header="0" footer="0"/>
      <pageSetup paperSize="9" scale="45" orientation="landscape" horizontalDpi="4294967294" r:id="rId4"/>
    </customSheetView>
  </customSheetViews>
  <mergeCells count="21">
    <mergeCell ref="AV3:AY3"/>
    <mergeCell ref="AZ3:AZ4"/>
    <mergeCell ref="AU3:AU4"/>
    <mergeCell ref="AF3:AF4"/>
    <mergeCell ref="AG3:AJ3"/>
    <mergeCell ref="AK3:AK4"/>
    <mergeCell ref="AL3:AO3"/>
    <mergeCell ref="AP3:AP4"/>
    <mergeCell ref="AQ3:AT3"/>
    <mergeCell ref="AB3:AE3"/>
    <mergeCell ref="A2:O2"/>
    <mergeCell ref="C3:F3"/>
    <mergeCell ref="G3:G4"/>
    <mergeCell ref="H3:K3"/>
    <mergeCell ref="L3:L4"/>
    <mergeCell ref="M3:P3"/>
    <mergeCell ref="Q3:Q4"/>
    <mergeCell ref="R3:U3"/>
    <mergeCell ref="V3:V4"/>
    <mergeCell ref="W3:Z3"/>
    <mergeCell ref="AA3:AA4"/>
  </mergeCells>
  <pageMargins left="0.7" right="0.7" top="0.75" bottom="0.75" header="0.3" footer="0.3"/>
  <pageSetup paperSize="9" scale="45" orientation="landscape" horizontalDpi="4294967294" r:id="rId5"/>
  <headerFooter>
    <oddFooter>&amp;L&amp;1#&amp;"Calibri"&amp;8&amp;K000000TAJEMNICA PRZEDSIĘBIORSTWA w rozumieniu art. 11 ust. 2 ustawy z dnia 16 kwietnia 1993 r. o zwalczaniu nieuczciwej konkurencji – DO UŻYTKU SŁUŻBOWEGO</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O90"/>
  <sheetViews>
    <sheetView showGridLines="0" zoomScale="80" zoomScaleNormal="80" zoomScaleSheetLayoutView="85" workbookViewId="0">
      <pane xSplit="1" ySplit="4" topLeftCell="AX5" activePane="bottomRight" state="frozen"/>
      <selection pane="topRight" activeCell="B1" sqref="B1"/>
      <selection pane="bottomLeft" activeCell="A5" sqref="A5"/>
      <selection pane="bottomRight" activeCell="AV26" sqref="AV26"/>
    </sheetView>
  </sheetViews>
  <sheetFormatPr defaultColWidth="9" defaultRowHeight="13" outlineLevelCol="1"/>
  <cols>
    <col min="1" max="1" width="53" style="4" customWidth="1"/>
    <col min="2" max="2" width="53" style="39" customWidth="1"/>
    <col min="3" max="3" width="11.5" style="5" hidden="1" customWidth="1" outlineLevel="1"/>
    <col min="4" max="4" width="12.33203125" style="5" hidden="1" customWidth="1" outlineLevel="1"/>
    <col min="5" max="5" width="13.58203125" style="5" hidden="1" customWidth="1" outlineLevel="1"/>
    <col min="6" max="6" width="12.08203125" style="5" hidden="1" customWidth="1" outlineLevel="1"/>
    <col min="7" max="9" width="13.58203125" style="5" hidden="1" customWidth="1" outlineLevel="1"/>
    <col min="10" max="10" width="12.08203125" style="5" hidden="1" customWidth="1" outlineLevel="1"/>
    <col min="11" max="13" width="13.58203125" style="5" hidden="1" customWidth="1" outlineLevel="1"/>
    <col min="14" max="14" width="12.08203125" style="5" hidden="1" customWidth="1" outlineLevel="1"/>
    <col min="15" max="46" width="13.58203125" style="5" hidden="1" customWidth="1" outlineLevel="1"/>
    <col min="47" max="47" width="13.58203125" style="5" customWidth="1" collapsed="1"/>
    <col min="48" max="58" width="13.58203125" style="5" customWidth="1"/>
    <col min="59" max="16384" width="9" style="5"/>
  </cols>
  <sheetData>
    <row r="1" spans="1:483" s="14" customFormat="1" ht="89.25" customHeight="1">
      <c r="A1" s="2"/>
      <c r="B1" s="3"/>
      <c r="C1" s="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row>
    <row r="2" spans="1:483" s="406" customFormat="1" ht="42.75" customHeight="1">
      <c r="A2" s="403" t="s">
        <v>106</v>
      </c>
      <c r="B2" s="404" t="s">
        <v>107</v>
      </c>
      <c r="C2" s="960">
        <v>2012</v>
      </c>
      <c r="D2" s="960"/>
      <c r="E2" s="960"/>
      <c r="F2" s="961"/>
      <c r="G2" s="960">
        <v>2013</v>
      </c>
      <c r="H2" s="960"/>
      <c r="I2" s="960"/>
      <c r="J2" s="960"/>
      <c r="K2" s="957">
        <v>2014</v>
      </c>
      <c r="L2" s="960"/>
      <c r="M2" s="960"/>
      <c r="N2" s="961"/>
      <c r="O2" s="960">
        <v>2015</v>
      </c>
      <c r="P2" s="960"/>
      <c r="Q2" s="960"/>
      <c r="R2" s="961"/>
      <c r="S2" s="957">
        <v>2016</v>
      </c>
      <c r="T2" s="960"/>
      <c r="U2" s="960"/>
      <c r="V2" s="961"/>
      <c r="W2" s="957" t="s">
        <v>108</v>
      </c>
      <c r="X2" s="960"/>
      <c r="Y2" s="960"/>
      <c r="Z2" s="961"/>
      <c r="AA2" s="957" t="s">
        <v>109</v>
      </c>
      <c r="AB2" s="960"/>
      <c r="AC2" s="960"/>
      <c r="AD2" s="961"/>
      <c r="AE2" s="957" t="s">
        <v>110</v>
      </c>
      <c r="AF2" s="958"/>
      <c r="AG2" s="958"/>
      <c r="AH2" s="959"/>
      <c r="AI2" s="957">
        <v>2020</v>
      </c>
      <c r="AJ2" s="958"/>
      <c r="AK2" s="958"/>
      <c r="AL2" s="959"/>
      <c r="AM2" s="957">
        <v>2021</v>
      </c>
      <c r="AN2" s="958"/>
      <c r="AO2" s="958"/>
      <c r="AP2" s="959"/>
      <c r="AQ2" s="957">
        <v>2022</v>
      </c>
      <c r="AR2" s="958"/>
      <c r="AS2" s="958"/>
      <c r="AT2" s="959"/>
      <c r="AU2" s="957">
        <v>2023</v>
      </c>
      <c r="AV2" s="958"/>
      <c r="AW2" s="958"/>
      <c r="AX2" s="959"/>
      <c r="AY2" s="957">
        <v>2024</v>
      </c>
      <c r="AZ2" s="958"/>
      <c r="BA2" s="958"/>
      <c r="BB2" s="959"/>
      <c r="BC2" s="957">
        <v>2025</v>
      </c>
      <c r="BD2" s="958"/>
      <c r="BE2" s="958"/>
      <c r="BF2" s="959"/>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405"/>
      <c r="CS2" s="405"/>
      <c r="CT2" s="405"/>
      <c r="CU2" s="405"/>
      <c r="CV2" s="405"/>
      <c r="CW2" s="405"/>
      <c r="CX2" s="405"/>
      <c r="CY2" s="405"/>
      <c r="CZ2" s="405"/>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5"/>
      <c r="EL2" s="405"/>
      <c r="EM2" s="405"/>
      <c r="EN2" s="405"/>
      <c r="EO2" s="405"/>
      <c r="EP2" s="405"/>
      <c r="EQ2" s="405"/>
      <c r="ER2" s="405"/>
      <c r="ES2" s="405"/>
      <c r="ET2" s="405"/>
      <c r="EU2" s="405"/>
      <c r="EV2" s="405"/>
      <c r="EW2" s="405"/>
      <c r="EX2" s="405"/>
      <c r="EY2" s="405"/>
      <c r="EZ2" s="405"/>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5"/>
      <c r="GL2" s="405"/>
      <c r="GM2" s="405"/>
      <c r="GN2" s="405"/>
      <c r="GO2" s="405"/>
      <c r="GP2" s="405"/>
      <c r="GQ2" s="405"/>
      <c r="GR2" s="405"/>
      <c r="GS2" s="405"/>
      <c r="GT2" s="405"/>
      <c r="GU2" s="405"/>
      <c r="GV2" s="405"/>
      <c r="GW2" s="405"/>
      <c r="GX2" s="405"/>
      <c r="GY2" s="405"/>
      <c r="GZ2" s="405"/>
      <c r="HA2" s="405"/>
      <c r="HB2" s="405"/>
      <c r="HC2" s="405"/>
      <c r="HD2" s="405"/>
      <c r="HE2" s="405"/>
      <c r="HF2" s="405"/>
      <c r="HG2" s="405"/>
      <c r="HH2" s="405"/>
      <c r="HI2" s="405"/>
      <c r="HJ2" s="405"/>
      <c r="HK2" s="405"/>
      <c r="HL2" s="405"/>
      <c r="HM2" s="405"/>
      <c r="HN2" s="405"/>
      <c r="HO2" s="405"/>
      <c r="HP2" s="405"/>
      <c r="HQ2" s="405"/>
      <c r="HR2" s="405"/>
      <c r="HS2" s="405"/>
      <c r="HT2" s="405"/>
      <c r="HU2" s="405"/>
      <c r="HV2" s="405"/>
      <c r="HW2" s="405"/>
      <c r="HX2" s="405"/>
      <c r="HY2" s="405"/>
      <c r="HZ2" s="405"/>
      <c r="IA2" s="405"/>
      <c r="IB2" s="405"/>
      <c r="IC2" s="405"/>
      <c r="ID2" s="405"/>
      <c r="IE2" s="405"/>
      <c r="IF2" s="405"/>
      <c r="IG2" s="405"/>
      <c r="IH2" s="405"/>
      <c r="II2" s="405"/>
      <c r="IJ2" s="405"/>
      <c r="IK2" s="405"/>
      <c r="IL2" s="405"/>
      <c r="IM2" s="405"/>
      <c r="IN2" s="405"/>
      <c r="IO2" s="405"/>
      <c r="IP2" s="405"/>
      <c r="IQ2" s="405"/>
      <c r="IR2" s="405"/>
      <c r="IS2" s="405"/>
      <c r="IT2" s="405"/>
      <c r="IU2" s="405"/>
      <c r="IV2" s="405"/>
      <c r="IW2" s="405"/>
      <c r="IX2" s="405"/>
      <c r="IY2" s="405"/>
      <c r="IZ2" s="405"/>
      <c r="JA2" s="405"/>
      <c r="JB2" s="405"/>
      <c r="JC2" s="405"/>
      <c r="JD2" s="405"/>
      <c r="JE2" s="405"/>
      <c r="JF2" s="405"/>
      <c r="JG2" s="405"/>
      <c r="JH2" s="405"/>
      <c r="JI2" s="405"/>
      <c r="JJ2" s="405"/>
      <c r="JK2" s="405"/>
      <c r="JL2" s="405"/>
      <c r="JM2" s="405"/>
      <c r="JN2" s="405"/>
      <c r="JO2" s="405"/>
      <c r="JP2" s="405"/>
      <c r="JQ2" s="405"/>
      <c r="JR2" s="405"/>
      <c r="JS2" s="405"/>
      <c r="JT2" s="405"/>
      <c r="JU2" s="405"/>
      <c r="JV2" s="405"/>
      <c r="JW2" s="405"/>
      <c r="JX2" s="405"/>
      <c r="JY2" s="405"/>
      <c r="JZ2" s="405"/>
      <c r="KA2" s="405"/>
      <c r="KB2" s="405"/>
      <c r="KC2" s="405"/>
      <c r="KD2" s="405"/>
      <c r="KE2" s="405"/>
      <c r="KF2" s="405"/>
      <c r="KG2" s="405"/>
      <c r="KH2" s="405"/>
      <c r="KI2" s="405"/>
      <c r="KJ2" s="405"/>
      <c r="KK2" s="405"/>
      <c r="KL2" s="405"/>
      <c r="KM2" s="405"/>
      <c r="KN2" s="405"/>
      <c r="KO2" s="405"/>
      <c r="KP2" s="405"/>
      <c r="KQ2" s="405"/>
      <c r="KR2" s="405"/>
      <c r="KS2" s="405"/>
      <c r="KT2" s="405"/>
      <c r="KU2" s="405"/>
      <c r="KV2" s="405"/>
      <c r="KW2" s="405"/>
      <c r="KX2" s="405"/>
      <c r="KY2" s="405"/>
      <c r="KZ2" s="405"/>
      <c r="LA2" s="405"/>
      <c r="LB2" s="405"/>
      <c r="LC2" s="405"/>
      <c r="LD2" s="405"/>
      <c r="LE2" s="405"/>
      <c r="LF2" s="405"/>
      <c r="LG2" s="405"/>
      <c r="LH2" s="405"/>
      <c r="LI2" s="405"/>
      <c r="LJ2" s="405"/>
      <c r="LK2" s="405"/>
      <c r="LL2" s="405"/>
      <c r="LM2" s="405"/>
      <c r="LN2" s="405"/>
      <c r="LO2" s="405"/>
      <c r="LP2" s="405"/>
      <c r="LQ2" s="405"/>
      <c r="LR2" s="405"/>
      <c r="LS2" s="405"/>
      <c r="LT2" s="405"/>
      <c r="LU2" s="405"/>
      <c r="LV2" s="405"/>
      <c r="LW2" s="405"/>
      <c r="LX2" s="405"/>
      <c r="LY2" s="405"/>
      <c r="LZ2" s="405"/>
      <c r="MA2" s="405"/>
      <c r="MB2" s="405"/>
      <c r="MC2" s="405"/>
      <c r="MD2" s="405"/>
      <c r="ME2" s="405"/>
      <c r="MF2" s="405"/>
      <c r="MG2" s="405"/>
      <c r="MH2" s="405"/>
      <c r="MI2" s="405"/>
      <c r="MJ2" s="405"/>
      <c r="MK2" s="405"/>
      <c r="ML2" s="405"/>
      <c r="MM2" s="405"/>
      <c r="MN2" s="405"/>
      <c r="MO2" s="405"/>
      <c r="MP2" s="405"/>
      <c r="MQ2" s="405"/>
      <c r="MR2" s="405"/>
      <c r="MS2" s="405"/>
      <c r="MT2" s="405"/>
      <c r="MU2" s="405"/>
      <c r="MV2" s="405"/>
      <c r="MW2" s="405"/>
      <c r="MX2" s="405"/>
      <c r="MY2" s="405"/>
      <c r="MZ2" s="405"/>
      <c r="NA2" s="405"/>
      <c r="NB2" s="405"/>
      <c r="NC2" s="405"/>
      <c r="ND2" s="405"/>
      <c r="NE2" s="405"/>
      <c r="NF2" s="405"/>
      <c r="NG2" s="405"/>
      <c r="NH2" s="405"/>
      <c r="NI2" s="405"/>
      <c r="NJ2" s="405"/>
      <c r="NK2" s="405"/>
      <c r="NL2" s="405"/>
      <c r="NM2" s="405"/>
      <c r="NN2" s="405"/>
      <c r="NO2" s="405"/>
      <c r="NP2" s="405"/>
      <c r="NQ2" s="405"/>
      <c r="NR2" s="405"/>
      <c r="NS2" s="405"/>
      <c r="NT2" s="405"/>
      <c r="NU2" s="405"/>
      <c r="NV2" s="405"/>
      <c r="NW2" s="405"/>
      <c r="NX2" s="405"/>
      <c r="NY2" s="405"/>
      <c r="NZ2" s="405"/>
      <c r="OA2" s="405"/>
      <c r="OB2" s="405"/>
      <c r="OC2" s="405"/>
      <c r="OD2" s="405"/>
      <c r="OE2" s="405"/>
      <c r="OF2" s="405"/>
      <c r="OG2" s="405"/>
      <c r="OH2" s="405"/>
      <c r="OI2" s="405"/>
      <c r="OJ2" s="405"/>
      <c r="OK2" s="405"/>
      <c r="OL2" s="405"/>
      <c r="OM2" s="405"/>
      <c r="ON2" s="405"/>
      <c r="OO2" s="405"/>
      <c r="OP2" s="405"/>
      <c r="OQ2" s="405"/>
      <c r="OR2" s="405"/>
      <c r="OS2" s="405"/>
      <c r="OT2" s="405"/>
      <c r="OU2" s="405"/>
      <c r="OV2" s="405"/>
      <c r="OW2" s="405"/>
      <c r="OX2" s="405"/>
      <c r="OY2" s="405"/>
      <c r="OZ2" s="405"/>
      <c r="PA2" s="405"/>
      <c r="PB2" s="405"/>
      <c r="PC2" s="405"/>
      <c r="PD2" s="405"/>
      <c r="PE2" s="405"/>
      <c r="PF2" s="405"/>
      <c r="PG2" s="405"/>
      <c r="PH2" s="405"/>
      <c r="PI2" s="405"/>
      <c r="PJ2" s="405"/>
      <c r="PK2" s="405"/>
      <c r="PL2" s="405"/>
      <c r="PM2" s="405"/>
      <c r="PN2" s="405"/>
      <c r="PO2" s="405"/>
      <c r="PP2" s="405"/>
      <c r="PQ2" s="405"/>
      <c r="PR2" s="405"/>
      <c r="PS2" s="405"/>
      <c r="PT2" s="405"/>
      <c r="PU2" s="405"/>
      <c r="PV2" s="405"/>
      <c r="PW2" s="405"/>
      <c r="PX2" s="405"/>
      <c r="PY2" s="405"/>
      <c r="PZ2" s="405"/>
      <c r="QA2" s="405"/>
      <c r="QB2" s="405"/>
      <c r="QC2" s="405"/>
      <c r="QD2" s="405"/>
      <c r="QE2" s="405"/>
      <c r="QF2" s="405"/>
      <c r="QG2" s="405"/>
      <c r="QH2" s="405"/>
      <c r="QI2" s="405"/>
      <c r="QJ2" s="405"/>
      <c r="QK2" s="405"/>
      <c r="QL2" s="405"/>
      <c r="QM2" s="405"/>
      <c r="QN2" s="405"/>
      <c r="QO2" s="405"/>
      <c r="QP2" s="405"/>
      <c r="QQ2" s="405"/>
      <c r="QR2" s="405"/>
      <c r="QS2" s="405"/>
      <c r="QT2" s="405"/>
      <c r="QU2" s="405"/>
      <c r="QV2" s="405"/>
      <c r="QW2" s="405"/>
      <c r="QX2" s="405"/>
      <c r="QY2" s="405"/>
      <c r="QZ2" s="405"/>
      <c r="RA2" s="405"/>
      <c r="RB2" s="405"/>
      <c r="RC2" s="405"/>
      <c r="RD2" s="405"/>
      <c r="RE2" s="405"/>
      <c r="RF2" s="405"/>
      <c r="RG2" s="405"/>
      <c r="RH2" s="405"/>
      <c r="RI2" s="405"/>
      <c r="RJ2" s="405"/>
      <c r="RK2" s="405"/>
      <c r="RL2" s="405"/>
      <c r="RM2" s="405"/>
      <c r="RN2" s="405"/>
      <c r="RO2" s="405"/>
    </row>
    <row r="3" spans="1:483" s="413" customFormat="1" ht="14.5">
      <c r="A3" s="407" t="s">
        <v>20</v>
      </c>
      <c r="B3" s="407" t="s">
        <v>20</v>
      </c>
      <c r="C3" s="408" t="s">
        <v>111</v>
      </c>
      <c r="D3" s="409" t="s">
        <v>112</v>
      </c>
      <c r="E3" s="409" t="s">
        <v>113</v>
      </c>
      <c r="F3" s="410" t="s">
        <v>114</v>
      </c>
      <c r="G3" s="409" t="s">
        <v>111</v>
      </c>
      <c r="H3" s="409" t="s">
        <v>112</v>
      </c>
      <c r="I3" s="409" t="s">
        <v>113</v>
      </c>
      <c r="J3" s="410" t="s">
        <v>114</v>
      </c>
      <c r="K3" s="408" t="s">
        <v>111</v>
      </c>
      <c r="L3" s="409" t="s">
        <v>112</v>
      </c>
      <c r="M3" s="409" t="s">
        <v>113</v>
      </c>
      <c r="N3" s="411" t="s">
        <v>115</v>
      </c>
      <c r="O3" s="409" t="s">
        <v>111</v>
      </c>
      <c r="P3" s="409" t="s">
        <v>112</v>
      </c>
      <c r="Q3" s="409" t="s">
        <v>113</v>
      </c>
      <c r="R3" s="410" t="s">
        <v>114</v>
      </c>
      <c r="S3" s="409" t="s">
        <v>111</v>
      </c>
      <c r="T3" s="409" t="s">
        <v>112</v>
      </c>
      <c r="U3" s="409" t="s">
        <v>113</v>
      </c>
      <c r="V3" s="410" t="s">
        <v>114</v>
      </c>
      <c r="W3" s="409" t="s">
        <v>111</v>
      </c>
      <c r="X3" s="409" t="s">
        <v>112</v>
      </c>
      <c r="Y3" s="409" t="s">
        <v>113</v>
      </c>
      <c r="Z3" s="410" t="s">
        <v>114</v>
      </c>
      <c r="AA3" s="412" t="s">
        <v>111</v>
      </c>
      <c r="AB3" s="409" t="s">
        <v>112</v>
      </c>
      <c r="AC3" s="409" t="s">
        <v>113</v>
      </c>
      <c r="AD3" s="410" t="s">
        <v>114</v>
      </c>
      <c r="AE3" s="412" t="s">
        <v>111</v>
      </c>
      <c r="AF3" s="409" t="s">
        <v>112</v>
      </c>
      <c r="AG3" s="409" t="s">
        <v>113</v>
      </c>
      <c r="AH3" s="410" t="s">
        <v>114</v>
      </c>
      <c r="AI3" s="412" t="s">
        <v>111</v>
      </c>
      <c r="AJ3" s="409" t="s">
        <v>112</v>
      </c>
      <c r="AK3" s="409" t="s">
        <v>113</v>
      </c>
      <c r="AL3" s="410" t="s">
        <v>114</v>
      </c>
      <c r="AM3" s="412" t="s">
        <v>111</v>
      </c>
      <c r="AN3" s="409" t="s">
        <v>112</v>
      </c>
      <c r="AO3" s="409" t="s">
        <v>113</v>
      </c>
      <c r="AP3" s="410" t="s">
        <v>114</v>
      </c>
      <c r="AQ3" s="412" t="s">
        <v>111</v>
      </c>
      <c r="AR3" s="409" t="s">
        <v>112</v>
      </c>
      <c r="AS3" s="409" t="s">
        <v>113</v>
      </c>
      <c r="AT3" s="410" t="s">
        <v>114</v>
      </c>
      <c r="AU3" s="412" t="s">
        <v>111</v>
      </c>
      <c r="AV3" s="409" t="s">
        <v>112</v>
      </c>
      <c r="AW3" s="409" t="s">
        <v>113</v>
      </c>
      <c r="AX3" s="410" t="s">
        <v>114</v>
      </c>
      <c r="AY3" s="412" t="s">
        <v>111</v>
      </c>
      <c r="AZ3" s="409" t="s">
        <v>112</v>
      </c>
      <c r="BA3" s="409" t="s">
        <v>113</v>
      </c>
      <c r="BB3" s="410" t="s">
        <v>114</v>
      </c>
      <c r="BC3" s="412" t="s">
        <v>111</v>
      </c>
      <c r="BD3" s="409" t="s">
        <v>112</v>
      </c>
      <c r="BE3" s="409" t="s">
        <v>113</v>
      </c>
      <c r="BF3" s="410" t="s">
        <v>114</v>
      </c>
    </row>
    <row r="4" spans="1:483" s="418" customFormat="1" ht="16.5" customHeight="1">
      <c r="A4" s="414"/>
      <c r="B4" s="415"/>
      <c r="C4" s="416" t="s">
        <v>116</v>
      </c>
      <c r="D4" s="416" t="s">
        <v>117</v>
      </c>
      <c r="E4" s="387" t="s">
        <v>118</v>
      </c>
      <c r="F4" s="417" t="s">
        <v>119</v>
      </c>
      <c r="G4" s="416" t="s">
        <v>116</v>
      </c>
      <c r="H4" s="416" t="s">
        <v>117</v>
      </c>
      <c r="I4" s="387" t="s">
        <v>118</v>
      </c>
      <c r="J4" s="417" t="s">
        <v>119</v>
      </c>
      <c r="K4" s="416" t="s">
        <v>116</v>
      </c>
      <c r="L4" s="416" t="s">
        <v>117</v>
      </c>
      <c r="M4" s="387" t="s">
        <v>118</v>
      </c>
      <c r="N4" s="417" t="s">
        <v>120</v>
      </c>
      <c r="O4" s="416" t="s">
        <v>116</v>
      </c>
      <c r="P4" s="416" t="s">
        <v>117</v>
      </c>
      <c r="Q4" s="387" t="s">
        <v>118</v>
      </c>
      <c r="R4" s="417" t="s">
        <v>119</v>
      </c>
      <c r="S4" s="416" t="s">
        <v>116</v>
      </c>
      <c r="T4" s="416" t="s">
        <v>117</v>
      </c>
      <c r="U4" s="387" t="s">
        <v>118</v>
      </c>
      <c r="V4" s="417" t="s">
        <v>119</v>
      </c>
      <c r="W4" s="416" t="s">
        <v>116</v>
      </c>
      <c r="X4" s="416" t="s">
        <v>117</v>
      </c>
      <c r="Y4" s="387" t="s">
        <v>118</v>
      </c>
      <c r="Z4" s="417" t="s">
        <v>119</v>
      </c>
      <c r="AA4" s="416" t="s">
        <v>116</v>
      </c>
      <c r="AB4" s="416" t="s">
        <v>117</v>
      </c>
      <c r="AC4" s="387" t="s">
        <v>118</v>
      </c>
      <c r="AD4" s="417" t="s">
        <v>119</v>
      </c>
      <c r="AE4" s="416" t="s">
        <v>116</v>
      </c>
      <c r="AF4" s="416" t="s">
        <v>117</v>
      </c>
      <c r="AG4" s="387" t="s">
        <v>118</v>
      </c>
      <c r="AH4" s="417" t="s">
        <v>119</v>
      </c>
      <c r="AI4" s="416" t="s">
        <v>116</v>
      </c>
      <c r="AJ4" s="416" t="s">
        <v>117</v>
      </c>
      <c r="AK4" s="387" t="s">
        <v>118</v>
      </c>
      <c r="AL4" s="417" t="s">
        <v>119</v>
      </c>
      <c r="AM4" s="416" t="s">
        <v>116</v>
      </c>
      <c r="AN4" s="416" t="s">
        <v>117</v>
      </c>
      <c r="AO4" s="387" t="s">
        <v>118</v>
      </c>
      <c r="AP4" s="417" t="s">
        <v>119</v>
      </c>
      <c r="AQ4" s="416" t="s">
        <v>116</v>
      </c>
      <c r="AR4" s="416" t="s">
        <v>117</v>
      </c>
      <c r="AS4" s="387" t="s">
        <v>118</v>
      </c>
      <c r="AT4" s="417" t="s">
        <v>119</v>
      </c>
      <c r="AU4" s="416" t="s">
        <v>116</v>
      </c>
      <c r="AV4" s="416" t="s">
        <v>117</v>
      </c>
      <c r="AW4" s="387" t="s">
        <v>118</v>
      </c>
      <c r="AX4" s="417" t="s">
        <v>119</v>
      </c>
      <c r="AY4" s="416" t="s">
        <v>116</v>
      </c>
      <c r="AZ4" s="416" t="s">
        <v>117</v>
      </c>
      <c r="BA4" s="387" t="s">
        <v>118</v>
      </c>
      <c r="BB4" s="417" t="s">
        <v>119</v>
      </c>
      <c r="BC4" s="416" t="s">
        <v>116</v>
      </c>
      <c r="BD4" s="416" t="s">
        <v>117</v>
      </c>
      <c r="BE4" s="387" t="s">
        <v>118</v>
      </c>
      <c r="BF4" s="417" t="s">
        <v>119</v>
      </c>
    </row>
    <row r="5" spans="1:483" s="372" customFormat="1" ht="38.25" customHeight="1">
      <c r="A5" s="370" t="s">
        <v>121</v>
      </c>
      <c r="B5" s="371" t="s">
        <v>122</v>
      </c>
      <c r="C5" s="400"/>
      <c r="D5" s="400"/>
      <c r="E5" s="401"/>
      <c r="F5" s="402"/>
      <c r="G5" s="400"/>
      <c r="H5" s="400"/>
      <c r="I5" s="401"/>
      <c r="J5" s="402"/>
      <c r="K5" s="400"/>
      <c r="L5" s="400"/>
      <c r="M5" s="401"/>
      <c r="N5" s="402"/>
      <c r="O5" s="400"/>
      <c r="P5" s="400"/>
      <c r="Q5" s="401"/>
      <c r="R5" s="402"/>
      <c r="S5" s="400"/>
      <c r="T5" s="400"/>
      <c r="U5" s="401"/>
      <c r="V5" s="402"/>
      <c r="W5" s="400"/>
      <c r="X5" s="400"/>
      <c r="Y5" s="401"/>
      <c r="Z5" s="402"/>
      <c r="AA5" s="400"/>
      <c r="AB5" s="400"/>
      <c r="AC5" s="401"/>
      <c r="AD5" s="402"/>
      <c r="AE5" s="400"/>
      <c r="AF5" s="400"/>
      <c r="AG5" s="401"/>
      <c r="AH5" s="402"/>
      <c r="AI5" s="400"/>
      <c r="AJ5" s="400"/>
      <c r="AK5" s="401"/>
      <c r="AL5" s="402"/>
      <c r="AM5" s="400"/>
      <c r="AN5" s="400"/>
      <c r="AO5" s="401"/>
      <c r="AP5" s="402"/>
      <c r="AQ5" s="400"/>
      <c r="AR5" s="400"/>
      <c r="AS5" s="401"/>
      <c r="AT5" s="402"/>
      <c r="AU5" s="400"/>
      <c r="AV5" s="726"/>
      <c r="AW5" s="401"/>
      <c r="AX5" s="402"/>
      <c r="AY5" s="400"/>
      <c r="AZ5" s="726"/>
      <c r="BA5" s="401"/>
      <c r="BB5" s="402"/>
      <c r="BC5" s="400"/>
      <c r="BD5" s="726"/>
      <c r="BE5" s="401"/>
      <c r="BF5" s="402"/>
    </row>
    <row r="6" spans="1:483" s="7" customFormat="1" ht="20.149999999999999" customHeight="1">
      <c r="A6" s="27" t="s">
        <v>123</v>
      </c>
      <c r="B6" s="105" t="s">
        <v>124</v>
      </c>
      <c r="C6" s="17">
        <f>415.308</f>
        <v>415.30799999999999</v>
      </c>
      <c r="D6" s="17">
        <f>419.479</f>
        <v>419.47899999999998</v>
      </c>
      <c r="E6" s="30">
        <f>(425068)*0.001</f>
        <v>425.06799999999998</v>
      </c>
      <c r="F6" s="183">
        <f>(420060)*0.001</f>
        <v>420.06</v>
      </c>
      <c r="G6" s="30">
        <f>(419894)*0.001</f>
        <v>419.89400000000001</v>
      </c>
      <c r="H6" s="30">
        <f>(418521)*0.001</f>
        <v>418.52100000000002</v>
      </c>
      <c r="I6" s="30">
        <f>(409736)*0.001</f>
        <v>409.73599999999999</v>
      </c>
      <c r="J6" s="183">
        <f>(407579)*0.001</f>
        <v>407.57900000000001</v>
      </c>
      <c r="K6" s="40">
        <f>(395393)*0.001</f>
        <v>395.39300000000003</v>
      </c>
      <c r="L6" s="17">
        <v>384.8</v>
      </c>
      <c r="M6" s="17">
        <v>417</v>
      </c>
      <c r="N6" s="183">
        <v>421.1</v>
      </c>
      <c r="O6" s="17">
        <v>416.6</v>
      </c>
      <c r="P6" s="17">
        <v>401.1</v>
      </c>
      <c r="Q6" s="17">
        <v>377</v>
      </c>
      <c r="R6" s="183">
        <v>371</v>
      </c>
      <c r="S6" s="77">
        <v>356.7</v>
      </c>
      <c r="T6" s="77">
        <v>353.3</v>
      </c>
      <c r="U6" s="77">
        <v>350.4</v>
      </c>
      <c r="V6" s="183">
        <v>350.9</v>
      </c>
      <c r="W6" s="77">
        <v>342.2</v>
      </c>
      <c r="X6" s="77">
        <v>332.9</v>
      </c>
      <c r="Y6" s="77">
        <v>324</v>
      </c>
      <c r="Z6" s="183">
        <v>325.3</v>
      </c>
      <c r="AA6" s="77">
        <v>312.5</v>
      </c>
      <c r="AB6" s="77">
        <v>294.10000000000002</v>
      </c>
      <c r="AC6" s="77">
        <v>275.8</v>
      </c>
      <c r="AD6" s="183">
        <v>264.5</v>
      </c>
      <c r="AE6" s="77">
        <v>258.2</v>
      </c>
      <c r="AF6" s="77">
        <v>249.4</v>
      </c>
      <c r="AG6" s="34">
        <v>248.8</v>
      </c>
      <c r="AH6" s="183">
        <v>262.7</v>
      </c>
      <c r="AI6" s="77">
        <v>267.39999999999998</v>
      </c>
      <c r="AJ6" s="77">
        <v>277</v>
      </c>
      <c r="AK6" s="34">
        <v>288</v>
      </c>
      <c r="AL6" s="183">
        <v>293.39999999999998</v>
      </c>
      <c r="AM6" s="77">
        <v>297.3</v>
      </c>
      <c r="AN6" s="77">
        <v>288.60000000000002</v>
      </c>
      <c r="AO6" s="34">
        <v>279.89999999999998</v>
      </c>
      <c r="AP6" s="183">
        <v>284</v>
      </c>
      <c r="AQ6" s="77">
        <v>292.7</v>
      </c>
      <c r="AR6" s="664">
        <v>288.8</v>
      </c>
      <c r="AS6" s="664">
        <v>278.5</v>
      </c>
      <c r="AT6" s="183">
        <v>282</v>
      </c>
      <c r="AU6" s="77">
        <v>278.7</v>
      </c>
      <c r="AV6" s="664">
        <v>273.3</v>
      </c>
      <c r="AW6" s="664">
        <v>287.2</v>
      </c>
      <c r="AX6" s="196" t="s">
        <v>125</v>
      </c>
      <c r="AY6" s="780" t="s">
        <v>125</v>
      </c>
      <c r="AZ6" s="196" t="s">
        <v>125</v>
      </c>
      <c r="BA6" s="196" t="s">
        <v>125</v>
      </c>
      <c r="BB6" s="196" t="s">
        <v>125</v>
      </c>
      <c r="BC6" s="780" t="s">
        <v>125</v>
      </c>
      <c r="BD6" s="196" t="s">
        <v>125</v>
      </c>
      <c r="BE6" s="196" t="s">
        <v>125</v>
      </c>
      <c r="BF6" s="196" t="s">
        <v>125</v>
      </c>
      <c r="BG6" s="780"/>
    </row>
    <row r="7" spans="1:483" s="7" customFormat="1" ht="20.149999999999999" customHeight="1">
      <c r="A7" s="27" t="s">
        <v>126</v>
      </c>
      <c r="B7" s="105" t="s">
        <v>127</v>
      </c>
      <c r="C7" s="17">
        <f>258.7</f>
        <v>258.7</v>
      </c>
      <c r="D7" s="17">
        <f>258.506</f>
        <v>258.50599999999997</v>
      </c>
      <c r="E7" s="30">
        <f>(257043)*0.001</f>
        <v>257.04300000000001</v>
      </c>
      <c r="F7" s="183">
        <f>(276407)*0.001</f>
        <v>276.40699999999998</v>
      </c>
      <c r="G7" s="30">
        <f>(266252)*0.001</f>
        <v>266.25200000000001</v>
      </c>
      <c r="H7" s="30">
        <f>(265011)*0.001</f>
        <v>265.01100000000002</v>
      </c>
      <c r="I7" s="30">
        <f>(252063)*0.001</f>
        <v>252.06300000000002</v>
      </c>
      <c r="J7" s="183">
        <f>(251152)*0.001</f>
        <v>251.15200000000002</v>
      </c>
      <c r="K7" s="40">
        <f>(248178)*0.001</f>
        <v>248.178</v>
      </c>
      <c r="L7" s="16">
        <v>3010.6</v>
      </c>
      <c r="M7" s="16">
        <v>2933.8</v>
      </c>
      <c r="N7" s="183">
        <v>2714.9</v>
      </c>
      <c r="O7" s="17">
        <v>2855.8</v>
      </c>
      <c r="P7" s="17">
        <v>2541.1999999999998</v>
      </c>
      <c r="Q7" s="16">
        <v>2535.1999999999998</v>
      </c>
      <c r="R7" s="183">
        <v>2548.6</v>
      </c>
      <c r="S7" s="77">
        <v>3002.2</v>
      </c>
      <c r="T7" s="77">
        <v>2931</v>
      </c>
      <c r="U7" s="77">
        <v>2882.8</v>
      </c>
      <c r="V7" s="183">
        <v>2964.3</v>
      </c>
      <c r="W7" s="77">
        <v>2885.9</v>
      </c>
      <c r="X7" s="77">
        <v>2904.7</v>
      </c>
      <c r="Y7" s="77">
        <v>2866.4</v>
      </c>
      <c r="Z7" s="183">
        <v>2867.1</v>
      </c>
      <c r="AA7" s="77">
        <v>2797</v>
      </c>
      <c r="AB7" s="77">
        <v>4419.8999999999996</v>
      </c>
      <c r="AC7" s="77">
        <v>4438</v>
      </c>
      <c r="AD7" s="183">
        <v>4792.2</v>
      </c>
      <c r="AE7" s="77">
        <v>4720.3</v>
      </c>
      <c r="AF7" s="77">
        <v>4782.7</v>
      </c>
      <c r="AG7" s="34">
        <v>4797.3</v>
      </c>
      <c r="AH7" s="183">
        <v>4976.8999999999996</v>
      </c>
      <c r="AI7" s="77">
        <v>5004.3</v>
      </c>
      <c r="AJ7" s="77">
        <v>5041.8</v>
      </c>
      <c r="AK7" s="34">
        <v>5135.3999999999996</v>
      </c>
      <c r="AL7" s="183">
        <v>5391</v>
      </c>
      <c r="AM7" s="77">
        <v>2877.2</v>
      </c>
      <c r="AN7" s="77">
        <v>3072.7</v>
      </c>
      <c r="AO7" s="34">
        <v>3206.2</v>
      </c>
      <c r="AP7" s="183">
        <v>3326.9</v>
      </c>
      <c r="AQ7" s="77">
        <v>3375.4</v>
      </c>
      <c r="AR7" s="664">
        <v>3566.7</v>
      </c>
      <c r="AS7" s="664">
        <v>3481</v>
      </c>
      <c r="AT7" s="183">
        <v>3600.9</v>
      </c>
      <c r="AU7" s="77">
        <v>3601.5</v>
      </c>
      <c r="AV7" s="678">
        <v>3592.7</v>
      </c>
      <c r="AW7" s="678">
        <v>5680.9</v>
      </c>
      <c r="AX7" s="216">
        <v>6494.3</v>
      </c>
      <c r="AY7" s="190">
        <v>6571.9</v>
      </c>
      <c r="AZ7" s="678">
        <v>6729.2</v>
      </c>
      <c r="BA7" s="678">
        <v>7058.7</v>
      </c>
      <c r="BB7" s="216">
        <v>7423.3</v>
      </c>
      <c r="BC7" s="190">
        <v>7571.2</v>
      </c>
      <c r="BD7" s="678"/>
      <c r="BE7" s="678"/>
      <c r="BF7" s="216"/>
    </row>
    <row r="8" spans="1:483" s="7" customFormat="1" ht="20.149999999999999" customHeight="1">
      <c r="A8" s="27" t="s">
        <v>128</v>
      </c>
      <c r="B8" s="105" t="s">
        <v>129</v>
      </c>
      <c r="C8" s="17">
        <f>2422.989</f>
        <v>2422.989</v>
      </c>
      <c r="D8" s="17">
        <f>2575.456</f>
        <v>2575.4560000000001</v>
      </c>
      <c r="E8" s="17">
        <f>(2575456)*0.001</f>
        <v>2575.4560000000001</v>
      </c>
      <c r="F8" s="184">
        <f>(2568033)*0.001</f>
        <v>2568.0329999999999</v>
      </c>
      <c r="G8" s="17">
        <f>(2568033)*0.001</f>
        <v>2568.0329999999999</v>
      </c>
      <c r="H8" s="17">
        <f>(2568033)*0.001</f>
        <v>2568.0329999999999</v>
      </c>
      <c r="I8" s="17">
        <f>(2637594)*0.001</f>
        <v>2637.5940000000001</v>
      </c>
      <c r="J8" s="184">
        <f>(2602804)*0.001</f>
        <v>2602.8040000000001</v>
      </c>
      <c r="K8" s="17">
        <f>(2602804)*0.001</f>
        <v>2602.8040000000001</v>
      </c>
      <c r="L8" s="16">
        <v>11735.5</v>
      </c>
      <c r="M8" s="16">
        <v>11735.5</v>
      </c>
      <c r="N8" s="184">
        <v>10585.3</v>
      </c>
      <c r="O8" s="17">
        <v>10831.2</v>
      </c>
      <c r="P8" s="17">
        <v>10606.4</v>
      </c>
      <c r="Q8" s="16">
        <v>10606.4</v>
      </c>
      <c r="R8" s="184">
        <v>10606.4</v>
      </c>
      <c r="S8" s="77">
        <v>11675.3</v>
      </c>
      <c r="T8" s="77">
        <v>10975.2</v>
      </c>
      <c r="U8" s="77">
        <v>10975.3</v>
      </c>
      <c r="V8" s="184">
        <v>10975.4</v>
      </c>
      <c r="W8" s="77">
        <v>10975.4</v>
      </c>
      <c r="X8" s="77">
        <v>10975.4</v>
      </c>
      <c r="Y8" s="77">
        <v>10975.4</v>
      </c>
      <c r="Z8" s="184">
        <v>11041.7</v>
      </c>
      <c r="AA8" s="77">
        <v>11060.5</v>
      </c>
      <c r="AB8" s="77">
        <v>11530</v>
      </c>
      <c r="AC8" s="77">
        <v>11519.3</v>
      </c>
      <c r="AD8" s="184">
        <v>11309.4</v>
      </c>
      <c r="AE8" s="77">
        <v>11309.4</v>
      </c>
      <c r="AF8" s="77">
        <v>11316.4</v>
      </c>
      <c r="AG8" s="34">
        <v>11316.4</v>
      </c>
      <c r="AH8" s="184">
        <v>11336.4</v>
      </c>
      <c r="AI8" s="77">
        <v>11349.5</v>
      </c>
      <c r="AJ8" s="77">
        <v>11349.5</v>
      </c>
      <c r="AK8" s="34">
        <v>11801.8</v>
      </c>
      <c r="AL8" s="184">
        <v>11808.4</v>
      </c>
      <c r="AM8" s="77">
        <v>11808.4</v>
      </c>
      <c r="AN8" s="77">
        <v>10664.9</v>
      </c>
      <c r="AO8" s="34">
        <v>10809</v>
      </c>
      <c r="AP8" s="184">
        <v>10802</v>
      </c>
      <c r="AQ8" s="77">
        <v>10831.9</v>
      </c>
      <c r="AR8" s="664">
        <v>10788</v>
      </c>
      <c r="AS8" s="664">
        <v>10810.9</v>
      </c>
      <c r="AT8" s="184">
        <v>10818.1</v>
      </c>
      <c r="AU8" s="77">
        <v>10818.2</v>
      </c>
      <c r="AV8" s="678">
        <v>10818.2</v>
      </c>
      <c r="AW8" s="678">
        <v>11276.7</v>
      </c>
      <c r="AX8" s="216">
        <v>10980.2</v>
      </c>
      <c r="AY8" s="190">
        <v>10975.4</v>
      </c>
      <c r="AZ8" s="678">
        <v>10971.2</v>
      </c>
      <c r="BA8" s="678">
        <v>10971.2</v>
      </c>
      <c r="BB8" s="216">
        <v>10975.3</v>
      </c>
      <c r="BC8" s="190">
        <v>10975.3</v>
      </c>
      <c r="BD8" s="678"/>
      <c r="BE8" s="678"/>
      <c r="BF8" s="216"/>
    </row>
    <row r="9" spans="1:483" s="7" customFormat="1" ht="20.149999999999999" customHeight="1">
      <c r="A9" s="27" t="s">
        <v>130</v>
      </c>
      <c r="B9" s="106" t="s">
        <v>131</v>
      </c>
      <c r="C9" s="18">
        <f>0</f>
        <v>0</v>
      </c>
      <c r="D9" s="18">
        <v>0</v>
      </c>
      <c r="E9" s="18">
        <f>0</f>
        <v>0</v>
      </c>
      <c r="F9" s="185">
        <v>0</v>
      </c>
      <c r="G9" s="18">
        <f>0</f>
        <v>0</v>
      </c>
      <c r="H9" s="18">
        <f>0</f>
        <v>0</v>
      </c>
      <c r="I9" s="18">
        <f>0</f>
        <v>0</v>
      </c>
      <c r="J9" s="185">
        <f>0</f>
        <v>0</v>
      </c>
      <c r="K9" s="31">
        <v>0</v>
      </c>
      <c r="L9" s="16">
        <v>4482</v>
      </c>
      <c r="M9" s="16">
        <v>4331.8999999999996</v>
      </c>
      <c r="N9" s="185">
        <v>4255.8</v>
      </c>
      <c r="O9" s="20">
        <v>4002.2</v>
      </c>
      <c r="P9" s="20">
        <v>3944.6</v>
      </c>
      <c r="Q9" s="16">
        <v>3791.6</v>
      </c>
      <c r="R9" s="185">
        <v>3638.5</v>
      </c>
      <c r="S9" s="34">
        <v>3488.7</v>
      </c>
      <c r="T9" s="34">
        <v>3337.3</v>
      </c>
      <c r="U9" s="34">
        <v>3184.2</v>
      </c>
      <c r="V9" s="185">
        <v>3031.2</v>
      </c>
      <c r="W9" s="34">
        <v>2883.1</v>
      </c>
      <c r="X9" s="34">
        <v>2762.8</v>
      </c>
      <c r="Y9" s="34">
        <v>2660.5</v>
      </c>
      <c r="Z9" s="185">
        <v>2557.3000000000002</v>
      </c>
      <c r="AA9" s="77">
        <v>2458.6</v>
      </c>
      <c r="AB9" s="76">
        <v>2358.6999999999998</v>
      </c>
      <c r="AC9" s="77">
        <v>2257.6999999999998</v>
      </c>
      <c r="AD9" s="185">
        <v>2212.1999999999998</v>
      </c>
      <c r="AE9" s="77">
        <v>2111.6</v>
      </c>
      <c r="AF9" s="34">
        <v>2009.9</v>
      </c>
      <c r="AG9" s="34">
        <v>1907</v>
      </c>
      <c r="AH9" s="185">
        <v>1821.4</v>
      </c>
      <c r="AI9" s="77">
        <v>1723.5</v>
      </c>
      <c r="AJ9" s="34">
        <v>1620.6</v>
      </c>
      <c r="AK9" s="34">
        <v>1516.7</v>
      </c>
      <c r="AL9" s="184">
        <v>1412.7</v>
      </c>
      <c r="AM9" s="77">
        <v>1310.9</v>
      </c>
      <c r="AN9" s="77">
        <v>1208</v>
      </c>
      <c r="AO9" s="34">
        <v>1110</v>
      </c>
      <c r="AP9" s="184">
        <v>1005.7</v>
      </c>
      <c r="AQ9" s="77">
        <v>903.6</v>
      </c>
      <c r="AR9" s="664">
        <v>858.2</v>
      </c>
      <c r="AS9" s="664">
        <v>750.9</v>
      </c>
      <c r="AT9" s="184">
        <v>643.70000000000005</v>
      </c>
      <c r="AU9" s="77">
        <v>538.70000000000005</v>
      </c>
      <c r="AV9" s="677">
        <v>432.6</v>
      </c>
      <c r="AW9" s="678">
        <v>325.3</v>
      </c>
      <c r="AX9" s="216">
        <v>300.2</v>
      </c>
      <c r="AY9" s="190">
        <v>191.1</v>
      </c>
      <c r="AZ9" s="677">
        <v>81.3</v>
      </c>
      <c r="BA9" s="678">
        <v>131.9</v>
      </c>
      <c r="BB9" s="216">
        <v>120.1</v>
      </c>
      <c r="BC9" s="190">
        <v>111</v>
      </c>
      <c r="BD9" s="677"/>
      <c r="BE9" s="678"/>
      <c r="BF9" s="216"/>
    </row>
    <row r="10" spans="1:483" s="7" customFormat="1" ht="20.149999999999999" customHeight="1">
      <c r="A10" s="27" t="s">
        <v>132</v>
      </c>
      <c r="B10" s="105" t="s">
        <v>133</v>
      </c>
      <c r="C10" s="17">
        <f>840</f>
        <v>840</v>
      </c>
      <c r="D10" s="30">
        <f>(840000)*0.001</f>
        <v>840</v>
      </c>
      <c r="E10" s="30">
        <f>(840000)*0.001</f>
        <v>840</v>
      </c>
      <c r="F10" s="183">
        <f>(847800)*0.001</f>
        <v>847.80000000000007</v>
      </c>
      <c r="G10" s="30">
        <f>(847800)*0.001</f>
        <v>847.80000000000007</v>
      </c>
      <c r="H10" s="30">
        <f>(847800)*0.001</f>
        <v>847.80000000000007</v>
      </c>
      <c r="I10" s="30">
        <f>(847800)*0.001</f>
        <v>847.80000000000007</v>
      </c>
      <c r="J10" s="183">
        <f>(890800)*0.001</f>
        <v>890.80000000000007</v>
      </c>
      <c r="K10" s="40">
        <f>(890800)*0.001</f>
        <v>890.80000000000007</v>
      </c>
      <c r="L10" s="21">
        <v>890.8</v>
      </c>
      <c r="M10" s="21">
        <v>890.8</v>
      </c>
      <c r="N10" s="183">
        <v>2085.9</v>
      </c>
      <c r="O10" s="17">
        <v>1783.7</v>
      </c>
      <c r="P10" s="17">
        <v>2092.6999999999998</v>
      </c>
      <c r="Q10" s="21">
        <v>2086.6</v>
      </c>
      <c r="R10" s="183">
        <v>2080.6</v>
      </c>
      <c r="S10" s="77">
        <v>2074.6</v>
      </c>
      <c r="T10" s="77">
        <v>2068.6</v>
      </c>
      <c r="U10" s="77">
        <v>2062.5</v>
      </c>
      <c r="V10" s="183">
        <v>2056.5</v>
      </c>
      <c r="W10" s="77">
        <v>2050.5</v>
      </c>
      <c r="X10" s="77">
        <v>2044.4</v>
      </c>
      <c r="Y10" s="77">
        <v>2038.4</v>
      </c>
      <c r="Z10" s="183">
        <v>2037.1</v>
      </c>
      <c r="AA10" s="77">
        <v>2031</v>
      </c>
      <c r="AB10" s="77">
        <v>2024.8</v>
      </c>
      <c r="AC10" s="77">
        <v>2019</v>
      </c>
      <c r="AD10" s="183">
        <v>2096.1</v>
      </c>
      <c r="AE10" s="77">
        <v>2087.9</v>
      </c>
      <c r="AF10" s="77">
        <v>2079.6999999999998</v>
      </c>
      <c r="AG10" s="34">
        <v>2071.4</v>
      </c>
      <c r="AH10" s="183">
        <v>2063.1999999999998</v>
      </c>
      <c r="AI10" s="77">
        <v>2054.9</v>
      </c>
      <c r="AJ10" s="77">
        <v>2048.1999999999998</v>
      </c>
      <c r="AK10" s="34">
        <v>2040</v>
      </c>
      <c r="AL10" s="183">
        <v>2031.7</v>
      </c>
      <c r="AM10" s="77">
        <v>2023.5</v>
      </c>
      <c r="AN10" s="77">
        <v>2095.1999999999998</v>
      </c>
      <c r="AO10" s="34">
        <v>2078.5</v>
      </c>
      <c r="AP10" s="183">
        <v>2069.6</v>
      </c>
      <c r="AQ10" s="77">
        <v>2060.6</v>
      </c>
      <c r="AR10" s="664">
        <v>2079.1999999999998</v>
      </c>
      <c r="AS10" s="664">
        <v>2070.1</v>
      </c>
      <c r="AT10" s="183">
        <v>2060.9</v>
      </c>
      <c r="AU10" s="77">
        <v>2041.2</v>
      </c>
      <c r="AV10" s="678">
        <v>2021.5</v>
      </c>
      <c r="AW10" s="678">
        <v>2000</v>
      </c>
      <c r="AX10" s="216">
        <v>1979.7</v>
      </c>
      <c r="AY10" s="190">
        <v>1959.7</v>
      </c>
      <c r="AZ10" s="678">
        <v>1947.4</v>
      </c>
      <c r="BA10" s="678">
        <v>1926.7</v>
      </c>
      <c r="BB10" s="216">
        <v>1906.3</v>
      </c>
      <c r="BC10" s="190">
        <v>1885.9</v>
      </c>
      <c r="BD10" s="678"/>
      <c r="BE10" s="678"/>
      <c r="BF10" s="216"/>
    </row>
    <row r="11" spans="1:483" s="7" customFormat="1" ht="20.149999999999999" customHeight="1">
      <c r="A11" s="27" t="s">
        <v>134</v>
      </c>
      <c r="B11" s="105" t="s">
        <v>135</v>
      </c>
      <c r="C11" s="17">
        <f>69.466</f>
        <v>69.465999999999994</v>
      </c>
      <c r="D11" s="30">
        <f>(69627)*0.001</f>
        <v>69.626999999999995</v>
      </c>
      <c r="E11" s="30">
        <f>(68459)*0.001</f>
        <v>68.459000000000003</v>
      </c>
      <c r="F11" s="183">
        <f>(81380)*0.001</f>
        <v>81.38</v>
      </c>
      <c r="G11" s="30">
        <f>(82841)*0.001</f>
        <v>82.841000000000008</v>
      </c>
      <c r="H11" s="30">
        <f>(83804)*0.001</f>
        <v>83.804000000000002</v>
      </c>
      <c r="I11" s="30">
        <f>(115337)*0.001</f>
        <v>115.337</v>
      </c>
      <c r="J11" s="183">
        <f>(137401)*0.001</f>
        <v>137.40100000000001</v>
      </c>
      <c r="K11" s="40">
        <f>(136697)*0.001</f>
        <v>136.697</v>
      </c>
      <c r="L11" s="16">
        <v>2360.6</v>
      </c>
      <c r="M11" s="16">
        <v>2624.2</v>
      </c>
      <c r="N11" s="183">
        <v>2591.4</v>
      </c>
      <c r="O11" s="17">
        <v>2527.5</v>
      </c>
      <c r="P11" s="17">
        <v>2525.8000000000002</v>
      </c>
      <c r="Q11" s="16">
        <v>2464.1999999999998</v>
      </c>
      <c r="R11" s="183">
        <v>2422.1999999999998</v>
      </c>
      <c r="S11" s="77">
        <v>2988.7</v>
      </c>
      <c r="T11" s="77">
        <v>3903</v>
      </c>
      <c r="U11" s="77">
        <v>3769.5</v>
      </c>
      <c r="V11" s="183">
        <v>3656.2</v>
      </c>
      <c r="W11" s="77">
        <v>3540.5</v>
      </c>
      <c r="X11" s="77">
        <v>3471.1</v>
      </c>
      <c r="Y11" s="77">
        <v>3343.6</v>
      </c>
      <c r="Z11" s="183">
        <v>3261.5</v>
      </c>
      <c r="AA11" s="77">
        <v>3146.4</v>
      </c>
      <c r="AB11" s="77">
        <v>3097.5</v>
      </c>
      <c r="AC11" s="77">
        <v>3015.6</v>
      </c>
      <c r="AD11" s="183">
        <v>3005.5</v>
      </c>
      <c r="AE11" s="77">
        <v>2967.8</v>
      </c>
      <c r="AF11" s="77">
        <v>2943.7</v>
      </c>
      <c r="AG11" s="34">
        <v>2911.7</v>
      </c>
      <c r="AH11" s="183">
        <v>2857.8</v>
      </c>
      <c r="AI11" s="77">
        <v>2749.9</v>
      </c>
      <c r="AJ11" s="77">
        <v>2648.1</v>
      </c>
      <c r="AK11" s="34">
        <v>2602.3000000000002</v>
      </c>
      <c r="AL11" s="183">
        <v>2616.4</v>
      </c>
      <c r="AM11" s="77">
        <v>2503.3000000000002</v>
      </c>
      <c r="AN11" s="77">
        <v>2462.9</v>
      </c>
      <c r="AO11" s="34">
        <v>2400.1</v>
      </c>
      <c r="AP11" s="183">
        <v>2374.1</v>
      </c>
      <c r="AQ11" s="77">
        <v>2299.9</v>
      </c>
      <c r="AR11" s="664">
        <v>2228.9</v>
      </c>
      <c r="AS11" s="664">
        <v>2165.4</v>
      </c>
      <c r="AT11" s="183">
        <v>3340.6</v>
      </c>
      <c r="AU11" s="77">
        <v>3255.2</v>
      </c>
      <c r="AV11" s="678">
        <v>3166.5</v>
      </c>
      <c r="AW11" s="678">
        <v>3450.2</v>
      </c>
      <c r="AX11" s="216">
        <v>4835.8</v>
      </c>
      <c r="AY11" s="190">
        <v>4807.1000000000004</v>
      </c>
      <c r="AZ11" s="678">
        <v>4753.2</v>
      </c>
      <c r="BA11" s="678">
        <v>4699</v>
      </c>
      <c r="BB11" s="216">
        <v>4993</v>
      </c>
      <c r="BC11" s="190">
        <v>4921.8999999999996</v>
      </c>
      <c r="BD11" s="678"/>
      <c r="BE11" s="678"/>
      <c r="BF11" s="216"/>
    </row>
    <row r="12" spans="1:483" s="7" customFormat="1" ht="20.149999999999999" customHeight="1">
      <c r="A12" s="27" t="s">
        <v>136</v>
      </c>
      <c r="B12" s="107" t="s">
        <v>137</v>
      </c>
      <c r="C12" s="17"/>
      <c r="D12" s="30"/>
      <c r="E12" s="30"/>
      <c r="F12" s="183"/>
      <c r="G12" s="30"/>
      <c r="H12" s="30"/>
      <c r="I12" s="30"/>
      <c r="J12" s="183"/>
      <c r="K12" s="40"/>
      <c r="L12" s="16"/>
      <c r="M12" s="16"/>
      <c r="N12" s="183"/>
      <c r="O12" s="17"/>
      <c r="P12" s="17"/>
      <c r="Q12" s="16"/>
      <c r="R12" s="183"/>
      <c r="S12" s="77"/>
      <c r="T12" s="77"/>
      <c r="U12" s="77"/>
      <c r="V12" s="183"/>
      <c r="W12" s="77"/>
      <c r="X12" s="77"/>
      <c r="Y12" s="77"/>
      <c r="Z12" s="183"/>
      <c r="AA12" s="77"/>
      <c r="AB12" s="77"/>
      <c r="AC12" s="77"/>
      <c r="AD12" s="183"/>
      <c r="AE12" s="77">
        <v>1482</v>
      </c>
      <c r="AF12" s="77">
        <v>1408.2</v>
      </c>
      <c r="AG12" s="34">
        <v>1340.8</v>
      </c>
      <c r="AH12" s="183">
        <v>1420.3</v>
      </c>
      <c r="AI12" s="77">
        <v>1383.8</v>
      </c>
      <c r="AJ12" s="77">
        <v>1410.2</v>
      </c>
      <c r="AK12" s="34">
        <v>1398.7</v>
      </c>
      <c r="AL12" s="183">
        <v>1519.4</v>
      </c>
      <c r="AM12" s="77">
        <v>727</v>
      </c>
      <c r="AN12" s="77">
        <v>712.6</v>
      </c>
      <c r="AO12" s="34">
        <v>685.2</v>
      </c>
      <c r="AP12" s="183">
        <v>696.5</v>
      </c>
      <c r="AQ12" s="77">
        <v>671.8</v>
      </c>
      <c r="AR12" s="664">
        <v>545.79999999999995</v>
      </c>
      <c r="AS12" s="664">
        <v>517.5</v>
      </c>
      <c r="AT12" s="183">
        <v>527</v>
      </c>
      <c r="AU12" s="77">
        <v>527</v>
      </c>
      <c r="AV12" s="677">
        <v>520.5</v>
      </c>
      <c r="AW12" s="677">
        <v>597.9</v>
      </c>
      <c r="AX12" s="216">
        <v>644.6</v>
      </c>
      <c r="AY12" s="190">
        <v>685.3</v>
      </c>
      <c r="AZ12" s="677">
        <v>706.3</v>
      </c>
      <c r="BA12" s="677">
        <v>689.6</v>
      </c>
      <c r="BB12" s="216">
        <v>724.8</v>
      </c>
      <c r="BC12" s="190">
        <v>730.2</v>
      </c>
      <c r="BD12" s="677"/>
      <c r="BE12" s="677"/>
      <c r="BF12" s="216"/>
    </row>
    <row r="13" spans="1:483" s="7" customFormat="1" ht="20.149999999999999" customHeight="1">
      <c r="A13" s="27" t="s">
        <v>138</v>
      </c>
      <c r="B13" s="105" t="s">
        <v>139</v>
      </c>
      <c r="C13" s="17">
        <f>91.415</f>
        <v>91.415000000000006</v>
      </c>
      <c r="D13" s="30">
        <f>(95405)*0.001</f>
        <v>95.405000000000001</v>
      </c>
      <c r="E13" s="30">
        <f>(95323)*0.001</f>
        <v>95.323000000000008</v>
      </c>
      <c r="F13" s="183">
        <f>(97988)*0.001</f>
        <v>97.988</v>
      </c>
      <c r="G13" s="30">
        <f>(104074)*0.001</f>
        <v>104.074</v>
      </c>
      <c r="H13" s="30">
        <f>(115904)*0.001</f>
        <v>115.904</v>
      </c>
      <c r="I13" s="30">
        <f>(82162)*0.001</f>
        <v>82.162000000000006</v>
      </c>
      <c r="J13" s="183">
        <f>(71571)*0.001</f>
        <v>71.570999999999998</v>
      </c>
      <c r="K13" s="40">
        <f>(107548)*0.001</f>
        <v>107.548</v>
      </c>
      <c r="L13" s="21">
        <v>128.1</v>
      </c>
      <c r="M13" s="21">
        <v>148.80000000000001</v>
      </c>
      <c r="N13" s="183">
        <v>135.80000000000001</v>
      </c>
      <c r="O13" s="17">
        <v>158.69999999999999</v>
      </c>
      <c r="P13" s="17">
        <v>174.6</v>
      </c>
      <c r="Q13" s="21">
        <v>109</v>
      </c>
      <c r="R13" s="183">
        <v>145</v>
      </c>
      <c r="S13" s="77">
        <v>129.80000000000001</v>
      </c>
      <c r="T13" s="77">
        <v>156.19999999999999</v>
      </c>
      <c r="U13" s="77">
        <v>125.6</v>
      </c>
      <c r="V13" s="183">
        <v>151.80000000000001</v>
      </c>
      <c r="W13" s="77">
        <v>150</v>
      </c>
      <c r="X13" s="77">
        <v>167.3</v>
      </c>
      <c r="Y13" s="77">
        <v>180.5</v>
      </c>
      <c r="Z13" s="183">
        <v>170.1</v>
      </c>
      <c r="AA13" s="77">
        <v>170.1</v>
      </c>
      <c r="AB13" s="77">
        <v>211.1</v>
      </c>
      <c r="AC13" s="77">
        <v>584.29999999999995</v>
      </c>
      <c r="AD13" s="183">
        <v>503.8</v>
      </c>
      <c r="AE13" s="77">
        <v>474</v>
      </c>
      <c r="AF13" s="77">
        <v>517.5</v>
      </c>
      <c r="AG13" s="34">
        <v>445.4</v>
      </c>
      <c r="AH13" s="183">
        <v>402.6</v>
      </c>
      <c r="AI13" s="77">
        <v>330.4</v>
      </c>
      <c r="AJ13" s="77">
        <v>270.8</v>
      </c>
      <c r="AK13" s="34">
        <v>261.60000000000002</v>
      </c>
      <c r="AL13" s="183">
        <v>282.5</v>
      </c>
      <c r="AM13" s="77">
        <v>290.5</v>
      </c>
      <c r="AN13" s="77">
        <v>243.3</v>
      </c>
      <c r="AO13" s="34">
        <v>542.29999999999995</v>
      </c>
      <c r="AP13" s="183">
        <v>739.4</v>
      </c>
      <c r="AQ13" s="77">
        <v>460.9</v>
      </c>
      <c r="AR13" s="664">
        <v>606</v>
      </c>
      <c r="AS13" s="664">
        <v>442.8</v>
      </c>
      <c r="AT13" s="183">
        <v>501.8</v>
      </c>
      <c r="AU13" s="77">
        <v>372.3</v>
      </c>
      <c r="AV13" s="727">
        <v>342</v>
      </c>
      <c r="AW13" s="677">
        <v>327.9</v>
      </c>
      <c r="AX13" s="216">
        <v>304.8</v>
      </c>
      <c r="AY13" s="190">
        <v>285.89999999999998</v>
      </c>
      <c r="AZ13" s="727">
        <v>259.89999999999998</v>
      </c>
      <c r="BA13" s="677">
        <v>304.5</v>
      </c>
      <c r="BB13" s="216">
        <v>335.7</v>
      </c>
      <c r="BC13" s="190">
        <v>395</v>
      </c>
      <c r="BD13" s="727"/>
      <c r="BE13" s="677"/>
      <c r="BF13" s="216"/>
      <c r="BG13" s="717"/>
      <c r="BH13" s="717"/>
      <c r="BI13" s="716"/>
    </row>
    <row r="14" spans="1:483" s="7" customFormat="1" ht="20.149999999999999" customHeight="1">
      <c r="A14" s="27" t="s">
        <v>140</v>
      </c>
      <c r="B14" s="105" t="s">
        <v>141</v>
      </c>
      <c r="C14" s="17">
        <f>8.419</f>
        <v>8.4190000000000005</v>
      </c>
      <c r="D14" s="30">
        <f>(8398)*0.001</f>
        <v>8.3979999999999997</v>
      </c>
      <c r="E14" s="30">
        <f>(8378)*0.001</f>
        <v>8.3780000000000001</v>
      </c>
      <c r="F14" s="183">
        <f>(8357)*0.001</f>
        <v>8.3569999999999993</v>
      </c>
      <c r="G14" s="30">
        <f>(8336)*0.001</f>
        <v>8.3360000000000003</v>
      </c>
      <c r="H14" s="30">
        <f>(7788)*0.001</f>
        <v>7.7880000000000003</v>
      </c>
      <c r="I14" s="30">
        <f>(7427)*0.001</f>
        <v>7.4270000000000005</v>
      </c>
      <c r="J14" s="183">
        <f>(5330)*0.001</f>
        <v>5.33</v>
      </c>
      <c r="K14" s="40">
        <f>(5315)*0.001</f>
        <v>5.3150000000000004</v>
      </c>
      <c r="L14" s="21">
        <v>5.3</v>
      </c>
      <c r="M14" s="21">
        <v>5.3</v>
      </c>
      <c r="N14" s="183">
        <v>5.3</v>
      </c>
      <c r="O14" s="17">
        <v>5.2</v>
      </c>
      <c r="P14" s="17">
        <v>5.2</v>
      </c>
      <c r="Q14" s="21">
        <v>5.2</v>
      </c>
      <c r="R14" s="183">
        <v>5.2</v>
      </c>
      <c r="S14" s="77">
        <v>5.2</v>
      </c>
      <c r="T14" s="77">
        <v>5.2</v>
      </c>
      <c r="U14" s="77">
        <v>5.2</v>
      </c>
      <c r="V14" s="183">
        <v>5.0999999999999996</v>
      </c>
      <c r="W14" s="77">
        <v>5.0999999999999996</v>
      </c>
      <c r="X14" s="77">
        <v>5.0999999999999996</v>
      </c>
      <c r="Y14" s="77">
        <v>5.0999999999999996</v>
      </c>
      <c r="Z14" s="183">
        <v>5.0999999999999996</v>
      </c>
      <c r="AA14" s="77">
        <v>5.0999999999999996</v>
      </c>
      <c r="AB14" s="77">
        <v>30</v>
      </c>
      <c r="AC14" s="77">
        <v>29.9</v>
      </c>
      <c r="AD14" s="183">
        <v>29.9</v>
      </c>
      <c r="AE14" s="77">
        <v>29.7</v>
      </c>
      <c r="AF14" s="77">
        <v>29.6</v>
      </c>
      <c r="AG14" s="77">
        <v>29.5</v>
      </c>
      <c r="AH14" s="183">
        <v>29.4</v>
      </c>
      <c r="AI14" s="77">
        <v>29.3</v>
      </c>
      <c r="AJ14" s="77">
        <v>29.1</v>
      </c>
      <c r="AK14" s="77">
        <v>29</v>
      </c>
      <c r="AL14" s="183">
        <v>50</v>
      </c>
      <c r="AM14" s="77">
        <v>50.2</v>
      </c>
      <c r="AN14" s="77">
        <v>49.8</v>
      </c>
      <c r="AO14" s="77">
        <v>49.7</v>
      </c>
      <c r="AP14" s="183">
        <v>28.4</v>
      </c>
      <c r="AQ14" s="77">
        <v>28.3</v>
      </c>
      <c r="AR14" s="664">
        <v>1103.5</v>
      </c>
      <c r="AS14" s="664">
        <v>1107.0999999999999</v>
      </c>
      <c r="AT14" s="183">
        <v>647</v>
      </c>
      <c r="AU14" s="77">
        <v>652.4</v>
      </c>
      <c r="AV14" s="677">
        <v>594.1</v>
      </c>
      <c r="AW14" s="727">
        <v>579.79999999999995</v>
      </c>
      <c r="AX14" s="216">
        <v>700</v>
      </c>
      <c r="AY14" s="190">
        <v>694.9</v>
      </c>
      <c r="AZ14" s="677">
        <v>693.7</v>
      </c>
      <c r="BA14" s="727">
        <v>699.5</v>
      </c>
      <c r="BB14" s="216">
        <v>700.3</v>
      </c>
      <c r="BC14" s="190">
        <v>702.2</v>
      </c>
      <c r="BD14" s="677"/>
      <c r="BE14" s="727"/>
      <c r="BF14" s="216"/>
    </row>
    <row r="15" spans="1:483" s="7" customFormat="1" ht="20.149999999999999" customHeight="1">
      <c r="A15" s="27" t="s">
        <v>142</v>
      </c>
      <c r="B15" s="105" t="s">
        <v>143</v>
      </c>
      <c r="C15" s="45">
        <v>0</v>
      </c>
      <c r="D15" s="41">
        <f>(33259)*0.001</f>
        <v>33.259</v>
      </c>
      <c r="E15" s="41">
        <f>(33252)*0.001</f>
        <v>33.252000000000002</v>
      </c>
      <c r="F15" s="186">
        <f>(35125)*0.001</f>
        <v>35.125</v>
      </c>
      <c r="G15" s="41">
        <f>(34399)*0.001</f>
        <v>34.399000000000001</v>
      </c>
      <c r="H15" s="41">
        <f>(32935)*0.001</f>
        <v>32.935000000000002</v>
      </c>
      <c r="I15" s="41">
        <f>(29318)*0.001</f>
        <v>29.318000000000001</v>
      </c>
      <c r="J15" s="186">
        <f>(29551)*0.001</f>
        <v>29.551000000000002</v>
      </c>
      <c r="K15" s="42">
        <f>(26502)*0.001</f>
        <v>26.501999999999999</v>
      </c>
      <c r="L15" s="21">
        <v>46.2</v>
      </c>
      <c r="M15" s="21">
        <v>67</v>
      </c>
      <c r="N15" s="186">
        <v>81</v>
      </c>
      <c r="O15" s="17">
        <v>84.1</v>
      </c>
      <c r="P15" s="17">
        <v>82.3</v>
      </c>
      <c r="Q15" s="21">
        <v>81.2</v>
      </c>
      <c r="R15" s="186">
        <v>83.3</v>
      </c>
      <c r="S15" s="77">
        <v>81.099999999999994</v>
      </c>
      <c r="T15" s="77">
        <v>79.7</v>
      </c>
      <c r="U15" s="77">
        <v>80.400000000000006</v>
      </c>
      <c r="V15" s="186">
        <v>82.8</v>
      </c>
      <c r="W15" s="77">
        <v>83.8</v>
      </c>
      <c r="X15" s="77">
        <v>82.9</v>
      </c>
      <c r="Y15" s="77">
        <v>85.8</v>
      </c>
      <c r="Z15" s="186">
        <v>91.4</v>
      </c>
      <c r="AA15" s="77">
        <v>90.4</v>
      </c>
      <c r="AB15" s="77">
        <v>93</v>
      </c>
      <c r="AC15" s="77">
        <v>94.8</v>
      </c>
      <c r="AD15" s="186">
        <v>99.7</v>
      </c>
      <c r="AE15" s="77">
        <v>97.9</v>
      </c>
      <c r="AF15" s="77">
        <v>93.9</v>
      </c>
      <c r="AG15" s="77">
        <v>98.1</v>
      </c>
      <c r="AH15" s="186">
        <v>100.5</v>
      </c>
      <c r="AI15" s="77">
        <v>96</v>
      </c>
      <c r="AJ15" s="77">
        <v>91.1</v>
      </c>
      <c r="AK15" s="77">
        <v>94.9</v>
      </c>
      <c r="AL15" s="186">
        <v>93.5</v>
      </c>
      <c r="AM15" s="77">
        <v>90.6</v>
      </c>
      <c r="AN15" s="77">
        <v>82.1</v>
      </c>
      <c r="AO15" s="77">
        <v>77.099999999999994</v>
      </c>
      <c r="AP15" s="186">
        <v>73.5</v>
      </c>
      <c r="AQ15" s="77">
        <v>72.599999999999994</v>
      </c>
      <c r="AR15" s="664">
        <v>75</v>
      </c>
      <c r="AS15" s="664">
        <v>77.099999999999994</v>
      </c>
      <c r="AT15" s="186">
        <v>79.8</v>
      </c>
      <c r="AU15" s="77">
        <v>79.8</v>
      </c>
      <c r="AV15" s="677">
        <v>76.3</v>
      </c>
      <c r="AW15" s="677">
        <v>77.7</v>
      </c>
      <c r="AX15" s="216">
        <v>85</v>
      </c>
      <c r="AY15" s="190">
        <v>74.5</v>
      </c>
      <c r="AZ15" s="677">
        <v>75.400000000000006</v>
      </c>
      <c r="BA15" s="677">
        <v>77.7</v>
      </c>
      <c r="BB15" s="216">
        <v>92.2</v>
      </c>
      <c r="BC15" s="190">
        <v>96.6</v>
      </c>
      <c r="BD15" s="677"/>
      <c r="BE15" s="677"/>
      <c r="BF15" s="216"/>
    </row>
    <row r="16" spans="1:483" s="7" customFormat="1" ht="20.149999999999999" customHeight="1">
      <c r="A16" s="27" t="s">
        <v>144</v>
      </c>
      <c r="B16" s="108" t="s">
        <v>145</v>
      </c>
      <c r="C16" s="24">
        <v>0</v>
      </c>
      <c r="D16" s="24">
        <v>0</v>
      </c>
      <c r="E16" s="24">
        <v>0</v>
      </c>
      <c r="F16" s="187">
        <v>0</v>
      </c>
      <c r="G16" s="24">
        <v>0</v>
      </c>
      <c r="H16" s="24">
        <v>0</v>
      </c>
      <c r="I16" s="24">
        <v>0</v>
      </c>
      <c r="J16" s="187">
        <v>0</v>
      </c>
      <c r="K16" s="24">
        <v>0</v>
      </c>
      <c r="L16" s="24">
        <v>0</v>
      </c>
      <c r="M16" s="24">
        <v>0</v>
      </c>
      <c r="N16" s="187">
        <v>0</v>
      </c>
      <c r="O16" s="24">
        <v>0</v>
      </c>
      <c r="P16" s="24">
        <v>0</v>
      </c>
      <c r="Q16" s="24">
        <v>0</v>
      </c>
      <c r="R16" s="187">
        <v>0</v>
      </c>
      <c r="S16" s="77">
        <v>180.5</v>
      </c>
      <c r="T16" s="77">
        <v>0</v>
      </c>
      <c r="U16" s="77">
        <v>0</v>
      </c>
      <c r="V16" s="187">
        <v>0</v>
      </c>
      <c r="W16" s="77">
        <v>0</v>
      </c>
      <c r="X16" s="77">
        <v>0</v>
      </c>
      <c r="Y16" s="77">
        <v>0</v>
      </c>
      <c r="Z16" s="187">
        <v>0</v>
      </c>
      <c r="AA16" s="77">
        <v>0</v>
      </c>
      <c r="AB16" s="77">
        <v>0</v>
      </c>
      <c r="AC16" s="77">
        <v>0</v>
      </c>
      <c r="AD16" s="187">
        <v>0</v>
      </c>
      <c r="AE16" s="77">
        <v>0</v>
      </c>
      <c r="AF16" s="77">
        <v>0</v>
      </c>
      <c r="AG16" s="77">
        <v>0</v>
      </c>
      <c r="AH16" s="187">
        <v>0</v>
      </c>
      <c r="AI16" s="77">
        <v>0</v>
      </c>
      <c r="AJ16" s="77">
        <v>0</v>
      </c>
      <c r="AK16" s="77">
        <v>0</v>
      </c>
      <c r="AL16" s="187">
        <v>0</v>
      </c>
      <c r="AM16" s="77">
        <v>0</v>
      </c>
      <c r="AN16" s="77">
        <v>0</v>
      </c>
      <c r="AO16" s="77">
        <v>0</v>
      </c>
      <c r="AP16" s="187">
        <v>0</v>
      </c>
      <c r="AQ16" s="77">
        <v>0</v>
      </c>
      <c r="AR16" s="664">
        <v>0</v>
      </c>
      <c r="AS16" s="664">
        <v>0</v>
      </c>
      <c r="AT16" s="187">
        <v>0</v>
      </c>
      <c r="AU16" s="77">
        <v>0</v>
      </c>
      <c r="AV16" s="664">
        <v>0</v>
      </c>
      <c r="AW16" s="664">
        <v>0</v>
      </c>
      <c r="AX16" s="765">
        <v>0</v>
      </c>
      <c r="AY16" s="190">
        <v>0</v>
      </c>
      <c r="AZ16" s="664">
        <v>0</v>
      </c>
      <c r="BA16" s="664">
        <v>0</v>
      </c>
      <c r="BB16" s="765">
        <v>0</v>
      </c>
      <c r="BC16" s="190">
        <v>0</v>
      </c>
      <c r="BD16" s="664"/>
      <c r="BE16" s="664"/>
      <c r="BF16" s="765"/>
      <c r="BN16" s="716"/>
    </row>
    <row r="17" spans="1:60" s="7" customFormat="1" ht="20.149999999999999" customHeight="1">
      <c r="A17" s="27" t="s">
        <v>146</v>
      </c>
      <c r="B17" s="108" t="s">
        <v>147</v>
      </c>
      <c r="C17" s="24"/>
      <c r="D17" s="24"/>
      <c r="E17" s="24"/>
      <c r="F17" s="187"/>
      <c r="G17" s="24"/>
      <c r="H17" s="24"/>
      <c r="I17" s="24"/>
      <c r="J17" s="187"/>
      <c r="K17" s="24"/>
      <c r="L17" s="24"/>
      <c r="M17" s="24"/>
      <c r="N17" s="187"/>
      <c r="O17" s="24"/>
      <c r="P17" s="24"/>
      <c r="Q17" s="24"/>
      <c r="R17" s="187"/>
      <c r="S17" s="77"/>
      <c r="T17" s="77"/>
      <c r="U17" s="77"/>
      <c r="V17" s="187"/>
      <c r="W17" s="77"/>
      <c r="X17" s="77"/>
      <c r="Y17" s="77"/>
      <c r="Z17" s="187"/>
      <c r="AA17" s="77"/>
      <c r="AB17" s="77"/>
      <c r="AC17" s="77"/>
      <c r="AD17" s="582">
        <v>616.9</v>
      </c>
      <c r="AE17" s="77"/>
      <c r="AF17" s="77"/>
      <c r="AG17" s="77"/>
      <c r="AH17" s="582">
        <v>776.5</v>
      </c>
      <c r="AI17" s="77">
        <v>749.5</v>
      </c>
      <c r="AJ17" s="77">
        <v>747.8</v>
      </c>
      <c r="AK17" s="77">
        <v>791.7</v>
      </c>
      <c r="AL17" s="582">
        <v>832</v>
      </c>
      <c r="AM17" s="77">
        <v>797.7</v>
      </c>
      <c r="AN17" s="77">
        <v>774</v>
      </c>
      <c r="AO17" s="77">
        <v>751.8</v>
      </c>
      <c r="AP17" s="183">
        <v>777.1</v>
      </c>
      <c r="AQ17" s="77">
        <v>748.7</v>
      </c>
      <c r="AR17" s="664">
        <v>775.8</v>
      </c>
      <c r="AS17" s="664">
        <v>839.8</v>
      </c>
      <c r="AT17" s="183">
        <v>930</v>
      </c>
      <c r="AU17" s="190">
        <v>931.1</v>
      </c>
      <c r="AV17" s="677">
        <v>979.3</v>
      </c>
      <c r="AW17" s="677">
        <v>964.2</v>
      </c>
      <c r="AX17" s="216">
        <v>968.1</v>
      </c>
      <c r="AY17" s="190">
        <v>925.7</v>
      </c>
      <c r="AZ17" s="677">
        <v>878.5</v>
      </c>
      <c r="BA17" s="677">
        <v>891.3</v>
      </c>
      <c r="BB17" s="216">
        <v>903.8</v>
      </c>
      <c r="BC17" s="190">
        <v>866.8</v>
      </c>
      <c r="BD17" s="677"/>
      <c r="BE17" s="677"/>
      <c r="BF17" s="216"/>
    </row>
    <row r="18" spans="1:60" ht="20.149999999999999" customHeight="1">
      <c r="A18" s="638" t="s">
        <v>148</v>
      </c>
      <c r="B18" s="108" t="s">
        <v>149</v>
      </c>
      <c r="C18" s="202"/>
      <c r="D18" s="202"/>
      <c r="E18" s="202"/>
      <c r="F18" s="201"/>
      <c r="G18" s="202"/>
      <c r="H18" s="202"/>
      <c r="I18" s="202"/>
      <c r="J18" s="201"/>
      <c r="K18" s="202"/>
      <c r="L18" s="202"/>
      <c r="M18" s="202"/>
      <c r="N18" s="201"/>
      <c r="O18" s="202"/>
      <c r="P18" s="202"/>
      <c r="Q18" s="202"/>
      <c r="R18" s="201"/>
      <c r="S18" s="190"/>
      <c r="T18" s="190"/>
      <c r="U18" s="190"/>
      <c r="V18" s="201"/>
      <c r="W18" s="190"/>
      <c r="X18" s="190"/>
      <c r="Y18" s="190"/>
      <c r="Z18" s="201"/>
      <c r="AA18" s="190"/>
      <c r="AB18" s="190"/>
      <c r="AC18" s="190"/>
      <c r="AD18" s="201"/>
      <c r="AE18" s="190"/>
      <c r="AF18" s="190"/>
      <c r="AG18" s="190"/>
      <c r="AH18" s="201"/>
      <c r="AI18" s="190"/>
      <c r="AJ18" s="190"/>
      <c r="AK18" s="190"/>
      <c r="AL18" s="694"/>
      <c r="AM18" s="190"/>
      <c r="AN18" s="190"/>
      <c r="AO18" s="190"/>
      <c r="AP18" s="216">
        <v>57.1</v>
      </c>
      <c r="AQ18" s="190"/>
      <c r="AR18" s="668"/>
      <c r="AS18" s="668"/>
      <c r="AT18" s="216">
        <v>325.60000000000002</v>
      </c>
      <c r="AU18" s="190">
        <v>576.29999999999995</v>
      </c>
      <c r="AV18" s="677">
        <v>758.5</v>
      </c>
      <c r="AW18" s="677">
        <v>117.6</v>
      </c>
      <c r="AX18" s="216">
        <v>10.9</v>
      </c>
      <c r="AY18" s="190">
        <v>11</v>
      </c>
      <c r="AZ18" s="677">
        <v>2.7</v>
      </c>
      <c r="BA18" s="677">
        <v>2.8</v>
      </c>
      <c r="BB18" s="216">
        <v>2.2000000000000002</v>
      </c>
      <c r="BC18" s="190">
        <v>2.4</v>
      </c>
      <c r="BD18" s="677"/>
      <c r="BE18" s="677"/>
      <c r="BF18" s="216"/>
    </row>
    <row r="19" spans="1:60" ht="20.149999999999999" customHeight="1">
      <c r="A19" s="638" t="s">
        <v>150</v>
      </c>
      <c r="B19" s="108" t="s">
        <v>151</v>
      </c>
      <c r="C19" s="205">
        <f>92.159</f>
        <v>92.159000000000006</v>
      </c>
      <c r="D19" s="211">
        <f>(84770)*0.001</f>
        <v>84.77</v>
      </c>
      <c r="E19" s="211">
        <f>(116704)*0.001</f>
        <v>116.70400000000001</v>
      </c>
      <c r="F19" s="216">
        <f>(109642)*0.001</f>
        <v>109.642</v>
      </c>
      <c r="G19" s="211">
        <f>(62960)*0.001</f>
        <v>62.96</v>
      </c>
      <c r="H19" s="211">
        <f>(61422)*0.001</f>
        <v>61.422000000000004</v>
      </c>
      <c r="I19" s="211">
        <f>(27107)*0.001</f>
        <v>27.106999999999999</v>
      </c>
      <c r="J19" s="216">
        <f>(20803)*0.001</f>
        <v>20.803000000000001</v>
      </c>
      <c r="K19" s="217">
        <f>(6430)*0.001</f>
        <v>6.43</v>
      </c>
      <c r="L19" s="695">
        <v>107.4</v>
      </c>
      <c r="M19" s="695">
        <v>141.4</v>
      </c>
      <c r="N19" s="216">
        <v>198.5</v>
      </c>
      <c r="O19" s="205">
        <v>238</v>
      </c>
      <c r="P19" s="205">
        <v>232.8</v>
      </c>
      <c r="Q19" s="695">
        <v>232.7</v>
      </c>
      <c r="R19" s="216">
        <v>272.8</v>
      </c>
      <c r="S19" s="190">
        <v>295.39999999999998</v>
      </c>
      <c r="T19" s="190">
        <v>331.8</v>
      </c>
      <c r="U19" s="190">
        <v>373.3</v>
      </c>
      <c r="V19" s="216">
        <v>452</v>
      </c>
      <c r="W19" s="190">
        <v>476.3</v>
      </c>
      <c r="X19" s="190">
        <v>508.1</v>
      </c>
      <c r="Y19" s="190">
        <v>544.20000000000005</v>
      </c>
      <c r="Z19" s="216">
        <v>1270.7</v>
      </c>
      <c r="AA19" s="190">
        <v>1280.5999999999999</v>
      </c>
      <c r="AB19" s="190">
        <v>649.29999999999995</v>
      </c>
      <c r="AC19" s="190">
        <v>647.9</v>
      </c>
      <c r="AD19" s="216">
        <v>84.2</v>
      </c>
      <c r="AE19" s="190">
        <v>714.5</v>
      </c>
      <c r="AF19" s="190">
        <v>781.6</v>
      </c>
      <c r="AG19" s="190">
        <v>830.6</v>
      </c>
      <c r="AH19" s="216">
        <v>1315.8</v>
      </c>
      <c r="AI19" s="190">
        <v>1337.2</v>
      </c>
      <c r="AJ19" s="190">
        <v>1314.7</v>
      </c>
      <c r="AK19" s="190">
        <v>1329.2</v>
      </c>
      <c r="AL19" s="216">
        <v>1283.5999999999999</v>
      </c>
      <c r="AM19" s="190">
        <v>1330.6</v>
      </c>
      <c r="AN19" s="190">
        <v>1799.7</v>
      </c>
      <c r="AO19" s="190">
        <v>1820.5</v>
      </c>
      <c r="AP19" s="216">
        <v>1845.2</v>
      </c>
      <c r="AQ19" s="190">
        <v>2037.6</v>
      </c>
      <c r="AR19" s="668">
        <v>2659.2</v>
      </c>
      <c r="AS19" s="668">
        <v>2285.3000000000002</v>
      </c>
      <c r="AT19" s="696">
        <v>1918</v>
      </c>
      <c r="AU19" s="190">
        <v>1933.7</v>
      </c>
      <c r="AV19" s="678">
        <v>2028.6</v>
      </c>
      <c r="AW19" s="678">
        <v>746.3</v>
      </c>
      <c r="AX19" s="696">
        <v>702.8</v>
      </c>
      <c r="AY19" s="190">
        <v>741.7</v>
      </c>
      <c r="AZ19" s="678">
        <v>790.2</v>
      </c>
      <c r="BA19" s="678">
        <v>804.7</v>
      </c>
      <c r="BB19" s="696">
        <v>83.6</v>
      </c>
      <c r="BC19" s="190">
        <v>78.5</v>
      </c>
      <c r="BD19" s="678"/>
      <c r="BE19" s="678"/>
      <c r="BF19" s="696"/>
    </row>
    <row r="20" spans="1:60" s="745" customFormat="1" ht="26">
      <c r="A20" s="697" t="s">
        <v>152</v>
      </c>
      <c r="B20" s="757" t="s">
        <v>153</v>
      </c>
      <c r="C20" s="60"/>
      <c r="D20" s="60"/>
      <c r="E20" s="60"/>
      <c r="F20" s="698"/>
      <c r="G20" s="60"/>
      <c r="H20" s="60"/>
      <c r="I20" s="60"/>
      <c r="J20" s="188"/>
      <c r="K20" s="60"/>
      <c r="L20" s="60"/>
      <c r="M20" s="60"/>
      <c r="N20" s="188"/>
      <c r="O20" s="60"/>
      <c r="P20" s="60"/>
      <c r="Q20" s="60"/>
      <c r="R20" s="188"/>
      <c r="S20" s="60"/>
      <c r="T20" s="60"/>
      <c r="U20" s="60"/>
      <c r="V20" s="777">
        <v>0</v>
      </c>
      <c r="W20" s="60"/>
      <c r="X20" s="60"/>
      <c r="Y20" s="60"/>
      <c r="Z20" s="698">
        <v>665.2</v>
      </c>
      <c r="AA20" s="173">
        <v>681.2</v>
      </c>
      <c r="AB20" s="173">
        <v>40.4</v>
      </c>
      <c r="AC20" s="173">
        <v>36.9</v>
      </c>
      <c r="AD20" s="698">
        <v>43</v>
      </c>
      <c r="AE20" s="173">
        <v>41.3</v>
      </c>
      <c r="AF20" s="60">
        <v>67.5</v>
      </c>
      <c r="AG20" s="173">
        <v>66.2</v>
      </c>
      <c r="AH20" s="698">
        <v>1282.4000000000001</v>
      </c>
      <c r="AI20" s="173">
        <v>1306.0999999999999</v>
      </c>
      <c r="AJ20" s="173">
        <v>1284.0999999999999</v>
      </c>
      <c r="AK20" s="173">
        <v>1298.2</v>
      </c>
      <c r="AL20" s="698">
        <v>1257.8</v>
      </c>
      <c r="AM20" s="173">
        <v>1274.3</v>
      </c>
      <c r="AN20" s="173">
        <v>1740.2</v>
      </c>
      <c r="AO20" s="173">
        <v>1752.6</v>
      </c>
      <c r="AP20" s="584">
        <v>1764.4</v>
      </c>
      <c r="AQ20" s="173">
        <v>1774.8</v>
      </c>
      <c r="AR20" s="665">
        <v>2232.6999999999998</v>
      </c>
      <c r="AS20" s="665">
        <v>1786.1</v>
      </c>
      <c r="AT20" s="699">
        <v>1884.2</v>
      </c>
      <c r="AU20" s="173">
        <v>1904.6</v>
      </c>
      <c r="AV20" s="728">
        <v>1821.8</v>
      </c>
      <c r="AW20" s="728">
        <v>80.5</v>
      </c>
      <c r="AX20" s="768">
        <v>10.1</v>
      </c>
      <c r="AY20" s="173">
        <v>10.1</v>
      </c>
      <c r="AZ20" s="683">
        <v>10.199999999999999</v>
      </c>
      <c r="BA20" s="728">
        <v>9.4</v>
      </c>
      <c r="BB20" s="768">
        <v>0</v>
      </c>
      <c r="BC20" s="173">
        <v>0</v>
      </c>
      <c r="BD20" s="683"/>
      <c r="BE20" s="728"/>
      <c r="BF20" s="768"/>
    </row>
    <row r="21" spans="1:60" s="745" customFormat="1" ht="26">
      <c r="A21" s="697" t="s">
        <v>801</v>
      </c>
      <c r="B21" s="757" t="s">
        <v>802</v>
      </c>
      <c r="C21" s="60"/>
      <c r="D21" s="60"/>
      <c r="E21" s="60"/>
      <c r="F21" s="698"/>
      <c r="G21" s="60"/>
      <c r="H21" s="60"/>
      <c r="I21" s="60"/>
      <c r="J21" s="188"/>
      <c r="K21" s="60"/>
      <c r="L21" s="60"/>
      <c r="M21" s="60"/>
      <c r="N21" s="188"/>
      <c r="O21" s="60"/>
      <c r="P21" s="60"/>
      <c r="Q21" s="60"/>
      <c r="R21" s="188"/>
      <c r="S21" s="60"/>
      <c r="T21" s="60"/>
      <c r="U21" s="60"/>
      <c r="V21" s="777"/>
      <c r="W21" s="60"/>
      <c r="X21" s="60"/>
      <c r="Y21" s="60"/>
      <c r="Z21" s="698"/>
      <c r="AA21" s="173"/>
      <c r="AB21" s="173"/>
      <c r="AC21" s="173"/>
      <c r="AD21" s="698"/>
      <c r="AE21" s="78">
        <v>0</v>
      </c>
      <c r="AF21" s="78">
        <v>0</v>
      </c>
      <c r="AG21" s="78">
        <v>0</v>
      </c>
      <c r="AH21" s="778">
        <v>0</v>
      </c>
      <c r="AI21" s="78">
        <v>0</v>
      </c>
      <c r="AJ21" s="78">
        <v>0</v>
      </c>
      <c r="AK21" s="78">
        <v>0</v>
      </c>
      <c r="AL21" s="778">
        <v>0</v>
      </c>
      <c r="AM21" s="78">
        <v>0</v>
      </c>
      <c r="AN21" s="78">
        <v>0</v>
      </c>
      <c r="AO21" s="78">
        <v>0</v>
      </c>
      <c r="AP21" s="778">
        <v>0</v>
      </c>
      <c r="AQ21" s="78">
        <v>0</v>
      </c>
      <c r="AR21" s="667">
        <v>0</v>
      </c>
      <c r="AS21" s="667">
        <v>0</v>
      </c>
      <c r="AT21" s="779">
        <v>1.6</v>
      </c>
      <c r="AU21" s="78">
        <v>0</v>
      </c>
      <c r="AV21" s="667">
        <v>0</v>
      </c>
      <c r="AW21" s="728">
        <v>604.20000000000005</v>
      </c>
      <c r="AX21" s="768">
        <v>615.9</v>
      </c>
      <c r="AY21" s="173">
        <v>652.9</v>
      </c>
      <c r="AZ21" s="683">
        <v>678.4</v>
      </c>
      <c r="BA21" s="683">
        <v>735.9</v>
      </c>
      <c r="BB21" s="768">
        <v>5.5</v>
      </c>
      <c r="BC21" s="173">
        <v>5.6</v>
      </c>
      <c r="BD21" s="683"/>
      <c r="BE21" s="683"/>
      <c r="BF21" s="768"/>
    </row>
    <row r="22" spans="1:60" s="15" customFormat="1" ht="20.149999999999999" customHeight="1">
      <c r="A22" s="29" t="s">
        <v>154</v>
      </c>
      <c r="B22" s="109" t="s">
        <v>155</v>
      </c>
      <c r="C22" s="23">
        <v>0</v>
      </c>
      <c r="D22" s="23">
        <v>0</v>
      </c>
      <c r="E22" s="23">
        <v>0</v>
      </c>
      <c r="F22" s="439"/>
      <c r="G22" s="23">
        <v>0</v>
      </c>
      <c r="H22" s="23">
        <v>0</v>
      </c>
      <c r="I22" s="23">
        <v>0</v>
      </c>
      <c r="J22" s="189">
        <v>0</v>
      </c>
      <c r="K22" s="32">
        <v>0</v>
      </c>
      <c r="L22" s="23">
        <v>0</v>
      </c>
      <c r="M22" s="23">
        <v>0</v>
      </c>
      <c r="N22" s="189">
        <v>1.2</v>
      </c>
      <c r="O22" s="23">
        <v>0</v>
      </c>
      <c r="P22" s="23">
        <v>0</v>
      </c>
      <c r="Q22" s="23">
        <v>0</v>
      </c>
      <c r="R22" s="189">
        <v>6.9</v>
      </c>
      <c r="S22" s="78">
        <v>0.6</v>
      </c>
      <c r="T22" s="78">
        <v>0</v>
      </c>
      <c r="U22" s="78">
        <v>3.5</v>
      </c>
      <c r="V22" s="439">
        <v>9.5</v>
      </c>
      <c r="W22" s="78">
        <v>7.8</v>
      </c>
      <c r="X22" s="78">
        <v>4.9000000000000004</v>
      </c>
      <c r="Y22" s="78">
        <v>2.5</v>
      </c>
      <c r="Z22" s="439">
        <v>1.9</v>
      </c>
      <c r="AA22" s="78">
        <v>0.1</v>
      </c>
      <c r="AB22" s="78">
        <v>1.4</v>
      </c>
      <c r="AC22" s="78">
        <v>2.7</v>
      </c>
      <c r="AD22" s="448">
        <v>0</v>
      </c>
      <c r="AE22" s="78">
        <v>0</v>
      </c>
      <c r="AF22" s="78">
        <v>0</v>
      </c>
      <c r="AG22" s="78">
        <v>0.2</v>
      </c>
      <c r="AH22" s="439">
        <v>1.2</v>
      </c>
      <c r="AI22" s="78">
        <v>0</v>
      </c>
      <c r="AJ22" s="78">
        <v>0</v>
      </c>
      <c r="AK22" s="78">
        <v>0</v>
      </c>
      <c r="AL22" s="439">
        <v>0.4</v>
      </c>
      <c r="AM22" s="78">
        <v>2.9</v>
      </c>
      <c r="AN22" s="173">
        <v>4</v>
      </c>
      <c r="AO22" s="78">
        <v>6.5</v>
      </c>
      <c r="AP22" s="583">
        <v>23</v>
      </c>
      <c r="AQ22" s="173">
        <v>23</v>
      </c>
      <c r="AR22" s="665">
        <v>36.9</v>
      </c>
      <c r="AS22" s="665">
        <v>34.4</v>
      </c>
      <c r="AT22" s="692">
        <v>17.399999999999999</v>
      </c>
      <c r="AU22" s="173">
        <v>10.1</v>
      </c>
      <c r="AV22" s="683">
        <v>158.80000000000001</v>
      </c>
      <c r="AW22" s="683">
        <v>8.9</v>
      </c>
      <c r="AX22" s="768">
        <v>35.200000000000003</v>
      </c>
      <c r="AY22" s="173">
        <v>22.2</v>
      </c>
      <c r="AZ22" s="683">
        <v>42.1</v>
      </c>
      <c r="BA22" s="683">
        <v>22.9</v>
      </c>
      <c r="BB22" s="768">
        <v>40.200000000000003</v>
      </c>
      <c r="BC22" s="173">
        <v>29.5</v>
      </c>
      <c r="BD22" s="683"/>
      <c r="BE22" s="683"/>
      <c r="BF22" s="768"/>
    </row>
    <row r="23" spans="1:60" s="7" customFormat="1" ht="20.149999999999999" customHeight="1" thickBot="1">
      <c r="A23" s="27" t="s">
        <v>156</v>
      </c>
      <c r="B23" s="105" t="s">
        <v>157</v>
      </c>
      <c r="C23" s="17">
        <f>30.5</f>
        <v>30.5</v>
      </c>
      <c r="D23" s="30">
        <f>(40245)*0.001</f>
        <v>40.244999999999997</v>
      </c>
      <c r="E23" s="30">
        <f>(37018)*0.001</f>
        <v>37.018000000000001</v>
      </c>
      <c r="F23" s="183">
        <f>(31356)*0.001</f>
        <v>31.356000000000002</v>
      </c>
      <c r="G23" s="30">
        <f>(30260)*0.001</f>
        <v>30.26</v>
      </c>
      <c r="H23" s="30">
        <f>(27326)*0.001</f>
        <v>27.326000000000001</v>
      </c>
      <c r="I23" s="30">
        <f>(27552)*0.001</f>
        <v>27.552</v>
      </c>
      <c r="J23" s="183">
        <f>(38854)*0.001</f>
        <v>38.853999999999999</v>
      </c>
      <c r="K23" s="40">
        <f>(34685)*0.001</f>
        <v>34.685000000000002</v>
      </c>
      <c r="L23" s="21">
        <v>240.5</v>
      </c>
      <c r="M23" s="21">
        <v>285.7</v>
      </c>
      <c r="N23" s="183">
        <v>281.10000000000002</v>
      </c>
      <c r="O23" s="17">
        <v>229</v>
      </c>
      <c r="P23" s="17">
        <v>260.89999999999998</v>
      </c>
      <c r="Q23" s="21">
        <v>107.2</v>
      </c>
      <c r="R23" s="183">
        <v>87.6</v>
      </c>
      <c r="S23" s="77">
        <v>211.3</v>
      </c>
      <c r="T23" s="77">
        <v>236.5</v>
      </c>
      <c r="U23" s="77">
        <v>238.4</v>
      </c>
      <c r="V23" s="183">
        <v>232.7</v>
      </c>
      <c r="W23" s="77">
        <v>249.3</v>
      </c>
      <c r="X23" s="77">
        <v>199.9</v>
      </c>
      <c r="Y23" s="77">
        <v>192.1</v>
      </c>
      <c r="Z23" s="183">
        <v>197.2</v>
      </c>
      <c r="AA23" s="77">
        <v>178.4</v>
      </c>
      <c r="AB23" s="77">
        <v>216</v>
      </c>
      <c r="AC23" s="77">
        <v>213</v>
      </c>
      <c r="AD23" s="183">
        <v>259.7</v>
      </c>
      <c r="AE23" s="77">
        <v>258.2</v>
      </c>
      <c r="AF23" s="77">
        <v>260.5</v>
      </c>
      <c r="AG23" s="77">
        <v>267.3</v>
      </c>
      <c r="AH23" s="183">
        <v>241.2</v>
      </c>
      <c r="AI23" s="77">
        <v>243.2</v>
      </c>
      <c r="AJ23" s="77">
        <v>260.7</v>
      </c>
      <c r="AK23" s="77">
        <v>242.5</v>
      </c>
      <c r="AL23" s="183">
        <v>223.2</v>
      </c>
      <c r="AM23" s="77">
        <v>158.6</v>
      </c>
      <c r="AN23" s="77">
        <v>106.6</v>
      </c>
      <c r="AO23" s="77">
        <v>119.2</v>
      </c>
      <c r="AP23" s="183">
        <v>80.2</v>
      </c>
      <c r="AQ23" s="190">
        <v>87.6</v>
      </c>
      <c r="AR23" s="664">
        <v>104.2</v>
      </c>
      <c r="AS23" s="664">
        <v>112.1</v>
      </c>
      <c r="AT23" s="691">
        <v>99.9</v>
      </c>
      <c r="AU23" s="190">
        <v>110.5</v>
      </c>
      <c r="AV23" s="729">
        <v>108.8</v>
      </c>
      <c r="AW23" s="729">
        <v>151.9</v>
      </c>
      <c r="AX23" s="696">
        <v>142.80000000000001</v>
      </c>
      <c r="AY23" s="190">
        <v>157.4</v>
      </c>
      <c r="AZ23" s="729">
        <v>158.19999999999999</v>
      </c>
      <c r="BA23" s="729">
        <v>170.5</v>
      </c>
      <c r="BB23" s="696">
        <v>180.5</v>
      </c>
      <c r="BC23" s="190">
        <v>184.5</v>
      </c>
      <c r="BD23" s="729"/>
      <c r="BE23" s="729"/>
      <c r="BF23" s="696"/>
    </row>
    <row r="24" spans="1:60" s="199" customFormat="1" ht="25.25" customHeight="1" thickBot="1">
      <c r="A24" s="373" t="s">
        <v>158</v>
      </c>
      <c r="B24" s="373" t="s">
        <v>159</v>
      </c>
      <c r="C24" s="374">
        <f t="shared" ref="C24:K24" si="0">(SUM(C6:C23))</f>
        <v>4228.9560000000001</v>
      </c>
      <c r="D24" s="375">
        <f t="shared" si="0"/>
        <v>4425.1450000000004</v>
      </c>
      <c r="E24" s="375">
        <f t="shared" si="0"/>
        <v>4456.701</v>
      </c>
      <c r="F24" s="376">
        <f t="shared" si="0"/>
        <v>4476.1480000000001</v>
      </c>
      <c r="G24" s="375">
        <f t="shared" si="0"/>
        <v>4424.8490000000011</v>
      </c>
      <c r="H24" s="375">
        <f t="shared" si="0"/>
        <v>4428.5439999999999</v>
      </c>
      <c r="I24" s="375">
        <f t="shared" si="0"/>
        <v>4436.0960000000005</v>
      </c>
      <c r="J24" s="376">
        <f t="shared" si="0"/>
        <v>4455.8450000000003</v>
      </c>
      <c r="K24" s="374">
        <f t="shared" si="0"/>
        <v>4454.3520000000008</v>
      </c>
      <c r="L24" s="375">
        <f>SUM(L6:L23)</f>
        <v>23391.8</v>
      </c>
      <c r="M24" s="375">
        <f>SUM(M6:M23)</f>
        <v>23581.399999999998</v>
      </c>
      <c r="N24" s="376">
        <f t="shared" ref="N24:Y24" si="1">(SUM(N6:N23))-N22</f>
        <v>23356.1</v>
      </c>
      <c r="O24" s="374">
        <f t="shared" si="1"/>
        <v>23132</v>
      </c>
      <c r="P24" s="375">
        <f t="shared" si="1"/>
        <v>22867.599999999999</v>
      </c>
      <c r="Q24" s="375">
        <f t="shared" si="1"/>
        <v>22396.3</v>
      </c>
      <c r="R24" s="376">
        <f t="shared" si="1"/>
        <v>22261.199999999997</v>
      </c>
      <c r="S24" s="374">
        <f t="shared" si="1"/>
        <v>24489.499999999996</v>
      </c>
      <c r="T24" s="375">
        <f t="shared" si="1"/>
        <v>24377.8</v>
      </c>
      <c r="U24" s="375">
        <f t="shared" si="1"/>
        <v>24047.600000000002</v>
      </c>
      <c r="V24" s="376">
        <f t="shared" si="1"/>
        <v>23958.899999999998</v>
      </c>
      <c r="W24" s="374">
        <f t="shared" si="1"/>
        <v>23642.099999999995</v>
      </c>
      <c r="X24" s="375">
        <f t="shared" si="1"/>
        <v>23454.6</v>
      </c>
      <c r="Y24" s="375">
        <f t="shared" si="1"/>
        <v>23215.999999999996</v>
      </c>
      <c r="Z24" s="376">
        <f>(SUM(Z6:Z23))-Z22-Z20</f>
        <v>23824.5</v>
      </c>
      <c r="AA24" s="374">
        <f>SUM(AA6:AA19,AA23)</f>
        <v>23530.6</v>
      </c>
      <c r="AB24" s="375">
        <f>SUM(AB6:AB19,AB23)</f>
        <v>24924.399999999998</v>
      </c>
      <c r="AC24" s="375">
        <f>SUM(AC6:AC19,AC23)</f>
        <v>25095.3</v>
      </c>
      <c r="AD24" s="376">
        <f>(SUM(AD6:AD23))-AD22-AD20</f>
        <v>25274.100000000002</v>
      </c>
      <c r="AE24" s="374">
        <f>SUM(AE6:AE19,AE23)</f>
        <v>26511.500000000004</v>
      </c>
      <c r="AF24" s="375">
        <f>SUM(AF6:AF19,AF23)</f>
        <v>26473.100000000002</v>
      </c>
      <c r="AG24" s="375">
        <f>SUM(AG6:AG19,AG23)</f>
        <v>26264.3</v>
      </c>
      <c r="AH24" s="376">
        <f>(SUM(AH6:AH23))-AH22-AH20</f>
        <v>27604.7</v>
      </c>
      <c r="AI24" s="374">
        <f>SUM(AI6:AI19,AI23)</f>
        <v>27318.900000000005</v>
      </c>
      <c r="AJ24" s="375">
        <f>SUM(AJ6:AJ19,AJ23)</f>
        <v>27109.599999999995</v>
      </c>
      <c r="AK24" s="375">
        <f>SUM(AK6:AK19,AK23)</f>
        <v>27531.8</v>
      </c>
      <c r="AL24" s="376">
        <f>(SUM(AL6:AL23))-AL22-AL20</f>
        <v>27837.800000000003</v>
      </c>
      <c r="AM24" s="374">
        <f>SUM(AM6:AM19,AM23)</f>
        <v>24265.799999999996</v>
      </c>
      <c r="AN24" s="375">
        <f>SUM(AN6:AN19,AN23)</f>
        <v>23560.399999999994</v>
      </c>
      <c r="AO24" s="375">
        <f>SUM(AO6:AO19,AO23)</f>
        <v>23929.499999999996</v>
      </c>
      <c r="AP24" s="376">
        <f>(SUM(AP6:AP23))-AP22-AP20</f>
        <v>24159.7</v>
      </c>
      <c r="AQ24" s="374">
        <f t="shared" ref="AQ24:BB24" si="2">SUM(AQ6:AQ19,AQ23)</f>
        <v>23871.599999999999</v>
      </c>
      <c r="AR24" s="666">
        <f t="shared" si="2"/>
        <v>25679.300000000003</v>
      </c>
      <c r="AS24" s="375">
        <f t="shared" si="2"/>
        <v>24938.499999999993</v>
      </c>
      <c r="AT24" s="375">
        <f t="shared" si="2"/>
        <v>25775.3</v>
      </c>
      <c r="AU24" s="374">
        <f t="shared" si="2"/>
        <v>25716.600000000002</v>
      </c>
      <c r="AV24" s="666">
        <f t="shared" si="2"/>
        <v>25712.899999999998</v>
      </c>
      <c r="AW24" s="375">
        <f t="shared" si="2"/>
        <v>26583.600000000002</v>
      </c>
      <c r="AX24" s="376">
        <f t="shared" si="2"/>
        <v>28149.199999999997</v>
      </c>
      <c r="AY24" s="374">
        <f t="shared" si="2"/>
        <v>28081.600000000002</v>
      </c>
      <c r="AZ24" s="666">
        <f t="shared" si="2"/>
        <v>28047.200000000008</v>
      </c>
      <c r="BA24" s="666">
        <f t="shared" si="2"/>
        <v>28428.100000000002</v>
      </c>
      <c r="BB24" s="376">
        <f t="shared" si="2"/>
        <v>28441.099999999995</v>
      </c>
      <c r="BC24" s="374">
        <f t="shared" ref="BC24" si="3">SUM(BC6:BC19,BC23)</f>
        <v>28521.500000000004</v>
      </c>
      <c r="BD24" s="666"/>
      <c r="BE24" s="666"/>
      <c r="BF24" s="376"/>
      <c r="BG24" s="776"/>
      <c r="BH24" s="776"/>
    </row>
    <row r="25" spans="1:60" s="8" customFormat="1" ht="20.149999999999999" customHeight="1">
      <c r="A25" s="27" t="s">
        <v>160</v>
      </c>
      <c r="B25" s="105" t="s">
        <v>161</v>
      </c>
      <c r="C25" s="17">
        <f>176.114</f>
        <v>176.114</v>
      </c>
      <c r="D25" s="30">
        <f>(167251)*0.001</f>
        <v>167.251</v>
      </c>
      <c r="E25" s="30">
        <f>(171461)*0.001</f>
        <v>171.46100000000001</v>
      </c>
      <c r="F25" s="183">
        <f>(141652)*0.001</f>
        <v>141.65200000000002</v>
      </c>
      <c r="G25" s="30">
        <f>(155399)*0.001</f>
        <v>155.399</v>
      </c>
      <c r="H25" s="30">
        <f>(170743)*0.001</f>
        <v>170.74299999999999</v>
      </c>
      <c r="I25" s="30">
        <f>(208533)*0.001</f>
        <v>208.53300000000002</v>
      </c>
      <c r="J25" s="183">
        <f>(181341)*0.001</f>
        <v>181.34100000000001</v>
      </c>
      <c r="K25" s="40">
        <f>(228936)*0.001</f>
        <v>228.93600000000001</v>
      </c>
      <c r="L25" s="21">
        <v>199.1</v>
      </c>
      <c r="M25" s="21">
        <v>172.6</v>
      </c>
      <c r="N25" s="183">
        <v>152.1</v>
      </c>
      <c r="O25" s="17">
        <v>163.1</v>
      </c>
      <c r="P25" s="17">
        <v>170.4</v>
      </c>
      <c r="Q25" s="21">
        <v>255.6</v>
      </c>
      <c r="R25" s="183">
        <v>192.2</v>
      </c>
      <c r="S25" s="77">
        <v>234.7</v>
      </c>
      <c r="T25" s="77">
        <v>163.5</v>
      </c>
      <c r="U25" s="77">
        <v>219.1</v>
      </c>
      <c r="V25" s="183">
        <v>192</v>
      </c>
      <c r="W25" s="77">
        <v>179.8</v>
      </c>
      <c r="X25" s="77">
        <v>214.3</v>
      </c>
      <c r="Y25" s="77">
        <v>243.6</v>
      </c>
      <c r="Z25" s="183">
        <v>251.7</v>
      </c>
      <c r="AA25" s="77">
        <v>256.60000000000002</v>
      </c>
      <c r="AB25" s="77">
        <v>353.2</v>
      </c>
      <c r="AC25" s="77">
        <v>544.5</v>
      </c>
      <c r="AD25" s="183">
        <v>543.20000000000005</v>
      </c>
      <c r="AE25" s="77">
        <v>539.79999999999995</v>
      </c>
      <c r="AF25" s="77">
        <v>538.9</v>
      </c>
      <c r="AG25" s="77">
        <v>552.6</v>
      </c>
      <c r="AH25" s="183">
        <v>512.29999999999995</v>
      </c>
      <c r="AI25" s="77">
        <v>535.20000000000005</v>
      </c>
      <c r="AJ25" s="77">
        <v>516.20000000000005</v>
      </c>
      <c r="AK25" s="77">
        <v>525.9</v>
      </c>
      <c r="AL25" s="183">
        <v>413.2</v>
      </c>
      <c r="AM25" s="77">
        <v>412.7</v>
      </c>
      <c r="AN25" s="77">
        <v>477</v>
      </c>
      <c r="AO25" s="77">
        <v>925.1</v>
      </c>
      <c r="AP25" s="183">
        <v>630.6</v>
      </c>
      <c r="AQ25" s="77">
        <v>826.8</v>
      </c>
      <c r="AR25" s="664">
        <v>678.2</v>
      </c>
      <c r="AS25" s="677">
        <v>829.1</v>
      </c>
      <c r="AT25" s="183">
        <v>699.2</v>
      </c>
      <c r="AU25" s="77">
        <v>769.8</v>
      </c>
      <c r="AV25" s="677">
        <v>722.8</v>
      </c>
      <c r="AW25" s="677">
        <v>752.1</v>
      </c>
      <c r="AX25" s="216">
        <v>678.2</v>
      </c>
      <c r="AY25" s="77">
        <v>674.5</v>
      </c>
      <c r="AZ25" s="677">
        <v>634.1</v>
      </c>
      <c r="BA25" s="677">
        <v>833.9</v>
      </c>
      <c r="BB25" s="216">
        <v>641</v>
      </c>
      <c r="BC25" s="77">
        <v>769.6</v>
      </c>
      <c r="BD25" s="677"/>
      <c r="BE25" s="677"/>
      <c r="BF25" s="216"/>
      <c r="BG25" s="801"/>
    </row>
    <row r="26" spans="1:60" s="8" customFormat="1" ht="20.149999999999999" customHeight="1">
      <c r="A26" s="27" t="s">
        <v>162</v>
      </c>
      <c r="B26" s="105" t="s">
        <v>163</v>
      </c>
      <c r="C26" s="17"/>
      <c r="D26" s="30"/>
      <c r="E26" s="30"/>
      <c r="F26" s="183"/>
      <c r="G26" s="30"/>
      <c r="H26" s="30"/>
      <c r="I26" s="30"/>
      <c r="J26" s="183"/>
      <c r="K26" s="40"/>
      <c r="L26" s="21"/>
      <c r="M26" s="21"/>
      <c r="N26" s="183"/>
      <c r="O26" s="17"/>
      <c r="P26" s="17"/>
      <c r="Q26" s="21"/>
      <c r="R26" s="183"/>
      <c r="S26" s="77"/>
      <c r="T26" s="77"/>
      <c r="U26" s="77"/>
      <c r="V26" s="183"/>
      <c r="W26" s="77"/>
      <c r="X26" s="77"/>
      <c r="Y26" s="77"/>
      <c r="Z26" s="183"/>
      <c r="AA26" s="77">
        <v>680.8</v>
      </c>
      <c r="AB26" s="77">
        <v>681.5</v>
      </c>
      <c r="AC26" s="77">
        <v>655.20000000000005</v>
      </c>
      <c r="AD26" s="183">
        <v>648.4</v>
      </c>
      <c r="AE26" s="77">
        <v>657.6</v>
      </c>
      <c r="AF26" s="77">
        <v>651.70000000000005</v>
      </c>
      <c r="AG26" s="77">
        <v>639.20000000000005</v>
      </c>
      <c r="AH26" s="183">
        <v>638.70000000000005</v>
      </c>
      <c r="AI26" s="77">
        <v>628.1</v>
      </c>
      <c r="AJ26" s="77">
        <v>592.5</v>
      </c>
      <c r="AK26" s="77">
        <v>567.5</v>
      </c>
      <c r="AL26" s="183">
        <v>537.70000000000005</v>
      </c>
      <c r="AM26" s="77">
        <v>505.6</v>
      </c>
      <c r="AN26" s="77">
        <v>476.2</v>
      </c>
      <c r="AO26" s="77">
        <v>438.7</v>
      </c>
      <c r="AP26" s="183">
        <v>418</v>
      </c>
      <c r="AQ26" s="77">
        <v>393.8</v>
      </c>
      <c r="AR26" s="664">
        <v>374.1</v>
      </c>
      <c r="AS26" s="677">
        <v>361.5</v>
      </c>
      <c r="AT26" s="183">
        <v>362.9</v>
      </c>
      <c r="AU26" s="77">
        <v>377.5</v>
      </c>
      <c r="AV26" s="677">
        <v>375.3</v>
      </c>
      <c r="AW26" s="677">
        <v>352.2</v>
      </c>
      <c r="AX26" s="216">
        <v>349</v>
      </c>
      <c r="AY26" s="77">
        <v>340.8</v>
      </c>
      <c r="AZ26" s="677">
        <v>336.6</v>
      </c>
      <c r="BA26" s="677">
        <v>337.7</v>
      </c>
      <c r="BB26" s="216">
        <v>342</v>
      </c>
      <c r="BC26" s="77">
        <v>338.5</v>
      </c>
      <c r="BD26" s="677"/>
      <c r="BE26" s="677"/>
      <c r="BF26" s="216"/>
      <c r="BG26" s="801"/>
    </row>
    <row r="27" spans="1:60" s="7" customFormat="1" ht="20.149999999999999" customHeight="1">
      <c r="A27" s="27" t="s">
        <v>164</v>
      </c>
      <c r="B27" s="105" t="s">
        <v>165</v>
      </c>
      <c r="C27" s="17">
        <f>185.376</f>
        <v>185.376</v>
      </c>
      <c r="D27" s="30">
        <f>(185528)*0.001</f>
        <v>185.52799999999999</v>
      </c>
      <c r="E27" s="30">
        <f>(177054)*0.001</f>
        <v>177.054</v>
      </c>
      <c r="F27" s="183">
        <f>(161974)*0.001</f>
        <v>161.97399999999999</v>
      </c>
      <c r="G27" s="30">
        <f>(150701)*0.001</f>
        <v>150.70099999999999</v>
      </c>
      <c r="H27" s="30">
        <f>(157445)*0.001</f>
        <v>157.44499999999999</v>
      </c>
      <c r="I27" s="30">
        <f>(155698)*0.001</f>
        <v>155.69800000000001</v>
      </c>
      <c r="J27" s="183">
        <f>(146771)*0.001</f>
        <v>146.77100000000002</v>
      </c>
      <c r="K27" s="40">
        <f>(163072)*0.001</f>
        <v>163.072</v>
      </c>
      <c r="L27" s="16">
        <v>343.8</v>
      </c>
      <c r="M27" s="16">
        <v>316.60000000000002</v>
      </c>
      <c r="N27" s="183">
        <v>301.39999999999998</v>
      </c>
      <c r="O27" s="17">
        <v>252.9</v>
      </c>
      <c r="P27" s="17">
        <v>261.7</v>
      </c>
      <c r="Q27" s="16">
        <v>264.10000000000002</v>
      </c>
      <c r="R27" s="183">
        <v>281</v>
      </c>
      <c r="S27" s="77">
        <v>260.2</v>
      </c>
      <c r="T27" s="77">
        <v>270</v>
      </c>
      <c r="U27" s="77">
        <v>281</v>
      </c>
      <c r="V27" s="183">
        <v>278.7</v>
      </c>
      <c r="W27" s="77">
        <v>237.2</v>
      </c>
      <c r="X27" s="77">
        <v>279</v>
      </c>
      <c r="Y27" s="77">
        <v>295.60000000000002</v>
      </c>
      <c r="Z27" s="183">
        <v>283.7</v>
      </c>
      <c r="AA27" s="76">
        <v>305.3</v>
      </c>
      <c r="AB27" s="77">
        <v>362.1</v>
      </c>
      <c r="AC27" s="77">
        <v>387.6</v>
      </c>
      <c r="AD27" s="183">
        <v>394</v>
      </c>
      <c r="AE27" s="76">
        <v>333.7</v>
      </c>
      <c r="AF27" s="77">
        <v>344.5</v>
      </c>
      <c r="AG27" s="77">
        <v>359.6</v>
      </c>
      <c r="AH27" s="183">
        <v>306.8</v>
      </c>
      <c r="AI27" s="76">
        <v>398.3</v>
      </c>
      <c r="AJ27" s="77">
        <v>502.8</v>
      </c>
      <c r="AK27" s="77">
        <v>409</v>
      </c>
      <c r="AL27" s="183">
        <v>299.39999999999998</v>
      </c>
      <c r="AM27" s="76">
        <v>359.8</v>
      </c>
      <c r="AN27" s="76">
        <v>439.1</v>
      </c>
      <c r="AO27" s="77">
        <v>515</v>
      </c>
      <c r="AP27" s="183">
        <v>595.70000000000005</v>
      </c>
      <c r="AQ27" s="76">
        <v>597.5</v>
      </c>
      <c r="AR27" s="76">
        <v>935.5</v>
      </c>
      <c r="AS27" s="677">
        <v>888.7</v>
      </c>
      <c r="AT27" s="183">
        <v>1162.4000000000001</v>
      </c>
      <c r="AU27" s="76">
        <v>1272.2</v>
      </c>
      <c r="AV27" s="678">
        <v>1269.8</v>
      </c>
      <c r="AW27" s="678">
        <v>1341</v>
      </c>
      <c r="AX27" s="216">
        <v>1215.5999999999999</v>
      </c>
      <c r="AY27" s="76">
        <v>1229.3</v>
      </c>
      <c r="AZ27" s="678">
        <v>1205.9000000000001</v>
      </c>
      <c r="BA27" s="678">
        <v>1106.0999999999999</v>
      </c>
      <c r="BB27" s="216">
        <v>1028</v>
      </c>
      <c r="BC27" s="76">
        <v>1041.2</v>
      </c>
      <c r="BD27" s="678"/>
      <c r="BE27" s="678"/>
      <c r="BF27" s="216"/>
    </row>
    <row r="28" spans="1:60" ht="20.149999999999999" customHeight="1">
      <c r="A28" s="638" t="s">
        <v>166</v>
      </c>
      <c r="B28" s="108" t="s">
        <v>167</v>
      </c>
      <c r="C28" s="205">
        <f>342.386</f>
        <v>342.38600000000002</v>
      </c>
      <c r="D28" s="211">
        <f>(382365)*0.001</f>
        <v>382.36500000000001</v>
      </c>
      <c r="E28" s="211">
        <f>(376949)*0.001</f>
        <v>376.94900000000001</v>
      </c>
      <c r="F28" s="216">
        <f>(375659)*0.001</f>
        <v>375.65899999999999</v>
      </c>
      <c r="G28" s="211">
        <f>(403593)*0.001</f>
        <v>403.59300000000002</v>
      </c>
      <c r="H28" s="211">
        <f>(410902)*0.001</f>
        <v>410.90199999999999</v>
      </c>
      <c r="I28" s="211">
        <f>(401503)*0.001</f>
        <v>401.50299999999999</v>
      </c>
      <c r="J28" s="216">
        <f>(374424)*0.001</f>
        <v>374.42400000000004</v>
      </c>
      <c r="K28" s="217">
        <f>(398589)*0.001</f>
        <v>398.589</v>
      </c>
      <c r="L28" s="208">
        <v>1374.4</v>
      </c>
      <c r="M28" s="208">
        <v>1369.9</v>
      </c>
      <c r="N28" s="216">
        <v>1453.4</v>
      </c>
      <c r="O28" s="205">
        <v>1599.5</v>
      </c>
      <c r="P28" s="205">
        <v>1988.6</v>
      </c>
      <c r="Q28" s="208">
        <v>1699.4</v>
      </c>
      <c r="R28" s="216">
        <v>1619.1</v>
      </c>
      <c r="S28" s="190">
        <v>1503.9</v>
      </c>
      <c r="T28" s="190">
        <v>1541.1</v>
      </c>
      <c r="U28" s="190">
        <v>1571.8</v>
      </c>
      <c r="V28" s="216">
        <v>1688</v>
      </c>
      <c r="W28" s="190">
        <v>1608.5</v>
      </c>
      <c r="X28" s="190">
        <v>1727</v>
      </c>
      <c r="Y28" s="190">
        <v>1758.5</v>
      </c>
      <c r="Z28" s="216">
        <v>1983.2</v>
      </c>
      <c r="AA28" s="190">
        <v>1990.7</v>
      </c>
      <c r="AB28" s="190">
        <v>2161.3000000000002</v>
      </c>
      <c r="AC28" s="190">
        <v>2197.3000000000002</v>
      </c>
      <c r="AD28" s="216">
        <v>2370.4</v>
      </c>
      <c r="AE28" s="190">
        <v>2334.6999999999998</v>
      </c>
      <c r="AF28" s="190">
        <v>2284.4</v>
      </c>
      <c r="AG28" s="190">
        <v>2291.6</v>
      </c>
      <c r="AH28" s="216">
        <v>2511.6</v>
      </c>
      <c r="AI28" s="190">
        <v>2335.9</v>
      </c>
      <c r="AJ28" s="190">
        <v>2298.1</v>
      </c>
      <c r="AK28" s="190">
        <v>2348.1999999999998</v>
      </c>
      <c r="AL28" s="216">
        <v>2390.4</v>
      </c>
      <c r="AM28" s="190">
        <v>2387.4</v>
      </c>
      <c r="AN28" s="190">
        <v>2441.5</v>
      </c>
      <c r="AO28" s="190">
        <v>2413.9</v>
      </c>
      <c r="AP28" s="216">
        <v>2435</v>
      </c>
      <c r="AQ28" s="700">
        <v>2424.3000000000002</v>
      </c>
      <c r="AR28" s="700">
        <v>2623.1</v>
      </c>
      <c r="AS28" s="700">
        <v>2669.6</v>
      </c>
      <c r="AT28" s="216">
        <v>2751.3</v>
      </c>
      <c r="AU28" s="700">
        <v>2614.1999999999998</v>
      </c>
      <c r="AV28" s="678">
        <v>2565.5</v>
      </c>
      <c r="AW28" s="678">
        <v>3022.5</v>
      </c>
      <c r="AX28" s="216">
        <v>2947.1</v>
      </c>
      <c r="AY28" s="700">
        <v>2914.1</v>
      </c>
      <c r="AZ28" s="678">
        <v>3007</v>
      </c>
      <c r="BA28" s="678">
        <v>2910.3</v>
      </c>
      <c r="BB28" s="216">
        <v>3052.7</v>
      </c>
      <c r="BC28" s="700">
        <v>3072.7</v>
      </c>
      <c r="BD28" s="678"/>
      <c r="BE28" s="678"/>
      <c r="BF28" s="216"/>
    </row>
    <row r="29" spans="1:60" ht="20.149999999999999" customHeight="1">
      <c r="A29" s="638" t="s">
        <v>168</v>
      </c>
      <c r="B29" s="108" t="s">
        <v>169</v>
      </c>
      <c r="C29" s="205">
        <f>1.102</f>
        <v>1.1020000000000001</v>
      </c>
      <c r="D29" s="220">
        <f>0</f>
        <v>0</v>
      </c>
      <c r="E29" s="220">
        <f>0</f>
        <v>0</v>
      </c>
      <c r="F29" s="219">
        <f>0</f>
        <v>0</v>
      </c>
      <c r="G29" s="220">
        <f>0</f>
        <v>0</v>
      </c>
      <c r="H29" s="220">
        <f>0</f>
        <v>0</v>
      </c>
      <c r="I29" s="220">
        <f>0</f>
        <v>0</v>
      </c>
      <c r="J29" s="219">
        <v>0</v>
      </c>
      <c r="K29" s="221">
        <v>0</v>
      </c>
      <c r="L29" s="202">
        <v>0</v>
      </c>
      <c r="M29" s="202">
        <v>0</v>
      </c>
      <c r="N29" s="219" t="e">
        <f>0*($A$88)</f>
        <v>#VALUE!</v>
      </c>
      <c r="O29" s="220" t="e">
        <f>0*($A$88)</f>
        <v>#VALUE!</v>
      </c>
      <c r="P29" s="220">
        <v>0</v>
      </c>
      <c r="Q29" s="202">
        <v>0</v>
      </c>
      <c r="R29" s="219">
        <v>0</v>
      </c>
      <c r="S29" s="701">
        <v>0</v>
      </c>
      <c r="T29" s="701">
        <v>0</v>
      </c>
      <c r="U29" s="701">
        <v>0</v>
      </c>
      <c r="V29" s="219">
        <v>0</v>
      </c>
      <c r="W29" s="701">
        <v>0</v>
      </c>
      <c r="X29" s="701">
        <v>0</v>
      </c>
      <c r="Y29" s="701">
        <v>0</v>
      </c>
      <c r="Z29" s="219">
        <v>0</v>
      </c>
      <c r="AA29" s="190">
        <v>0</v>
      </c>
      <c r="AB29" s="702">
        <v>0</v>
      </c>
      <c r="AC29" s="190">
        <v>0</v>
      </c>
      <c r="AD29" s="219">
        <v>0</v>
      </c>
      <c r="AE29" s="190">
        <v>0</v>
      </c>
      <c r="AF29" s="701">
        <v>0</v>
      </c>
      <c r="AG29" s="190">
        <v>0</v>
      </c>
      <c r="AH29" s="219">
        <v>0</v>
      </c>
      <c r="AI29" s="190">
        <v>0</v>
      </c>
      <c r="AJ29" s="701">
        <v>0</v>
      </c>
      <c r="AK29" s="190">
        <v>0</v>
      </c>
      <c r="AL29" s="219">
        <v>0</v>
      </c>
      <c r="AM29" s="190">
        <v>0</v>
      </c>
      <c r="AN29" s="190">
        <v>0</v>
      </c>
      <c r="AO29" s="190">
        <v>0</v>
      </c>
      <c r="AP29" s="216">
        <v>15.3</v>
      </c>
      <c r="AQ29" s="703">
        <v>0</v>
      </c>
      <c r="AR29" s="704">
        <v>0</v>
      </c>
      <c r="AS29" s="704">
        <v>0</v>
      </c>
      <c r="AT29" s="216">
        <v>250.5</v>
      </c>
      <c r="AU29" s="700">
        <v>86.2</v>
      </c>
      <c r="AV29" s="677">
        <v>19.3</v>
      </c>
      <c r="AW29" s="677">
        <v>19.399999999999999</v>
      </c>
      <c r="AX29" s="216">
        <v>116.2</v>
      </c>
      <c r="AY29" s="700">
        <v>117.7</v>
      </c>
      <c r="AZ29" s="677">
        <v>13.4</v>
      </c>
      <c r="BA29" s="677">
        <v>22.3</v>
      </c>
      <c r="BB29" s="216">
        <v>22.8</v>
      </c>
      <c r="BC29" s="700">
        <v>23.1</v>
      </c>
      <c r="BD29" s="677"/>
      <c r="BE29" s="677"/>
      <c r="BF29" s="216"/>
    </row>
    <row r="30" spans="1:60" s="7" customFormat="1" ht="20.149999999999999" customHeight="1">
      <c r="A30" s="27" t="s">
        <v>170</v>
      </c>
      <c r="B30" s="105" t="s">
        <v>171</v>
      </c>
      <c r="C30" s="17">
        <f>9.894</f>
        <v>9.8940000000000001</v>
      </c>
      <c r="D30" s="30">
        <f>(263)*0.001</f>
        <v>0.26300000000000001</v>
      </c>
      <c r="E30" s="30">
        <f>(321)*0.001</f>
        <v>0.32100000000000001</v>
      </c>
      <c r="F30" s="183">
        <f>(6494)*0.001</f>
        <v>6.4939999999999998</v>
      </c>
      <c r="G30" s="30">
        <f>(1372)*0.001</f>
        <v>1.3720000000000001</v>
      </c>
      <c r="H30" s="30">
        <f>(1952)*0.001</f>
        <v>1.952</v>
      </c>
      <c r="I30" s="30">
        <f>(1195)*0.001</f>
        <v>1.1950000000000001</v>
      </c>
      <c r="J30" s="183">
        <f>(183)*0.001</f>
        <v>0.183</v>
      </c>
      <c r="K30" s="40">
        <f>(365)*0.001</f>
        <v>0.36499999999999999</v>
      </c>
      <c r="L30" s="16">
        <v>28</v>
      </c>
      <c r="M30" s="16">
        <v>26</v>
      </c>
      <c r="N30" s="183">
        <v>26</v>
      </c>
      <c r="O30" s="17">
        <v>28.9</v>
      </c>
      <c r="P30" s="17">
        <v>1.5</v>
      </c>
      <c r="Q30" s="16">
        <v>0.7</v>
      </c>
      <c r="R30" s="183">
        <v>0.7</v>
      </c>
      <c r="S30" s="77">
        <v>1.9</v>
      </c>
      <c r="T30" s="77">
        <v>1.4</v>
      </c>
      <c r="U30" s="77">
        <v>0.9</v>
      </c>
      <c r="V30" s="183">
        <v>29.1</v>
      </c>
      <c r="W30" s="77">
        <v>30.3</v>
      </c>
      <c r="X30" s="77">
        <v>17</v>
      </c>
      <c r="Y30" s="77">
        <v>25.3</v>
      </c>
      <c r="Z30" s="183">
        <v>1.3</v>
      </c>
      <c r="AA30" s="77">
        <v>55.8</v>
      </c>
      <c r="AB30" s="77">
        <v>68.7</v>
      </c>
      <c r="AC30" s="77">
        <v>65.400000000000006</v>
      </c>
      <c r="AD30" s="183">
        <v>34.6</v>
      </c>
      <c r="AE30" s="77">
        <v>36.799999999999997</v>
      </c>
      <c r="AF30" s="77">
        <v>5.6</v>
      </c>
      <c r="AG30" s="77">
        <v>4.5</v>
      </c>
      <c r="AH30" s="183">
        <v>4.8</v>
      </c>
      <c r="AI30" s="77">
        <v>7.1</v>
      </c>
      <c r="AJ30" s="77">
        <v>4.7</v>
      </c>
      <c r="AK30" s="77">
        <v>4.8</v>
      </c>
      <c r="AL30" s="183">
        <v>9</v>
      </c>
      <c r="AM30" s="77">
        <v>9.4</v>
      </c>
      <c r="AN30" s="77">
        <v>11.8</v>
      </c>
      <c r="AO30" s="77">
        <v>4.5999999999999996</v>
      </c>
      <c r="AP30" s="183">
        <v>4.5</v>
      </c>
      <c r="AQ30" s="77">
        <v>15.2</v>
      </c>
      <c r="AR30" s="664">
        <v>16.600000000000001</v>
      </c>
      <c r="AS30" s="679">
        <v>3.6</v>
      </c>
      <c r="AT30" s="183">
        <v>5</v>
      </c>
      <c r="AU30" s="77">
        <v>5.8</v>
      </c>
      <c r="AV30" s="677">
        <v>9.1</v>
      </c>
      <c r="AW30" s="677">
        <v>1.3</v>
      </c>
      <c r="AX30" s="216">
        <v>20</v>
      </c>
      <c r="AY30" s="77">
        <v>28</v>
      </c>
      <c r="AZ30" s="677">
        <v>25.3</v>
      </c>
      <c r="BA30" s="677">
        <v>3.5</v>
      </c>
      <c r="BB30" s="216">
        <v>34.299999999999997</v>
      </c>
      <c r="BC30" s="77">
        <v>51.1</v>
      </c>
      <c r="BD30" s="677"/>
      <c r="BE30" s="677"/>
      <c r="BF30" s="216"/>
    </row>
    <row r="31" spans="1:60" s="7" customFormat="1" ht="20.149999999999999" customHeight="1">
      <c r="A31" s="27" t="s">
        <v>172</v>
      </c>
      <c r="B31" s="105" t="s">
        <v>173</v>
      </c>
      <c r="C31" s="18">
        <v>0</v>
      </c>
      <c r="D31" s="30">
        <f>(53916)*0.001</f>
        <v>53.916000000000004</v>
      </c>
      <c r="E31" s="30">
        <f>(54038)*0.001</f>
        <v>54.038000000000004</v>
      </c>
      <c r="F31" s="183">
        <f>(57096)*0.001</f>
        <v>57.096000000000004</v>
      </c>
      <c r="G31" s="30">
        <f>(60035)*0.001</f>
        <v>60.035000000000004</v>
      </c>
      <c r="H31" s="30">
        <f>(63564)*0.001</f>
        <v>63.564</v>
      </c>
      <c r="I31" s="30">
        <f>(65852)*0.001</f>
        <v>65.852000000000004</v>
      </c>
      <c r="J31" s="183">
        <f>(70055)*0.001</f>
        <v>70.055000000000007</v>
      </c>
      <c r="K31" s="40">
        <f>(70958)*0.001</f>
        <v>70.957999999999998</v>
      </c>
      <c r="L31" s="16">
        <v>91.2</v>
      </c>
      <c r="M31" s="16">
        <v>117.3</v>
      </c>
      <c r="N31" s="183">
        <v>141.69999999999999</v>
      </c>
      <c r="O31" s="17">
        <v>165.3</v>
      </c>
      <c r="P31" s="17">
        <v>186.1</v>
      </c>
      <c r="Q31" s="16">
        <v>200.4</v>
      </c>
      <c r="R31" s="183">
        <v>212.7</v>
      </c>
      <c r="S31" s="77">
        <v>213.3</v>
      </c>
      <c r="T31" s="77">
        <v>209.1</v>
      </c>
      <c r="U31" s="77">
        <v>207.6</v>
      </c>
      <c r="V31" s="183">
        <v>207.2</v>
      </c>
      <c r="W31" s="77">
        <v>205.7</v>
      </c>
      <c r="X31" s="77">
        <v>202.3</v>
      </c>
      <c r="Y31" s="77">
        <v>203.5</v>
      </c>
      <c r="Z31" s="183">
        <v>207.9</v>
      </c>
      <c r="AA31" s="77">
        <v>206.9</v>
      </c>
      <c r="AB31" s="77">
        <v>230.1</v>
      </c>
      <c r="AC31" s="77">
        <v>230.1</v>
      </c>
      <c r="AD31" s="183">
        <v>218.5</v>
      </c>
      <c r="AE31" s="77">
        <v>221.6</v>
      </c>
      <c r="AF31" s="77">
        <v>221.7</v>
      </c>
      <c r="AG31" s="77">
        <v>227.5</v>
      </c>
      <c r="AH31" s="183">
        <v>225.7</v>
      </c>
      <c r="AI31" s="77">
        <v>222.1</v>
      </c>
      <c r="AJ31" s="77">
        <v>221.4</v>
      </c>
      <c r="AK31" s="77">
        <v>218.5</v>
      </c>
      <c r="AL31" s="183">
        <v>222.4</v>
      </c>
      <c r="AM31" s="77">
        <v>222.9</v>
      </c>
      <c r="AN31" s="77">
        <v>222.5</v>
      </c>
      <c r="AO31" s="77">
        <v>223.8</v>
      </c>
      <c r="AP31" s="183">
        <v>226.8</v>
      </c>
      <c r="AQ31" s="77">
        <v>221.2</v>
      </c>
      <c r="AR31" s="664">
        <v>220</v>
      </c>
      <c r="AS31" s="677">
        <v>216.6</v>
      </c>
      <c r="AT31" s="183">
        <v>217.3</v>
      </c>
      <c r="AU31" s="77">
        <v>214.8</v>
      </c>
      <c r="AV31" s="677">
        <v>213.5</v>
      </c>
      <c r="AW31" s="677">
        <v>226.3</v>
      </c>
      <c r="AX31" s="216">
        <v>227.4</v>
      </c>
      <c r="AY31" s="77">
        <v>241</v>
      </c>
      <c r="AZ31" s="677">
        <v>244.1</v>
      </c>
      <c r="BA31" s="677">
        <v>251.8</v>
      </c>
      <c r="BB31" s="216">
        <v>245.4</v>
      </c>
      <c r="BC31" s="77">
        <v>238.3</v>
      </c>
      <c r="BD31" s="677"/>
      <c r="BE31" s="677"/>
      <c r="BF31" s="216"/>
    </row>
    <row r="32" spans="1:60" s="7" customFormat="1" ht="20.149999999999999" customHeight="1">
      <c r="A32" s="27" t="s">
        <v>174</v>
      </c>
      <c r="B32" s="105" t="s">
        <v>175</v>
      </c>
      <c r="C32" s="17">
        <f>136.299</f>
        <v>136.29900000000001</v>
      </c>
      <c r="D32" s="30">
        <f>(73814)*0.001</f>
        <v>73.814000000000007</v>
      </c>
      <c r="E32" s="30">
        <f>(53239)*0.001</f>
        <v>53.239000000000004</v>
      </c>
      <c r="F32" s="183">
        <f>(71968)*0.001</f>
        <v>71.968000000000004</v>
      </c>
      <c r="G32" s="30">
        <f>(109187)*0.001</f>
        <v>109.187</v>
      </c>
      <c r="H32" s="30">
        <f>(93754)*0.001</f>
        <v>93.754000000000005</v>
      </c>
      <c r="I32" s="30">
        <f>(113708)*0.001</f>
        <v>113.708</v>
      </c>
      <c r="J32" s="183">
        <f>(105360)*0.001</f>
        <v>105.36</v>
      </c>
      <c r="K32" s="40">
        <f>(106732)*0.001</f>
        <v>106.732</v>
      </c>
      <c r="L32" s="16">
        <v>221.9</v>
      </c>
      <c r="M32" s="16">
        <v>224.2</v>
      </c>
      <c r="N32" s="183">
        <v>160.1</v>
      </c>
      <c r="O32" s="17">
        <v>212.9</v>
      </c>
      <c r="P32" s="17">
        <v>226.2</v>
      </c>
      <c r="Q32" s="16">
        <v>255</v>
      </c>
      <c r="R32" s="183">
        <v>399.5</v>
      </c>
      <c r="S32" s="77">
        <v>69.599999999999994</v>
      </c>
      <c r="T32" s="77">
        <v>62.8</v>
      </c>
      <c r="U32" s="77">
        <v>54.9</v>
      </c>
      <c r="V32" s="183">
        <v>38.700000000000003</v>
      </c>
      <c r="W32" s="77">
        <v>72.3</v>
      </c>
      <c r="X32" s="77">
        <v>60.7</v>
      </c>
      <c r="Y32" s="77">
        <v>61.7</v>
      </c>
      <c r="Z32" s="183">
        <v>31.7</v>
      </c>
      <c r="AA32" s="77">
        <v>70.2</v>
      </c>
      <c r="AB32" s="77">
        <v>82.5</v>
      </c>
      <c r="AC32" s="77">
        <v>56.8</v>
      </c>
      <c r="AD32" s="183">
        <v>34.9</v>
      </c>
      <c r="AE32" s="77">
        <v>71.099999999999994</v>
      </c>
      <c r="AF32" s="77">
        <v>55.5</v>
      </c>
      <c r="AG32" s="77">
        <v>52.2</v>
      </c>
      <c r="AH32" s="183">
        <v>31.9</v>
      </c>
      <c r="AI32" s="77">
        <v>72.3</v>
      </c>
      <c r="AJ32" s="77">
        <v>57</v>
      </c>
      <c r="AK32" s="77">
        <v>44.2</v>
      </c>
      <c r="AL32" s="183">
        <v>39.299999999999997</v>
      </c>
      <c r="AM32" s="77">
        <v>57.7</v>
      </c>
      <c r="AN32" s="77">
        <v>44.2</v>
      </c>
      <c r="AO32" s="77">
        <v>44.5</v>
      </c>
      <c r="AP32" s="183">
        <v>107.1</v>
      </c>
      <c r="AQ32" s="77">
        <v>191.1</v>
      </c>
      <c r="AR32" s="664">
        <v>225.2</v>
      </c>
      <c r="AS32" s="677">
        <v>182.5</v>
      </c>
      <c r="AT32" s="183">
        <v>137.19999999999999</v>
      </c>
      <c r="AU32" s="77">
        <v>152.4</v>
      </c>
      <c r="AV32" s="677">
        <v>148.69999999999999</v>
      </c>
      <c r="AW32" s="727">
        <v>158.69999999999999</v>
      </c>
      <c r="AX32" s="216">
        <v>139.69999999999999</v>
      </c>
      <c r="AY32" s="77">
        <v>207</v>
      </c>
      <c r="AZ32" s="677">
        <v>177.6</v>
      </c>
      <c r="BA32" s="727">
        <v>177.9</v>
      </c>
      <c r="BB32" s="216">
        <v>970.3</v>
      </c>
      <c r="BC32" s="77">
        <v>208.4</v>
      </c>
      <c r="BD32" s="677"/>
      <c r="BE32" s="727"/>
      <c r="BF32" s="216"/>
    </row>
    <row r="33" spans="1:58" s="7" customFormat="1" ht="20.149999999999999" customHeight="1">
      <c r="A33" s="29" t="s">
        <v>783</v>
      </c>
      <c r="B33" s="109" t="s">
        <v>784</v>
      </c>
      <c r="C33" s="17"/>
      <c r="D33" s="30"/>
      <c r="E33" s="30"/>
      <c r="F33" s="183"/>
      <c r="G33" s="30"/>
      <c r="H33" s="30"/>
      <c r="I33" s="30"/>
      <c r="J33" s="183"/>
      <c r="K33" s="40"/>
      <c r="L33" s="16"/>
      <c r="M33" s="16"/>
      <c r="N33" s="183"/>
      <c r="O33" s="17"/>
      <c r="P33" s="17"/>
      <c r="Q33" s="16"/>
      <c r="R33" s="183"/>
      <c r="S33" s="77"/>
      <c r="T33" s="77"/>
      <c r="U33" s="77"/>
      <c r="V33" s="183"/>
      <c r="W33" s="77"/>
      <c r="X33" s="77"/>
      <c r="Y33" s="77"/>
      <c r="Z33" s="183"/>
      <c r="AA33" s="77"/>
      <c r="AB33" s="77"/>
      <c r="AC33" s="77"/>
      <c r="AD33" s="183"/>
      <c r="AE33" s="78">
        <v>0</v>
      </c>
      <c r="AF33" s="78">
        <v>0</v>
      </c>
      <c r="AG33" s="77">
        <v>0</v>
      </c>
      <c r="AH33" s="185">
        <v>0</v>
      </c>
      <c r="AI33" s="78">
        <v>0</v>
      </c>
      <c r="AJ33" s="78">
        <v>0</v>
      </c>
      <c r="AK33" s="77">
        <v>0</v>
      </c>
      <c r="AL33" s="185">
        <v>0</v>
      </c>
      <c r="AM33" s="78">
        <v>0</v>
      </c>
      <c r="AN33" s="78">
        <v>0</v>
      </c>
      <c r="AO33" s="77">
        <v>0</v>
      </c>
      <c r="AP33" s="185">
        <v>0</v>
      </c>
      <c r="AQ33" s="78">
        <v>0</v>
      </c>
      <c r="AR33" s="78">
        <v>0</v>
      </c>
      <c r="AS33" s="77">
        <v>0</v>
      </c>
      <c r="AT33" s="185">
        <v>0</v>
      </c>
      <c r="AU33" s="78">
        <v>0</v>
      </c>
      <c r="AV33" s="78">
        <v>0</v>
      </c>
      <c r="AW33" s="77">
        <v>0</v>
      </c>
      <c r="AX33" s="185">
        <v>0</v>
      </c>
      <c r="AY33" s="78">
        <v>0</v>
      </c>
      <c r="AZ33" s="78">
        <v>0</v>
      </c>
      <c r="BA33" s="77">
        <v>0</v>
      </c>
      <c r="BB33" s="698">
        <v>808.6</v>
      </c>
      <c r="BC33" s="78">
        <v>0</v>
      </c>
      <c r="BD33" s="78"/>
      <c r="BE33" s="77"/>
      <c r="BF33" s="698"/>
    </row>
    <row r="34" spans="1:58" s="15" customFormat="1" ht="20.149999999999999" customHeight="1">
      <c r="A34" s="29" t="s">
        <v>154</v>
      </c>
      <c r="B34" s="109" t="s">
        <v>176</v>
      </c>
      <c r="C34" s="18">
        <v>0</v>
      </c>
      <c r="D34" s="18">
        <f>0</f>
        <v>0</v>
      </c>
      <c r="E34" s="18">
        <v>0</v>
      </c>
      <c r="F34" s="185">
        <f>0</f>
        <v>0</v>
      </c>
      <c r="G34" s="18">
        <f>0</f>
        <v>0</v>
      </c>
      <c r="H34" s="18">
        <v>0</v>
      </c>
      <c r="I34" s="18">
        <f>0</f>
        <v>0</v>
      </c>
      <c r="J34" s="185">
        <v>0</v>
      </c>
      <c r="K34" s="31">
        <v>0</v>
      </c>
      <c r="L34" s="18" t="e">
        <f>0*($A$88)</f>
        <v>#VALUE!</v>
      </c>
      <c r="M34" s="18" t="e">
        <f>0*($A$88)</f>
        <v>#VALUE!</v>
      </c>
      <c r="N34" s="185">
        <v>22.2</v>
      </c>
      <c r="O34" s="22">
        <v>26.3</v>
      </c>
      <c r="P34" s="22">
        <v>27.3</v>
      </c>
      <c r="Q34" s="25">
        <v>3.8</v>
      </c>
      <c r="R34" s="185">
        <v>10.5</v>
      </c>
      <c r="S34" s="78">
        <v>0.2</v>
      </c>
      <c r="T34" s="78">
        <v>3.6</v>
      </c>
      <c r="U34" s="78">
        <v>4.8</v>
      </c>
      <c r="V34" s="185">
        <v>6.7</v>
      </c>
      <c r="W34" s="78">
        <v>4.9000000000000004</v>
      </c>
      <c r="X34" s="78">
        <v>5.3</v>
      </c>
      <c r="Y34" s="78">
        <v>6.4</v>
      </c>
      <c r="Z34" s="185">
        <v>5.0999999999999996</v>
      </c>
      <c r="AA34" s="78">
        <v>2.7</v>
      </c>
      <c r="AB34" s="78">
        <v>1.6</v>
      </c>
      <c r="AC34" s="78">
        <v>0.4</v>
      </c>
      <c r="AD34" s="185">
        <v>0</v>
      </c>
      <c r="AE34" s="78">
        <v>0</v>
      </c>
      <c r="AF34" s="78">
        <v>0</v>
      </c>
      <c r="AG34" s="77">
        <v>0</v>
      </c>
      <c r="AH34" s="185">
        <v>0.2</v>
      </c>
      <c r="AI34" s="78">
        <v>0</v>
      </c>
      <c r="AJ34" s="78">
        <v>0.2</v>
      </c>
      <c r="AK34" s="78">
        <v>0</v>
      </c>
      <c r="AL34" s="584">
        <v>2</v>
      </c>
      <c r="AM34" s="78">
        <v>1.6</v>
      </c>
      <c r="AN34" s="173">
        <v>1.6</v>
      </c>
      <c r="AO34" s="78">
        <v>3.6</v>
      </c>
      <c r="AP34" s="584">
        <v>60.9</v>
      </c>
      <c r="AQ34" s="173">
        <v>108.8</v>
      </c>
      <c r="AR34" s="665">
        <v>138.80000000000001</v>
      </c>
      <c r="AS34" s="683">
        <v>99.3</v>
      </c>
      <c r="AT34" s="583">
        <v>63.9</v>
      </c>
      <c r="AU34" s="173">
        <v>36.5</v>
      </c>
      <c r="AV34" s="683">
        <v>29.6</v>
      </c>
      <c r="AW34" s="751">
        <v>12</v>
      </c>
      <c r="AX34" s="698">
        <v>21.6</v>
      </c>
      <c r="AY34" s="173">
        <v>33.9</v>
      </c>
      <c r="AZ34" s="683">
        <v>39.200000000000003</v>
      </c>
      <c r="BA34" s="751">
        <v>36.4</v>
      </c>
      <c r="BB34" s="698">
        <v>40.4</v>
      </c>
      <c r="BC34" s="173">
        <v>38.200000000000003</v>
      </c>
      <c r="BD34" s="683"/>
      <c r="BE34" s="751"/>
      <c r="BF34" s="698"/>
    </row>
    <row r="35" spans="1:58" s="7" customFormat="1" ht="20.149999999999999" customHeight="1">
      <c r="A35" s="27" t="s">
        <v>177</v>
      </c>
      <c r="B35" s="105" t="s">
        <v>178</v>
      </c>
      <c r="C35" s="18">
        <v>0</v>
      </c>
      <c r="D35" s="18">
        <f>0</f>
        <v>0</v>
      </c>
      <c r="E35" s="18">
        <v>0</v>
      </c>
      <c r="F35" s="185">
        <v>0</v>
      </c>
      <c r="G35" s="18">
        <f>0</f>
        <v>0</v>
      </c>
      <c r="H35" s="18">
        <v>0</v>
      </c>
      <c r="I35" s="18">
        <f>0</f>
        <v>0</v>
      </c>
      <c r="J35" s="185">
        <v>0</v>
      </c>
      <c r="K35" s="31">
        <v>0</v>
      </c>
      <c r="L35" s="26">
        <v>270</v>
      </c>
      <c r="M35" s="26">
        <v>30</v>
      </c>
      <c r="N35" s="185" t="e">
        <f>0*($A$88)</f>
        <v>#VALUE!</v>
      </c>
      <c r="O35" s="17">
        <v>42.7</v>
      </c>
      <c r="P35" s="17">
        <v>43.1</v>
      </c>
      <c r="Q35" s="19">
        <v>0</v>
      </c>
      <c r="R35" s="185">
        <v>0</v>
      </c>
      <c r="S35" s="77">
        <v>12.4</v>
      </c>
      <c r="T35" s="77">
        <v>0</v>
      </c>
      <c r="U35" s="77">
        <v>0</v>
      </c>
      <c r="V35" s="185">
        <v>0</v>
      </c>
      <c r="W35" s="77">
        <v>0</v>
      </c>
      <c r="X35" s="77">
        <v>0</v>
      </c>
      <c r="Y35" s="77">
        <v>0</v>
      </c>
      <c r="Z35" s="185">
        <v>0</v>
      </c>
      <c r="AA35" s="77">
        <v>0</v>
      </c>
      <c r="AB35" s="77">
        <v>0</v>
      </c>
      <c r="AC35" s="77">
        <v>0</v>
      </c>
      <c r="AD35" s="185">
        <v>0</v>
      </c>
      <c r="AE35" s="77">
        <v>0</v>
      </c>
      <c r="AF35" s="77">
        <v>0</v>
      </c>
      <c r="AG35" s="77">
        <v>0</v>
      </c>
      <c r="AH35" s="185">
        <v>0</v>
      </c>
      <c r="AI35" s="77">
        <v>0</v>
      </c>
      <c r="AJ35" s="77">
        <v>0</v>
      </c>
      <c r="AK35" s="77">
        <v>0</v>
      </c>
      <c r="AL35" s="185">
        <v>0</v>
      </c>
      <c r="AM35" s="77">
        <v>0</v>
      </c>
      <c r="AN35" s="77">
        <v>0</v>
      </c>
      <c r="AO35" s="77">
        <v>0</v>
      </c>
      <c r="AP35" s="185">
        <v>0</v>
      </c>
      <c r="AQ35" s="77">
        <v>0</v>
      </c>
      <c r="AR35" s="664">
        <v>0</v>
      </c>
      <c r="AS35" s="664">
        <v>0</v>
      </c>
      <c r="AT35" s="185">
        <v>0</v>
      </c>
      <c r="AU35" s="77">
        <v>0</v>
      </c>
      <c r="AV35" s="664">
        <v>0</v>
      </c>
      <c r="AW35" s="664">
        <v>0</v>
      </c>
      <c r="AX35" s="219">
        <v>0</v>
      </c>
      <c r="AY35" s="77">
        <v>1.6</v>
      </c>
      <c r="AZ35" s="664">
        <v>0</v>
      </c>
      <c r="BA35" s="664">
        <v>0</v>
      </c>
      <c r="BB35" s="219">
        <v>0</v>
      </c>
      <c r="BC35" s="77">
        <v>0</v>
      </c>
      <c r="BD35" s="664"/>
      <c r="BE35" s="664"/>
      <c r="BF35" s="219"/>
    </row>
    <row r="36" spans="1:58" s="7" customFormat="1" ht="20.149999999999999" customHeight="1">
      <c r="A36" s="27" t="s">
        <v>179</v>
      </c>
      <c r="B36" s="105" t="s">
        <v>180</v>
      </c>
      <c r="C36" s="17">
        <f>422.627</f>
        <v>422.62700000000001</v>
      </c>
      <c r="D36" s="30">
        <f>(309519)*0.001</f>
        <v>309.51900000000001</v>
      </c>
      <c r="E36" s="30">
        <f>(225111)*0.001</f>
        <v>225.11100000000002</v>
      </c>
      <c r="F36" s="183">
        <f>(270354)*0.001</f>
        <v>270.35399999999998</v>
      </c>
      <c r="G36" s="30">
        <f>(324338)*0.001</f>
        <v>324.33800000000002</v>
      </c>
      <c r="H36" s="30">
        <f>(265803)*0.001</f>
        <v>265.803</v>
      </c>
      <c r="I36" s="30">
        <f>(215396)*0.001</f>
        <v>215.39600000000002</v>
      </c>
      <c r="J36" s="183">
        <f>(342251)*0.001</f>
        <v>342.25100000000003</v>
      </c>
      <c r="K36" s="40">
        <f>(428190)*0.001</f>
        <v>428.19</v>
      </c>
      <c r="L36" s="16">
        <v>1894.3</v>
      </c>
      <c r="M36" s="16">
        <v>1631</v>
      </c>
      <c r="N36" s="183">
        <v>1735.3</v>
      </c>
      <c r="O36" s="17">
        <v>1478.9</v>
      </c>
      <c r="P36" s="17">
        <v>1383.8</v>
      </c>
      <c r="Q36" s="16">
        <v>1059.5999999999999</v>
      </c>
      <c r="R36" s="183">
        <v>1512</v>
      </c>
      <c r="S36" s="77">
        <v>1538.6</v>
      </c>
      <c r="T36" s="77">
        <v>944.5</v>
      </c>
      <c r="U36" s="77">
        <v>1099.4000000000001</v>
      </c>
      <c r="V36" s="183">
        <v>1326</v>
      </c>
      <c r="W36" s="77">
        <v>1567.7</v>
      </c>
      <c r="X36" s="77">
        <v>1354.6</v>
      </c>
      <c r="Y36" s="77">
        <v>1080.2</v>
      </c>
      <c r="Z36" s="183">
        <v>1161.5</v>
      </c>
      <c r="AA36" s="77">
        <v>785.9</v>
      </c>
      <c r="AB36" s="77">
        <v>876.1</v>
      </c>
      <c r="AC36" s="77">
        <v>1151.5</v>
      </c>
      <c r="AD36" s="183">
        <v>1167</v>
      </c>
      <c r="AE36" s="77">
        <v>745.7</v>
      </c>
      <c r="AF36" s="77">
        <v>774.9</v>
      </c>
      <c r="AG36" s="77">
        <v>878.2</v>
      </c>
      <c r="AH36" s="183">
        <v>743.5</v>
      </c>
      <c r="AI36" s="77">
        <v>1130.5999999999999</v>
      </c>
      <c r="AJ36" s="77">
        <v>1310.4000000000001</v>
      </c>
      <c r="AK36" s="77">
        <v>1153.0999999999999</v>
      </c>
      <c r="AL36" s="183">
        <v>1355.4</v>
      </c>
      <c r="AM36" s="77">
        <v>1147.5999999999999</v>
      </c>
      <c r="AN36" s="77">
        <v>659.8</v>
      </c>
      <c r="AO36" s="77">
        <v>7462.8</v>
      </c>
      <c r="AP36" s="183">
        <v>3632.4</v>
      </c>
      <c r="AQ36" s="77">
        <v>3342.9</v>
      </c>
      <c r="AR36" s="664">
        <v>1053</v>
      </c>
      <c r="AS36" s="678">
        <v>1586</v>
      </c>
      <c r="AT36" s="183">
        <v>808.5</v>
      </c>
      <c r="AU36" s="77">
        <v>1463.5</v>
      </c>
      <c r="AV36" s="678">
        <v>3466.3</v>
      </c>
      <c r="AW36" s="678">
        <v>4162</v>
      </c>
      <c r="AX36" s="216">
        <v>3306</v>
      </c>
      <c r="AY36" s="77">
        <v>2694.9</v>
      </c>
      <c r="AZ36" s="678">
        <v>3060</v>
      </c>
      <c r="BA36" s="678">
        <v>3073.3</v>
      </c>
      <c r="BB36" s="216">
        <v>2653</v>
      </c>
      <c r="BC36" s="77">
        <v>2228.3000000000002</v>
      </c>
      <c r="BD36" s="678"/>
      <c r="BE36" s="678"/>
      <c r="BF36" s="216"/>
    </row>
    <row r="37" spans="1:58" s="7" customFormat="1" ht="20.149999999999999" customHeight="1" thickBot="1">
      <c r="A37" s="27" t="s">
        <v>181</v>
      </c>
      <c r="B37" s="105" t="s">
        <v>182</v>
      </c>
      <c r="C37" s="18">
        <v>0</v>
      </c>
      <c r="D37" s="18">
        <f>0</f>
        <v>0</v>
      </c>
      <c r="E37" s="18">
        <f>0</f>
        <v>0</v>
      </c>
      <c r="F37" s="185">
        <v>0</v>
      </c>
      <c r="G37" s="18">
        <f>0</f>
        <v>0</v>
      </c>
      <c r="H37" s="18">
        <v>0</v>
      </c>
      <c r="I37" s="18">
        <f>0</f>
        <v>0</v>
      </c>
      <c r="J37" s="185">
        <v>0</v>
      </c>
      <c r="K37" s="31">
        <v>0</v>
      </c>
      <c r="L37" s="26">
        <v>12.6</v>
      </c>
      <c r="M37" s="26">
        <v>12.2</v>
      </c>
      <c r="N37" s="185">
        <v>12.6</v>
      </c>
      <c r="O37" s="17">
        <v>12.7</v>
      </c>
      <c r="P37" s="17">
        <v>12.8</v>
      </c>
      <c r="Q37" s="26">
        <v>12.4</v>
      </c>
      <c r="R37" s="185">
        <v>11.7</v>
      </c>
      <c r="S37" s="77">
        <v>31.4</v>
      </c>
      <c r="T37" s="77">
        <v>10.9</v>
      </c>
      <c r="U37" s="77">
        <v>10.8</v>
      </c>
      <c r="V37" s="185">
        <v>10.7</v>
      </c>
      <c r="W37" s="77">
        <v>9.6</v>
      </c>
      <c r="X37" s="77">
        <v>8</v>
      </c>
      <c r="Y37" s="77">
        <v>8.1999999999999993</v>
      </c>
      <c r="Z37" s="185">
        <v>10.5</v>
      </c>
      <c r="AA37" s="77">
        <v>11.6</v>
      </c>
      <c r="AB37" s="77">
        <v>11.7</v>
      </c>
      <c r="AC37" s="77">
        <v>11.6</v>
      </c>
      <c r="AD37" s="185">
        <v>11.7</v>
      </c>
      <c r="AE37" s="77">
        <v>11.3</v>
      </c>
      <c r="AF37" s="77">
        <v>8.9</v>
      </c>
      <c r="AG37" s="77">
        <v>8</v>
      </c>
      <c r="AH37" s="185">
        <v>9.6</v>
      </c>
      <c r="AI37" s="77">
        <v>10.199999999999999</v>
      </c>
      <c r="AJ37" s="77">
        <v>10.1</v>
      </c>
      <c r="AK37" s="77">
        <v>11.1</v>
      </c>
      <c r="AL37" s="185">
        <v>10.4</v>
      </c>
      <c r="AM37" s="77">
        <v>11.2</v>
      </c>
      <c r="AN37" s="77">
        <v>8.6999999999999993</v>
      </c>
      <c r="AO37" s="77">
        <v>9.5</v>
      </c>
      <c r="AP37" s="183">
        <v>11.9</v>
      </c>
      <c r="AQ37" s="77">
        <v>10.8</v>
      </c>
      <c r="AR37" s="664">
        <v>9</v>
      </c>
      <c r="AS37" s="77">
        <v>10.1</v>
      </c>
      <c r="AT37" s="183">
        <v>9.3000000000000007</v>
      </c>
      <c r="AU37" s="77">
        <v>9.9</v>
      </c>
      <c r="AV37" s="729">
        <v>12.2</v>
      </c>
      <c r="AW37" s="729">
        <v>19.7</v>
      </c>
      <c r="AX37" s="216">
        <v>19.7</v>
      </c>
      <c r="AY37" s="77">
        <v>24.3</v>
      </c>
      <c r="AZ37" s="729">
        <v>16.8</v>
      </c>
      <c r="BA37" s="729">
        <v>24.3</v>
      </c>
      <c r="BB37" s="216">
        <v>34.1</v>
      </c>
      <c r="BC37" s="77">
        <v>26.6</v>
      </c>
      <c r="BD37" s="729"/>
      <c r="BE37" s="729"/>
      <c r="BF37" s="216"/>
    </row>
    <row r="38" spans="1:58" s="199" customFormat="1" ht="25.25" customHeight="1" thickBot="1">
      <c r="A38" s="373" t="s">
        <v>183</v>
      </c>
      <c r="B38" s="373" t="s">
        <v>184</v>
      </c>
      <c r="C38" s="374">
        <f t="shared" ref="C38:M38" si="4">SUM(C25:C37)</f>
        <v>1273.798</v>
      </c>
      <c r="D38" s="375">
        <f t="shared" si="4"/>
        <v>1172.6559999999999</v>
      </c>
      <c r="E38" s="375">
        <f t="shared" si="4"/>
        <v>1058.173</v>
      </c>
      <c r="F38" s="376">
        <f t="shared" si="4"/>
        <v>1085.1969999999999</v>
      </c>
      <c r="G38" s="375">
        <f t="shared" si="4"/>
        <v>1204.625</v>
      </c>
      <c r="H38" s="375">
        <f t="shared" si="4"/>
        <v>1164.163</v>
      </c>
      <c r="I38" s="375">
        <f t="shared" si="4"/>
        <v>1161.885</v>
      </c>
      <c r="J38" s="376">
        <f t="shared" si="4"/>
        <v>1220.3850000000002</v>
      </c>
      <c r="K38" s="374">
        <f t="shared" si="4"/>
        <v>1396.8419999999999</v>
      </c>
      <c r="L38" s="375" t="e">
        <f t="shared" si="4"/>
        <v>#VALUE!</v>
      </c>
      <c r="M38" s="375" t="e">
        <f t="shared" si="4"/>
        <v>#VALUE!</v>
      </c>
      <c r="N38" s="376" t="e">
        <f t="shared" ref="N38:BA38" si="5">SUM(N25:N37)-N34</f>
        <v>#VALUE!</v>
      </c>
      <c r="O38" s="374" t="e">
        <f t="shared" si="5"/>
        <v>#VALUE!</v>
      </c>
      <c r="P38" s="375">
        <f t="shared" si="5"/>
        <v>4274.2</v>
      </c>
      <c r="Q38" s="375">
        <f t="shared" si="5"/>
        <v>3747.2000000000003</v>
      </c>
      <c r="R38" s="376">
        <f t="shared" si="5"/>
        <v>4228.8999999999987</v>
      </c>
      <c r="S38" s="374">
        <f t="shared" si="5"/>
        <v>3866.0000000000005</v>
      </c>
      <c r="T38" s="375">
        <f t="shared" si="5"/>
        <v>3203.3</v>
      </c>
      <c r="U38" s="375">
        <f t="shared" si="5"/>
        <v>3445.5000000000005</v>
      </c>
      <c r="V38" s="376">
        <f t="shared" si="5"/>
        <v>3770.3999999999992</v>
      </c>
      <c r="W38" s="374">
        <f t="shared" si="5"/>
        <v>3911.1000000000004</v>
      </c>
      <c r="X38" s="375">
        <f t="shared" si="5"/>
        <v>3862.9</v>
      </c>
      <c r="Y38" s="375">
        <f t="shared" si="5"/>
        <v>3676.6</v>
      </c>
      <c r="Z38" s="376">
        <f t="shared" si="5"/>
        <v>3931.5</v>
      </c>
      <c r="AA38" s="374">
        <f t="shared" si="5"/>
        <v>4363.8</v>
      </c>
      <c r="AB38" s="375">
        <f t="shared" si="5"/>
        <v>4827.2</v>
      </c>
      <c r="AC38" s="375">
        <f t="shared" si="5"/>
        <v>5300.0000000000009</v>
      </c>
      <c r="AD38" s="376">
        <f t="shared" si="5"/>
        <v>5422.7</v>
      </c>
      <c r="AE38" s="374">
        <f t="shared" si="5"/>
        <v>4952.3000000000011</v>
      </c>
      <c r="AF38" s="375">
        <f t="shared" si="5"/>
        <v>4886.0999999999985</v>
      </c>
      <c r="AG38" s="375">
        <f t="shared" si="5"/>
        <v>5013.3999999999996</v>
      </c>
      <c r="AH38" s="376">
        <f t="shared" si="5"/>
        <v>4984.8999999999996</v>
      </c>
      <c r="AI38" s="374">
        <f t="shared" si="5"/>
        <v>5339.8</v>
      </c>
      <c r="AJ38" s="375">
        <f t="shared" si="5"/>
        <v>5513.2</v>
      </c>
      <c r="AK38" s="375">
        <f t="shared" si="5"/>
        <v>5282.3000000000011</v>
      </c>
      <c r="AL38" s="376">
        <f t="shared" si="5"/>
        <v>5277.2000000000007</v>
      </c>
      <c r="AM38" s="374">
        <f t="shared" si="5"/>
        <v>5114.2999999999993</v>
      </c>
      <c r="AN38" s="375">
        <f t="shared" si="5"/>
        <v>4780.8</v>
      </c>
      <c r="AO38" s="375">
        <f t="shared" si="5"/>
        <v>12037.9</v>
      </c>
      <c r="AP38" s="376">
        <f t="shared" si="5"/>
        <v>8077.3000000000011</v>
      </c>
      <c r="AQ38" s="374">
        <f t="shared" si="5"/>
        <v>8023.6</v>
      </c>
      <c r="AR38" s="666">
        <f t="shared" si="5"/>
        <v>6134.7</v>
      </c>
      <c r="AS38" s="375">
        <f t="shared" si="5"/>
        <v>6747.7000000000007</v>
      </c>
      <c r="AT38" s="376">
        <f t="shared" si="5"/>
        <v>6403.6</v>
      </c>
      <c r="AU38" s="374">
        <f t="shared" si="5"/>
        <v>6966.2999999999993</v>
      </c>
      <c r="AV38" s="666">
        <f t="shared" si="5"/>
        <v>8802.5000000000018</v>
      </c>
      <c r="AW38" s="375">
        <f t="shared" si="5"/>
        <v>10055.200000000001</v>
      </c>
      <c r="AX38" s="376">
        <f t="shared" si="5"/>
        <v>9018.9</v>
      </c>
      <c r="AY38" s="374">
        <f t="shared" si="5"/>
        <v>8473.1999999999989</v>
      </c>
      <c r="AZ38" s="666">
        <f t="shared" si="5"/>
        <v>8720.7999999999993</v>
      </c>
      <c r="BA38" s="666">
        <f t="shared" si="5"/>
        <v>8741.1</v>
      </c>
      <c r="BB38" s="376">
        <f>SUM(BB25:BB37)-BB34-BB33</f>
        <v>9023.6</v>
      </c>
      <c r="BC38" s="374">
        <f t="shared" ref="BC38" si="6">SUM(BC25:BC37)-BC34</f>
        <v>7997.8000000000011</v>
      </c>
      <c r="BD38" s="666"/>
      <c r="BE38" s="666"/>
      <c r="BF38" s="376"/>
    </row>
    <row r="39" spans="1:58" s="7" customFormat="1" ht="20.149999999999999" customHeight="1">
      <c r="A39" s="198" t="s">
        <v>185</v>
      </c>
      <c r="B39" s="181" t="s">
        <v>186</v>
      </c>
      <c r="C39" s="18"/>
      <c r="D39" s="18"/>
      <c r="E39" s="18"/>
      <c r="F39" s="185"/>
      <c r="G39" s="18"/>
      <c r="H39" s="18"/>
      <c r="I39" s="18"/>
      <c r="J39" s="185"/>
      <c r="K39" s="31"/>
      <c r="L39" s="26"/>
      <c r="M39" s="26"/>
      <c r="N39" s="185"/>
      <c r="O39" s="17"/>
      <c r="P39" s="17"/>
      <c r="Q39" s="19"/>
      <c r="R39" s="185"/>
      <c r="S39" s="77"/>
      <c r="T39" s="77"/>
      <c r="U39" s="77"/>
      <c r="V39" s="185"/>
      <c r="W39" s="77"/>
      <c r="X39" s="77"/>
      <c r="Y39" s="77"/>
      <c r="Z39" s="185"/>
      <c r="AA39" s="77"/>
      <c r="AB39" s="77"/>
      <c r="AC39" s="77"/>
      <c r="AD39" s="185"/>
      <c r="AE39" s="77"/>
      <c r="AF39" s="77"/>
      <c r="AG39" s="77"/>
      <c r="AH39" s="185"/>
      <c r="AI39" s="77"/>
      <c r="AJ39" s="77"/>
      <c r="AK39" s="77"/>
      <c r="AL39" s="185"/>
      <c r="AM39" s="77">
        <v>3574.4</v>
      </c>
      <c r="AN39" s="182">
        <v>4581.1000000000004</v>
      </c>
      <c r="AO39" s="77">
        <v>0</v>
      </c>
      <c r="AP39" s="185">
        <v>0</v>
      </c>
      <c r="AQ39" s="77"/>
      <c r="AR39" s="486"/>
      <c r="AS39" s="77"/>
      <c r="AT39" s="183">
        <v>127.7</v>
      </c>
      <c r="AU39" s="77">
        <v>127.7</v>
      </c>
      <c r="AV39" s="486">
        <v>183.2</v>
      </c>
      <c r="AW39" s="77">
        <v>133.5</v>
      </c>
      <c r="AX39" s="183">
        <v>8.6</v>
      </c>
      <c r="AY39" s="77">
        <v>5.7</v>
      </c>
      <c r="AZ39" s="486">
        <v>9.1</v>
      </c>
      <c r="BA39" s="77">
        <v>9.1</v>
      </c>
      <c r="BB39" s="183">
        <v>3.3</v>
      </c>
      <c r="BC39" s="77">
        <v>1.5</v>
      </c>
      <c r="BD39" s="486"/>
      <c r="BE39" s="77"/>
      <c r="BF39" s="183"/>
    </row>
    <row r="40" spans="1:58" s="7" customFormat="1" ht="20.149999999999999" customHeight="1">
      <c r="A40" s="368" t="s">
        <v>187</v>
      </c>
      <c r="B40" s="369" t="s">
        <v>188</v>
      </c>
      <c r="C40" s="18"/>
      <c r="D40" s="18"/>
      <c r="E40" s="18"/>
      <c r="F40" s="185"/>
      <c r="G40" s="18"/>
      <c r="H40" s="18"/>
      <c r="I40" s="18"/>
      <c r="J40" s="185"/>
      <c r="K40" s="31"/>
      <c r="L40" s="26"/>
      <c r="M40" s="26"/>
      <c r="N40" s="185"/>
      <c r="O40" s="17"/>
      <c r="P40" s="17"/>
      <c r="Q40" s="19"/>
      <c r="R40" s="185"/>
      <c r="S40" s="77"/>
      <c r="T40" s="77"/>
      <c r="U40" s="77"/>
      <c r="V40" s="185"/>
      <c r="W40" s="77"/>
      <c r="X40" s="77"/>
      <c r="Y40" s="77"/>
      <c r="Z40" s="185"/>
      <c r="AA40" s="77"/>
      <c r="AB40" s="77"/>
      <c r="AC40" s="77"/>
      <c r="AD40" s="185"/>
      <c r="AE40" s="77"/>
      <c r="AF40" s="77"/>
      <c r="AG40" s="77"/>
      <c r="AH40" s="185"/>
      <c r="AI40" s="77"/>
      <c r="AJ40" s="77"/>
      <c r="AK40" s="77"/>
      <c r="AL40" s="185"/>
      <c r="AM40" s="78">
        <v>108.5</v>
      </c>
      <c r="AN40" s="78">
        <v>95.5</v>
      </c>
      <c r="AO40" s="77">
        <v>0</v>
      </c>
      <c r="AP40" s="185"/>
      <c r="AQ40" s="78"/>
      <c r="AR40" s="667"/>
      <c r="AS40" s="77"/>
      <c r="AT40" s="185"/>
      <c r="AU40" s="78"/>
      <c r="AV40" s="667"/>
      <c r="AW40" s="77"/>
      <c r="AX40" s="698">
        <v>1.2</v>
      </c>
      <c r="AY40" s="77">
        <v>0</v>
      </c>
      <c r="AZ40" s="667">
        <v>0</v>
      </c>
      <c r="BA40" s="77">
        <v>0</v>
      </c>
      <c r="BB40" s="698">
        <v>0</v>
      </c>
      <c r="BC40" s="77">
        <v>0</v>
      </c>
      <c r="BD40" s="667"/>
      <c r="BE40" s="77"/>
      <c r="BF40" s="698"/>
    </row>
    <row r="41" spans="1:58" s="200" customFormat="1" ht="25.25" customHeight="1">
      <c r="A41" s="364" t="s">
        <v>189</v>
      </c>
      <c r="B41" s="364" t="s">
        <v>190</v>
      </c>
      <c r="C41" s="365">
        <f t="shared" ref="C41:AL41" si="7">C24+C38</f>
        <v>5502.7539999999999</v>
      </c>
      <c r="D41" s="366">
        <f t="shared" si="7"/>
        <v>5597.8010000000004</v>
      </c>
      <c r="E41" s="366">
        <f t="shared" si="7"/>
        <v>5514.8739999999998</v>
      </c>
      <c r="F41" s="367">
        <f t="shared" si="7"/>
        <v>5561.3450000000003</v>
      </c>
      <c r="G41" s="366">
        <f t="shared" si="7"/>
        <v>5629.4740000000011</v>
      </c>
      <c r="H41" s="366">
        <f t="shared" si="7"/>
        <v>5592.7070000000003</v>
      </c>
      <c r="I41" s="366">
        <f t="shared" si="7"/>
        <v>5597.9810000000007</v>
      </c>
      <c r="J41" s="367">
        <f t="shared" si="7"/>
        <v>5676.2300000000005</v>
      </c>
      <c r="K41" s="365">
        <f t="shared" si="7"/>
        <v>5851.1940000000004</v>
      </c>
      <c r="L41" s="366" t="e">
        <f t="shared" si="7"/>
        <v>#VALUE!</v>
      </c>
      <c r="M41" s="366" t="e">
        <f t="shared" si="7"/>
        <v>#VALUE!</v>
      </c>
      <c r="N41" s="367" t="e">
        <f t="shared" si="7"/>
        <v>#VALUE!</v>
      </c>
      <c r="O41" s="365" t="e">
        <f t="shared" si="7"/>
        <v>#VALUE!</v>
      </c>
      <c r="P41" s="366">
        <f t="shared" si="7"/>
        <v>27141.8</v>
      </c>
      <c r="Q41" s="366">
        <f t="shared" si="7"/>
        <v>26143.5</v>
      </c>
      <c r="R41" s="367">
        <f t="shared" si="7"/>
        <v>26490.099999999995</v>
      </c>
      <c r="S41" s="365">
        <f t="shared" si="7"/>
        <v>28355.499999999996</v>
      </c>
      <c r="T41" s="366">
        <f t="shared" si="7"/>
        <v>27581.1</v>
      </c>
      <c r="U41" s="366">
        <f t="shared" si="7"/>
        <v>27493.100000000002</v>
      </c>
      <c r="V41" s="367">
        <f t="shared" si="7"/>
        <v>27729.299999999996</v>
      </c>
      <c r="W41" s="365">
        <f t="shared" si="7"/>
        <v>27553.199999999997</v>
      </c>
      <c r="X41" s="366">
        <f t="shared" si="7"/>
        <v>27317.5</v>
      </c>
      <c r="Y41" s="366">
        <f t="shared" si="7"/>
        <v>26892.599999999995</v>
      </c>
      <c r="Z41" s="367">
        <f t="shared" si="7"/>
        <v>27756</v>
      </c>
      <c r="AA41" s="365">
        <f t="shared" si="7"/>
        <v>27894.399999999998</v>
      </c>
      <c r="AB41" s="366">
        <f t="shared" si="7"/>
        <v>29751.599999999999</v>
      </c>
      <c r="AC41" s="366">
        <f t="shared" si="7"/>
        <v>30395.3</v>
      </c>
      <c r="AD41" s="367">
        <f t="shared" si="7"/>
        <v>30696.800000000003</v>
      </c>
      <c r="AE41" s="365">
        <f t="shared" si="7"/>
        <v>31463.800000000003</v>
      </c>
      <c r="AF41" s="366">
        <f t="shared" si="7"/>
        <v>31359.200000000001</v>
      </c>
      <c r="AG41" s="366">
        <f t="shared" si="7"/>
        <v>31277.699999999997</v>
      </c>
      <c r="AH41" s="367">
        <f t="shared" si="7"/>
        <v>32589.599999999999</v>
      </c>
      <c r="AI41" s="365">
        <f t="shared" si="7"/>
        <v>32658.700000000004</v>
      </c>
      <c r="AJ41" s="366">
        <f t="shared" si="7"/>
        <v>32622.799999999996</v>
      </c>
      <c r="AK41" s="366">
        <f t="shared" si="7"/>
        <v>32814.1</v>
      </c>
      <c r="AL41" s="367">
        <f t="shared" si="7"/>
        <v>33115</v>
      </c>
      <c r="AM41" s="365">
        <f>AM24+AM38+AM39</f>
        <v>32954.499999999993</v>
      </c>
      <c r="AN41" s="366">
        <f>AN24+AN38+AN39</f>
        <v>32922.299999999996</v>
      </c>
      <c r="AO41" s="366">
        <f>AO24+AO38</f>
        <v>35967.399999999994</v>
      </c>
      <c r="AP41" s="367">
        <f>AP24+AP38</f>
        <v>32237</v>
      </c>
      <c r="AQ41" s="366">
        <f>AQ24+AQ38+AQ39</f>
        <v>31895.199999999997</v>
      </c>
      <c r="AR41" s="366">
        <f>AR24+AR38+AR39</f>
        <v>31814.000000000004</v>
      </c>
      <c r="AS41" s="366">
        <f>AS24+AS38</f>
        <v>31686.199999999993</v>
      </c>
      <c r="AT41" s="367">
        <f t="shared" ref="AT41:BB41" si="8">AT24+AT38+AT39</f>
        <v>32306.600000000002</v>
      </c>
      <c r="AU41" s="366">
        <f t="shared" si="8"/>
        <v>32810.6</v>
      </c>
      <c r="AV41" s="366">
        <f t="shared" si="8"/>
        <v>34698.6</v>
      </c>
      <c r="AW41" s="366">
        <f t="shared" si="8"/>
        <v>36772.300000000003</v>
      </c>
      <c r="AX41" s="367">
        <f t="shared" si="8"/>
        <v>37176.699999999997</v>
      </c>
      <c r="AY41" s="366">
        <f t="shared" si="8"/>
        <v>36560.5</v>
      </c>
      <c r="AZ41" s="366">
        <f t="shared" si="8"/>
        <v>36777.100000000006</v>
      </c>
      <c r="BA41" s="366">
        <f t="shared" si="8"/>
        <v>37178.300000000003</v>
      </c>
      <c r="BB41" s="367">
        <f t="shared" si="8"/>
        <v>37468</v>
      </c>
      <c r="BC41" s="366">
        <f t="shared" ref="BC41" si="9">BC24+BC38+BC39</f>
        <v>36520.800000000003</v>
      </c>
      <c r="BD41" s="366"/>
      <c r="BE41" s="366"/>
      <c r="BF41" s="367"/>
    </row>
    <row r="42" spans="1:58" s="372" customFormat="1" ht="38.25" customHeight="1">
      <c r="A42" s="370" t="s">
        <v>191</v>
      </c>
      <c r="B42" s="371" t="s">
        <v>192</v>
      </c>
      <c r="C42" s="400"/>
      <c r="D42" s="400"/>
      <c r="E42" s="401"/>
      <c r="F42" s="402"/>
      <c r="G42" s="400"/>
      <c r="H42" s="400"/>
      <c r="I42" s="401"/>
      <c r="J42" s="402"/>
      <c r="K42" s="400"/>
      <c r="L42" s="400"/>
      <c r="M42" s="401"/>
      <c r="N42" s="402"/>
      <c r="O42" s="400"/>
      <c r="P42" s="400"/>
      <c r="Q42" s="401"/>
      <c r="R42" s="402"/>
      <c r="S42" s="400"/>
      <c r="T42" s="400"/>
      <c r="U42" s="401"/>
      <c r="V42" s="402"/>
      <c r="W42" s="400"/>
      <c r="X42" s="400"/>
      <c r="Y42" s="401"/>
      <c r="Z42" s="402"/>
      <c r="AA42" s="400"/>
      <c r="AB42" s="400"/>
      <c r="AC42" s="401"/>
      <c r="AD42" s="402"/>
      <c r="AE42" s="400"/>
      <c r="AF42" s="400"/>
      <c r="AG42" s="401"/>
      <c r="AH42" s="402"/>
      <c r="AI42" s="400"/>
      <c r="AJ42" s="400"/>
      <c r="AK42" s="401"/>
      <c r="AL42" s="402"/>
      <c r="AM42" s="400"/>
      <c r="AN42" s="400"/>
      <c r="AO42" s="401"/>
      <c r="AP42" s="402"/>
      <c r="AQ42" s="400"/>
      <c r="AR42" s="400"/>
      <c r="AS42" s="401"/>
      <c r="AT42" s="402"/>
      <c r="AU42" s="400"/>
      <c r="AV42" s="726"/>
      <c r="AW42" s="401"/>
      <c r="AX42" s="402"/>
      <c r="AY42" s="400"/>
      <c r="AZ42" s="726"/>
      <c r="BA42" s="401"/>
      <c r="BB42" s="402"/>
      <c r="BC42" s="400"/>
      <c r="BD42" s="726"/>
      <c r="BE42" s="401"/>
      <c r="BF42" s="402"/>
    </row>
    <row r="43" spans="1:58" s="7" customFormat="1" ht="20.149999999999999" customHeight="1">
      <c r="A43" s="27" t="s">
        <v>193</v>
      </c>
      <c r="B43" s="105" t="s">
        <v>194</v>
      </c>
      <c r="C43" s="41">
        <f>13.934</f>
        <v>13.933999999999999</v>
      </c>
      <c r="D43" s="41">
        <f t="shared" ref="D43:K43" si="10">(13934)*0.001</f>
        <v>13.934000000000001</v>
      </c>
      <c r="E43" s="41">
        <f t="shared" si="10"/>
        <v>13.934000000000001</v>
      </c>
      <c r="F43" s="209">
        <f t="shared" si="10"/>
        <v>13.934000000000001</v>
      </c>
      <c r="G43" s="210">
        <f t="shared" si="10"/>
        <v>13.934000000000001</v>
      </c>
      <c r="H43" s="210">
        <f t="shared" si="10"/>
        <v>13.934000000000001</v>
      </c>
      <c r="I43" s="210">
        <f t="shared" si="10"/>
        <v>13.934000000000001</v>
      </c>
      <c r="J43" s="210">
        <f t="shared" si="10"/>
        <v>13.934000000000001</v>
      </c>
      <c r="K43" s="222">
        <f t="shared" si="10"/>
        <v>13.934000000000001</v>
      </c>
      <c r="L43" s="208">
        <v>25.6</v>
      </c>
      <c r="M43" s="208">
        <v>25.6</v>
      </c>
      <c r="N43" s="215">
        <v>25.6</v>
      </c>
      <c r="O43" s="218">
        <v>25.6</v>
      </c>
      <c r="P43" s="218">
        <v>25.6</v>
      </c>
      <c r="Q43" s="218">
        <v>25.6</v>
      </c>
      <c r="R43" s="191">
        <v>25.6</v>
      </c>
      <c r="S43" s="190">
        <v>25.6</v>
      </c>
      <c r="T43" s="190">
        <v>25.6</v>
      </c>
      <c r="U43" s="190">
        <v>25.6</v>
      </c>
      <c r="V43" s="191">
        <v>25.6</v>
      </c>
      <c r="W43" s="190">
        <v>25.6</v>
      </c>
      <c r="X43" s="190">
        <v>25.6</v>
      </c>
      <c r="Y43" s="190">
        <v>25.6</v>
      </c>
      <c r="Z43" s="191">
        <v>25.6</v>
      </c>
      <c r="AA43" s="190">
        <v>25.6</v>
      </c>
      <c r="AB43" s="190">
        <v>25.6</v>
      </c>
      <c r="AC43" s="190">
        <v>25.6</v>
      </c>
      <c r="AD43" s="191">
        <v>25.6</v>
      </c>
      <c r="AE43" s="190">
        <v>25.6</v>
      </c>
      <c r="AF43" s="190">
        <v>25.6</v>
      </c>
      <c r="AG43" s="190">
        <v>25.6</v>
      </c>
      <c r="AH43" s="191">
        <v>25.6</v>
      </c>
      <c r="AI43" s="190">
        <v>25.6</v>
      </c>
      <c r="AJ43" s="190">
        <v>25.6</v>
      </c>
      <c r="AK43" s="190">
        <v>25.6</v>
      </c>
      <c r="AL43" s="191">
        <v>25.6</v>
      </c>
      <c r="AM43" s="190">
        <v>25.6</v>
      </c>
      <c r="AN43" s="190">
        <v>25.6</v>
      </c>
      <c r="AO43" s="190">
        <v>25.6</v>
      </c>
      <c r="AP43" s="191">
        <v>25.6</v>
      </c>
      <c r="AQ43" s="190">
        <v>25.6</v>
      </c>
      <c r="AR43" s="190">
        <v>25.6</v>
      </c>
      <c r="AS43" s="190">
        <v>25.6</v>
      </c>
      <c r="AT43" s="690">
        <v>25.6</v>
      </c>
      <c r="AU43" s="190">
        <v>25.6</v>
      </c>
      <c r="AV43" s="190">
        <v>25.6</v>
      </c>
      <c r="AW43" s="190">
        <v>25.6</v>
      </c>
      <c r="AX43" s="690">
        <v>25.6</v>
      </c>
      <c r="AY43" s="190">
        <v>25.6</v>
      </c>
      <c r="AZ43" s="190">
        <v>25.6</v>
      </c>
      <c r="BA43" s="190">
        <v>25.6</v>
      </c>
      <c r="BB43" s="690">
        <v>25.6</v>
      </c>
      <c r="BC43" s="190">
        <v>25.6</v>
      </c>
      <c r="BD43" s="190"/>
      <c r="BE43" s="190"/>
      <c r="BF43" s="690"/>
    </row>
    <row r="44" spans="1:58" s="7" customFormat="1" ht="20.149999999999999" customHeight="1">
      <c r="A44" s="27" t="s">
        <v>195</v>
      </c>
      <c r="B44" s="105" t="s">
        <v>196</v>
      </c>
      <c r="C44" s="41">
        <f>432.265</f>
        <v>432.26499999999999</v>
      </c>
      <c r="D44" s="24">
        <v>0</v>
      </c>
      <c r="E44" s="24">
        <v>0</v>
      </c>
      <c r="F44" s="201">
        <v>0</v>
      </c>
      <c r="G44" s="202">
        <v>0</v>
      </c>
      <c r="H44" s="202">
        <v>0</v>
      </c>
      <c r="I44" s="202">
        <v>0</v>
      </c>
      <c r="J44" s="202">
        <v>0</v>
      </c>
      <c r="K44" s="203">
        <v>0</v>
      </c>
      <c r="L44" s="202">
        <v>0</v>
      </c>
      <c r="M44" s="202">
        <v>0</v>
      </c>
      <c r="N44" s="201">
        <v>0</v>
      </c>
      <c r="O44" s="202">
        <v>0</v>
      </c>
      <c r="P44" s="202">
        <v>0</v>
      </c>
      <c r="Q44" s="202">
        <v>0</v>
      </c>
      <c r="R44" s="191">
        <v>0</v>
      </c>
      <c r="S44" s="192">
        <v>0</v>
      </c>
      <c r="T44" s="192">
        <v>0</v>
      </c>
      <c r="U44" s="192">
        <v>0</v>
      </c>
      <c r="V44" s="191">
        <v>0</v>
      </c>
      <c r="W44" s="192">
        <v>0</v>
      </c>
      <c r="X44" s="192">
        <v>0</v>
      </c>
      <c r="Y44" s="192">
        <v>0</v>
      </c>
      <c r="Z44" s="191">
        <v>0</v>
      </c>
      <c r="AA44" s="192">
        <v>0</v>
      </c>
      <c r="AB44" s="192">
        <v>0</v>
      </c>
      <c r="AC44" s="192">
        <v>0</v>
      </c>
      <c r="AD44" s="191">
        <v>0</v>
      </c>
      <c r="AE44" s="192">
        <v>0</v>
      </c>
      <c r="AF44" s="192">
        <v>0</v>
      </c>
      <c r="AG44" s="192">
        <v>0</v>
      </c>
      <c r="AH44" s="191">
        <v>0</v>
      </c>
      <c r="AI44" s="192">
        <v>0</v>
      </c>
      <c r="AJ44" s="192">
        <v>0</v>
      </c>
      <c r="AK44" s="192">
        <v>0</v>
      </c>
      <c r="AL44" s="191">
        <v>0</v>
      </c>
      <c r="AM44" s="192">
        <v>0</v>
      </c>
      <c r="AN44" s="192">
        <v>0</v>
      </c>
      <c r="AO44" s="192">
        <v>0</v>
      </c>
      <c r="AP44" s="191">
        <v>0</v>
      </c>
      <c r="AQ44" s="192">
        <v>0</v>
      </c>
      <c r="AR44" s="192">
        <v>0</v>
      </c>
      <c r="AS44" s="192">
        <v>0</v>
      </c>
      <c r="AT44" s="690">
        <v>0</v>
      </c>
      <c r="AU44" s="192">
        <v>0</v>
      </c>
      <c r="AV44" s="192">
        <v>0</v>
      </c>
      <c r="AW44" s="190">
        <v>0</v>
      </c>
      <c r="AX44" s="690">
        <v>0</v>
      </c>
      <c r="AY44" s="192" t="s">
        <v>197</v>
      </c>
      <c r="AZ44" s="192">
        <v>0</v>
      </c>
      <c r="BA44" s="192">
        <v>0</v>
      </c>
      <c r="BB44" s="690">
        <v>0</v>
      </c>
      <c r="BC44" s="192">
        <v>0</v>
      </c>
      <c r="BD44" s="192"/>
      <c r="BE44" s="192"/>
      <c r="BF44" s="690"/>
    </row>
    <row r="45" spans="1:58" s="7" customFormat="1" ht="20.149999999999999" customHeight="1">
      <c r="A45" s="27" t="s">
        <v>198</v>
      </c>
      <c r="B45" s="105" t="s">
        <v>199</v>
      </c>
      <c r="C45" s="41">
        <f>1305.277</f>
        <v>1305.277</v>
      </c>
      <c r="D45" s="24">
        <v>0</v>
      </c>
      <c r="E45" s="24">
        <v>0</v>
      </c>
      <c r="F45" s="201">
        <v>0</v>
      </c>
      <c r="G45" s="202">
        <v>0</v>
      </c>
      <c r="H45" s="202">
        <v>0</v>
      </c>
      <c r="I45" s="202">
        <v>0</v>
      </c>
      <c r="J45" s="202">
        <v>0</v>
      </c>
      <c r="K45" s="203">
        <v>0</v>
      </c>
      <c r="L45" s="202">
        <v>0</v>
      </c>
      <c r="M45" s="202">
        <v>0</v>
      </c>
      <c r="N45" s="201">
        <v>0</v>
      </c>
      <c r="O45" s="202">
        <v>0</v>
      </c>
      <c r="P45" s="202">
        <v>0</v>
      </c>
      <c r="Q45" s="202">
        <v>0</v>
      </c>
      <c r="R45" s="191">
        <v>0</v>
      </c>
      <c r="S45" s="192">
        <v>0</v>
      </c>
      <c r="T45" s="192">
        <v>0</v>
      </c>
      <c r="U45" s="192">
        <v>0</v>
      </c>
      <c r="V45" s="191">
        <v>0</v>
      </c>
      <c r="W45" s="192">
        <v>0</v>
      </c>
      <c r="X45" s="192">
        <v>0</v>
      </c>
      <c r="Y45" s="192">
        <v>0</v>
      </c>
      <c r="Z45" s="191">
        <v>0</v>
      </c>
      <c r="AA45" s="192">
        <v>0</v>
      </c>
      <c r="AB45" s="192">
        <v>0</v>
      </c>
      <c r="AC45" s="192">
        <v>0</v>
      </c>
      <c r="AD45" s="191">
        <v>0</v>
      </c>
      <c r="AE45" s="192">
        <v>0</v>
      </c>
      <c r="AF45" s="192">
        <v>0</v>
      </c>
      <c r="AG45" s="192">
        <v>0</v>
      </c>
      <c r="AH45" s="191">
        <v>0</v>
      </c>
      <c r="AI45" s="192">
        <v>0</v>
      </c>
      <c r="AJ45" s="192">
        <v>0</v>
      </c>
      <c r="AK45" s="192">
        <v>0</v>
      </c>
      <c r="AL45" s="191">
        <v>0</v>
      </c>
      <c r="AM45" s="192">
        <v>0</v>
      </c>
      <c r="AN45" s="192">
        <v>0</v>
      </c>
      <c r="AO45" s="192">
        <v>0</v>
      </c>
      <c r="AP45" s="191">
        <v>0</v>
      </c>
      <c r="AQ45" s="192">
        <v>0</v>
      </c>
      <c r="AR45" s="192">
        <v>0</v>
      </c>
      <c r="AS45" s="192">
        <v>0</v>
      </c>
      <c r="AT45" s="690">
        <v>0</v>
      </c>
      <c r="AU45" s="192">
        <v>0</v>
      </c>
      <c r="AV45" s="192">
        <v>0</v>
      </c>
      <c r="AW45" s="192">
        <v>0</v>
      </c>
      <c r="AX45" s="690">
        <v>0</v>
      </c>
      <c r="AY45" s="192" t="s">
        <v>197</v>
      </c>
      <c r="AZ45" s="192">
        <v>0</v>
      </c>
      <c r="BA45" s="192">
        <v>0</v>
      </c>
      <c r="BB45" s="690">
        <v>0</v>
      </c>
      <c r="BC45" s="192">
        <v>0</v>
      </c>
      <c r="BD45" s="192"/>
      <c r="BE45" s="192"/>
      <c r="BF45" s="690"/>
    </row>
    <row r="46" spans="1:58" s="7" customFormat="1" ht="20.149999999999999" customHeight="1">
      <c r="A46" s="27" t="s">
        <v>200</v>
      </c>
      <c r="B46" s="105" t="s">
        <v>201</v>
      </c>
      <c r="C46" s="24">
        <v>0</v>
      </c>
      <c r="D46" s="17">
        <f t="shared" ref="D46:K46" si="11">(1295103)*0.001</f>
        <v>1295.1030000000001</v>
      </c>
      <c r="E46" s="17">
        <f t="shared" si="11"/>
        <v>1295.1030000000001</v>
      </c>
      <c r="F46" s="204">
        <f t="shared" si="11"/>
        <v>1295.1030000000001</v>
      </c>
      <c r="G46" s="205">
        <f t="shared" si="11"/>
        <v>1295.1030000000001</v>
      </c>
      <c r="H46" s="205">
        <f t="shared" si="11"/>
        <v>1295.1030000000001</v>
      </c>
      <c r="I46" s="205">
        <f t="shared" si="11"/>
        <v>1295.1030000000001</v>
      </c>
      <c r="J46" s="204">
        <f t="shared" si="11"/>
        <v>1295.1030000000001</v>
      </c>
      <c r="K46" s="205">
        <f t="shared" si="11"/>
        <v>1295.1030000000001</v>
      </c>
      <c r="L46" s="206">
        <v>7237.5</v>
      </c>
      <c r="M46" s="206">
        <v>7237.5</v>
      </c>
      <c r="N46" s="207">
        <v>7174</v>
      </c>
      <c r="O46" s="208">
        <v>7237.4</v>
      </c>
      <c r="P46" s="208">
        <v>7174</v>
      </c>
      <c r="Q46" s="208">
        <v>7174</v>
      </c>
      <c r="R46" s="191">
        <v>7174</v>
      </c>
      <c r="S46" s="190">
        <v>7174</v>
      </c>
      <c r="T46" s="190">
        <v>7174</v>
      </c>
      <c r="U46" s="190">
        <v>7174</v>
      </c>
      <c r="V46" s="191">
        <v>7174</v>
      </c>
      <c r="W46" s="190">
        <v>7174</v>
      </c>
      <c r="X46" s="190">
        <v>7174</v>
      </c>
      <c r="Y46" s="190">
        <v>7174</v>
      </c>
      <c r="Z46" s="191">
        <v>7174</v>
      </c>
      <c r="AA46" s="190">
        <v>7174</v>
      </c>
      <c r="AB46" s="190">
        <v>7174</v>
      </c>
      <c r="AC46" s="190">
        <v>7174</v>
      </c>
      <c r="AD46" s="191">
        <v>7174</v>
      </c>
      <c r="AE46" s="190">
        <v>7174</v>
      </c>
      <c r="AF46" s="190">
        <v>7174</v>
      </c>
      <c r="AG46" s="190">
        <v>7174</v>
      </c>
      <c r="AH46" s="191">
        <v>7174</v>
      </c>
      <c r="AI46" s="190">
        <v>7174</v>
      </c>
      <c r="AJ46" s="190">
        <v>7174</v>
      </c>
      <c r="AK46" s="190">
        <v>7174</v>
      </c>
      <c r="AL46" s="191">
        <v>7174</v>
      </c>
      <c r="AM46" s="190">
        <v>7174</v>
      </c>
      <c r="AN46" s="190">
        <v>7174</v>
      </c>
      <c r="AO46" s="190">
        <v>7174</v>
      </c>
      <c r="AP46" s="191">
        <v>7174</v>
      </c>
      <c r="AQ46" s="190">
        <v>7174</v>
      </c>
      <c r="AR46" s="190">
        <v>7174</v>
      </c>
      <c r="AS46" s="190">
        <v>7174</v>
      </c>
      <c r="AT46" s="690">
        <v>7174</v>
      </c>
      <c r="AU46" s="190">
        <v>7174</v>
      </c>
      <c r="AV46" s="190">
        <v>7174</v>
      </c>
      <c r="AW46" s="190">
        <v>7174</v>
      </c>
      <c r="AX46" s="690">
        <v>7174</v>
      </c>
      <c r="AY46" s="190">
        <v>7174</v>
      </c>
      <c r="AZ46" s="190">
        <v>7174</v>
      </c>
      <c r="BA46" s="190">
        <v>7174</v>
      </c>
      <c r="BB46" s="690">
        <v>7174</v>
      </c>
      <c r="BC46" s="192">
        <v>7174</v>
      </c>
      <c r="BD46" s="190"/>
      <c r="BE46" s="190"/>
      <c r="BF46" s="690"/>
    </row>
    <row r="47" spans="1:58" s="7" customFormat="1" ht="20.149999999999999" customHeight="1">
      <c r="A47" s="27" t="s">
        <v>202</v>
      </c>
      <c r="B47" s="105" t="s">
        <v>203</v>
      </c>
      <c r="C47" s="43">
        <f>-3.17</f>
        <v>-3.17</v>
      </c>
      <c r="D47" s="24">
        <v>0</v>
      </c>
      <c r="E47" s="24">
        <v>0</v>
      </c>
      <c r="F47" s="201">
        <v>0</v>
      </c>
      <c r="G47" s="202">
        <v>0</v>
      </c>
      <c r="H47" s="202">
        <v>0</v>
      </c>
      <c r="I47" s="202">
        <v>0</v>
      </c>
      <c r="J47" s="202">
        <v>0</v>
      </c>
      <c r="K47" s="203">
        <v>0</v>
      </c>
      <c r="L47" s="202">
        <v>0</v>
      </c>
      <c r="M47" s="202">
        <v>0</v>
      </c>
      <c r="N47" s="201">
        <v>0</v>
      </c>
      <c r="O47" s="202">
        <v>0</v>
      </c>
      <c r="P47" s="202">
        <v>0</v>
      </c>
      <c r="Q47" s="202">
        <v>0</v>
      </c>
      <c r="R47" s="191">
        <v>0</v>
      </c>
      <c r="S47" s="192">
        <v>0</v>
      </c>
      <c r="T47" s="192">
        <v>0</v>
      </c>
      <c r="U47" s="192">
        <v>0</v>
      </c>
      <c r="V47" s="191">
        <v>0</v>
      </c>
      <c r="W47" s="192">
        <v>0</v>
      </c>
      <c r="X47" s="192">
        <v>0</v>
      </c>
      <c r="Y47" s="192">
        <v>0</v>
      </c>
      <c r="Z47" s="191">
        <v>0</v>
      </c>
      <c r="AA47" s="192">
        <v>0</v>
      </c>
      <c r="AB47" s="192">
        <v>0</v>
      </c>
      <c r="AC47" s="192">
        <v>0</v>
      </c>
      <c r="AD47" s="191">
        <v>0</v>
      </c>
      <c r="AE47" s="192">
        <v>0</v>
      </c>
      <c r="AF47" s="192">
        <v>0</v>
      </c>
      <c r="AG47" s="192">
        <v>0</v>
      </c>
      <c r="AH47" s="191">
        <v>0</v>
      </c>
      <c r="AI47" s="192">
        <v>0</v>
      </c>
      <c r="AJ47" s="192">
        <v>0</v>
      </c>
      <c r="AK47" s="192">
        <v>0</v>
      </c>
      <c r="AL47" s="191">
        <v>0</v>
      </c>
      <c r="AM47" s="192">
        <v>0</v>
      </c>
      <c r="AN47" s="192">
        <v>0</v>
      </c>
      <c r="AO47" s="192">
        <v>0</v>
      </c>
      <c r="AP47" s="191">
        <v>0</v>
      </c>
      <c r="AQ47" s="192">
        <v>0</v>
      </c>
      <c r="AR47" s="192">
        <v>0</v>
      </c>
      <c r="AS47" s="192">
        <v>0</v>
      </c>
      <c r="AT47" s="690">
        <v>0</v>
      </c>
      <c r="AU47" s="192">
        <v>0</v>
      </c>
      <c r="AV47" s="192">
        <v>0</v>
      </c>
      <c r="AW47" s="192">
        <v>0</v>
      </c>
      <c r="AX47" s="690">
        <v>0</v>
      </c>
      <c r="AY47" s="192" t="s">
        <v>197</v>
      </c>
      <c r="AZ47" s="192">
        <v>0</v>
      </c>
      <c r="BA47" s="192">
        <v>0</v>
      </c>
      <c r="BB47" s="690">
        <v>0</v>
      </c>
      <c r="BC47" s="192">
        <v>0</v>
      </c>
      <c r="BD47" s="192"/>
      <c r="BE47" s="192"/>
      <c r="BF47" s="690"/>
    </row>
    <row r="48" spans="1:58" s="7" customFormat="1" ht="20.149999999999999" customHeight="1">
      <c r="A48" s="27" t="s">
        <v>204</v>
      </c>
      <c r="B48" s="105" t="s">
        <v>205</v>
      </c>
      <c r="C48" s="41">
        <f>2.396</f>
        <v>2.3959999999999999</v>
      </c>
      <c r="D48" s="24">
        <v>0</v>
      </c>
      <c r="E48" s="24">
        <v>0</v>
      </c>
      <c r="F48" s="201">
        <v>0</v>
      </c>
      <c r="G48" s="202">
        <v>0</v>
      </c>
      <c r="H48" s="202">
        <v>0</v>
      </c>
      <c r="I48" s="202">
        <v>0</v>
      </c>
      <c r="J48" s="202">
        <v>0</v>
      </c>
      <c r="K48" s="203">
        <v>0</v>
      </c>
      <c r="L48" s="202">
        <v>0</v>
      </c>
      <c r="M48" s="202">
        <v>0</v>
      </c>
      <c r="N48" s="201">
        <v>0</v>
      </c>
      <c r="O48" s="202">
        <v>0</v>
      </c>
      <c r="P48" s="202">
        <v>0</v>
      </c>
      <c r="Q48" s="202">
        <v>0</v>
      </c>
      <c r="R48" s="191">
        <v>0</v>
      </c>
      <c r="S48" s="192">
        <v>0</v>
      </c>
      <c r="T48" s="192">
        <v>0</v>
      </c>
      <c r="U48" s="192">
        <v>0</v>
      </c>
      <c r="V48" s="191">
        <v>0</v>
      </c>
      <c r="W48" s="192">
        <v>0</v>
      </c>
      <c r="X48" s="192">
        <v>0</v>
      </c>
      <c r="Y48" s="192">
        <v>0</v>
      </c>
      <c r="Z48" s="191">
        <v>0</v>
      </c>
      <c r="AA48" s="192">
        <v>0</v>
      </c>
      <c r="AB48" s="192">
        <v>0</v>
      </c>
      <c r="AC48" s="192">
        <v>0</v>
      </c>
      <c r="AD48" s="191">
        <v>0</v>
      </c>
      <c r="AE48" s="192">
        <v>0</v>
      </c>
      <c r="AF48" s="192">
        <v>0</v>
      </c>
      <c r="AG48" s="192">
        <v>0</v>
      </c>
      <c r="AH48" s="191">
        <v>0</v>
      </c>
      <c r="AI48" s="192">
        <v>0</v>
      </c>
      <c r="AJ48" s="192">
        <v>0</v>
      </c>
      <c r="AK48" s="192">
        <v>0</v>
      </c>
      <c r="AL48" s="191">
        <v>0</v>
      </c>
      <c r="AM48" s="192">
        <v>0</v>
      </c>
      <c r="AN48" s="192">
        <v>0</v>
      </c>
      <c r="AO48" s="192">
        <v>0</v>
      </c>
      <c r="AP48" s="191">
        <v>0</v>
      </c>
      <c r="AQ48" s="192">
        <v>0</v>
      </c>
      <c r="AR48" s="192">
        <v>0</v>
      </c>
      <c r="AS48" s="192">
        <v>0</v>
      </c>
      <c r="AT48" s="690">
        <v>0</v>
      </c>
      <c r="AU48" s="192">
        <v>0</v>
      </c>
      <c r="AV48" s="192">
        <v>0</v>
      </c>
      <c r="AW48" s="192">
        <v>0</v>
      </c>
      <c r="AX48" s="690">
        <v>0</v>
      </c>
      <c r="AY48" s="192" t="s">
        <v>197</v>
      </c>
      <c r="AZ48" s="192">
        <v>0</v>
      </c>
      <c r="BA48" s="192">
        <v>0</v>
      </c>
      <c r="BB48" s="690">
        <v>0</v>
      </c>
      <c r="BC48" s="190">
        <v>0</v>
      </c>
      <c r="BD48" s="192"/>
      <c r="BE48" s="192"/>
      <c r="BF48" s="690"/>
    </row>
    <row r="49" spans="1:59" s="7" customFormat="1" ht="20.149999999999999" customHeight="1">
      <c r="A49" s="27" t="s">
        <v>206</v>
      </c>
      <c r="B49" s="108" t="s">
        <v>207</v>
      </c>
      <c r="C49" s="41"/>
      <c r="D49" s="24"/>
      <c r="E49" s="24"/>
      <c r="F49" s="201"/>
      <c r="G49" s="202"/>
      <c r="H49" s="202"/>
      <c r="I49" s="202"/>
      <c r="J49" s="202"/>
      <c r="K49" s="203"/>
      <c r="L49" s="202"/>
      <c r="M49" s="202"/>
      <c r="N49" s="201"/>
      <c r="O49" s="202"/>
      <c r="P49" s="202"/>
      <c r="Q49" s="202"/>
      <c r="R49" s="191"/>
      <c r="S49" s="192"/>
      <c r="T49" s="192"/>
      <c r="U49" s="192"/>
      <c r="V49" s="191"/>
      <c r="W49" s="192"/>
      <c r="X49" s="192"/>
      <c r="Y49" s="192"/>
      <c r="Z49" s="191"/>
      <c r="AA49" s="192"/>
      <c r="AB49" s="192"/>
      <c r="AC49" s="192"/>
      <c r="AD49" s="191"/>
      <c r="AE49" s="192"/>
      <c r="AF49" s="192"/>
      <c r="AG49" s="192"/>
      <c r="AH49" s="191"/>
      <c r="AI49" s="192"/>
      <c r="AJ49" s="192">
        <v>17.100000000000001</v>
      </c>
      <c r="AK49" s="192">
        <v>17.100000000000001</v>
      </c>
      <c r="AL49" s="191">
        <v>21.2</v>
      </c>
      <c r="AM49" s="192">
        <v>21.2</v>
      </c>
      <c r="AN49" s="192">
        <v>21.3</v>
      </c>
      <c r="AO49" s="192">
        <v>21.4</v>
      </c>
      <c r="AP49" s="191">
        <v>32.1</v>
      </c>
      <c r="AQ49" s="192">
        <v>32.200000000000003</v>
      </c>
      <c r="AR49" s="192">
        <v>41.7</v>
      </c>
      <c r="AS49" s="192">
        <v>56.6</v>
      </c>
      <c r="AT49" s="690">
        <v>51.9</v>
      </c>
      <c r="AU49" s="192">
        <v>52</v>
      </c>
      <c r="AV49" s="192">
        <v>45.8</v>
      </c>
      <c r="AW49" s="192">
        <v>0</v>
      </c>
      <c r="AX49" s="690">
        <v>0</v>
      </c>
      <c r="AY49" s="192">
        <v>-0.1</v>
      </c>
      <c r="AZ49" s="192">
        <v>-0.1</v>
      </c>
      <c r="BA49" s="192">
        <v>-0.1</v>
      </c>
      <c r="BB49" s="690">
        <v>0</v>
      </c>
      <c r="BC49" s="192">
        <v>0.1</v>
      </c>
      <c r="BD49" s="192"/>
      <c r="BE49" s="192"/>
      <c r="BF49" s="690"/>
    </row>
    <row r="50" spans="1:59" s="7" customFormat="1" ht="20.149999999999999" customHeight="1">
      <c r="A50" s="27" t="s">
        <v>208</v>
      </c>
      <c r="B50" s="105" t="s">
        <v>199</v>
      </c>
      <c r="C50" s="24">
        <v>0</v>
      </c>
      <c r="D50" s="41">
        <f>(1225)*0.001</f>
        <v>1.2250000000000001</v>
      </c>
      <c r="E50" s="43">
        <f>(-8191)*0.001</f>
        <v>-8.1910000000000007</v>
      </c>
      <c r="F50" s="232">
        <f>(-16327)*0.001</f>
        <v>-16.327000000000002</v>
      </c>
      <c r="G50" s="43">
        <f>(-17667)*0.001</f>
        <v>-17.667000000000002</v>
      </c>
      <c r="H50" s="43">
        <f>(-13285)*0.001</f>
        <v>-13.285</v>
      </c>
      <c r="I50" s="43">
        <f>(-11455)*0.001</f>
        <v>-11.455</v>
      </c>
      <c r="J50" s="232">
        <f>(-8964)*0.001</f>
        <v>-8.9640000000000004</v>
      </c>
      <c r="K50" s="203">
        <v>0</v>
      </c>
      <c r="L50" s="202">
        <v>0</v>
      </c>
      <c r="M50" s="211">
        <v>-9.1999999999999993</v>
      </c>
      <c r="N50" s="212">
        <v>-12.2</v>
      </c>
      <c r="O50" s="211">
        <v>-12.7</v>
      </c>
      <c r="P50" s="211">
        <v>-7.9</v>
      </c>
      <c r="Q50" s="211">
        <v>-8.1999999999999993</v>
      </c>
      <c r="R50" s="191">
        <v>-3.7</v>
      </c>
      <c r="S50" s="193">
        <v>-1.7</v>
      </c>
      <c r="T50" s="193">
        <v>0.1</v>
      </c>
      <c r="U50" s="193">
        <v>2.2000000000000002</v>
      </c>
      <c r="V50" s="191">
        <v>4.5</v>
      </c>
      <c r="W50" s="193">
        <v>3.8</v>
      </c>
      <c r="X50" s="193">
        <v>3.6</v>
      </c>
      <c r="Y50" s="193">
        <v>3.5</v>
      </c>
      <c r="Z50" s="191">
        <v>3.2</v>
      </c>
      <c r="AA50" s="193">
        <v>2.8</v>
      </c>
      <c r="AB50" s="193">
        <v>-204.3</v>
      </c>
      <c r="AC50" s="190">
        <v>-204.1</v>
      </c>
      <c r="AD50" s="191">
        <v>-162.5</v>
      </c>
      <c r="AE50" s="193">
        <v>-162.4</v>
      </c>
      <c r="AF50" s="193">
        <v>3.3</v>
      </c>
      <c r="AG50" s="190">
        <v>3.4</v>
      </c>
      <c r="AH50" s="191">
        <v>1.5</v>
      </c>
      <c r="AI50" s="193">
        <v>-4.8</v>
      </c>
      <c r="AJ50" s="193">
        <v>-7.2</v>
      </c>
      <c r="AK50" s="190">
        <v>-7.4</v>
      </c>
      <c r="AL50" s="191">
        <v>99.7</v>
      </c>
      <c r="AM50" s="193">
        <v>-4.3</v>
      </c>
      <c r="AN50" s="190">
        <v>-22.1</v>
      </c>
      <c r="AO50" s="190">
        <v>-126.3</v>
      </c>
      <c r="AP50" s="191">
        <v>2801.3</v>
      </c>
      <c r="AQ50" s="190">
        <v>2812.1</v>
      </c>
      <c r="AR50" s="668">
        <v>2827.1</v>
      </c>
      <c r="AS50" s="190">
        <v>2827.1</v>
      </c>
      <c r="AT50" s="690">
        <v>2815.9</v>
      </c>
      <c r="AU50" s="190">
        <v>2806</v>
      </c>
      <c r="AV50" s="486">
        <v>2795.5</v>
      </c>
      <c r="AW50" s="190">
        <v>2776.7</v>
      </c>
      <c r="AX50" s="690">
        <v>2752.8</v>
      </c>
      <c r="AY50" s="190">
        <v>2755.7</v>
      </c>
      <c r="AZ50" s="486">
        <v>2794.9</v>
      </c>
      <c r="BA50" s="486">
        <v>2785.3</v>
      </c>
      <c r="BB50" s="690">
        <v>2790.8</v>
      </c>
      <c r="BC50" s="190">
        <v>2776.5</v>
      </c>
      <c r="BD50" s="486"/>
      <c r="BE50" s="486"/>
      <c r="BF50" s="690"/>
    </row>
    <row r="51" spans="1:59" s="7" customFormat="1" ht="20.149999999999999" customHeight="1">
      <c r="A51" s="27" t="s">
        <v>209</v>
      </c>
      <c r="B51" s="105" t="s">
        <v>210</v>
      </c>
      <c r="C51" s="41">
        <f>340.065</f>
        <v>340.065</v>
      </c>
      <c r="D51" s="41">
        <f>(882007)*0.001</f>
        <v>882.00700000000006</v>
      </c>
      <c r="E51" s="44">
        <f>(1054069)*0.001</f>
        <v>1054.069</v>
      </c>
      <c r="F51" s="213">
        <f>(1175693)*0.001</f>
        <v>1175.693</v>
      </c>
      <c r="G51" s="214">
        <f>(1270798)*0.001</f>
        <v>1270.798</v>
      </c>
      <c r="H51" s="214">
        <f>(1351543)*0.001</f>
        <v>1351.5430000000001</v>
      </c>
      <c r="I51" s="214">
        <f>(1527994)*0.001</f>
        <v>1527.9940000000001</v>
      </c>
      <c r="J51" s="213">
        <f>(1701138)*0.001</f>
        <v>1701.1380000000001</v>
      </c>
      <c r="K51" s="214">
        <f>(1799310)*0.001</f>
        <v>1799.31</v>
      </c>
      <c r="L51" s="206">
        <v>1828.6</v>
      </c>
      <c r="M51" s="206">
        <v>1876.8</v>
      </c>
      <c r="N51" s="215">
        <v>1890.8</v>
      </c>
      <c r="O51" s="206">
        <v>2061.6</v>
      </c>
      <c r="P51" s="206">
        <v>2366.1</v>
      </c>
      <c r="Q51" s="206">
        <v>2868.6</v>
      </c>
      <c r="R51" s="191">
        <v>3054.2</v>
      </c>
      <c r="S51" s="193">
        <v>3229.7</v>
      </c>
      <c r="T51" s="193">
        <v>3467.4</v>
      </c>
      <c r="U51" s="193">
        <v>3745.6</v>
      </c>
      <c r="V51" s="191">
        <v>4095.5</v>
      </c>
      <c r="W51" s="193">
        <v>4374.8999999999996</v>
      </c>
      <c r="X51" s="193">
        <v>4461.3999999999996</v>
      </c>
      <c r="Y51" s="193">
        <v>4704.3</v>
      </c>
      <c r="Z51" s="191">
        <v>4871.3999999999996</v>
      </c>
      <c r="AA51" s="193">
        <v>5668.6</v>
      </c>
      <c r="AB51" s="193">
        <v>5904.4</v>
      </c>
      <c r="AC51" s="190">
        <v>6130.5</v>
      </c>
      <c r="AD51" s="191">
        <v>6189.9</v>
      </c>
      <c r="AE51" s="193">
        <v>6481.8</v>
      </c>
      <c r="AF51" s="193">
        <v>6065.1</v>
      </c>
      <c r="AG51" s="190">
        <v>6296.4</v>
      </c>
      <c r="AH51" s="191">
        <v>6610.2</v>
      </c>
      <c r="AI51" s="193">
        <v>6792.6</v>
      </c>
      <c r="AJ51" s="193">
        <v>7081</v>
      </c>
      <c r="AK51" s="190">
        <v>6787.4</v>
      </c>
      <c r="AL51" s="191">
        <v>7112.3</v>
      </c>
      <c r="AM51" s="190">
        <v>7501.9</v>
      </c>
      <c r="AN51" s="190">
        <v>7273.7</v>
      </c>
      <c r="AO51" s="190">
        <v>10416.1</v>
      </c>
      <c r="AP51" s="191">
        <v>7823.6</v>
      </c>
      <c r="AQ51" s="190">
        <v>8038.5</v>
      </c>
      <c r="AR51" s="668">
        <v>7671</v>
      </c>
      <c r="AS51" s="680">
        <v>7899.7</v>
      </c>
      <c r="AT51" s="690">
        <v>8057.6</v>
      </c>
      <c r="AU51" s="190">
        <v>8122.1</v>
      </c>
      <c r="AV51" s="486">
        <v>8114.8</v>
      </c>
      <c r="AW51" s="190">
        <v>8233.6</v>
      </c>
      <c r="AX51" s="690">
        <v>8334.1</v>
      </c>
      <c r="AY51" s="190">
        <v>8514.2000000000007</v>
      </c>
      <c r="AZ51" s="486">
        <v>8660.6</v>
      </c>
      <c r="BA51" s="486">
        <v>8909.5</v>
      </c>
      <c r="BB51" s="690">
        <v>8987.4</v>
      </c>
      <c r="BC51" s="190">
        <v>9070</v>
      </c>
      <c r="BD51" s="486"/>
      <c r="BE51" s="486"/>
      <c r="BF51" s="690"/>
    </row>
    <row r="52" spans="1:59" ht="20.149999999999999" customHeight="1" thickBot="1">
      <c r="A52" s="638" t="s">
        <v>211</v>
      </c>
      <c r="B52" s="108" t="s">
        <v>212</v>
      </c>
      <c r="C52" s="210"/>
      <c r="D52" s="210"/>
      <c r="E52" s="214"/>
      <c r="F52" s="213"/>
      <c r="G52" s="214"/>
      <c r="H52" s="214"/>
      <c r="I52" s="214"/>
      <c r="J52" s="213"/>
      <c r="K52" s="214"/>
      <c r="L52" s="206"/>
      <c r="M52" s="206"/>
      <c r="N52" s="215"/>
      <c r="O52" s="206"/>
      <c r="P52" s="206"/>
      <c r="Q52" s="206"/>
      <c r="R52" s="191"/>
      <c r="S52" s="193"/>
      <c r="T52" s="193"/>
      <c r="U52" s="193"/>
      <c r="V52" s="191"/>
      <c r="W52" s="193"/>
      <c r="X52" s="193"/>
      <c r="Y52" s="193"/>
      <c r="Z52" s="191"/>
      <c r="AA52" s="193"/>
      <c r="AB52" s="193"/>
      <c r="AC52" s="190"/>
      <c r="AD52" s="191"/>
      <c r="AE52" s="193"/>
      <c r="AF52" s="193"/>
      <c r="AG52" s="190"/>
      <c r="AH52" s="191"/>
      <c r="AI52" s="193"/>
      <c r="AJ52" s="193"/>
      <c r="AK52" s="190"/>
      <c r="AL52" s="191"/>
      <c r="AM52" s="190"/>
      <c r="AN52" s="190"/>
      <c r="AO52" s="190"/>
      <c r="AP52" s="191">
        <v>-2461</v>
      </c>
      <c r="AQ52" s="190">
        <v>-2461</v>
      </c>
      <c r="AR52" s="668">
        <v>-2854.7</v>
      </c>
      <c r="AS52" s="190">
        <v>-2854.7</v>
      </c>
      <c r="AT52" s="690">
        <v>-2854.7</v>
      </c>
      <c r="AU52" s="190">
        <v>-2854.7</v>
      </c>
      <c r="AV52" s="190">
        <v>-2854.7</v>
      </c>
      <c r="AW52" s="190">
        <v>-2854.7</v>
      </c>
      <c r="AX52" s="690">
        <v>-2854.7</v>
      </c>
      <c r="AY52" s="190">
        <v>-2854.7</v>
      </c>
      <c r="AZ52" s="190">
        <v>-2854.7</v>
      </c>
      <c r="BA52" s="190">
        <v>-2854.7</v>
      </c>
      <c r="BB52" s="690">
        <v>-2854.7</v>
      </c>
      <c r="BC52" s="190">
        <v>-2854.7</v>
      </c>
      <c r="BD52" s="190"/>
      <c r="BE52" s="190"/>
      <c r="BF52" s="690"/>
    </row>
    <row r="53" spans="1:59" s="199" customFormat="1" ht="25.25" customHeight="1" thickBot="1">
      <c r="A53" s="373" t="s">
        <v>213</v>
      </c>
      <c r="B53" s="373" t="s">
        <v>214</v>
      </c>
      <c r="C53" s="374">
        <f t="shared" ref="C53:AO53" si="12">SUM(C43:C51)</f>
        <v>2090.7669999999998</v>
      </c>
      <c r="D53" s="375">
        <f t="shared" si="12"/>
        <v>2192.2690000000002</v>
      </c>
      <c r="E53" s="375">
        <f t="shared" si="12"/>
        <v>2354.915</v>
      </c>
      <c r="F53" s="376">
        <f t="shared" si="12"/>
        <v>2468.4030000000002</v>
      </c>
      <c r="G53" s="375">
        <f t="shared" si="12"/>
        <v>2562.1680000000001</v>
      </c>
      <c r="H53" s="375">
        <f t="shared" si="12"/>
        <v>2647.2950000000001</v>
      </c>
      <c r="I53" s="375">
        <f t="shared" si="12"/>
        <v>2825.576</v>
      </c>
      <c r="J53" s="376">
        <f t="shared" si="12"/>
        <v>3001.2110000000002</v>
      </c>
      <c r="K53" s="374">
        <f t="shared" si="12"/>
        <v>3108.3469999999998</v>
      </c>
      <c r="L53" s="375">
        <f t="shared" si="12"/>
        <v>9091.7000000000007</v>
      </c>
      <c r="M53" s="375">
        <f t="shared" si="12"/>
        <v>9130.7000000000007</v>
      </c>
      <c r="N53" s="376">
        <f t="shared" si="12"/>
        <v>9078.2000000000007</v>
      </c>
      <c r="O53" s="374">
        <f t="shared" si="12"/>
        <v>9311.9</v>
      </c>
      <c r="P53" s="375">
        <f t="shared" si="12"/>
        <v>9557.8000000000011</v>
      </c>
      <c r="Q53" s="375">
        <f t="shared" si="12"/>
        <v>10060</v>
      </c>
      <c r="R53" s="376">
        <f t="shared" si="12"/>
        <v>10250.1</v>
      </c>
      <c r="S53" s="374">
        <f t="shared" si="12"/>
        <v>10427.6</v>
      </c>
      <c r="T53" s="375">
        <f t="shared" si="12"/>
        <v>10667.1</v>
      </c>
      <c r="U53" s="375">
        <f t="shared" si="12"/>
        <v>10947.4</v>
      </c>
      <c r="V53" s="376">
        <f t="shared" si="12"/>
        <v>11299.6</v>
      </c>
      <c r="W53" s="374">
        <f t="shared" si="12"/>
        <v>11578.3</v>
      </c>
      <c r="X53" s="375">
        <f t="shared" si="12"/>
        <v>11664.6</v>
      </c>
      <c r="Y53" s="375">
        <f t="shared" si="12"/>
        <v>11907.400000000001</v>
      </c>
      <c r="Z53" s="376">
        <f t="shared" si="12"/>
        <v>12074.2</v>
      </c>
      <c r="AA53" s="374">
        <f t="shared" si="12"/>
        <v>12871</v>
      </c>
      <c r="AB53" s="375">
        <f t="shared" si="12"/>
        <v>12899.7</v>
      </c>
      <c r="AC53" s="375">
        <f t="shared" si="12"/>
        <v>13126</v>
      </c>
      <c r="AD53" s="376">
        <f t="shared" si="12"/>
        <v>13227</v>
      </c>
      <c r="AE53" s="374">
        <f t="shared" si="12"/>
        <v>13519</v>
      </c>
      <c r="AF53" s="375">
        <f t="shared" si="12"/>
        <v>13268</v>
      </c>
      <c r="AG53" s="375">
        <f t="shared" si="12"/>
        <v>13499.4</v>
      </c>
      <c r="AH53" s="376">
        <f t="shared" si="12"/>
        <v>13811.3</v>
      </c>
      <c r="AI53" s="374">
        <f t="shared" si="12"/>
        <v>13987.400000000001</v>
      </c>
      <c r="AJ53" s="375">
        <f t="shared" si="12"/>
        <v>14290.5</v>
      </c>
      <c r="AK53" s="375">
        <f t="shared" si="12"/>
        <v>13996.7</v>
      </c>
      <c r="AL53" s="376">
        <f t="shared" si="12"/>
        <v>14432.8</v>
      </c>
      <c r="AM53" s="375">
        <f t="shared" si="12"/>
        <v>14718.4</v>
      </c>
      <c r="AN53" s="375">
        <f t="shared" si="12"/>
        <v>14472.5</v>
      </c>
      <c r="AO53" s="375">
        <f t="shared" si="12"/>
        <v>17510.8</v>
      </c>
      <c r="AP53" s="376">
        <f t="shared" ref="AP53:BB53" si="13">SUM(AP43:AP52)</f>
        <v>15395.599999999999</v>
      </c>
      <c r="AQ53" s="375">
        <f t="shared" si="13"/>
        <v>15621.400000000001</v>
      </c>
      <c r="AR53" s="666">
        <f t="shared" si="13"/>
        <v>14884.7</v>
      </c>
      <c r="AS53" s="666">
        <f t="shared" si="13"/>
        <v>15128.3</v>
      </c>
      <c r="AT53" s="688">
        <f t="shared" si="13"/>
        <v>15270.3</v>
      </c>
      <c r="AU53" s="375">
        <f t="shared" si="13"/>
        <v>15325</v>
      </c>
      <c r="AV53" s="666">
        <f t="shared" si="13"/>
        <v>15301</v>
      </c>
      <c r="AW53" s="666">
        <f t="shared" si="13"/>
        <v>15355.2</v>
      </c>
      <c r="AX53" s="688">
        <f t="shared" si="13"/>
        <v>15431.8</v>
      </c>
      <c r="AY53" s="375">
        <f t="shared" si="13"/>
        <v>15614.7</v>
      </c>
      <c r="AZ53" s="666">
        <f t="shared" si="13"/>
        <v>15800.3</v>
      </c>
      <c r="BA53" s="666">
        <f t="shared" si="13"/>
        <v>16039.599999999999</v>
      </c>
      <c r="BB53" s="688">
        <f t="shared" si="13"/>
        <v>16123.100000000002</v>
      </c>
      <c r="BC53" s="375">
        <f t="shared" ref="BC53" si="14">SUM(BC43:BC52)</f>
        <v>16191.5</v>
      </c>
      <c r="BD53" s="666"/>
      <c r="BE53" s="666"/>
      <c r="BF53" s="688"/>
    </row>
    <row r="54" spans="1:59" s="7" customFormat="1" ht="20.149999999999999" customHeight="1" thickBot="1">
      <c r="A54" s="27" t="s">
        <v>215</v>
      </c>
      <c r="B54" s="106" t="s">
        <v>216</v>
      </c>
      <c r="C54" s="24">
        <v>0</v>
      </c>
      <c r="D54" s="24">
        <v>0</v>
      </c>
      <c r="E54" s="24">
        <v>0</v>
      </c>
      <c r="F54" s="201">
        <v>0</v>
      </c>
      <c r="G54" s="202">
        <v>0</v>
      </c>
      <c r="H54" s="202">
        <v>0</v>
      </c>
      <c r="I54" s="357">
        <f>2/1000</f>
        <v>2E-3</v>
      </c>
      <c r="J54" s="357">
        <f>2/1000</f>
        <v>2E-3</v>
      </c>
      <c r="K54" s="358">
        <f>2/1000</f>
        <v>2E-3</v>
      </c>
      <c r="L54" s="202">
        <v>0</v>
      </c>
      <c r="M54" s="202">
        <v>0</v>
      </c>
      <c r="N54" s="201">
        <v>0</v>
      </c>
      <c r="O54" s="202">
        <v>0</v>
      </c>
      <c r="P54" s="202">
        <v>0</v>
      </c>
      <c r="Q54" s="202">
        <v>0</v>
      </c>
      <c r="R54" s="61">
        <v>0</v>
      </c>
      <c r="S54" s="192">
        <v>-22.4</v>
      </c>
      <c r="T54" s="192">
        <v>94.5</v>
      </c>
      <c r="U54" s="192">
        <v>86.1</v>
      </c>
      <c r="V54" s="61">
        <v>78</v>
      </c>
      <c r="W54" s="192">
        <v>70</v>
      </c>
      <c r="X54" s="192">
        <v>60.5</v>
      </c>
      <c r="Y54" s="192">
        <v>52.5</v>
      </c>
      <c r="Z54" s="61">
        <v>42.6</v>
      </c>
      <c r="AA54" s="192">
        <v>34</v>
      </c>
      <c r="AB54" s="192">
        <v>554.29999999999995</v>
      </c>
      <c r="AC54" s="192">
        <v>555.29999999999995</v>
      </c>
      <c r="AD54" s="61">
        <v>648.20000000000005</v>
      </c>
      <c r="AE54" s="192">
        <v>653.6</v>
      </c>
      <c r="AF54" s="192">
        <v>650.5</v>
      </c>
      <c r="AG54" s="192">
        <v>655.7</v>
      </c>
      <c r="AH54" s="61">
        <v>653.20000000000005</v>
      </c>
      <c r="AI54" s="192">
        <v>652.6</v>
      </c>
      <c r="AJ54" s="192">
        <v>647.5</v>
      </c>
      <c r="AK54" s="192">
        <v>646.6</v>
      </c>
      <c r="AL54" s="61">
        <v>-6.6</v>
      </c>
      <c r="AM54" s="192">
        <v>647.9</v>
      </c>
      <c r="AN54" s="192">
        <v>489.9</v>
      </c>
      <c r="AO54" s="192">
        <v>-6.6</v>
      </c>
      <c r="AP54" s="61">
        <v>-11</v>
      </c>
      <c r="AQ54" s="192">
        <v>-14.5</v>
      </c>
      <c r="AR54" s="192">
        <v>540.1</v>
      </c>
      <c r="AS54" s="192">
        <v>526.20000000000005</v>
      </c>
      <c r="AT54" s="689">
        <v>540.5</v>
      </c>
      <c r="AU54" s="192">
        <v>544.70000000000005</v>
      </c>
      <c r="AV54" s="192">
        <v>552.29999999999995</v>
      </c>
      <c r="AW54" s="192">
        <v>408.3</v>
      </c>
      <c r="AX54" s="689">
        <v>873.4</v>
      </c>
      <c r="AY54" s="192">
        <v>873</v>
      </c>
      <c r="AZ54" s="192">
        <v>863.4</v>
      </c>
      <c r="BA54" s="192">
        <v>862.1</v>
      </c>
      <c r="BB54" s="689">
        <v>946.2</v>
      </c>
      <c r="BC54" s="192">
        <v>948</v>
      </c>
      <c r="BD54" s="192"/>
      <c r="BE54" s="192"/>
      <c r="BF54" s="689"/>
    </row>
    <row r="55" spans="1:59" s="199" customFormat="1" ht="25.25" customHeight="1" thickBot="1">
      <c r="A55" s="373" t="s">
        <v>217</v>
      </c>
      <c r="B55" s="373" t="s">
        <v>218</v>
      </c>
      <c r="C55" s="374">
        <f>C53+C54</f>
        <v>2090.7669999999998</v>
      </c>
      <c r="D55" s="375">
        <f>D53+D54</f>
        <v>2192.2690000000002</v>
      </c>
      <c r="E55" s="375">
        <f>E53+E54</f>
        <v>2354.915</v>
      </c>
      <c r="F55" s="376">
        <f>F53</f>
        <v>2468.4030000000002</v>
      </c>
      <c r="G55" s="375">
        <f>G53</f>
        <v>2562.1680000000001</v>
      </c>
      <c r="H55" s="375">
        <f>H53</f>
        <v>2647.2950000000001</v>
      </c>
      <c r="I55" s="375">
        <f>SUM(I53:I54)</f>
        <v>2825.578</v>
      </c>
      <c r="J55" s="376">
        <f t="shared" ref="J55:AP55" si="15">J53+J54</f>
        <v>3001.2130000000002</v>
      </c>
      <c r="K55" s="374">
        <f t="shared" si="15"/>
        <v>3108.3489999999997</v>
      </c>
      <c r="L55" s="375">
        <f t="shared" si="15"/>
        <v>9091.7000000000007</v>
      </c>
      <c r="M55" s="375">
        <f t="shared" si="15"/>
        <v>9130.7000000000007</v>
      </c>
      <c r="N55" s="376">
        <f t="shared" si="15"/>
        <v>9078.2000000000007</v>
      </c>
      <c r="O55" s="374">
        <f t="shared" si="15"/>
        <v>9311.9</v>
      </c>
      <c r="P55" s="375">
        <f t="shared" si="15"/>
        <v>9557.8000000000011</v>
      </c>
      <c r="Q55" s="375">
        <f t="shared" si="15"/>
        <v>10060</v>
      </c>
      <c r="R55" s="376">
        <f t="shared" si="15"/>
        <v>10250.1</v>
      </c>
      <c r="S55" s="374">
        <f t="shared" si="15"/>
        <v>10405.200000000001</v>
      </c>
      <c r="T55" s="375">
        <f t="shared" si="15"/>
        <v>10761.6</v>
      </c>
      <c r="U55" s="375">
        <f t="shared" si="15"/>
        <v>11033.5</v>
      </c>
      <c r="V55" s="376">
        <f t="shared" si="15"/>
        <v>11377.6</v>
      </c>
      <c r="W55" s="374">
        <f t="shared" si="15"/>
        <v>11648.3</v>
      </c>
      <c r="X55" s="375">
        <f t="shared" si="15"/>
        <v>11725.1</v>
      </c>
      <c r="Y55" s="375">
        <f t="shared" si="15"/>
        <v>11959.900000000001</v>
      </c>
      <c r="Z55" s="376">
        <f t="shared" si="15"/>
        <v>12116.800000000001</v>
      </c>
      <c r="AA55" s="374">
        <f t="shared" si="15"/>
        <v>12905</v>
      </c>
      <c r="AB55" s="375">
        <f t="shared" si="15"/>
        <v>13454</v>
      </c>
      <c r="AC55" s="375">
        <f t="shared" si="15"/>
        <v>13681.3</v>
      </c>
      <c r="AD55" s="376">
        <f t="shared" si="15"/>
        <v>13875.2</v>
      </c>
      <c r="AE55" s="374">
        <f t="shared" si="15"/>
        <v>14172.6</v>
      </c>
      <c r="AF55" s="375">
        <f t="shared" si="15"/>
        <v>13918.5</v>
      </c>
      <c r="AG55" s="375">
        <f t="shared" si="15"/>
        <v>14155.1</v>
      </c>
      <c r="AH55" s="376">
        <f t="shared" si="15"/>
        <v>14464.5</v>
      </c>
      <c r="AI55" s="374">
        <f t="shared" si="15"/>
        <v>14640.000000000002</v>
      </c>
      <c r="AJ55" s="375">
        <f t="shared" si="15"/>
        <v>14938</v>
      </c>
      <c r="AK55" s="375">
        <f t="shared" si="15"/>
        <v>14643.300000000001</v>
      </c>
      <c r="AL55" s="376">
        <f t="shared" si="15"/>
        <v>14426.199999999999</v>
      </c>
      <c r="AM55" s="374">
        <f t="shared" si="15"/>
        <v>15366.3</v>
      </c>
      <c r="AN55" s="375">
        <f t="shared" si="15"/>
        <v>14962.4</v>
      </c>
      <c r="AO55" s="375">
        <f t="shared" si="15"/>
        <v>17504.2</v>
      </c>
      <c r="AP55" s="376">
        <f t="shared" si="15"/>
        <v>15384.599999999999</v>
      </c>
      <c r="AQ55" s="374">
        <f t="shared" ref="AQ55:AT55" si="16">AQ53+AQ54</f>
        <v>15606.900000000001</v>
      </c>
      <c r="AR55" s="666">
        <f t="shared" si="16"/>
        <v>15424.800000000001</v>
      </c>
      <c r="AS55" s="375">
        <f t="shared" si="16"/>
        <v>15654.5</v>
      </c>
      <c r="AT55" s="688">
        <f t="shared" si="16"/>
        <v>15810.8</v>
      </c>
      <c r="AU55" s="374">
        <f t="shared" ref="AU55:BB55" si="17">AU53+AU54</f>
        <v>15869.7</v>
      </c>
      <c r="AV55" s="666">
        <f t="shared" si="17"/>
        <v>15853.3</v>
      </c>
      <c r="AW55" s="375">
        <f t="shared" si="17"/>
        <v>15763.5</v>
      </c>
      <c r="AX55" s="688">
        <f t="shared" si="17"/>
        <v>16305.199999999999</v>
      </c>
      <c r="AY55" s="374">
        <f t="shared" si="17"/>
        <v>16487.7</v>
      </c>
      <c r="AZ55" s="666">
        <f t="shared" si="17"/>
        <v>16663.7</v>
      </c>
      <c r="BA55" s="666">
        <f t="shared" si="17"/>
        <v>16901.699999999997</v>
      </c>
      <c r="BB55" s="688">
        <f t="shared" si="17"/>
        <v>17069.300000000003</v>
      </c>
      <c r="BC55" s="374">
        <f t="shared" ref="BC55" si="18">BC53+BC54</f>
        <v>17139.5</v>
      </c>
      <c r="BD55" s="666"/>
      <c r="BE55" s="666"/>
      <c r="BF55" s="688"/>
    </row>
    <row r="56" spans="1:59" s="7" customFormat="1" ht="20.149999999999999" customHeight="1">
      <c r="A56" s="27" t="s">
        <v>219</v>
      </c>
      <c r="B56" s="105" t="s">
        <v>220</v>
      </c>
      <c r="C56" s="30">
        <f>932.068</f>
        <v>932.06799999999998</v>
      </c>
      <c r="D56" s="30">
        <f>(889155)*0.001</f>
        <v>889.15499999999997</v>
      </c>
      <c r="E56" s="30">
        <f>(680371)*0.001</f>
        <v>680.37099999999998</v>
      </c>
      <c r="F56" s="216">
        <f>(592003)*0.001</f>
        <v>592.00300000000004</v>
      </c>
      <c r="G56" s="211">
        <f>(572819)*0.001</f>
        <v>572.81899999999996</v>
      </c>
      <c r="H56" s="211">
        <f>(422858)*0.001</f>
        <v>422.858</v>
      </c>
      <c r="I56" s="211">
        <f>(329798)*0.001</f>
        <v>329.798</v>
      </c>
      <c r="J56" s="211">
        <f>(239889)*0.001</f>
        <v>239.88900000000001</v>
      </c>
      <c r="K56" s="217">
        <f>(236277)*0.001</f>
        <v>236.27700000000002</v>
      </c>
      <c r="L56" s="205">
        <v>8446.1</v>
      </c>
      <c r="M56" s="205">
        <v>7976.3</v>
      </c>
      <c r="N56" s="207">
        <v>7683.5</v>
      </c>
      <c r="O56" s="206">
        <v>7357.9</v>
      </c>
      <c r="P56" s="206">
        <v>7034.6</v>
      </c>
      <c r="Q56" s="205">
        <v>5644.9</v>
      </c>
      <c r="R56" s="61">
        <v>5379.8</v>
      </c>
      <c r="S56" s="193">
        <v>9982.1</v>
      </c>
      <c r="T56" s="193">
        <v>9752</v>
      </c>
      <c r="U56" s="193">
        <v>9530.2999999999993</v>
      </c>
      <c r="V56" s="61">
        <v>9302.7000000000007</v>
      </c>
      <c r="W56" s="193">
        <v>9056</v>
      </c>
      <c r="X56" s="193">
        <v>8808.6</v>
      </c>
      <c r="Y56" s="193">
        <v>8561.9</v>
      </c>
      <c r="Z56" s="61">
        <v>9291.4</v>
      </c>
      <c r="AA56" s="193">
        <v>9474.7000000000007</v>
      </c>
      <c r="AB56" s="193">
        <v>9139.4</v>
      </c>
      <c r="AC56" s="190">
        <v>9043.7999999999993</v>
      </c>
      <c r="AD56" s="61">
        <v>8605.2999999999993</v>
      </c>
      <c r="AE56" s="193">
        <v>8339.7999999999993</v>
      </c>
      <c r="AF56" s="193">
        <v>8100.2</v>
      </c>
      <c r="AG56" s="193">
        <v>7861.1</v>
      </c>
      <c r="AH56" s="61">
        <v>8617</v>
      </c>
      <c r="AI56" s="193">
        <v>8453.4</v>
      </c>
      <c r="AJ56" s="193">
        <v>9258.2999999999993</v>
      </c>
      <c r="AK56" s="193">
        <v>9073.7000000000007</v>
      </c>
      <c r="AL56" s="61">
        <v>8887.7999999999993</v>
      </c>
      <c r="AM56" s="193">
        <v>8701.9</v>
      </c>
      <c r="AN56" s="193">
        <v>8514.2000000000007</v>
      </c>
      <c r="AO56" s="193">
        <v>8005.1</v>
      </c>
      <c r="AP56" s="61">
        <v>7671.8</v>
      </c>
      <c r="AQ56" s="193">
        <v>7346.2</v>
      </c>
      <c r="AR56" s="192">
        <v>7025.1</v>
      </c>
      <c r="AS56" s="193">
        <v>6840.6</v>
      </c>
      <c r="AT56" s="689">
        <v>6624.8</v>
      </c>
      <c r="AU56" s="193">
        <v>6469.7</v>
      </c>
      <c r="AV56" s="192">
        <v>8620.7000000000007</v>
      </c>
      <c r="AW56" s="190">
        <v>9072.7000000000007</v>
      </c>
      <c r="AX56" s="690">
        <v>9534.2999999999993</v>
      </c>
      <c r="AY56" s="193">
        <v>9429.7000000000007</v>
      </c>
      <c r="AZ56" s="192">
        <v>9328.7000000000007</v>
      </c>
      <c r="BA56" s="190">
        <v>9279.7999999999993</v>
      </c>
      <c r="BB56" s="690">
        <v>9142.7000000000007</v>
      </c>
      <c r="BC56" s="193">
        <v>8962.7000000000007</v>
      </c>
      <c r="BD56" s="192"/>
      <c r="BE56" s="190"/>
      <c r="BF56" s="690"/>
      <c r="BG56" s="715"/>
    </row>
    <row r="57" spans="1:59" s="7" customFormat="1" ht="20.149999999999999" customHeight="1">
      <c r="A57" s="27" t="s">
        <v>221</v>
      </c>
      <c r="B57" s="105" t="s">
        <v>222</v>
      </c>
      <c r="C57" s="17">
        <f>1360.637</f>
        <v>1360.6369999999999</v>
      </c>
      <c r="D57" s="17">
        <f>(1369593)*0.001</f>
        <v>1369.5930000000001</v>
      </c>
      <c r="E57" s="17">
        <f>(1347224)*0.001</f>
        <v>1347.2239999999999</v>
      </c>
      <c r="F57" s="204">
        <f>(1316479)*0.001</f>
        <v>1316.479</v>
      </c>
      <c r="G57" s="205">
        <f>(1370119)*0.001</f>
        <v>1370.1190000000001</v>
      </c>
      <c r="H57" s="205">
        <f>(1395972)*0.001</f>
        <v>1395.972</v>
      </c>
      <c r="I57" s="205">
        <f>(1385314)*0.001</f>
        <v>1385.3140000000001</v>
      </c>
      <c r="J57" s="204">
        <f>(1340010)*0.001</f>
        <v>1340.01</v>
      </c>
      <c r="K57" s="205">
        <f>(1396071)*0.001</f>
        <v>1396.0710000000001</v>
      </c>
      <c r="L57" s="205">
        <v>4286.8999999999996</v>
      </c>
      <c r="M57" s="205">
        <v>4302.1000000000004</v>
      </c>
      <c r="N57" s="207">
        <v>4550.2</v>
      </c>
      <c r="O57" s="206">
        <v>4470</v>
      </c>
      <c r="P57" s="206">
        <v>4582.5</v>
      </c>
      <c r="Q57" s="205">
        <v>964.4</v>
      </c>
      <c r="R57" s="61">
        <v>975.3</v>
      </c>
      <c r="S57" s="193">
        <v>2252.6</v>
      </c>
      <c r="T57" s="193">
        <v>1795.1</v>
      </c>
      <c r="U57" s="193">
        <v>1805.1</v>
      </c>
      <c r="V57" s="61">
        <v>1835.7</v>
      </c>
      <c r="W57" s="193">
        <v>964.9</v>
      </c>
      <c r="X57" s="193">
        <v>975.3</v>
      </c>
      <c r="Y57" s="193">
        <v>965.2</v>
      </c>
      <c r="Z57" s="61">
        <v>975.7</v>
      </c>
      <c r="AA57" s="193">
        <v>965.2</v>
      </c>
      <c r="AB57" s="193">
        <v>975.5</v>
      </c>
      <c r="AC57" s="190">
        <v>965.6</v>
      </c>
      <c r="AD57" s="61">
        <v>976</v>
      </c>
      <c r="AE57" s="193">
        <v>965.5</v>
      </c>
      <c r="AF57" s="193">
        <v>968.9</v>
      </c>
      <c r="AG57" s="193">
        <v>977.7</v>
      </c>
      <c r="AH57" s="61">
        <v>969.2</v>
      </c>
      <c r="AI57" s="193">
        <v>1950.7</v>
      </c>
      <c r="AJ57" s="193">
        <v>1957.7</v>
      </c>
      <c r="AK57" s="193">
        <v>1958.8</v>
      </c>
      <c r="AL57" s="61">
        <v>1959.2</v>
      </c>
      <c r="AM57" s="193">
        <v>1959.8</v>
      </c>
      <c r="AN57" s="193">
        <v>1960.1</v>
      </c>
      <c r="AO57" s="193">
        <v>1960.6</v>
      </c>
      <c r="AP57" s="61">
        <v>1942.1</v>
      </c>
      <c r="AQ57" s="193">
        <v>1931.4</v>
      </c>
      <c r="AR57" s="192">
        <v>1905.2</v>
      </c>
      <c r="AS57" s="193">
        <v>1910.3</v>
      </c>
      <c r="AT57" s="689">
        <v>1900.4</v>
      </c>
      <c r="AU57" s="193">
        <v>2897</v>
      </c>
      <c r="AV57" s="192">
        <v>2960.9</v>
      </c>
      <c r="AW57" s="190">
        <v>3497.8</v>
      </c>
      <c r="AX57" s="690">
        <v>3955.4</v>
      </c>
      <c r="AY57" s="193">
        <v>3581.6</v>
      </c>
      <c r="AZ57" s="192">
        <v>3668</v>
      </c>
      <c r="BA57" s="190">
        <v>3583.1</v>
      </c>
      <c r="BB57" s="690">
        <v>3670.8</v>
      </c>
      <c r="BC57" s="193">
        <v>3583.8</v>
      </c>
      <c r="BD57" s="192"/>
      <c r="BE57" s="190"/>
      <c r="BF57" s="690"/>
    </row>
    <row r="58" spans="1:59" s="7" customFormat="1" ht="20.149999999999999" customHeight="1">
      <c r="A58" s="95" t="s">
        <v>223</v>
      </c>
      <c r="B58" s="107" t="s">
        <v>224</v>
      </c>
      <c r="C58" s="30">
        <f>0.81</f>
        <v>0.81</v>
      </c>
      <c r="D58" s="30">
        <f>(741)*0.001</f>
        <v>0.74099999999999999</v>
      </c>
      <c r="E58" s="30">
        <f>(638)*0.001</f>
        <v>0.63800000000000001</v>
      </c>
      <c r="F58" s="216">
        <f>(551)*0.001</f>
        <v>0.55100000000000005</v>
      </c>
      <c r="G58" s="211">
        <f>(474)*0.001</f>
        <v>0.47400000000000003</v>
      </c>
      <c r="H58" s="211">
        <f>(424)*0.001</f>
        <v>0.42399999999999999</v>
      </c>
      <c r="I58" s="211">
        <f>(306)*0.001</f>
        <v>0.30599999999999999</v>
      </c>
      <c r="J58" s="211">
        <f>(227)*0.001</f>
        <v>0.22700000000000001</v>
      </c>
      <c r="K58" s="217">
        <f>(166)*0.001</f>
        <v>0.16600000000000001</v>
      </c>
      <c r="L58" s="208">
        <v>4.5</v>
      </c>
      <c r="M58" s="208">
        <v>7.9</v>
      </c>
      <c r="N58" s="215">
        <v>11.7</v>
      </c>
      <c r="O58" s="218">
        <v>13.4</v>
      </c>
      <c r="P58" s="218">
        <v>15.7</v>
      </c>
      <c r="Q58" s="208">
        <v>21.3</v>
      </c>
      <c r="R58" s="61">
        <v>20.9</v>
      </c>
      <c r="S58" s="190">
        <v>21.2</v>
      </c>
      <c r="T58" s="190">
        <v>23.3</v>
      </c>
      <c r="U58" s="190">
        <v>22.1</v>
      </c>
      <c r="V58" s="61">
        <v>20.9</v>
      </c>
      <c r="W58" s="190">
        <v>22.6</v>
      </c>
      <c r="X58" s="190">
        <v>21.4</v>
      </c>
      <c r="Y58" s="190">
        <v>19.399999999999999</v>
      </c>
      <c r="Z58" s="61">
        <v>18.600000000000001</v>
      </c>
      <c r="AA58" s="190">
        <v>17.3</v>
      </c>
      <c r="AB58" s="190">
        <v>14.6</v>
      </c>
      <c r="AC58" s="190">
        <v>15</v>
      </c>
      <c r="AD58" s="61">
        <v>15.8</v>
      </c>
      <c r="AE58" s="190">
        <v>1070</v>
      </c>
      <c r="AF58" s="190">
        <v>997.6</v>
      </c>
      <c r="AG58" s="193">
        <v>946.9</v>
      </c>
      <c r="AH58" s="61">
        <v>1023.8</v>
      </c>
      <c r="AI58" s="190">
        <v>986.2</v>
      </c>
      <c r="AJ58" s="190">
        <v>1021.2</v>
      </c>
      <c r="AK58" s="193">
        <v>1016.4</v>
      </c>
      <c r="AL58" s="61">
        <v>1140.5</v>
      </c>
      <c r="AM58" s="190">
        <v>537.4</v>
      </c>
      <c r="AN58" s="193">
        <v>504.2</v>
      </c>
      <c r="AO58" s="193">
        <v>495.3</v>
      </c>
      <c r="AP58" s="61">
        <v>497.5</v>
      </c>
      <c r="AQ58" s="190">
        <v>467.5</v>
      </c>
      <c r="AR58" s="192">
        <v>349.1</v>
      </c>
      <c r="AS58" s="193">
        <v>328.3</v>
      </c>
      <c r="AT58" s="689">
        <v>345.6</v>
      </c>
      <c r="AU58" s="190">
        <v>342.2</v>
      </c>
      <c r="AV58" s="192">
        <v>337.3</v>
      </c>
      <c r="AW58" s="190">
        <v>399</v>
      </c>
      <c r="AX58" s="690">
        <v>444.6</v>
      </c>
      <c r="AY58" s="190">
        <v>454.9</v>
      </c>
      <c r="AZ58" s="192">
        <v>473.5</v>
      </c>
      <c r="BA58" s="190">
        <v>460.2</v>
      </c>
      <c r="BB58" s="690">
        <v>502.8</v>
      </c>
      <c r="BC58" s="190">
        <v>508.6</v>
      </c>
      <c r="BD58" s="192"/>
      <c r="BE58" s="190"/>
      <c r="BF58" s="690"/>
    </row>
    <row r="59" spans="1:59" s="7" customFormat="1" ht="20.149999999999999" customHeight="1">
      <c r="A59" s="27" t="s">
        <v>225</v>
      </c>
      <c r="B59" s="105" t="s">
        <v>226</v>
      </c>
      <c r="C59" s="18" t="e">
        <f>0*($A$88)</f>
        <v>#VALUE!</v>
      </c>
      <c r="D59" s="18">
        <f>0</f>
        <v>0</v>
      </c>
      <c r="E59" s="18">
        <f>0</f>
        <v>0</v>
      </c>
      <c r="F59" s="219">
        <v>0</v>
      </c>
      <c r="G59" s="220">
        <v>0</v>
      </c>
      <c r="H59" s="220">
        <f>0</f>
        <v>0</v>
      </c>
      <c r="I59" s="220">
        <v>0</v>
      </c>
      <c r="J59" s="220">
        <v>0</v>
      </c>
      <c r="K59" s="221">
        <v>0</v>
      </c>
      <c r="L59" s="208">
        <v>835.8</v>
      </c>
      <c r="M59" s="208">
        <v>730.2</v>
      </c>
      <c r="N59" s="215">
        <v>750.3</v>
      </c>
      <c r="O59" s="218">
        <v>724.4</v>
      </c>
      <c r="P59" s="218">
        <v>747.9</v>
      </c>
      <c r="Q59" s="208">
        <v>645.1</v>
      </c>
      <c r="R59" s="61">
        <v>652.79999999999995</v>
      </c>
      <c r="S59" s="190">
        <v>658</v>
      </c>
      <c r="T59" s="190">
        <v>686.7</v>
      </c>
      <c r="U59" s="190">
        <v>555.79999999999995</v>
      </c>
      <c r="V59" s="61">
        <v>574</v>
      </c>
      <c r="W59" s="190">
        <v>551</v>
      </c>
      <c r="X59" s="190">
        <v>555.4</v>
      </c>
      <c r="Y59" s="190">
        <v>452.4</v>
      </c>
      <c r="Z59" s="61">
        <v>440.8</v>
      </c>
      <c r="AA59" s="190">
        <v>447.6</v>
      </c>
      <c r="AB59" s="190">
        <v>466.9</v>
      </c>
      <c r="AC59" s="190">
        <v>343.6</v>
      </c>
      <c r="AD59" s="61">
        <v>348.2</v>
      </c>
      <c r="AE59" s="190">
        <v>350.5</v>
      </c>
      <c r="AF59" s="190">
        <v>348.8</v>
      </c>
      <c r="AG59" s="193">
        <v>241.7</v>
      </c>
      <c r="AH59" s="61">
        <v>236.9</v>
      </c>
      <c r="AI59" s="190">
        <v>254.9</v>
      </c>
      <c r="AJ59" s="190">
        <v>251.7</v>
      </c>
      <c r="AK59" s="193">
        <v>133.30000000000001</v>
      </c>
      <c r="AL59" s="61">
        <v>136.69999999999999</v>
      </c>
      <c r="AM59" s="190">
        <v>139</v>
      </c>
      <c r="AN59" s="193">
        <v>135.69999999999999</v>
      </c>
      <c r="AO59" s="193">
        <v>0</v>
      </c>
      <c r="AP59" s="61">
        <v>0</v>
      </c>
      <c r="AQ59" s="190">
        <v>0</v>
      </c>
      <c r="AR59" s="192">
        <v>0</v>
      </c>
      <c r="AS59" s="192">
        <v>0</v>
      </c>
      <c r="AT59" s="689">
        <v>0</v>
      </c>
      <c r="AU59" s="190">
        <v>0</v>
      </c>
      <c r="AV59" s="192">
        <v>0</v>
      </c>
      <c r="AW59" s="190">
        <v>0</v>
      </c>
      <c r="AX59" s="689">
        <v>0</v>
      </c>
      <c r="AY59" s="190">
        <v>0</v>
      </c>
      <c r="AZ59" s="192">
        <v>0</v>
      </c>
      <c r="BA59" s="190">
        <v>0</v>
      </c>
      <c r="BB59" s="689">
        <v>0</v>
      </c>
      <c r="BC59" s="190">
        <v>0</v>
      </c>
      <c r="BD59" s="192"/>
      <c r="BE59" s="190"/>
      <c r="BF59" s="689"/>
    </row>
    <row r="60" spans="1:59" s="7" customFormat="1" ht="20.149999999999999" customHeight="1">
      <c r="A60" s="27" t="s">
        <v>227</v>
      </c>
      <c r="B60" s="105" t="s">
        <v>228</v>
      </c>
      <c r="C60" s="41">
        <f>87.307</f>
        <v>87.307000000000002</v>
      </c>
      <c r="D60" s="41">
        <f>(88480)*0.001</f>
        <v>88.48</v>
      </c>
      <c r="E60" s="41">
        <f>(97271)*0.001</f>
        <v>97.271000000000001</v>
      </c>
      <c r="F60" s="209">
        <f>(94258)*0.001</f>
        <v>94.257999999999996</v>
      </c>
      <c r="G60" s="210">
        <f>(93487)*0.001</f>
        <v>93.487000000000009</v>
      </c>
      <c r="H60" s="210">
        <f>(93150)*0.001</f>
        <v>93.15</v>
      </c>
      <c r="I60" s="210">
        <f>(98799)*0.001</f>
        <v>98.799000000000007</v>
      </c>
      <c r="J60" s="210">
        <f>(108066)*0.001</f>
        <v>108.066</v>
      </c>
      <c r="K60" s="222">
        <f>(95950)*0.001</f>
        <v>95.95</v>
      </c>
      <c r="L60" s="205">
        <v>1010.7</v>
      </c>
      <c r="M60" s="205">
        <v>1038.8</v>
      </c>
      <c r="N60" s="215">
        <v>908.7</v>
      </c>
      <c r="O60" s="218">
        <v>888.6</v>
      </c>
      <c r="P60" s="218">
        <v>821.1</v>
      </c>
      <c r="Q60" s="205">
        <v>770.4</v>
      </c>
      <c r="R60" s="61">
        <v>615.79999999999995</v>
      </c>
      <c r="S60" s="190">
        <v>694.4</v>
      </c>
      <c r="T60" s="190">
        <v>889.1</v>
      </c>
      <c r="U60" s="190">
        <v>923.2</v>
      </c>
      <c r="V60" s="61">
        <v>786.9</v>
      </c>
      <c r="W60" s="190">
        <v>812.3</v>
      </c>
      <c r="X60" s="190">
        <v>775.7</v>
      </c>
      <c r="Y60" s="190">
        <v>771.8</v>
      </c>
      <c r="Z60" s="61">
        <v>879.8</v>
      </c>
      <c r="AA60" s="190">
        <v>1034.8</v>
      </c>
      <c r="AB60" s="190">
        <v>1027.8</v>
      </c>
      <c r="AC60" s="190">
        <v>1006.2</v>
      </c>
      <c r="AD60" s="61">
        <v>1160.0999999999999</v>
      </c>
      <c r="AE60" s="190">
        <v>1132</v>
      </c>
      <c r="AF60" s="190">
        <v>1129.8</v>
      </c>
      <c r="AG60" s="193">
        <v>1086.0999999999999</v>
      </c>
      <c r="AH60" s="61">
        <v>1025.3</v>
      </c>
      <c r="AI60" s="190">
        <v>950.2</v>
      </c>
      <c r="AJ60" s="190">
        <v>973.2</v>
      </c>
      <c r="AK60" s="193">
        <v>984.4</v>
      </c>
      <c r="AL60" s="61">
        <v>902.1</v>
      </c>
      <c r="AM60" s="190">
        <v>857.5</v>
      </c>
      <c r="AN60" s="193">
        <v>885.5</v>
      </c>
      <c r="AO60" s="193">
        <v>853.2</v>
      </c>
      <c r="AP60" s="61">
        <v>794.9</v>
      </c>
      <c r="AQ60" s="190">
        <v>721</v>
      </c>
      <c r="AR60" s="192">
        <v>1044.2</v>
      </c>
      <c r="AS60" s="192">
        <v>1023.2</v>
      </c>
      <c r="AT60" s="689">
        <v>978.7</v>
      </c>
      <c r="AU60" s="190">
        <v>914.9</v>
      </c>
      <c r="AV60" s="192">
        <v>891.1</v>
      </c>
      <c r="AW60" s="190">
        <v>872.8</v>
      </c>
      <c r="AX60" s="690">
        <v>1035</v>
      </c>
      <c r="AY60" s="190">
        <v>1088.3</v>
      </c>
      <c r="AZ60" s="192">
        <v>1056.8</v>
      </c>
      <c r="BA60" s="190">
        <v>1102.7</v>
      </c>
      <c r="BB60" s="690">
        <v>1087.5</v>
      </c>
      <c r="BC60" s="190">
        <v>1057.0999999999999</v>
      </c>
      <c r="BD60" s="192"/>
      <c r="BE60" s="190"/>
      <c r="BF60" s="690"/>
    </row>
    <row r="61" spans="1:59" s="7" customFormat="1" ht="20.149999999999999" customHeight="1">
      <c r="A61" s="27" t="s">
        <v>229</v>
      </c>
      <c r="B61" s="105" t="s">
        <v>230</v>
      </c>
      <c r="C61" s="24">
        <v>0</v>
      </c>
      <c r="D61" s="41">
        <f>(6285)*0.001</f>
        <v>6.2850000000000001</v>
      </c>
      <c r="E61" s="41">
        <f>(5716)*0.001</f>
        <v>5.7160000000000002</v>
      </c>
      <c r="F61" s="209">
        <f>(5181)*0.001</f>
        <v>5.181</v>
      </c>
      <c r="G61" s="210">
        <f>(4978)*0.001</f>
        <v>4.9779999999999998</v>
      </c>
      <c r="H61" s="210">
        <f>(4754)*0.001</f>
        <v>4.7540000000000004</v>
      </c>
      <c r="I61" s="210">
        <f>(4303)*0.001</f>
        <v>4.3029999999999999</v>
      </c>
      <c r="J61" s="210">
        <f>(4079)*0.001</f>
        <v>4.0789999999999997</v>
      </c>
      <c r="K61" s="222">
        <f>(3008)*0.001</f>
        <v>3.008</v>
      </c>
      <c r="L61" s="208">
        <v>2.8</v>
      </c>
      <c r="M61" s="208">
        <v>3.9</v>
      </c>
      <c r="N61" s="215">
        <v>4.7</v>
      </c>
      <c r="O61" s="218">
        <v>5.5</v>
      </c>
      <c r="P61" s="218">
        <v>5</v>
      </c>
      <c r="Q61" s="208">
        <v>4.5</v>
      </c>
      <c r="R61" s="61">
        <v>4.7</v>
      </c>
      <c r="S61" s="190">
        <v>22.1</v>
      </c>
      <c r="T61" s="190">
        <v>21</v>
      </c>
      <c r="U61" s="190">
        <v>20.100000000000001</v>
      </c>
      <c r="V61" s="61">
        <v>20.100000000000001</v>
      </c>
      <c r="W61" s="190">
        <v>4</v>
      </c>
      <c r="X61" s="190">
        <v>3.8</v>
      </c>
      <c r="Y61" s="190">
        <v>3.4</v>
      </c>
      <c r="Z61" s="61">
        <v>3.2</v>
      </c>
      <c r="AA61" s="190">
        <v>0</v>
      </c>
      <c r="AB61" s="190">
        <v>0</v>
      </c>
      <c r="AC61" s="190">
        <v>0</v>
      </c>
      <c r="AD61" s="61">
        <v>0</v>
      </c>
      <c r="AE61" s="190">
        <v>0</v>
      </c>
      <c r="AF61" s="190">
        <v>0</v>
      </c>
      <c r="AG61" s="193">
        <v>0</v>
      </c>
      <c r="AH61" s="61">
        <v>0</v>
      </c>
      <c r="AI61" s="190">
        <v>0</v>
      </c>
      <c r="AJ61" s="190">
        <v>0</v>
      </c>
      <c r="AK61" s="193">
        <v>0</v>
      </c>
      <c r="AL61" s="61">
        <v>0</v>
      </c>
      <c r="AM61" s="190">
        <v>0</v>
      </c>
      <c r="AN61" s="193">
        <v>0</v>
      </c>
      <c r="AO61" s="193">
        <v>0</v>
      </c>
      <c r="AP61" s="61">
        <v>0</v>
      </c>
      <c r="AQ61" s="190">
        <v>0</v>
      </c>
      <c r="AR61" s="192">
        <v>0</v>
      </c>
      <c r="AS61" s="192">
        <v>0</v>
      </c>
      <c r="AT61" s="689">
        <v>0</v>
      </c>
      <c r="AU61" s="190">
        <v>0</v>
      </c>
      <c r="AV61" s="192">
        <v>0</v>
      </c>
      <c r="AW61" s="190">
        <v>0</v>
      </c>
      <c r="AX61" s="689">
        <v>0</v>
      </c>
      <c r="AY61" s="190">
        <v>0</v>
      </c>
      <c r="AZ61" s="192">
        <v>0</v>
      </c>
      <c r="BA61" s="190">
        <v>0</v>
      </c>
      <c r="BB61" s="689">
        <v>0</v>
      </c>
      <c r="BC61" s="190"/>
      <c r="BD61" s="192"/>
      <c r="BE61" s="190"/>
      <c r="BF61" s="689"/>
    </row>
    <row r="62" spans="1:59" s="7" customFormat="1" ht="20.149999999999999" customHeight="1">
      <c r="A62" s="27" t="s">
        <v>231</v>
      </c>
      <c r="B62" s="105" t="s">
        <v>232</v>
      </c>
      <c r="C62" s="41">
        <f>13.779</f>
        <v>13.779</v>
      </c>
      <c r="D62" s="41">
        <f>(17835)*0.001</f>
        <v>17.835000000000001</v>
      </c>
      <c r="E62" s="41">
        <f>(19037)*0.001</f>
        <v>19.036999999999999</v>
      </c>
      <c r="F62" s="209">
        <f>(17690)*0.001</f>
        <v>17.690000000000001</v>
      </c>
      <c r="G62" s="210">
        <f>(17684)*0.001</f>
        <v>17.684000000000001</v>
      </c>
      <c r="H62" s="210">
        <f>(10154)*0.001</f>
        <v>10.154</v>
      </c>
      <c r="I62" s="210">
        <f>(8594)*0.001</f>
        <v>8.5939999999999994</v>
      </c>
      <c r="J62" s="210">
        <f>(7915)*0.001</f>
        <v>7.915</v>
      </c>
      <c r="K62" s="222">
        <f>(7828)*0.001</f>
        <v>7.8280000000000003</v>
      </c>
      <c r="L62" s="208">
        <v>158.19999999999999</v>
      </c>
      <c r="M62" s="208">
        <v>164.6</v>
      </c>
      <c r="N62" s="215">
        <v>184.2</v>
      </c>
      <c r="O62" s="218">
        <v>167.4</v>
      </c>
      <c r="P62" s="218">
        <v>132.4</v>
      </c>
      <c r="Q62" s="208">
        <v>133.1</v>
      </c>
      <c r="R62" s="61">
        <v>124.2</v>
      </c>
      <c r="S62" s="190">
        <v>157.30000000000001</v>
      </c>
      <c r="T62" s="190">
        <v>148.9</v>
      </c>
      <c r="U62" s="190">
        <v>148.19999999999999</v>
      </c>
      <c r="V62" s="61">
        <v>130.19999999999999</v>
      </c>
      <c r="W62" s="190">
        <v>128.1</v>
      </c>
      <c r="X62" s="190">
        <v>122</v>
      </c>
      <c r="Y62" s="190">
        <v>122.2</v>
      </c>
      <c r="Z62" s="61">
        <v>114.2</v>
      </c>
      <c r="AA62" s="190">
        <v>122.4</v>
      </c>
      <c r="AB62" s="190">
        <v>436.6</v>
      </c>
      <c r="AC62" s="190">
        <v>728.3</v>
      </c>
      <c r="AD62" s="61">
        <v>697.6</v>
      </c>
      <c r="AE62" s="190">
        <v>620.1</v>
      </c>
      <c r="AF62" s="190">
        <v>494</v>
      </c>
      <c r="AG62" s="193">
        <v>380.5</v>
      </c>
      <c r="AH62" s="61">
        <v>384.7</v>
      </c>
      <c r="AI62" s="190">
        <v>311.8</v>
      </c>
      <c r="AJ62" s="190">
        <v>334.5</v>
      </c>
      <c r="AK62" s="193">
        <v>346.2</v>
      </c>
      <c r="AL62" s="61">
        <v>388.1</v>
      </c>
      <c r="AM62" s="190">
        <v>104.9</v>
      </c>
      <c r="AN62" s="193">
        <v>95.4</v>
      </c>
      <c r="AO62" s="193">
        <v>345.8</v>
      </c>
      <c r="AP62" s="61">
        <v>319.8</v>
      </c>
      <c r="AQ62" s="190">
        <v>273.2</v>
      </c>
      <c r="AR62" s="192">
        <v>383.1</v>
      </c>
      <c r="AS62" s="193">
        <v>355.4</v>
      </c>
      <c r="AT62" s="689">
        <v>330.9</v>
      </c>
      <c r="AU62" s="190">
        <v>286.39999999999998</v>
      </c>
      <c r="AV62" s="192">
        <v>410.4</v>
      </c>
      <c r="AW62" s="190">
        <v>410.2</v>
      </c>
      <c r="AX62" s="690">
        <v>385.6</v>
      </c>
      <c r="AY62" s="190">
        <v>341.4</v>
      </c>
      <c r="AZ62" s="192">
        <v>297.2</v>
      </c>
      <c r="BA62" s="190">
        <v>322</v>
      </c>
      <c r="BB62" s="690">
        <v>301.60000000000002</v>
      </c>
      <c r="BC62" s="190">
        <v>377.7</v>
      </c>
      <c r="BD62" s="192"/>
      <c r="BE62" s="190"/>
      <c r="BF62" s="690"/>
    </row>
    <row r="63" spans="1:59" s="15" customFormat="1" ht="20.149999999999999" customHeight="1" thickBot="1">
      <c r="A63" s="29" t="s">
        <v>233</v>
      </c>
      <c r="B63" s="109" t="s">
        <v>234</v>
      </c>
      <c r="C63" s="18" t="e">
        <f>0*($A$88)</f>
        <v>#VALUE!</v>
      </c>
      <c r="D63" s="18">
        <f>0</f>
        <v>0</v>
      </c>
      <c r="E63" s="18">
        <f>0</f>
        <v>0</v>
      </c>
      <c r="F63" s="219">
        <v>0</v>
      </c>
      <c r="G63" s="220">
        <v>0</v>
      </c>
      <c r="H63" s="220">
        <f>0</f>
        <v>0</v>
      </c>
      <c r="I63" s="220">
        <v>0</v>
      </c>
      <c r="J63" s="223">
        <v>0.1</v>
      </c>
      <c r="K63" s="221">
        <v>0</v>
      </c>
      <c r="L63" s="220" t="e">
        <f>0*($A$88)</f>
        <v>#VALUE!</v>
      </c>
      <c r="M63" s="220" t="e">
        <f>0*($A$88)</f>
        <v>#VALUE!</v>
      </c>
      <c r="N63" s="223">
        <v>40.1</v>
      </c>
      <c r="O63" s="224">
        <v>22.6</v>
      </c>
      <c r="P63" s="224">
        <v>2</v>
      </c>
      <c r="Q63" s="225">
        <v>1.9</v>
      </c>
      <c r="R63" s="61">
        <v>0</v>
      </c>
      <c r="S63" s="173">
        <v>1.1000000000000001</v>
      </c>
      <c r="T63" s="173">
        <v>0.9</v>
      </c>
      <c r="U63" s="173">
        <v>0</v>
      </c>
      <c r="V63" s="61">
        <v>0</v>
      </c>
      <c r="W63" s="173">
        <v>1.5</v>
      </c>
      <c r="X63" s="173">
        <v>1.7</v>
      </c>
      <c r="Y63" s="173">
        <v>1.3</v>
      </c>
      <c r="Z63" s="61">
        <v>0</v>
      </c>
      <c r="AA63" s="173">
        <v>2.2000000000000002</v>
      </c>
      <c r="AB63" s="173">
        <v>0.5</v>
      </c>
      <c r="AC63" s="173">
        <v>205</v>
      </c>
      <c r="AD63" s="61">
        <v>165.2</v>
      </c>
      <c r="AE63" s="173">
        <v>167.2</v>
      </c>
      <c r="AF63" s="173">
        <v>5.4</v>
      </c>
      <c r="AG63" s="173">
        <v>6.7</v>
      </c>
      <c r="AH63" s="61">
        <v>3.2</v>
      </c>
      <c r="AI63" s="173">
        <v>30.2</v>
      </c>
      <c r="AJ63" s="173">
        <v>29.6</v>
      </c>
      <c r="AK63" s="173">
        <v>24.9</v>
      </c>
      <c r="AL63" s="194">
        <v>16.8</v>
      </c>
      <c r="AM63" s="173">
        <v>6.7</v>
      </c>
      <c r="AN63" s="173">
        <v>1.4</v>
      </c>
      <c r="AO63" s="173">
        <v>0</v>
      </c>
      <c r="AP63" s="194">
        <v>0</v>
      </c>
      <c r="AQ63" s="173">
        <v>0</v>
      </c>
      <c r="AR63" s="665">
        <v>0</v>
      </c>
      <c r="AS63" s="173">
        <v>0</v>
      </c>
      <c r="AT63" s="687">
        <v>4.3</v>
      </c>
      <c r="AU63" s="173">
        <v>11.9</v>
      </c>
      <c r="AV63" s="665">
        <v>154</v>
      </c>
      <c r="AW63" s="173">
        <v>20.3</v>
      </c>
      <c r="AX63" s="699">
        <v>24</v>
      </c>
      <c r="AY63" s="173">
        <v>12.1</v>
      </c>
      <c r="AZ63" s="665">
        <v>9.3000000000000007</v>
      </c>
      <c r="BA63" s="173">
        <v>36.1</v>
      </c>
      <c r="BB63" s="699">
        <v>10.8</v>
      </c>
      <c r="BC63" s="173">
        <v>12.1</v>
      </c>
      <c r="BD63" s="665"/>
      <c r="BE63" s="173"/>
      <c r="BF63" s="699"/>
    </row>
    <row r="64" spans="1:59" s="199" customFormat="1" ht="25.25" customHeight="1" thickBot="1">
      <c r="A64" s="373" t="s">
        <v>235</v>
      </c>
      <c r="B64" s="373" t="s">
        <v>236</v>
      </c>
      <c r="C64" s="374" t="e">
        <f t="shared" ref="C64" si="19">SUM(C56:C62)</f>
        <v>#VALUE!</v>
      </c>
      <c r="D64" s="375">
        <f t="shared" ref="D64" si="20">SUM(D56:D62)</f>
        <v>2372.0889999999999</v>
      </c>
      <c r="E64" s="375">
        <f t="shared" ref="E64" si="21">SUM(E56:E62)</f>
        <v>2150.2569999999996</v>
      </c>
      <c r="F64" s="376">
        <f t="shared" ref="F64:I64" si="22">SUM(F56:F62)</f>
        <v>2026.162</v>
      </c>
      <c r="G64" s="375">
        <f t="shared" si="22"/>
        <v>2059.5610000000001</v>
      </c>
      <c r="H64" s="375">
        <f t="shared" si="22"/>
        <v>1927.3119999999999</v>
      </c>
      <c r="I64" s="375">
        <f t="shared" si="22"/>
        <v>1827.1140000000003</v>
      </c>
      <c r="J64" s="376">
        <f t="shared" ref="J64:K64" si="23">SUM(J56:J62)</f>
        <v>1700.1859999999999</v>
      </c>
      <c r="K64" s="374">
        <f t="shared" si="23"/>
        <v>1739.3000000000002</v>
      </c>
      <c r="L64" s="375">
        <f t="shared" ref="L64:M64" si="24">SUM(L56:L62)</f>
        <v>14745</v>
      </c>
      <c r="M64" s="375">
        <f t="shared" si="24"/>
        <v>14223.800000000001</v>
      </c>
      <c r="N64" s="376">
        <f t="shared" ref="N64:S64" si="25">SUM(N56:N63)-N63</f>
        <v>14093.300000000003</v>
      </c>
      <c r="O64" s="374">
        <f t="shared" si="25"/>
        <v>13627.199999999999</v>
      </c>
      <c r="P64" s="375">
        <f t="shared" si="25"/>
        <v>13339.2</v>
      </c>
      <c r="Q64" s="375">
        <f t="shared" si="25"/>
        <v>8183.7</v>
      </c>
      <c r="R64" s="376">
        <f t="shared" si="25"/>
        <v>7773.5</v>
      </c>
      <c r="S64" s="374">
        <f t="shared" si="25"/>
        <v>13787.7</v>
      </c>
      <c r="T64" s="375">
        <f t="shared" ref="T64:U64" si="26">SUM(T56:T63)-T63</f>
        <v>13316.1</v>
      </c>
      <c r="U64" s="375">
        <f t="shared" si="26"/>
        <v>13004.800000000001</v>
      </c>
      <c r="V64" s="376">
        <f t="shared" ref="V64" si="27">SUM(V56:V63)-V63</f>
        <v>12670.500000000002</v>
      </c>
      <c r="W64" s="374">
        <f t="shared" ref="W64:Z64" si="28">SUM(W56:W63)-W63</f>
        <v>11538.9</v>
      </c>
      <c r="X64" s="375">
        <f t="shared" si="28"/>
        <v>11262.199999999999</v>
      </c>
      <c r="Y64" s="375">
        <f t="shared" si="28"/>
        <v>10896.3</v>
      </c>
      <c r="Z64" s="376">
        <f t="shared" si="28"/>
        <v>11723.7</v>
      </c>
      <c r="AA64" s="374">
        <f t="shared" ref="AA64:AE64" si="29">SUM(AA56:AA63)-AA63</f>
        <v>12062</v>
      </c>
      <c r="AB64" s="375">
        <f t="shared" si="29"/>
        <v>12060.8</v>
      </c>
      <c r="AC64" s="375">
        <f t="shared" si="29"/>
        <v>12102.5</v>
      </c>
      <c r="AD64" s="376">
        <f t="shared" si="29"/>
        <v>11803</v>
      </c>
      <c r="AE64" s="374">
        <f t="shared" si="29"/>
        <v>12477.9</v>
      </c>
      <c r="AF64" s="375">
        <f t="shared" ref="AF64:AI64" si="30">SUM(AF56:AF63)-AF63</f>
        <v>12039.3</v>
      </c>
      <c r="AG64" s="375">
        <f t="shared" si="30"/>
        <v>11494.000000000002</v>
      </c>
      <c r="AH64" s="376">
        <f t="shared" si="30"/>
        <v>12256.9</v>
      </c>
      <c r="AI64" s="374">
        <f t="shared" si="30"/>
        <v>12907.2</v>
      </c>
      <c r="AJ64" s="375">
        <f t="shared" ref="AJ64:AM64" si="31">SUM(AJ56:AJ63)-AJ63</f>
        <v>13796.600000000002</v>
      </c>
      <c r="AK64" s="375">
        <f t="shared" si="31"/>
        <v>13512.8</v>
      </c>
      <c r="AL64" s="376">
        <f t="shared" si="31"/>
        <v>13414.400000000001</v>
      </c>
      <c r="AM64" s="374">
        <f t="shared" si="31"/>
        <v>12300.499999999998</v>
      </c>
      <c r="AN64" s="375">
        <f t="shared" ref="AN64:AQ64" si="32">SUM(AN56:AN63)-AN63</f>
        <v>12095.100000000002</v>
      </c>
      <c r="AO64" s="375">
        <f t="shared" si="32"/>
        <v>11660</v>
      </c>
      <c r="AP64" s="376">
        <f t="shared" si="32"/>
        <v>11226.099999999999</v>
      </c>
      <c r="AQ64" s="374">
        <f t="shared" si="32"/>
        <v>10739.300000000001</v>
      </c>
      <c r="AR64" s="666">
        <f t="shared" ref="AR64:AU64" si="33">SUM(AR56:AR63)-AR63</f>
        <v>10706.700000000003</v>
      </c>
      <c r="AS64" s="375">
        <f t="shared" si="33"/>
        <v>10457.799999999999</v>
      </c>
      <c r="AT64" s="376">
        <f t="shared" si="33"/>
        <v>10180.400000000001</v>
      </c>
      <c r="AU64" s="374">
        <f t="shared" si="33"/>
        <v>10910.2</v>
      </c>
      <c r="AV64" s="666">
        <f t="shared" ref="AV64:BB64" si="34">SUM(AV56:AV63)-AV63</f>
        <v>13220.4</v>
      </c>
      <c r="AW64" s="666">
        <f t="shared" si="34"/>
        <v>14252.5</v>
      </c>
      <c r="AX64" s="376">
        <f t="shared" si="34"/>
        <v>15354.9</v>
      </c>
      <c r="AY64" s="374">
        <f t="shared" si="34"/>
        <v>14895.9</v>
      </c>
      <c r="AZ64" s="666">
        <f t="shared" si="34"/>
        <v>14824.2</v>
      </c>
      <c r="BA64" s="666">
        <f t="shared" si="34"/>
        <v>14747.800000000001</v>
      </c>
      <c r="BB64" s="376">
        <f t="shared" si="34"/>
        <v>14705.4</v>
      </c>
      <c r="BC64" s="374">
        <f t="shared" ref="BC64" si="35">SUM(BC56:BC63)-BC63</f>
        <v>14489.900000000001</v>
      </c>
      <c r="BD64" s="666"/>
      <c r="BE64" s="666"/>
      <c r="BF64" s="376"/>
    </row>
    <row r="65" spans="1:61" s="7" customFormat="1" ht="20.149999999999999" customHeight="1">
      <c r="A65" s="27" t="s">
        <v>219</v>
      </c>
      <c r="B65" s="105" t="s">
        <v>220</v>
      </c>
      <c r="C65" s="41">
        <f>250.363</f>
        <v>250.363</v>
      </c>
      <c r="D65" s="41">
        <f>(265796)*0.001</f>
        <v>265.79599999999999</v>
      </c>
      <c r="E65" s="41">
        <f>(238676)*0.001</f>
        <v>238.67600000000002</v>
      </c>
      <c r="F65" s="209">
        <f>(275608)*0.001</f>
        <v>275.608</v>
      </c>
      <c r="G65" s="210">
        <f>(250329)*0.001</f>
        <v>250.32900000000001</v>
      </c>
      <c r="H65" s="210">
        <f>(263389)*0.001</f>
        <v>263.38900000000001</v>
      </c>
      <c r="I65" s="210">
        <f>(214673)*0.001</f>
        <v>214.673</v>
      </c>
      <c r="J65" s="210">
        <f>(245994)*0.001</f>
        <v>245.994</v>
      </c>
      <c r="K65" s="222">
        <f>(240921)*0.001</f>
        <v>240.92099999999999</v>
      </c>
      <c r="L65" s="205">
        <v>1094.3</v>
      </c>
      <c r="M65" s="205">
        <v>1365.1</v>
      </c>
      <c r="N65" s="207">
        <v>1322.6</v>
      </c>
      <c r="O65" s="206">
        <v>1543.9</v>
      </c>
      <c r="P65" s="206">
        <v>1169.9000000000001</v>
      </c>
      <c r="Q65" s="205">
        <v>963.7</v>
      </c>
      <c r="R65" s="61">
        <v>1230.9000000000001</v>
      </c>
      <c r="S65" s="193">
        <v>1593</v>
      </c>
      <c r="T65" s="193">
        <v>1251.3</v>
      </c>
      <c r="U65" s="193">
        <v>1269.4000000000001</v>
      </c>
      <c r="V65" s="61">
        <v>1270</v>
      </c>
      <c r="W65" s="193">
        <v>1286.8</v>
      </c>
      <c r="X65" s="193">
        <v>1805.9</v>
      </c>
      <c r="Y65" s="193">
        <v>1824.8</v>
      </c>
      <c r="Z65" s="61">
        <v>1341.9</v>
      </c>
      <c r="AA65" s="193">
        <v>552.9</v>
      </c>
      <c r="AB65" s="193">
        <v>1074.7</v>
      </c>
      <c r="AC65" s="190">
        <v>1368.9</v>
      </c>
      <c r="AD65" s="61">
        <v>1611.3</v>
      </c>
      <c r="AE65" s="193">
        <v>1298.2</v>
      </c>
      <c r="AF65" s="193">
        <v>1279</v>
      </c>
      <c r="AG65" s="193">
        <v>1748.5</v>
      </c>
      <c r="AH65" s="61">
        <v>1892.5</v>
      </c>
      <c r="AI65" s="193">
        <v>1241.5999999999999</v>
      </c>
      <c r="AJ65" s="193">
        <v>364.6</v>
      </c>
      <c r="AK65" s="193">
        <v>557.5</v>
      </c>
      <c r="AL65" s="61">
        <v>753</v>
      </c>
      <c r="AM65" s="193">
        <v>947.4</v>
      </c>
      <c r="AN65" s="193">
        <v>1053.4000000000001</v>
      </c>
      <c r="AO65" s="193">
        <v>1924.5</v>
      </c>
      <c r="AP65" s="61">
        <v>1072.7</v>
      </c>
      <c r="AQ65" s="193">
        <v>1219.0999999999999</v>
      </c>
      <c r="AR65" s="192">
        <v>1357.2</v>
      </c>
      <c r="AS65" s="193">
        <v>1367.2</v>
      </c>
      <c r="AT65" s="61">
        <v>1512.6</v>
      </c>
      <c r="AU65" s="193">
        <v>2376.3000000000002</v>
      </c>
      <c r="AV65" s="192">
        <v>1836</v>
      </c>
      <c r="AW65" s="190">
        <v>2552.3000000000002</v>
      </c>
      <c r="AX65" s="690">
        <v>1069.7</v>
      </c>
      <c r="AY65" s="193">
        <v>1190.8</v>
      </c>
      <c r="AZ65" s="192">
        <v>1349.1</v>
      </c>
      <c r="BA65" s="190">
        <v>1292.7</v>
      </c>
      <c r="BB65" s="690">
        <v>1315.1</v>
      </c>
      <c r="BC65" s="193">
        <v>770.3</v>
      </c>
      <c r="BD65" s="192"/>
      <c r="BE65" s="190"/>
      <c r="BF65" s="690"/>
      <c r="BI65" s="715"/>
    </row>
    <row r="66" spans="1:61" s="7" customFormat="1" ht="20.149999999999999" customHeight="1">
      <c r="A66" s="27" t="s">
        <v>221</v>
      </c>
      <c r="B66" s="105" t="s">
        <v>222</v>
      </c>
      <c r="C66" s="41">
        <f>100.836</f>
        <v>100.836</v>
      </c>
      <c r="D66" s="41">
        <f>(101342)*0.001</f>
        <v>101.342</v>
      </c>
      <c r="E66" s="41">
        <f>(99687)*0.001</f>
        <v>99.686999999999998</v>
      </c>
      <c r="F66" s="209">
        <f>(97256)*0.001</f>
        <v>97.256</v>
      </c>
      <c r="G66" s="210">
        <f>(101219)*0.001</f>
        <v>101.21900000000001</v>
      </c>
      <c r="H66" s="210">
        <f>(102957)*0.001</f>
        <v>102.95700000000001</v>
      </c>
      <c r="I66" s="210">
        <f>(102171)*0.001</f>
        <v>102.17100000000001</v>
      </c>
      <c r="J66" s="210">
        <f>(98659)*0.001</f>
        <v>98.659000000000006</v>
      </c>
      <c r="K66" s="222">
        <f>(101071)*0.001</f>
        <v>101.071</v>
      </c>
      <c r="L66" s="208">
        <v>431.9</v>
      </c>
      <c r="M66" s="208">
        <v>439.1</v>
      </c>
      <c r="N66" s="215">
        <v>464.4</v>
      </c>
      <c r="O66" s="218">
        <v>462.5</v>
      </c>
      <c r="P66" s="218">
        <v>479.4</v>
      </c>
      <c r="Q66" s="208">
        <v>4607.5</v>
      </c>
      <c r="R66" s="61">
        <v>4776.7</v>
      </c>
      <c r="S66" s="190">
        <v>41.5</v>
      </c>
      <c r="T66" s="190">
        <v>42.3</v>
      </c>
      <c r="U66" s="190">
        <v>41.9</v>
      </c>
      <c r="V66" s="61">
        <v>42.4</v>
      </c>
      <c r="W66" s="190">
        <v>981.4</v>
      </c>
      <c r="X66" s="190">
        <v>42.5</v>
      </c>
      <c r="Y66" s="190">
        <v>42.1</v>
      </c>
      <c r="Z66" s="61">
        <v>42.5</v>
      </c>
      <c r="AA66" s="190">
        <v>41.9</v>
      </c>
      <c r="AB66" s="190">
        <v>42.4</v>
      </c>
      <c r="AC66" s="190">
        <v>41.8</v>
      </c>
      <c r="AD66" s="61">
        <v>42.3</v>
      </c>
      <c r="AE66" s="190">
        <v>41.9</v>
      </c>
      <c r="AF66" s="190">
        <v>34.799999999999997</v>
      </c>
      <c r="AG66" s="193">
        <v>35.1</v>
      </c>
      <c r="AH66" s="61">
        <v>34.799999999999997</v>
      </c>
      <c r="AI66" s="190">
        <v>63.1</v>
      </c>
      <c r="AJ66" s="190">
        <v>48.9</v>
      </c>
      <c r="AK66" s="193">
        <v>41.1</v>
      </c>
      <c r="AL66" s="61">
        <v>38.700000000000003</v>
      </c>
      <c r="AM66" s="190">
        <v>38.6</v>
      </c>
      <c r="AN66" s="193">
        <v>38.6</v>
      </c>
      <c r="AO66" s="193">
        <v>39.200000000000003</v>
      </c>
      <c r="AP66" s="61">
        <v>66.400000000000006</v>
      </c>
      <c r="AQ66" s="190">
        <v>103.8</v>
      </c>
      <c r="AR66" s="192">
        <v>149</v>
      </c>
      <c r="AS66" s="193">
        <v>159.9</v>
      </c>
      <c r="AT66" s="61">
        <v>176</v>
      </c>
      <c r="AU66" s="190">
        <v>318</v>
      </c>
      <c r="AV66" s="192">
        <v>323.39999999999998</v>
      </c>
      <c r="AW66" s="190">
        <v>366.8</v>
      </c>
      <c r="AX66" s="690">
        <v>393.7</v>
      </c>
      <c r="AY66" s="190">
        <v>358.2</v>
      </c>
      <c r="AZ66" s="192">
        <v>366.3</v>
      </c>
      <c r="BA66" s="190">
        <v>358.8</v>
      </c>
      <c r="BB66" s="690">
        <v>366.9</v>
      </c>
      <c r="BC66" s="190">
        <v>356.1</v>
      </c>
      <c r="BD66" s="192"/>
      <c r="BE66" s="190"/>
      <c r="BF66" s="690"/>
      <c r="BI66" s="715"/>
    </row>
    <row r="67" spans="1:61" s="7" customFormat="1" ht="20.149999999999999" customHeight="1">
      <c r="A67" s="27" t="s">
        <v>237</v>
      </c>
      <c r="B67" s="107" t="s">
        <v>224</v>
      </c>
      <c r="C67" s="41">
        <f>0.237</f>
        <v>0.23699999999999999</v>
      </c>
      <c r="D67" s="41">
        <f>(243)*0.001</f>
        <v>0.24299999999999999</v>
      </c>
      <c r="E67" s="41">
        <f>(234)*0.001</f>
        <v>0.23400000000000001</v>
      </c>
      <c r="F67" s="209">
        <f>(233)*0.001</f>
        <v>0.23300000000000001</v>
      </c>
      <c r="G67" s="210">
        <f>(238)*0.001</f>
        <v>0.23800000000000002</v>
      </c>
      <c r="H67" s="210">
        <f>(247)*0.001</f>
        <v>0.247</v>
      </c>
      <c r="I67" s="210">
        <f>(240)*0.001</f>
        <v>0.24</v>
      </c>
      <c r="J67" s="210">
        <f>(236)*0.001</f>
        <v>0.23600000000000002</v>
      </c>
      <c r="K67" s="222">
        <f>(237)*0.001</f>
        <v>0.23700000000000002</v>
      </c>
      <c r="L67" s="208">
        <v>5.3</v>
      </c>
      <c r="M67" s="208">
        <v>5.8</v>
      </c>
      <c r="N67" s="215">
        <v>6.8</v>
      </c>
      <c r="O67" s="218">
        <v>2.7</v>
      </c>
      <c r="P67" s="218">
        <v>3.7</v>
      </c>
      <c r="Q67" s="208">
        <v>4.3</v>
      </c>
      <c r="R67" s="61">
        <v>4.3</v>
      </c>
      <c r="S67" s="190">
        <v>4.5</v>
      </c>
      <c r="T67" s="190">
        <v>4.9000000000000004</v>
      </c>
      <c r="U67" s="190">
        <v>4.9000000000000004</v>
      </c>
      <c r="V67" s="61">
        <v>5</v>
      </c>
      <c r="W67" s="190">
        <v>5.2</v>
      </c>
      <c r="X67" s="190">
        <v>7.6</v>
      </c>
      <c r="Y67" s="190">
        <v>7</v>
      </c>
      <c r="Z67" s="61">
        <v>9.6999999999999993</v>
      </c>
      <c r="AA67" s="190">
        <v>10.4</v>
      </c>
      <c r="AB67" s="190">
        <v>9.6999999999999993</v>
      </c>
      <c r="AC67" s="190">
        <v>10.7</v>
      </c>
      <c r="AD67" s="61">
        <v>8.1999999999999993</v>
      </c>
      <c r="AE67" s="190">
        <v>411.5</v>
      </c>
      <c r="AF67" s="190">
        <v>411.1</v>
      </c>
      <c r="AG67" s="193">
        <v>411.4</v>
      </c>
      <c r="AH67" s="61">
        <v>413.5</v>
      </c>
      <c r="AI67" s="190">
        <v>430.3</v>
      </c>
      <c r="AJ67" s="190">
        <v>418.8</v>
      </c>
      <c r="AK67" s="193">
        <v>420</v>
      </c>
      <c r="AL67" s="61">
        <v>432.5</v>
      </c>
      <c r="AM67" s="190">
        <v>198.7</v>
      </c>
      <c r="AN67" s="193">
        <v>201.5</v>
      </c>
      <c r="AO67" s="193">
        <v>196.8</v>
      </c>
      <c r="AP67" s="61">
        <v>201.1</v>
      </c>
      <c r="AQ67" s="190">
        <v>197.9</v>
      </c>
      <c r="AR67" s="192">
        <v>186.7</v>
      </c>
      <c r="AS67" s="193">
        <v>190.2</v>
      </c>
      <c r="AT67" s="61">
        <v>178.6</v>
      </c>
      <c r="AU67" s="190">
        <v>180.6</v>
      </c>
      <c r="AV67" s="192">
        <v>172.7</v>
      </c>
      <c r="AW67" s="190">
        <v>165.8</v>
      </c>
      <c r="AX67" s="690">
        <v>166.2</v>
      </c>
      <c r="AY67" s="190">
        <v>184.4</v>
      </c>
      <c r="AZ67" s="192">
        <v>184.6</v>
      </c>
      <c r="BA67" s="190">
        <v>180.4</v>
      </c>
      <c r="BB67" s="690">
        <v>181.9</v>
      </c>
      <c r="BC67" s="190">
        <v>176.7</v>
      </c>
      <c r="BD67" s="192"/>
      <c r="BE67" s="190"/>
      <c r="BF67" s="690"/>
      <c r="BI67" s="715"/>
    </row>
    <row r="68" spans="1:61" s="7" customFormat="1" ht="20.149999999999999" customHeight="1">
      <c r="A68" s="27" t="s">
        <v>225</v>
      </c>
      <c r="B68" s="105" t="s">
        <v>226</v>
      </c>
      <c r="C68" s="19">
        <v>0</v>
      </c>
      <c r="D68" s="19">
        <v>0</v>
      </c>
      <c r="E68" s="19">
        <v>0</v>
      </c>
      <c r="F68" s="226">
        <v>0</v>
      </c>
      <c r="G68" s="227">
        <v>0</v>
      </c>
      <c r="H68" s="227">
        <v>0</v>
      </c>
      <c r="I68" s="227">
        <v>0</v>
      </c>
      <c r="J68" s="227">
        <v>0</v>
      </c>
      <c r="K68" s="228">
        <v>0</v>
      </c>
      <c r="L68" s="208">
        <v>115.8</v>
      </c>
      <c r="M68" s="208">
        <v>113.9</v>
      </c>
      <c r="N68" s="215">
        <v>117.1</v>
      </c>
      <c r="O68" s="218">
        <v>113</v>
      </c>
      <c r="P68" s="218">
        <v>116.7</v>
      </c>
      <c r="Q68" s="208">
        <v>115.6</v>
      </c>
      <c r="R68" s="61">
        <v>117</v>
      </c>
      <c r="S68" s="190">
        <v>118</v>
      </c>
      <c r="T68" s="190">
        <v>123.1</v>
      </c>
      <c r="U68" s="190">
        <v>117.7</v>
      </c>
      <c r="V68" s="61">
        <v>121.5</v>
      </c>
      <c r="W68" s="190">
        <v>116.6</v>
      </c>
      <c r="X68" s="190">
        <v>117.6</v>
      </c>
      <c r="Y68" s="190">
        <v>117.6</v>
      </c>
      <c r="Z68" s="61">
        <v>114.5</v>
      </c>
      <c r="AA68" s="190">
        <v>116.3</v>
      </c>
      <c r="AB68" s="190">
        <v>121.3</v>
      </c>
      <c r="AC68" s="190">
        <v>116.6</v>
      </c>
      <c r="AD68" s="61">
        <v>118.1</v>
      </c>
      <c r="AE68" s="190">
        <v>118.9</v>
      </c>
      <c r="AF68" s="190">
        <v>118.3</v>
      </c>
      <c r="AG68" s="193">
        <v>119.3</v>
      </c>
      <c r="AH68" s="61">
        <v>116.9</v>
      </c>
      <c r="AI68" s="190">
        <v>125.8</v>
      </c>
      <c r="AJ68" s="190">
        <v>124.2</v>
      </c>
      <c r="AK68" s="193">
        <v>123.5</v>
      </c>
      <c r="AL68" s="61">
        <v>126.7</v>
      </c>
      <c r="AM68" s="190">
        <v>128.80000000000001</v>
      </c>
      <c r="AN68" s="193">
        <v>125.8</v>
      </c>
      <c r="AO68" s="193">
        <v>140</v>
      </c>
      <c r="AP68" s="61">
        <v>139.9</v>
      </c>
      <c r="AQ68" s="190">
        <v>142.4</v>
      </c>
      <c r="AR68" s="192">
        <v>144.19999999999999</v>
      </c>
      <c r="AS68" s="193">
        <v>0</v>
      </c>
      <c r="AT68" s="61">
        <v>0</v>
      </c>
      <c r="AU68" s="190">
        <v>0</v>
      </c>
      <c r="AV68" s="192" t="s">
        <v>197</v>
      </c>
      <c r="AW68" s="190">
        <v>0</v>
      </c>
      <c r="AX68" s="61">
        <v>0</v>
      </c>
      <c r="AY68" s="190">
        <v>0</v>
      </c>
      <c r="AZ68" s="192">
        <v>0</v>
      </c>
      <c r="BA68" s="190">
        <v>0</v>
      </c>
      <c r="BB68" s="61">
        <v>0</v>
      </c>
      <c r="BC68" s="190">
        <v>0</v>
      </c>
      <c r="BD68" s="192"/>
      <c r="BE68" s="190"/>
      <c r="BF68" s="61"/>
      <c r="BI68" s="715"/>
    </row>
    <row r="69" spans="1:61" s="7" customFormat="1" ht="20.149999999999999" customHeight="1">
      <c r="A69" s="27" t="s">
        <v>238</v>
      </c>
      <c r="B69" s="105" t="s">
        <v>239</v>
      </c>
      <c r="C69" s="19"/>
      <c r="D69" s="19"/>
      <c r="E69" s="19"/>
      <c r="F69" s="226"/>
      <c r="G69" s="227"/>
      <c r="H69" s="227"/>
      <c r="I69" s="227"/>
      <c r="J69" s="227"/>
      <c r="K69" s="228"/>
      <c r="L69" s="208"/>
      <c r="M69" s="208"/>
      <c r="N69" s="215"/>
      <c r="O69" s="218"/>
      <c r="P69" s="218"/>
      <c r="Q69" s="208"/>
      <c r="R69" s="61"/>
      <c r="S69" s="190"/>
      <c r="T69" s="190"/>
      <c r="U69" s="190"/>
      <c r="V69" s="61"/>
      <c r="W69" s="190"/>
      <c r="X69" s="190"/>
      <c r="Y69" s="190"/>
      <c r="Z69" s="61"/>
      <c r="AA69" s="193">
        <v>359</v>
      </c>
      <c r="AB69" s="190">
        <v>649.1</v>
      </c>
      <c r="AC69" s="190">
        <v>643.5</v>
      </c>
      <c r="AD69" s="61">
        <v>705.2</v>
      </c>
      <c r="AE69" s="193">
        <v>722.6</v>
      </c>
      <c r="AF69" s="190">
        <v>712.2</v>
      </c>
      <c r="AG69" s="193">
        <v>729.6</v>
      </c>
      <c r="AH69" s="61">
        <v>713.1</v>
      </c>
      <c r="AI69" s="193">
        <v>725.1</v>
      </c>
      <c r="AJ69" s="190">
        <v>686.4</v>
      </c>
      <c r="AK69" s="193">
        <v>671.7</v>
      </c>
      <c r="AL69" s="61">
        <v>675.6</v>
      </c>
      <c r="AM69" s="193">
        <v>663.1</v>
      </c>
      <c r="AN69" s="193">
        <v>646.70000000000005</v>
      </c>
      <c r="AO69" s="193">
        <v>668.3</v>
      </c>
      <c r="AP69" s="61">
        <v>650.79999999999995</v>
      </c>
      <c r="AQ69" s="193">
        <v>637.5</v>
      </c>
      <c r="AR69" s="192">
        <v>631.79999999999995</v>
      </c>
      <c r="AS69" s="193">
        <v>632.70000000000005</v>
      </c>
      <c r="AT69" s="61">
        <v>606.79999999999995</v>
      </c>
      <c r="AU69" s="193">
        <v>628.9</v>
      </c>
      <c r="AV69" s="192">
        <v>629.9</v>
      </c>
      <c r="AW69" s="192">
        <v>706.9</v>
      </c>
      <c r="AX69" s="690">
        <v>682.2</v>
      </c>
      <c r="AY69" s="193">
        <v>719.9</v>
      </c>
      <c r="AZ69" s="192">
        <v>752.2</v>
      </c>
      <c r="BA69" s="192">
        <v>770.2</v>
      </c>
      <c r="BB69" s="690">
        <v>678</v>
      </c>
      <c r="BC69" s="190">
        <v>686.9</v>
      </c>
      <c r="BD69" s="192"/>
      <c r="BE69" s="192"/>
      <c r="BF69" s="690"/>
      <c r="BI69" s="715"/>
    </row>
    <row r="70" spans="1:61" s="7" customFormat="1" ht="20.149999999999999" customHeight="1">
      <c r="A70" s="27" t="s">
        <v>240</v>
      </c>
      <c r="B70" s="105" t="s">
        <v>241</v>
      </c>
      <c r="C70" s="41">
        <f>435.427</f>
        <v>435.42700000000002</v>
      </c>
      <c r="D70" s="41">
        <f>(436188)*0.001</f>
        <v>436.18799999999999</v>
      </c>
      <c r="E70" s="41">
        <f>(441676)*0.001</f>
        <v>441.67599999999999</v>
      </c>
      <c r="F70" s="209">
        <f>(472094)*0.001</f>
        <v>472.09399999999999</v>
      </c>
      <c r="G70" s="210">
        <f>(432897)*0.001</f>
        <v>432.89699999999999</v>
      </c>
      <c r="H70" s="210">
        <f>(428004)*0.001</f>
        <v>428.00400000000002</v>
      </c>
      <c r="I70" s="210">
        <f>(390829)*0.001</f>
        <v>390.82900000000001</v>
      </c>
      <c r="J70" s="210">
        <f>(413210)*0.001</f>
        <v>413.21000000000004</v>
      </c>
      <c r="K70" s="222">
        <f>(418100)*0.001</f>
        <v>418.1</v>
      </c>
      <c r="L70" s="205">
        <v>1618.8</v>
      </c>
      <c r="M70" s="205">
        <v>1505.3</v>
      </c>
      <c r="N70" s="207">
        <v>1523</v>
      </c>
      <c r="O70" s="206">
        <v>1333.5</v>
      </c>
      <c r="P70" s="206">
        <v>1670.4</v>
      </c>
      <c r="Q70" s="205">
        <v>1431.5</v>
      </c>
      <c r="R70" s="61">
        <v>1485.4</v>
      </c>
      <c r="S70" s="193">
        <v>1711.4</v>
      </c>
      <c r="T70" s="193">
        <v>1365.9</v>
      </c>
      <c r="U70" s="193">
        <v>1338.1</v>
      </c>
      <c r="V70" s="61">
        <v>1569.5</v>
      </c>
      <c r="W70" s="193">
        <v>1337.9</v>
      </c>
      <c r="X70" s="193">
        <v>1694.4</v>
      </c>
      <c r="Y70" s="193">
        <v>1397.9</v>
      </c>
      <c r="Z70" s="61">
        <v>1727.3</v>
      </c>
      <c r="AA70" s="190">
        <v>1430.8</v>
      </c>
      <c r="AB70" s="193">
        <v>2254.9</v>
      </c>
      <c r="AC70" s="190">
        <v>2302.6999999999998</v>
      </c>
      <c r="AD70" s="61">
        <v>2382.4</v>
      </c>
      <c r="AE70" s="190">
        <v>2029.1</v>
      </c>
      <c r="AF70" s="193">
        <v>2691.7</v>
      </c>
      <c r="AG70" s="193">
        <v>2392.3000000000002</v>
      </c>
      <c r="AH70" s="61">
        <v>2420.8000000000002</v>
      </c>
      <c r="AI70" s="190">
        <v>2190</v>
      </c>
      <c r="AJ70" s="193">
        <v>2119.1999999999998</v>
      </c>
      <c r="AK70" s="193">
        <v>2744</v>
      </c>
      <c r="AL70" s="61">
        <v>2155.3000000000002</v>
      </c>
      <c r="AM70" s="190">
        <v>1855.9</v>
      </c>
      <c r="AN70" s="193">
        <v>1742.5</v>
      </c>
      <c r="AO70" s="193">
        <v>2368.1</v>
      </c>
      <c r="AP70" s="61">
        <v>2531.1999999999998</v>
      </c>
      <c r="AQ70" s="190">
        <v>2241.3000000000002</v>
      </c>
      <c r="AR70" s="192">
        <v>2461.3000000000002</v>
      </c>
      <c r="AS70" s="192">
        <v>2455.1999999999998</v>
      </c>
      <c r="AT70" s="61">
        <v>3767.1</v>
      </c>
      <c r="AU70" s="190">
        <v>2445.5</v>
      </c>
      <c r="AV70" s="192">
        <v>2642.2</v>
      </c>
      <c r="AW70" s="192">
        <v>2904.4</v>
      </c>
      <c r="AX70" s="690">
        <v>3172.6</v>
      </c>
      <c r="AY70" s="190">
        <v>2703.7</v>
      </c>
      <c r="AZ70" s="192">
        <v>2605</v>
      </c>
      <c r="BA70" s="192">
        <v>2881.7</v>
      </c>
      <c r="BB70" s="690">
        <v>3090.9</v>
      </c>
      <c r="BC70" s="190">
        <v>2854.9</v>
      </c>
      <c r="BD70" s="192"/>
      <c r="BE70" s="192"/>
      <c r="BF70" s="690"/>
      <c r="BG70" s="715"/>
      <c r="BI70" s="715"/>
    </row>
    <row r="71" spans="1:61" s="15" customFormat="1" ht="20.149999999999999" customHeight="1">
      <c r="A71" s="29" t="s">
        <v>233</v>
      </c>
      <c r="B71" s="109" t="s">
        <v>234</v>
      </c>
      <c r="C71" s="23">
        <v>0</v>
      </c>
      <c r="D71" s="23">
        <v>0</v>
      </c>
      <c r="E71" s="23">
        <v>0</v>
      </c>
      <c r="F71" s="188">
        <v>0</v>
      </c>
      <c r="G71" s="60">
        <v>0</v>
      </c>
      <c r="H71" s="60">
        <v>0</v>
      </c>
      <c r="I71" s="60">
        <v>0</v>
      </c>
      <c r="J71" s="223">
        <v>12</v>
      </c>
      <c r="K71" s="229">
        <v>0</v>
      </c>
      <c r="L71" s="60">
        <v>0</v>
      </c>
      <c r="M71" s="60">
        <v>0</v>
      </c>
      <c r="N71" s="223">
        <v>87</v>
      </c>
      <c r="O71" s="224">
        <v>99.7</v>
      </c>
      <c r="P71" s="224">
        <v>79</v>
      </c>
      <c r="Q71" s="230">
        <v>57.1</v>
      </c>
      <c r="R71" s="194">
        <v>72.900000000000006</v>
      </c>
      <c r="S71" s="173">
        <v>25.8</v>
      </c>
      <c r="T71" s="173">
        <v>3.5</v>
      </c>
      <c r="U71" s="173">
        <v>1.8</v>
      </c>
      <c r="V71" s="194">
        <v>0</v>
      </c>
      <c r="W71" s="173">
        <v>1.5</v>
      </c>
      <c r="X71" s="173">
        <v>0.6</v>
      </c>
      <c r="Y71" s="173">
        <v>0.5</v>
      </c>
      <c r="Z71" s="194">
        <v>3.6</v>
      </c>
      <c r="AA71" s="173">
        <v>2.8</v>
      </c>
      <c r="AB71" s="173">
        <v>4.2</v>
      </c>
      <c r="AC71" s="173">
        <v>5.5</v>
      </c>
      <c r="AD71" s="194">
        <v>8.8000000000000007</v>
      </c>
      <c r="AE71" s="173">
        <v>9.1</v>
      </c>
      <c r="AF71" s="173">
        <v>9</v>
      </c>
      <c r="AG71" s="174">
        <v>7.5</v>
      </c>
      <c r="AH71" s="194">
        <v>8.3000000000000007</v>
      </c>
      <c r="AI71" s="173">
        <v>37.799999999999997</v>
      </c>
      <c r="AJ71" s="173">
        <v>51.1</v>
      </c>
      <c r="AK71" s="174">
        <v>45.1</v>
      </c>
      <c r="AL71" s="194">
        <v>39.200000000000003</v>
      </c>
      <c r="AM71" s="173">
        <v>31.3</v>
      </c>
      <c r="AN71" s="174">
        <v>24.4</v>
      </c>
      <c r="AO71" s="174">
        <v>14.2</v>
      </c>
      <c r="AP71" s="194">
        <v>0</v>
      </c>
      <c r="AQ71" s="173">
        <v>0</v>
      </c>
      <c r="AR71" s="669">
        <v>0</v>
      </c>
      <c r="AS71" s="174">
        <v>0</v>
      </c>
      <c r="AT71" s="687">
        <v>2.1</v>
      </c>
      <c r="AU71" s="173">
        <v>0.5</v>
      </c>
      <c r="AV71" s="669">
        <v>9.6</v>
      </c>
      <c r="AW71" s="669">
        <v>28.6</v>
      </c>
      <c r="AX71" s="194">
        <v>20.2</v>
      </c>
      <c r="AY71" s="173">
        <v>13.3</v>
      </c>
      <c r="AZ71" s="669">
        <v>9.1</v>
      </c>
      <c r="BA71" s="669">
        <v>8.3000000000000007</v>
      </c>
      <c r="BB71" s="194">
        <v>8.1999999999999993</v>
      </c>
      <c r="BC71" s="173">
        <v>7.3</v>
      </c>
      <c r="BD71" s="669"/>
      <c r="BE71" s="669"/>
      <c r="BF71" s="194"/>
      <c r="BI71" s="715"/>
    </row>
    <row r="72" spans="1:61" s="15" customFormat="1" ht="26">
      <c r="A72" s="154" t="s">
        <v>242</v>
      </c>
      <c r="B72" s="171" t="s">
        <v>243</v>
      </c>
      <c r="C72" s="23"/>
      <c r="D72" s="23"/>
      <c r="E72" s="23"/>
      <c r="F72" s="188"/>
      <c r="G72" s="60"/>
      <c r="H72" s="60"/>
      <c r="I72" s="60"/>
      <c r="J72" s="224"/>
      <c r="K72" s="229"/>
      <c r="L72" s="60"/>
      <c r="M72" s="60"/>
      <c r="N72" s="223"/>
      <c r="O72" s="224"/>
      <c r="P72" s="224"/>
      <c r="Q72" s="230"/>
      <c r="R72" s="194"/>
      <c r="S72" s="173"/>
      <c r="T72" s="173"/>
      <c r="U72" s="173"/>
      <c r="V72" s="194"/>
      <c r="W72" s="173"/>
      <c r="X72" s="173"/>
      <c r="Y72" s="173"/>
      <c r="Z72" s="194"/>
      <c r="AA72" s="173"/>
      <c r="AB72" s="173"/>
      <c r="AC72" s="190"/>
      <c r="AD72" s="194"/>
      <c r="AE72" s="173"/>
      <c r="AF72" s="173"/>
      <c r="AG72" s="174"/>
      <c r="AH72" s="61"/>
      <c r="AI72" s="173"/>
      <c r="AJ72" s="173"/>
      <c r="AK72" s="174"/>
      <c r="AL72" s="61">
        <v>415.7</v>
      </c>
      <c r="AM72" s="173">
        <v>0</v>
      </c>
      <c r="AN72" s="193">
        <v>767.5</v>
      </c>
      <c r="AO72" s="193">
        <v>511.7</v>
      </c>
      <c r="AP72" s="61">
        <v>0</v>
      </c>
      <c r="AQ72" s="173">
        <v>0</v>
      </c>
      <c r="AR72" s="192">
        <v>660.8</v>
      </c>
      <c r="AS72" s="193">
        <v>660.8</v>
      </c>
      <c r="AT72" s="61">
        <v>0</v>
      </c>
      <c r="AU72" s="173">
        <v>0</v>
      </c>
      <c r="AV72" s="192">
        <v>0</v>
      </c>
      <c r="AW72" s="192">
        <v>0</v>
      </c>
      <c r="AX72" s="61">
        <v>0</v>
      </c>
      <c r="AY72" s="173">
        <v>0</v>
      </c>
      <c r="AZ72" s="192">
        <v>0</v>
      </c>
      <c r="BA72" s="192">
        <v>0</v>
      </c>
      <c r="BB72" s="61">
        <v>0</v>
      </c>
      <c r="BC72" s="173">
        <v>0</v>
      </c>
      <c r="BD72" s="192"/>
      <c r="BE72" s="192"/>
      <c r="BF72" s="61"/>
      <c r="BI72" s="715"/>
    </row>
    <row r="73" spans="1:61" s="15" customFormat="1" ht="20.149999999999999" customHeight="1">
      <c r="A73" s="27" t="s">
        <v>244</v>
      </c>
      <c r="B73" s="105" t="s">
        <v>245</v>
      </c>
      <c r="C73" s="23"/>
      <c r="D73" s="23"/>
      <c r="E73" s="23"/>
      <c r="F73" s="188"/>
      <c r="G73" s="60"/>
      <c r="H73" s="60"/>
      <c r="I73" s="60"/>
      <c r="J73" s="224"/>
      <c r="K73" s="229"/>
      <c r="L73" s="60"/>
      <c r="M73" s="60"/>
      <c r="N73" s="223"/>
      <c r="O73" s="224"/>
      <c r="P73" s="224"/>
      <c r="Q73" s="230"/>
      <c r="R73" s="194"/>
      <c r="S73" s="173"/>
      <c r="T73" s="173"/>
      <c r="U73" s="173"/>
      <c r="V73" s="194"/>
      <c r="W73" s="173"/>
      <c r="X73" s="173"/>
      <c r="Y73" s="173"/>
      <c r="Z73" s="194"/>
      <c r="AA73" s="173"/>
      <c r="AB73" s="173"/>
      <c r="AC73" s="190"/>
      <c r="AD73" s="194"/>
      <c r="AE73" s="173"/>
      <c r="AF73" s="173"/>
      <c r="AG73" s="174"/>
      <c r="AH73" s="61"/>
      <c r="AI73" s="173"/>
      <c r="AJ73" s="173"/>
      <c r="AK73" s="174"/>
      <c r="AL73" s="61">
        <v>548</v>
      </c>
      <c r="AM73" s="173">
        <v>0</v>
      </c>
      <c r="AN73" s="174">
        <v>0</v>
      </c>
      <c r="AO73" s="174">
        <v>0</v>
      </c>
      <c r="AP73" s="61">
        <v>0</v>
      </c>
      <c r="AQ73" s="173">
        <v>0</v>
      </c>
      <c r="AR73" s="669">
        <v>0</v>
      </c>
      <c r="AS73" s="669">
        <v>0</v>
      </c>
      <c r="AT73" s="61">
        <v>0</v>
      </c>
      <c r="AU73" s="173">
        <v>0</v>
      </c>
      <c r="AV73" s="669">
        <v>0</v>
      </c>
      <c r="AW73" s="669">
        <v>0</v>
      </c>
      <c r="AX73" s="61">
        <v>0</v>
      </c>
      <c r="AY73" s="173">
        <v>0</v>
      </c>
      <c r="AZ73" s="669">
        <v>0</v>
      </c>
      <c r="BA73" s="669">
        <v>0</v>
      </c>
      <c r="BB73" s="61">
        <v>0</v>
      </c>
      <c r="BC73" s="173">
        <v>0</v>
      </c>
      <c r="BD73" s="669"/>
      <c r="BE73" s="669"/>
      <c r="BF73" s="61"/>
      <c r="BI73" s="715"/>
    </row>
    <row r="74" spans="1:61" s="7" customFormat="1" ht="20.149999999999999" customHeight="1">
      <c r="A74" s="27" t="s">
        <v>246</v>
      </c>
      <c r="B74" s="105" t="s">
        <v>247</v>
      </c>
      <c r="C74" s="41">
        <f>29.589</f>
        <v>29.588999999999999</v>
      </c>
      <c r="D74" s="41">
        <f>(7799)*0.001</f>
        <v>7.7990000000000004</v>
      </c>
      <c r="E74" s="41">
        <f>(6782)*0.001</f>
        <v>6.782</v>
      </c>
      <c r="F74" s="209">
        <f>(7092)*0.001</f>
        <v>7.0920000000000005</v>
      </c>
      <c r="G74" s="210">
        <f>(1990)*0.001</f>
        <v>1.99</v>
      </c>
      <c r="H74" s="210">
        <f>(6510)*0.001</f>
        <v>6.51</v>
      </c>
      <c r="I74" s="210">
        <f>(14152)*0.001</f>
        <v>14.152000000000001</v>
      </c>
      <c r="J74" s="210">
        <f>(4520)*0.001</f>
        <v>4.5200000000000005</v>
      </c>
      <c r="K74" s="222">
        <f>(12203)*0.001</f>
        <v>12.202999999999999</v>
      </c>
      <c r="L74" s="208">
        <v>43.7</v>
      </c>
      <c r="M74" s="208">
        <v>22.1</v>
      </c>
      <c r="N74" s="215">
        <v>48.028993427171699</v>
      </c>
      <c r="O74" s="218">
        <v>22.5</v>
      </c>
      <c r="P74" s="218">
        <v>132.69999999999999</v>
      </c>
      <c r="Q74" s="208">
        <v>96.3</v>
      </c>
      <c r="R74" s="61">
        <v>176.1</v>
      </c>
      <c r="S74" s="190">
        <v>29.2</v>
      </c>
      <c r="T74" s="190">
        <v>39.1</v>
      </c>
      <c r="U74" s="190">
        <v>21.967722325707697</v>
      </c>
      <c r="V74" s="61">
        <v>24.9</v>
      </c>
      <c r="W74" s="190">
        <v>4.3</v>
      </c>
      <c r="X74" s="190">
        <v>24.9</v>
      </c>
      <c r="Y74" s="190">
        <v>17.5</v>
      </c>
      <c r="Z74" s="61">
        <v>61.3</v>
      </c>
      <c r="AA74" s="190">
        <v>60.1</v>
      </c>
      <c r="AB74" s="190">
        <v>44.9</v>
      </c>
      <c r="AC74" s="190">
        <v>62.3</v>
      </c>
      <c r="AD74" s="61">
        <v>151.1</v>
      </c>
      <c r="AE74" s="190">
        <v>191.1</v>
      </c>
      <c r="AF74" s="190">
        <v>154.30000000000001</v>
      </c>
      <c r="AG74" s="193">
        <v>192.4</v>
      </c>
      <c r="AH74" s="61">
        <v>276.60000000000002</v>
      </c>
      <c r="AI74" s="190">
        <v>335.6</v>
      </c>
      <c r="AJ74" s="190">
        <v>126.1</v>
      </c>
      <c r="AK74" s="193">
        <v>100.2</v>
      </c>
      <c r="AL74" s="61">
        <v>128.9</v>
      </c>
      <c r="AM74" s="190">
        <v>171</v>
      </c>
      <c r="AN74" s="193">
        <v>65</v>
      </c>
      <c r="AO74" s="193">
        <v>954.6</v>
      </c>
      <c r="AP74" s="61">
        <v>964.2</v>
      </c>
      <c r="AQ74" s="190">
        <v>1007</v>
      </c>
      <c r="AR74" s="192">
        <v>91.5</v>
      </c>
      <c r="AS74" s="192">
        <v>107.9</v>
      </c>
      <c r="AT74" s="689">
        <v>74.3</v>
      </c>
      <c r="AU74" s="190">
        <v>81.400000000000006</v>
      </c>
      <c r="AV74" s="192">
        <v>20.7</v>
      </c>
      <c r="AW74" s="192">
        <v>60.1</v>
      </c>
      <c r="AX74" s="689">
        <v>31.4</v>
      </c>
      <c r="AY74" s="190">
        <v>19.899999999999999</v>
      </c>
      <c r="AZ74" s="192">
        <v>32</v>
      </c>
      <c r="BA74" s="192">
        <v>45</v>
      </c>
      <c r="BB74" s="689">
        <v>60.5</v>
      </c>
      <c r="BC74" s="190">
        <v>46.5</v>
      </c>
      <c r="BD74" s="192"/>
      <c r="BE74" s="192"/>
      <c r="BF74" s="689"/>
      <c r="BI74" s="715"/>
    </row>
    <row r="75" spans="1:61" s="7" customFormat="1" ht="20.149999999999999" customHeight="1">
      <c r="A75" s="27" t="s">
        <v>248</v>
      </c>
      <c r="B75" s="105" t="s">
        <v>249</v>
      </c>
      <c r="C75" s="41">
        <f>12.532</f>
        <v>12.532</v>
      </c>
      <c r="D75" s="41">
        <f>(12125)*0.001</f>
        <v>12.125</v>
      </c>
      <c r="E75" s="41">
        <f>(12084)*0.001</f>
        <v>12.084</v>
      </c>
      <c r="F75" s="209">
        <f>(13259)*0.001</f>
        <v>13.259</v>
      </c>
      <c r="G75" s="210">
        <f>(13182)*0.001</f>
        <v>13.182</v>
      </c>
      <c r="H75" s="210">
        <f>(12551)*0.001</f>
        <v>12.551</v>
      </c>
      <c r="I75" s="210">
        <f>(12536)*0.001</f>
        <v>12.536</v>
      </c>
      <c r="J75" s="210">
        <f>(2727)*0.001</f>
        <v>2.7269999999999999</v>
      </c>
      <c r="K75" s="222">
        <f>(2843)*0.001</f>
        <v>2.843</v>
      </c>
      <c r="L75" s="208">
        <v>2.6</v>
      </c>
      <c r="M75" s="208">
        <v>2.7</v>
      </c>
      <c r="N75" s="215">
        <v>1.4</v>
      </c>
      <c r="O75" s="218">
        <v>1.4</v>
      </c>
      <c r="P75" s="231" t="s">
        <v>250</v>
      </c>
      <c r="Q75" s="231" t="s">
        <v>250</v>
      </c>
      <c r="R75" s="195" t="s">
        <v>250</v>
      </c>
      <c r="S75" s="196" t="s">
        <v>250</v>
      </c>
      <c r="T75" s="196" t="s">
        <v>250</v>
      </c>
      <c r="U75" s="196" t="s">
        <v>250</v>
      </c>
      <c r="V75" s="195" t="s">
        <v>250</v>
      </c>
      <c r="W75" s="196" t="s">
        <v>250</v>
      </c>
      <c r="X75" s="196" t="s">
        <v>250</v>
      </c>
      <c r="Y75" s="196" t="s">
        <v>250</v>
      </c>
      <c r="Z75" s="195" t="s">
        <v>250</v>
      </c>
      <c r="AA75" s="196" t="s">
        <v>250</v>
      </c>
      <c r="AB75" s="196" t="s">
        <v>250</v>
      </c>
      <c r="AC75" s="196" t="s">
        <v>250</v>
      </c>
      <c r="AD75" s="195" t="s">
        <v>250</v>
      </c>
      <c r="AE75" s="196" t="s">
        <v>250</v>
      </c>
      <c r="AF75" s="196" t="s">
        <v>250</v>
      </c>
      <c r="AG75" s="196" t="s">
        <v>250</v>
      </c>
      <c r="AH75" s="195" t="s">
        <v>250</v>
      </c>
      <c r="AI75" s="196" t="s">
        <v>250</v>
      </c>
      <c r="AJ75" s="196" t="s">
        <v>250</v>
      </c>
      <c r="AK75" s="196" t="s">
        <v>250</v>
      </c>
      <c r="AL75" s="195" t="s">
        <v>250</v>
      </c>
      <c r="AM75" s="196" t="s">
        <v>250</v>
      </c>
      <c r="AN75" s="196" t="s">
        <v>250</v>
      </c>
      <c r="AO75" s="196" t="s">
        <v>250</v>
      </c>
      <c r="AP75" s="195" t="s">
        <v>250</v>
      </c>
      <c r="AQ75" s="196" t="s">
        <v>250</v>
      </c>
      <c r="AR75" s="670" t="s">
        <v>250</v>
      </c>
      <c r="AS75" s="196" t="s">
        <v>250</v>
      </c>
      <c r="AT75" s="195" t="s">
        <v>250</v>
      </c>
      <c r="AU75" s="196" t="s">
        <v>250</v>
      </c>
      <c r="AV75" s="670" t="s">
        <v>250</v>
      </c>
      <c r="AW75" s="670" t="s">
        <v>250</v>
      </c>
      <c r="AX75" s="195" t="s">
        <v>250</v>
      </c>
      <c r="AY75" s="196" t="s">
        <v>250</v>
      </c>
      <c r="AZ75" s="670" t="s">
        <v>250</v>
      </c>
      <c r="BA75" s="670" t="s">
        <v>250</v>
      </c>
      <c r="BB75" s="195" t="s">
        <v>250</v>
      </c>
      <c r="BC75" s="196" t="s">
        <v>250</v>
      </c>
      <c r="BD75" s="670" t="s">
        <v>250</v>
      </c>
      <c r="BE75" s="670" t="s">
        <v>250</v>
      </c>
      <c r="BF75" s="195" t="s">
        <v>250</v>
      </c>
      <c r="BI75" s="715"/>
    </row>
    <row r="76" spans="1:61" s="7" customFormat="1" ht="20.149999999999999" customHeight="1" thickBot="1">
      <c r="A76" s="27" t="s">
        <v>229</v>
      </c>
      <c r="B76" s="105" t="s">
        <v>230</v>
      </c>
      <c r="C76" s="41">
        <f>188.402</f>
        <v>188.40199999999999</v>
      </c>
      <c r="D76" s="41">
        <f>(209950)*0.001</f>
        <v>209.95000000000002</v>
      </c>
      <c r="E76" s="41">
        <f>(210563)*0.001</f>
        <v>210.56300000000002</v>
      </c>
      <c r="F76" s="209">
        <f>(201238)*0.001</f>
        <v>201.238</v>
      </c>
      <c r="G76" s="210">
        <f>(207890)*0.001</f>
        <v>207.89000000000001</v>
      </c>
      <c r="H76" s="210">
        <f>(204442)*0.001</f>
        <v>204.44200000000001</v>
      </c>
      <c r="I76" s="210">
        <f>(210688)*0.001</f>
        <v>210.68800000000002</v>
      </c>
      <c r="J76" s="210">
        <f>(209485)*0.001</f>
        <v>209.48500000000001</v>
      </c>
      <c r="K76" s="222">
        <f>(228170)*0.001</f>
        <v>228.17000000000002</v>
      </c>
      <c r="L76" s="208">
        <v>678</v>
      </c>
      <c r="M76" s="208">
        <v>672.7</v>
      </c>
      <c r="N76" s="215">
        <v>683.9</v>
      </c>
      <c r="O76" s="218">
        <v>670.3</v>
      </c>
      <c r="P76" s="218">
        <v>672</v>
      </c>
      <c r="Q76" s="208">
        <v>680.9</v>
      </c>
      <c r="R76" s="61">
        <v>676.1</v>
      </c>
      <c r="S76" s="190">
        <v>665</v>
      </c>
      <c r="T76" s="190">
        <v>676.8</v>
      </c>
      <c r="U76" s="190">
        <v>660.84343092999995</v>
      </c>
      <c r="V76" s="61">
        <v>647.9</v>
      </c>
      <c r="W76" s="190">
        <v>633.79999999999995</v>
      </c>
      <c r="X76" s="190">
        <v>637.29999999999995</v>
      </c>
      <c r="Y76" s="190">
        <v>629.5</v>
      </c>
      <c r="Z76" s="61">
        <v>618.29999999999995</v>
      </c>
      <c r="AA76" s="190">
        <v>356</v>
      </c>
      <c r="AB76" s="190">
        <v>39.799999999999997</v>
      </c>
      <c r="AC76" s="190">
        <v>65</v>
      </c>
      <c r="AD76" s="61">
        <v>0</v>
      </c>
      <c r="AE76" s="190">
        <v>0</v>
      </c>
      <c r="AF76" s="190">
        <v>0</v>
      </c>
      <c r="AG76" s="190">
        <v>0</v>
      </c>
      <c r="AH76" s="61">
        <v>0</v>
      </c>
      <c r="AI76" s="190">
        <v>0</v>
      </c>
      <c r="AJ76" s="190">
        <v>0</v>
      </c>
      <c r="AK76" s="190">
        <v>0</v>
      </c>
      <c r="AL76" s="61">
        <v>0</v>
      </c>
      <c r="AM76" s="190">
        <v>0</v>
      </c>
      <c r="AN76" s="190">
        <v>0</v>
      </c>
      <c r="AO76" s="190">
        <v>0</v>
      </c>
      <c r="AP76" s="61">
        <v>0</v>
      </c>
      <c r="AQ76" s="190">
        <v>0</v>
      </c>
      <c r="AR76" s="668">
        <v>0</v>
      </c>
      <c r="AS76" s="190">
        <v>0</v>
      </c>
      <c r="AT76" s="61">
        <v>0</v>
      </c>
      <c r="AU76" s="190">
        <v>0</v>
      </c>
      <c r="AV76" s="668">
        <v>0</v>
      </c>
      <c r="AW76" s="668">
        <v>0</v>
      </c>
      <c r="AX76" s="61">
        <v>0</v>
      </c>
      <c r="AY76" s="190">
        <v>0</v>
      </c>
      <c r="AZ76" s="668">
        <v>0</v>
      </c>
      <c r="BA76" s="668">
        <v>0</v>
      </c>
      <c r="BB76" s="61">
        <v>0</v>
      </c>
      <c r="BC76" s="190">
        <v>0</v>
      </c>
      <c r="BD76" s="668">
        <v>0</v>
      </c>
      <c r="BE76" s="668">
        <v>0</v>
      </c>
      <c r="BF76" s="61">
        <v>0</v>
      </c>
      <c r="BG76" s="715"/>
      <c r="BH76" s="715"/>
      <c r="BI76" s="715"/>
    </row>
    <row r="77" spans="1:61" s="199" customFormat="1" ht="25.25" customHeight="1" thickBot="1">
      <c r="A77" s="373" t="s">
        <v>251</v>
      </c>
      <c r="B77" s="377" t="s">
        <v>252</v>
      </c>
      <c r="C77" s="374">
        <f t="shared" ref="C77:M77" si="36">SUM(C65:C76)</f>
        <v>1017.386</v>
      </c>
      <c r="D77" s="375">
        <f t="shared" si="36"/>
        <v>1033.443</v>
      </c>
      <c r="E77" s="375">
        <f t="shared" si="36"/>
        <v>1009.7019999999999</v>
      </c>
      <c r="F77" s="376">
        <f t="shared" si="36"/>
        <v>1066.78</v>
      </c>
      <c r="G77" s="375">
        <f t="shared" si="36"/>
        <v>1007.745</v>
      </c>
      <c r="H77" s="375">
        <f t="shared" si="36"/>
        <v>1018.1</v>
      </c>
      <c r="I77" s="375">
        <f t="shared" si="36"/>
        <v>945.28899999999999</v>
      </c>
      <c r="J77" s="376">
        <f t="shared" si="36"/>
        <v>986.83100000000002</v>
      </c>
      <c r="K77" s="374">
        <f t="shared" si="36"/>
        <v>1003.5449999999998</v>
      </c>
      <c r="L77" s="375">
        <f t="shared" si="36"/>
        <v>3990.3999999999992</v>
      </c>
      <c r="M77" s="375">
        <f t="shared" si="36"/>
        <v>4126.7</v>
      </c>
      <c r="N77" s="376">
        <f t="shared" ref="N77:U77" si="37">SUM(N65:N76)-N71</f>
        <v>4167.2289934271712</v>
      </c>
      <c r="O77" s="374">
        <f t="shared" si="37"/>
        <v>4149.8</v>
      </c>
      <c r="P77" s="375">
        <f t="shared" si="37"/>
        <v>4244.8</v>
      </c>
      <c r="Q77" s="375">
        <f t="shared" si="37"/>
        <v>7899.8</v>
      </c>
      <c r="R77" s="376">
        <f t="shared" si="37"/>
        <v>8466.5000000000018</v>
      </c>
      <c r="S77" s="374">
        <f t="shared" si="37"/>
        <v>4162.5999999999995</v>
      </c>
      <c r="T77" s="375">
        <f t="shared" si="37"/>
        <v>3503.3999999999996</v>
      </c>
      <c r="U77" s="375">
        <f t="shared" si="37"/>
        <v>3454.8111532557077</v>
      </c>
      <c r="V77" s="376">
        <f t="shared" ref="V77" si="38">SUM(V65:V76)-V71</f>
        <v>3681.2000000000003</v>
      </c>
      <c r="W77" s="374">
        <f t="shared" ref="W77:X77" si="39">SUM(W65:W76)-W71</f>
        <v>4366</v>
      </c>
      <c r="X77" s="375">
        <f t="shared" si="39"/>
        <v>4330.2</v>
      </c>
      <c r="Y77" s="375">
        <f t="shared" ref="Y77:Z77" si="40">SUM(Y65:Y76)-Y71</f>
        <v>4036.3999999999996</v>
      </c>
      <c r="Z77" s="376">
        <f t="shared" si="40"/>
        <v>3915.5000000000005</v>
      </c>
      <c r="AA77" s="374">
        <f t="shared" ref="AA77:AH77" si="41">SUM(AA65:AA76)-AA71</f>
        <v>2927.4</v>
      </c>
      <c r="AB77" s="375">
        <f t="shared" si="41"/>
        <v>4236.8</v>
      </c>
      <c r="AC77" s="375">
        <f t="shared" si="41"/>
        <v>4611.5</v>
      </c>
      <c r="AD77" s="376">
        <f t="shared" si="41"/>
        <v>5018.6000000000004</v>
      </c>
      <c r="AE77" s="374">
        <f t="shared" si="41"/>
        <v>4813.3000000000011</v>
      </c>
      <c r="AF77" s="375">
        <f t="shared" si="41"/>
        <v>5401.4000000000005</v>
      </c>
      <c r="AG77" s="375">
        <f t="shared" si="41"/>
        <v>5628.6</v>
      </c>
      <c r="AH77" s="376">
        <f t="shared" si="41"/>
        <v>5868.2000000000007</v>
      </c>
      <c r="AI77" s="374">
        <f t="shared" ref="AI77:AK77" si="42">SUM(AI65:AI76)-AI71</f>
        <v>5111.5</v>
      </c>
      <c r="AJ77" s="375">
        <f t="shared" si="42"/>
        <v>3888.2</v>
      </c>
      <c r="AK77" s="375">
        <f t="shared" si="42"/>
        <v>4658</v>
      </c>
      <c r="AL77" s="376">
        <f>SUM(AL65:AL76)-AL71</f>
        <v>5274.4</v>
      </c>
      <c r="AM77" s="374">
        <f t="shared" ref="AM77:AO77" si="43">SUM(AM65:AM76)-AM71</f>
        <v>4003.5</v>
      </c>
      <c r="AN77" s="375">
        <f t="shared" si="43"/>
        <v>4641</v>
      </c>
      <c r="AO77" s="375">
        <f t="shared" si="43"/>
        <v>6803.2</v>
      </c>
      <c r="AP77" s="376">
        <f>SUM(AP65:AP76)-AP71</f>
        <v>5626.3</v>
      </c>
      <c r="AQ77" s="374">
        <f t="shared" ref="AQ77:AS77" si="44">SUM(AQ65:AQ76)-AQ71</f>
        <v>5549</v>
      </c>
      <c r="AR77" s="666">
        <f>SUM(AR65:AR76)-AR71</f>
        <v>5682.5000000000009</v>
      </c>
      <c r="AS77" s="375">
        <f t="shared" si="44"/>
        <v>5573.9</v>
      </c>
      <c r="AT77" s="688">
        <f>SUM(AT65:AT76)-AT71</f>
        <v>6315.4000000000005</v>
      </c>
      <c r="AU77" s="374">
        <f t="shared" ref="AU77" si="45">SUM(AU65:AU76)-AU71</f>
        <v>6030.7</v>
      </c>
      <c r="AV77" s="375">
        <f>SUM(AV65:AV76)-AV71</f>
        <v>5624.9</v>
      </c>
      <c r="AW77" s="375">
        <f>SUM(AW65:AW76)-AW71</f>
        <v>6756.3000000000011</v>
      </c>
      <c r="AX77" s="688">
        <f>SUM(AX65:AX76)-AX71</f>
        <v>5515.7999999999993</v>
      </c>
      <c r="AY77" s="374">
        <f t="shared" ref="AY77:BB77" si="46">SUM(AY65:AY76)-AY71</f>
        <v>5176.8999999999996</v>
      </c>
      <c r="AZ77" s="375">
        <f t="shared" si="46"/>
        <v>5289.2</v>
      </c>
      <c r="BA77" s="375">
        <f t="shared" si="46"/>
        <v>5528.8</v>
      </c>
      <c r="BB77" s="688">
        <f t="shared" si="46"/>
        <v>5693.3</v>
      </c>
      <c r="BC77" s="374">
        <f t="shared" ref="BC77" si="47">SUM(BC65:BC76)-BC71</f>
        <v>4891.3999999999996</v>
      </c>
      <c r="BD77" s="375"/>
      <c r="BE77" s="375"/>
      <c r="BF77" s="688"/>
      <c r="BG77" s="776"/>
      <c r="BH77" s="732"/>
    </row>
    <row r="78" spans="1:61" s="7" customFormat="1" ht="20.149999999999999" customHeight="1">
      <c r="A78" s="198" t="s">
        <v>253</v>
      </c>
      <c r="B78" s="181" t="s">
        <v>254</v>
      </c>
      <c r="C78" s="41"/>
      <c r="D78" s="41"/>
      <c r="E78" s="41"/>
      <c r="F78" s="209"/>
      <c r="G78" s="210"/>
      <c r="H78" s="210"/>
      <c r="I78" s="210"/>
      <c r="J78" s="210"/>
      <c r="K78" s="222"/>
      <c r="L78" s="208"/>
      <c r="M78" s="208"/>
      <c r="N78" s="215"/>
      <c r="O78" s="218"/>
      <c r="P78" s="231"/>
      <c r="Q78" s="231"/>
      <c r="R78" s="195"/>
      <c r="S78" s="196"/>
      <c r="T78" s="196"/>
      <c r="U78" s="196"/>
      <c r="V78" s="195"/>
      <c r="W78" s="196"/>
      <c r="X78" s="196"/>
      <c r="Y78" s="196"/>
      <c r="Z78" s="195"/>
      <c r="AA78" s="196"/>
      <c r="AB78" s="196"/>
      <c r="AC78" s="196"/>
      <c r="AD78" s="195"/>
      <c r="AE78" s="196"/>
      <c r="AF78" s="196"/>
      <c r="AG78" s="196"/>
      <c r="AH78" s="195"/>
      <c r="AI78" s="196"/>
      <c r="AJ78" s="196"/>
      <c r="AK78" s="196"/>
      <c r="AL78" s="195"/>
      <c r="AM78" s="190">
        <v>1284.2</v>
      </c>
      <c r="AN78" s="190">
        <v>1223.8</v>
      </c>
      <c r="AO78" s="190">
        <v>0</v>
      </c>
      <c r="AP78" s="195"/>
      <c r="AQ78" s="190"/>
      <c r="AR78" s="668"/>
      <c r="AS78" s="190"/>
      <c r="AT78" s="195"/>
      <c r="AU78" s="730"/>
      <c r="AV78" s="668"/>
      <c r="AW78" s="190"/>
      <c r="AX78" s="689">
        <v>0.8</v>
      </c>
      <c r="AY78" s="730"/>
      <c r="AZ78" s="668"/>
      <c r="BA78" s="190"/>
      <c r="BB78" s="689"/>
      <c r="BC78" s="730"/>
      <c r="BD78" s="668"/>
      <c r="BE78" s="190"/>
      <c r="BF78" s="689"/>
    </row>
    <row r="79" spans="1:61" s="7" customFormat="1" ht="20.149999999999999" customHeight="1" thickBot="1">
      <c r="A79" s="368" t="s">
        <v>255</v>
      </c>
      <c r="B79" s="369" t="s">
        <v>256</v>
      </c>
      <c r="C79" s="41"/>
      <c r="D79" s="41"/>
      <c r="E79" s="41"/>
      <c r="F79" s="209"/>
      <c r="G79" s="210"/>
      <c r="H79" s="210"/>
      <c r="I79" s="210"/>
      <c r="J79" s="210"/>
      <c r="K79" s="222"/>
      <c r="L79" s="208"/>
      <c r="M79" s="208"/>
      <c r="N79" s="215"/>
      <c r="O79" s="218"/>
      <c r="P79" s="231"/>
      <c r="Q79" s="231"/>
      <c r="R79" s="195"/>
      <c r="S79" s="196"/>
      <c r="T79" s="196"/>
      <c r="U79" s="196"/>
      <c r="V79" s="195"/>
      <c r="W79" s="196"/>
      <c r="X79" s="196"/>
      <c r="Y79" s="196"/>
      <c r="Z79" s="195"/>
      <c r="AA79" s="196"/>
      <c r="AB79" s="196"/>
      <c r="AC79" s="196"/>
      <c r="AD79" s="195"/>
      <c r="AE79" s="196"/>
      <c r="AF79" s="196"/>
      <c r="AG79" s="196"/>
      <c r="AH79" s="195"/>
      <c r="AI79" s="196"/>
      <c r="AJ79" s="196"/>
      <c r="AK79" s="196"/>
      <c r="AL79" s="195"/>
      <c r="AM79" s="173">
        <v>803.1</v>
      </c>
      <c r="AN79" s="173">
        <v>769.4</v>
      </c>
      <c r="AO79" s="173">
        <v>0</v>
      </c>
      <c r="AP79" s="195"/>
      <c r="AQ79" s="173"/>
      <c r="AR79" s="665"/>
      <c r="AS79" s="173"/>
      <c r="AT79" s="195"/>
      <c r="AU79" s="731"/>
      <c r="AV79" s="665"/>
      <c r="AW79" s="173"/>
      <c r="AX79" s="195"/>
      <c r="AY79" s="731"/>
      <c r="AZ79" s="665"/>
      <c r="BA79" s="173"/>
      <c r="BB79" s="195"/>
      <c r="BC79" s="731"/>
      <c r="BD79" s="665"/>
      <c r="BE79" s="173"/>
      <c r="BF79" s="195"/>
    </row>
    <row r="80" spans="1:61" s="199" customFormat="1" ht="25.25" customHeight="1" thickBot="1">
      <c r="A80" s="373" t="s">
        <v>257</v>
      </c>
      <c r="B80" s="377" t="s">
        <v>258</v>
      </c>
      <c r="C80" s="374" t="e">
        <f>C64+C77</f>
        <v>#VALUE!</v>
      </c>
      <c r="D80" s="375">
        <f>D64+D77</f>
        <v>3405.5320000000002</v>
      </c>
      <c r="E80" s="375">
        <f>E64+E77</f>
        <v>3159.9589999999994</v>
      </c>
      <c r="F80" s="376">
        <f t="shared" ref="F80:U80" si="48">F77+F64</f>
        <v>3092.942</v>
      </c>
      <c r="G80" s="375">
        <f t="shared" si="48"/>
        <v>3067.306</v>
      </c>
      <c r="H80" s="375">
        <f t="shared" si="48"/>
        <v>2945.4119999999998</v>
      </c>
      <c r="I80" s="375">
        <f t="shared" si="48"/>
        <v>2772.4030000000002</v>
      </c>
      <c r="J80" s="376">
        <f t="shared" si="48"/>
        <v>2687.0169999999998</v>
      </c>
      <c r="K80" s="374">
        <f t="shared" si="48"/>
        <v>2742.8450000000003</v>
      </c>
      <c r="L80" s="375">
        <f t="shared" si="48"/>
        <v>18735.399999999998</v>
      </c>
      <c r="M80" s="375">
        <f t="shared" si="48"/>
        <v>18350.5</v>
      </c>
      <c r="N80" s="376">
        <f t="shared" si="48"/>
        <v>18260.528993427175</v>
      </c>
      <c r="O80" s="374">
        <f t="shared" si="48"/>
        <v>17777</v>
      </c>
      <c r="P80" s="375">
        <f t="shared" si="48"/>
        <v>17584</v>
      </c>
      <c r="Q80" s="375">
        <f t="shared" si="48"/>
        <v>16083.5</v>
      </c>
      <c r="R80" s="376">
        <f t="shared" si="48"/>
        <v>16240.000000000002</v>
      </c>
      <c r="S80" s="374">
        <f t="shared" si="48"/>
        <v>17950.3</v>
      </c>
      <c r="T80" s="375">
        <f t="shared" si="48"/>
        <v>16819.5</v>
      </c>
      <c r="U80" s="375">
        <f t="shared" si="48"/>
        <v>16459.611153255708</v>
      </c>
      <c r="V80" s="376">
        <f t="shared" ref="V80:W80" si="49">V77+V64</f>
        <v>16351.700000000003</v>
      </c>
      <c r="W80" s="374">
        <f t="shared" si="49"/>
        <v>15904.9</v>
      </c>
      <c r="X80" s="375">
        <f t="shared" ref="X80:Y80" si="50">X77+X64</f>
        <v>15592.399999999998</v>
      </c>
      <c r="Y80" s="375">
        <f t="shared" si="50"/>
        <v>14932.699999999999</v>
      </c>
      <c r="Z80" s="376">
        <f t="shared" ref="Z80" si="51">Z77+Z64</f>
        <v>15639.2</v>
      </c>
      <c r="AA80" s="374">
        <f t="shared" ref="AA80:AH80" si="52">AA77+AA64</f>
        <v>14989.4</v>
      </c>
      <c r="AB80" s="375">
        <f t="shared" si="52"/>
        <v>16297.599999999999</v>
      </c>
      <c r="AC80" s="375">
        <f t="shared" si="52"/>
        <v>16714</v>
      </c>
      <c r="AD80" s="376">
        <f t="shared" si="52"/>
        <v>16821.599999999999</v>
      </c>
      <c r="AE80" s="374">
        <f t="shared" si="52"/>
        <v>17291.2</v>
      </c>
      <c r="AF80" s="375">
        <f t="shared" si="52"/>
        <v>17440.7</v>
      </c>
      <c r="AG80" s="375">
        <f t="shared" si="52"/>
        <v>17122.600000000002</v>
      </c>
      <c r="AH80" s="376">
        <f t="shared" si="52"/>
        <v>18125.099999999999</v>
      </c>
      <c r="AI80" s="374">
        <f t="shared" ref="AI80:AL80" si="53">AI77+AI64</f>
        <v>18018.7</v>
      </c>
      <c r="AJ80" s="375">
        <f t="shared" si="53"/>
        <v>17684.800000000003</v>
      </c>
      <c r="AK80" s="375">
        <f t="shared" si="53"/>
        <v>18170.8</v>
      </c>
      <c r="AL80" s="376">
        <f t="shared" si="53"/>
        <v>18688.800000000003</v>
      </c>
      <c r="AM80" s="374">
        <f>AM77+AM64+AM78</f>
        <v>17588.199999999997</v>
      </c>
      <c r="AN80" s="375">
        <f>AN77+AN64+AN78</f>
        <v>17959.900000000001</v>
      </c>
      <c r="AO80" s="375">
        <f t="shared" ref="AO80:AP80" si="54">AO77+AO64</f>
        <v>18463.2</v>
      </c>
      <c r="AP80" s="376">
        <f t="shared" si="54"/>
        <v>16852.399999999998</v>
      </c>
      <c r="AQ80" s="374">
        <f>AQ77+AQ64+AQ78</f>
        <v>16288.300000000001</v>
      </c>
      <c r="AR80" s="666">
        <f>AR77+AR64+AR78</f>
        <v>16389.200000000004</v>
      </c>
      <c r="AS80" s="375">
        <f t="shared" ref="AS80:AT80" si="55">AS77+AS64</f>
        <v>16031.699999999999</v>
      </c>
      <c r="AT80" s="688">
        <f t="shared" si="55"/>
        <v>16495.800000000003</v>
      </c>
      <c r="AU80" s="374">
        <f>AU77+AU64+AU78</f>
        <v>16940.900000000001</v>
      </c>
      <c r="AV80" s="375">
        <f>AV77+AV64+AV78</f>
        <v>18845.3</v>
      </c>
      <c r="AW80" s="375">
        <f>AW77+AW64</f>
        <v>21008.800000000003</v>
      </c>
      <c r="AX80" s="688">
        <f t="shared" ref="AX80:BC80" si="56">AX77+AX64+AX78</f>
        <v>20871.499999999996</v>
      </c>
      <c r="AY80" s="374">
        <f t="shared" si="56"/>
        <v>20072.8</v>
      </c>
      <c r="AZ80" s="375">
        <f t="shared" si="56"/>
        <v>20113.400000000001</v>
      </c>
      <c r="BA80" s="375">
        <f t="shared" si="56"/>
        <v>20276.600000000002</v>
      </c>
      <c r="BB80" s="688">
        <f t="shared" si="56"/>
        <v>20398.7</v>
      </c>
      <c r="BC80" s="374">
        <f t="shared" si="56"/>
        <v>19381.300000000003</v>
      </c>
      <c r="BD80" s="375"/>
      <c r="BE80" s="375"/>
      <c r="BF80" s="688"/>
    </row>
    <row r="81" spans="1:58" s="200" customFormat="1" ht="25.25" customHeight="1">
      <c r="A81" s="364" t="s">
        <v>259</v>
      </c>
      <c r="B81" s="364" t="s">
        <v>192</v>
      </c>
      <c r="C81" s="365" t="e">
        <f t="shared" ref="C81:U81" si="57">C80+C55</f>
        <v>#VALUE!</v>
      </c>
      <c r="D81" s="366">
        <f t="shared" si="57"/>
        <v>5597.8010000000004</v>
      </c>
      <c r="E81" s="366">
        <f t="shared" si="57"/>
        <v>5514.8739999999998</v>
      </c>
      <c r="F81" s="367">
        <f t="shared" si="57"/>
        <v>5561.3450000000003</v>
      </c>
      <c r="G81" s="366">
        <f t="shared" si="57"/>
        <v>5629.4740000000002</v>
      </c>
      <c r="H81" s="366">
        <f t="shared" si="57"/>
        <v>5592.7070000000003</v>
      </c>
      <c r="I81" s="366">
        <f t="shared" si="57"/>
        <v>5597.9809999999998</v>
      </c>
      <c r="J81" s="367">
        <f t="shared" si="57"/>
        <v>5688.23</v>
      </c>
      <c r="K81" s="365">
        <f t="shared" si="57"/>
        <v>5851.1939999999995</v>
      </c>
      <c r="L81" s="366">
        <f t="shared" si="57"/>
        <v>27827.1</v>
      </c>
      <c r="M81" s="366">
        <f t="shared" si="57"/>
        <v>27481.200000000001</v>
      </c>
      <c r="N81" s="367">
        <f t="shared" si="57"/>
        <v>27338.728993427176</v>
      </c>
      <c r="O81" s="365">
        <f t="shared" si="57"/>
        <v>27088.9</v>
      </c>
      <c r="P81" s="366">
        <f t="shared" si="57"/>
        <v>27141.800000000003</v>
      </c>
      <c r="Q81" s="366">
        <f t="shared" si="57"/>
        <v>26143.5</v>
      </c>
      <c r="R81" s="367">
        <f t="shared" si="57"/>
        <v>26490.100000000002</v>
      </c>
      <c r="S81" s="365">
        <f t="shared" si="57"/>
        <v>28355.5</v>
      </c>
      <c r="T81" s="366">
        <f t="shared" si="57"/>
        <v>27581.1</v>
      </c>
      <c r="U81" s="366">
        <f t="shared" si="57"/>
        <v>27493.111153255708</v>
      </c>
      <c r="V81" s="367">
        <f t="shared" ref="V81:W81" si="58">V80+V55</f>
        <v>27729.300000000003</v>
      </c>
      <c r="W81" s="365">
        <f t="shared" si="58"/>
        <v>27553.199999999997</v>
      </c>
      <c r="X81" s="366">
        <f t="shared" ref="X81:Y81" si="59">X80+X55</f>
        <v>27317.5</v>
      </c>
      <c r="Y81" s="366">
        <f t="shared" si="59"/>
        <v>26892.6</v>
      </c>
      <c r="Z81" s="367">
        <f t="shared" ref="Z81" si="60">Z80+Z55</f>
        <v>27756</v>
      </c>
      <c r="AA81" s="365">
        <f t="shared" ref="AA81:AH81" si="61">AA80+AA55</f>
        <v>27894.400000000001</v>
      </c>
      <c r="AB81" s="366">
        <f t="shared" si="61"/>
        <v>29751.599999999999</v>
      </c>
      <c r="AC81" s="366">
        <f t="shared" si="61"/>
        <v>30395.3</v>
      </c>
      <c r="AD81" s="367">
        <f t="shared" si="61"/>
        <v>30696.799999999999</v>
      </c>
      <c r="AE81" s="365">
        <f t="shared" si="61"/>
        <v>31463.800000000003</v>
      </c>
      <c r="AF81" s="366">
        <f t="shared" si="61"/>
        <v>31359.200000000001</v>
      </c>
      <c r="AG81" s="366">
        <f t="shared" si="61"/>
        <v>31277.700000000004</v>
      </c>
      <c r="AH81" s="367">
        <f t="shared" si="61"/>
        <v>32589.599999999999</v>
      </c>
      <c r="AI81" s="365">
        <f t="shared" ref="AI81:AL81" si="62">AI80+AI55</f>
        <v>32658.700000000004</v>
      </c>
      <c r="AJ81" s="366">
        <f t="shared" si="62"/>
        <v>32622.800000000003</v>
      </c>
      <c r="AK81" s="366">
        <f t="shared" si="62"/>
        <v>32814.1</v>
      </c>
      <c r="AL81" s="367">
        <f t="shared" si="62"/>
        <v>33115</v>
      </c>
      <c r="AM81" s="365">
        <f t="shared" ref="AM81:AP81" si="63">AM80+AM55</f>
        <v>32954.5</v>
      </c>
      <c r="AN81" s="366">
        <f t="shared" si="63"/>
        <v>32922.300000000003</v>
      </c>
      <c r="AO81" s="366">
        <f t="shared" si="63"/>
        <v>35967.4</v>
      </c>
      <c r="AP81" s="367">
        <f t="shared" si="63"/>
        <v>32236.999999999996</v>
      </c>
      <c r="AQ81" s="365">
        <f t="shared" ref="AQ81:AS81" si="64">AQ80+AQ55</f>
        <v>31895.200000000004</v>
      </c>
      <c r="AR81" s="366">
        <f>AR80+AR55</f>
        <v>31814.000000000007</v>
      </c>
      <c r="AS81" s="366">
        <f t="shared" si="64"/>
        <v>31686.199999999997</v>
      </c>
      <c r="AT81" s="367">
        <f>AT80+AT55</f>
        <v>32306.600000000002</v>
      </c>
      <c r="AU81" s="365">
        <f t="shared" ref="AU81" si="65">AU80+AU55</f>
        <v>32810.600000000006</v>
      </c>
      <c r="AV81" s="366">
        <f>AV80+AV55</f>
        <v>34698.6</v>
      </c>
      <c r="AW81" s="366">
        <f t="shared" ref="AW81:AZ81" si="66">AW80+AW55</f>
        <v>36772.300000000003</v>
      </c>
      <c r="AX81" s="367">
        <f t="shared" si="66"/>
        <v>37176.699999999997</v>
      </c>
      <c r="AY81" s="365">
        <f t="shared" si="66"/>
        <v>36560.5</v>
      </c>
      <c r="AZ81" s="366">
        <f t="shared" si="66"/>
        <v>36777.100000000006</v>
      </c>
      <c r="BA81" s="366">
        <f t="shared" ref="BA81:BC81" si="67">BA80+BA55</f>
        <v>37178.300000000003</v>
      </c>
      <c r="BB81" s="367">
        <f t="shared" si="67"/>
        <v>37468</v>
      </c>
      <c r="BC81" s="365">
        <f t="shared" si="67"/>
        <v>36520.800000000003</v>
      </c>
      <c r="BD81" s="366"/>
      <c r="BE81" s="366"/>
      <c r="BF81" s="367"/>
    </row>
    <row r="82" spans="1:58" s="7" customFormat="1">
      <c r="A82" s="28"/>
      <c r="B82" s="104"/>
      <c r="Z82" s="5"/>
      <c r="AA82" s="5"/>
      <c r="AB82" s="5"/>
      <c r="AC82" s="5"/>
      <c r="AD82" s="5"/>
      <c r="AE82" s="5"/>
      <c r="AF82" s="5"/>
      <c r="AG82" s="5"/>
      <c r="AH82" s="5"/>
      <c r="AI82" s="5"/>
      <c r="AJ82" s="5"/>
      <c r="AK82" s="5"/>
      <c r="AL82" s="5"/>
      <c r="AM82" s="5"/>
      <c r="AN82" s="5"/>
      <c r="AO82" s="5"/>
      <c r="AP82" s="5"/>
      <c r="AQ82" s="5"/>
      <c r="AR82" s="5"/>
      <c r="AS82" s="5"/>
      <c r="AT82" s="5"/>
      <c r="AU82" s="5"/>
      <c r="AV82" s="5"/>
      <c r="AW82" s="5"/>
      <c r="AX82" s="5"/>
    </row>
    <row r="83" spans="1:58" s="7" customFormat="1">
      <c r="A83" s="28"/>
      <c r="B83" s="104"/>
      <c r="Z83" s="5"/>
      <c r="AA83" s="5"/>
      <c r="AB83" s="5"/>
      <c r="AC83" s="5"/>
      <c r="AD83" s="5"/>
      <c r="AE83" s="5"/>
      <c r="AF83" s="5"/>
      <c r="AG83" s="5"/>
      <c r="AH83" s="5"/>
      <c r="AI83" s="5"/>
      <c r="AJ83" s="5"/>
      <c r="AK83" s="5"/>
      <c r="AL83" s="5"/>
      <c r="AM83" s="5"/>
      <c r="AN83" s="5"/>
      <c r="AO83" s="5"/>
      <c r="AP83" s="5"/>
      <c r="AQ83" s="5"/>
      <c r="AR83" s="5"/>
      <c r="AS83" s="661"/>
      <c r="AT83" s="5"/>
      <c r="AU83" s="5"/>
      <c r="AV83" s="5"/>
      <c r="AW83" s="661"/>
      <c r="AX83" s="5"/>
    </row>
    <row r="84" spans="1:58" s="157" customFormat="1" ht="30.75" customHeight="1">
      <c r="A84" s="160" t="s">
        <v>260</v>
      </c>
      <c r="B84" s="155" t="s">
        <v>261</v>
      </c>
      <c r="C84" s="156"/>
      <c r="D84" s="156"/>
      <c r="E84" s="156"/>
      <c r="F84" s="156"/>
      <c r="G84" s="156"/>
      <c r="H84" s="156"/>
      <c r="I84" s="156"/>
      <c r="J84" s="156"/>
      <c r="K84" s="156"/>
      <c r="L84" s="156"/>
      <c r="M84" s="156"/>
      <c r="N84" s="156"/>
      <c r="O84" s="156"/>
      <c r="P84" s="156"/>
      <c r="Q84" s="156"/>
      <c r="R84" s="156"/>
      <c r="Z84" s="197"/>
      <c r="AA84" s="197"/>
      <c r="AB84" s="197"/>
      <c r="AC84" s="197"/>
      <c r="AD84" s="197"/>
      <c r="AE84" s="197"/>
      <c r="AF84" s="197"/>
      <c r="AG84" s="197"/>
      <c r="AH84" s="197"/>
      <c r="AI84" s="197"/>
      <c r="AJ84" s="197"/>
      <c r="AK84" s="197"/>
      <c r="AL84" s="197"/>
      <c r="AM84" s="197"/>
      <c r="AN84" s="197"/>
      <c r="AO84" s="197"/>
      <c r="AP84" s="197"/>
      <c r="AQ84" s="197"/>
      <c r="AR84" s="197"/>
      <c r="AS84" s="197"/>
      <c r="AT84" s="684"/>
      <c r="AU84" s="197"/>
      <c r="AV84" s="197"/>
      <c r="AW84" s="197"/>
      <c r="AX84" s="684"/>
    </row>
    <row r="85" spans="1:58" s="157" customFormat="1" ht="44.25" customHeight="1">
      <c r="A85" s="160" t="s">
        <v>262</v>
      </c>
      <c r="B85" s="155" t="s">
        <v>263</v>
      </c>
      <c r="C85" s="156"/>
      <c r="D85" s="156"/>
      <c r="E85" s="156"/>
      <c r="F85" s="156"/>
      <c r="G85" s="156"/>
      <c r="H85" s="156"/>
      <c r="I85" s="156"/>
      <c r="J85" s="156"/>
      <c r="K85" s="156"/>
      <c r="L85" s="156"/>
      <c r="M85" s="156"/>
      <c r="N85" s="156"/>
      <c r="O85" s="156"/>
      <c r="P85" s="156"/>
      <c r="Q85" s="156"/>
      <c r="R85" s="156"/>
    </row>
    <row r="86" spans="1:58" s="157" customFormat="1" ht="66.75" customHeight="1">
      <c r="A86" s="160" t="s">
        <v>264</v>
      </c>
      <c r="B86" s="158" t="s">
        <v>265</v>
      </c>
      <c r="C86" s="159"/>
      <c r="D86" s="159"/>
      <c r="E86" s="159"/>
      <c r="F86" s="159"/>
      <c r="G86" s="159"/>
      <c r="H86" s="159"/>
      <c r="I86" s="159"/>
      <c r="J86" s="159"/>
      <c r="K86" s="159"/>
      <c r="L86" s="159"/>
      <c r="M86" s="159"/>
      <c r="N86" s="159"/>
      <c r="O86" s="159"/>
      <c r="P86" s="159"/>
      <c r="Q86" s="159"/>
      <c r="R86" s="159"/>
    </row>
    <row r="87" spans="1:58" s="157" customFormat="1" ht="110.25" customHeight="1">
      <c r="A87" s="162" t="s">
        <v>266</v>
      </c>
      <c r="B87" s="161" t="s">
        <v>267</v>
      </c>
    </row>
    <row r="88" spans="1:58" s="7" customFormat="1" ht="57.75" customHeight="1">
      <c r="A88" s="112" t="s">
        <v>268</v>
      </c>
      <c r="B88" s="112" t="s">
        <v>269</v>
      </c>
    </row>
    <row r="89" spans="1:58" s="7" customFormat="1" ht="71.25" customHeight="1">
      <c r="A89" s="112" t="s">
        <v>270</v>
      </c>
      <c r="B89" s="112" t="s">
        <v>271</v>
      </c>
    </row>
    <row r="90" spans="1:58" ht="42" customHeight="1">
      <c r="A90" s="112" t="s">
        <v>272</v>
      </c>
      <c r="B90" s="155" t="s">
        <v>273</v>
      </c>
    </row>
  </sheetData>
  <customSheetViews>
    <customSheetView guid="{B87BD74C-18F3-4393-BF03-31B25889E08F}" showGridLines="0" fitToPage="1">
      <pane xSplit="1" ySplit="4" topLeftCell="AL65" activePane="bottomRight" state="frozen"/>
      <selection pane="bottomRight" activeCell="AM51" sqref="AM51"/>
      <pageMargins left="0" right="0" top="0" bottom="0" header="0" footer="0"/>
      <pageSetup paperSize="9" scale="10" orientation="landscape" r:id="rId1"/>
    </customSheetView>
    <customSheetView guid="{0581D693-F741-454A-848A-FCD54BC91A66}" scale="80" showPageBreaks="1" showGridLines="0" fitToPage="1" printArea="1" hiddenColumns="1">
      <pane xSplit="1" ySplit="4" topLeftCell="AK70" activePane="bottomRight" state="frozen"/>
      <selection pane="bottomRight" activeCell="AN74" sqref="AN74:AN75"/>
      <pageMargins left="0" right="0" top="0" bottom="0" header="0" footer="0"/>
      <pageSetup paperSize="9" scale="27" orientation="landscape" r:id="rId2"/>
    </customSheetView>
    <customSheetView guid="{634BFE77-A2AA-4FA6-8ED5-F02244B9F10C}" showPageBreaks="1" showGridLines="0" fitToPage="1" printArea="1" hiddenColumns="1">
      <pane xSplit="1" ySplit="4" topLeftCell="AG65" activePane="bottomRight" state="frozen"/>
      <selection pane="bottomRight" activeCell="AM77" sqref="AM77"/>
      <pageMargins left="0" right="0" top="0" bottom="0" header="0" footer="0"/>
      <pageSetup paperSize="9" scale="27" orientation="landscape"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howPageBreaks="1" showGridLines="0" fitToPage="1" printArea="1">
      <pane xSplit="1" ySplit="4" topLeftCell="B62" activePane="bottomRight" state="frozen"/>
      <selection pane="bottomRight" activeCell="AN51" sqref="AN51"/>
      <pageMargins left="0" right="0" top="0" bottom="0" header="0" footer="0"/>
      <pageSetup paperSize="9" scale="26" orientation="landscape" r:id="rId4"/>
    </customSheetView>
  </customSheetViews>
  <mergeCells count="14">
    <mergeCell ref="C2:F2"/>
    <mergeCell ref="G2:J2"/>
    <mergeCell ref="K2:N2"/>
    <mergeCell ref="O2:R2"/>
    <mergeCell ref="AI2:AL2"/>
    <mergeCell ref="AE2:AH2"/>
    <mergeCell ref="AA2:AD2"/>
    <mergeCell ref="W2:Z2"/>
    <mergeCell ref="S2:V2"/>
    <mergeCell ref="BC2:BF2"/>
    <mergeCell ref="AY2:BB2"/>
    <mergeCell ref="AU2:AX2"/>
    <mergeCell ref="AQ2:AT2"/>
    <mergeCell ref="AM2:AP2"/>
  </mergeCells>
  <phoneticPr fontId="11" type="noConversion"/>
  <pageMargins left="0.70866141732283472" right="0.70866141732283472" top="0.74803149606299213" bottom="0.74803149606299213" header="0.31496062992125984" footer="0.31496062992125984"/>
  <pageSetup paperSize="9" scale="26" orientation="landscape" r:id="rId5"/>
  <headerFooter>
    <oddFooter>&amp;L&amp;1#&amp;"Calibri"&amp;8&amp;K000000TAJEMNICA PRZEDSIĘBIORSTWA w rozumieniu art. 11 ust. 2 ustawy z dnia 16 kwietnia 1993 r. o zwalczaniu nieuczciwej konkurencji – DO UŻYTKU SŁUŻBOWEGO</oddFooter>
  </headerFooter>
  <ignoredErrors>
    <ignoredError sqref="G36 I36 D36 AD24" formula="1"/>
  </ignoredError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O161"/>
  <sheetViews>
    <sheetView showGridLines="0" zoomScale="80" zoomScaleNormal="80" zoomScaleSheetLayoutView="110" workbookViewId="0">
      <pane xSplit="1" ySplit="4" topLeftCell="BA8" activePane="bottomRight" state="frozen"/>
      <selection pane="topRight" activeCell="B1" sqref="B1"/>
      <selection pane="bottomLeft" activeCell="A5" sqref="A5"/>
      <selection pane="bottomRight" activeCell="BB1" sqref="BB1"/>
    </sheetView>
  </sheetViews>
  <sheetFormatPr defaultColWidth="9" defaultRowHeight="13" outlineLevelCol="1"/>
  <cols>
    <col min="1" max="1" width="45.58203125" style="112" customWidth="1"/>
    <col min="2" max="2" width="47.83203125" style="112" customWidth="1"/>
    <col min="3" max="3" width="13.08203125" style="4" customWidth="1" outlineLevel="1"/>
    <col min="4" max="5" width="13" style="4" customWidth="1" outlineLevel="1"/>
    <col min="6" max="6" width="12.5" style="4" customWidth="1" outlineLevel="1"/>
    <col min="7" max="7" width="13" style="4" customWidth="1" outlineLevel="1"/>
    <col min="8" max="9" width="12.83203125" style="4" customWidth="1" outlineLevel="1"/>
    <col min="10" max="10" width="12.5" style="4" customWidth="1" outlineLevel="1"/>
    <col min="11" max="12" width="13" style="4" customWidth="1" outlineLevel="1"/>
    <col min="13" max="13" width="12.83203125" style="4" customWidth="1" outlineLevel="1"/>
    <col min="14" max="14" width="12.5" style="4" customWidth="1" outlineLevel="1"/>
    <col min="15" max="29" width="13" style="4" customWidth="1" outlineLevel="1"/>
    <col min="30" max="30" width="14.08203125" style="4" customWidth="1" outlineLevel="1"/>
    <col min="31" max="34" width="13" style="6" customWidth="1" outlineLevel="1"/>
    <col min="35" max="50" width="13.08203125" style="6" customWidth="1" outlineLevel="1"/>
    <col min="51" max="54" width="13.08203125" style="6" customWidth="1"/>
    <col min="55" max="60" width="13.08203125" style="4" customWidth="1"/>
    <col min="61" max="61" width="13.08203125" style="927" customWidth="1"/>
    <col min="62" max="62" width="13.08203125" style="4" customWidth="1"/>
    <col min="63" max="16384" width="9" style="4"/>
  </cols>
  <sheetData>
    <row r="1" spans="1:483" s="14" customFormat="1" ht="89.25" customHeight="1">
      <c r="A1" s="2"/>
      <c r="B1" s="3"/>
      <c r="C1" s="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928"/>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row>
    <row r="2" spans="1:483" s="10" customFormat="1" ht="42.75" customHeight="1">
      <c r="A2" s="296" t="s">
        <v>274</v>
      </c>
      <c r="B2" s="606" t="s">
        <v>275</v>
      </c>
      <c r="C2" s="962">
        <v>2012</v>
      </c>
      <c r="D2" s="962"/>
      <c r="E2" s="962"/>
      <c r="F2" s="962"/>
      <c r="G2" s="965">
        <v>2013</v>
      </c>
      <c r="H2" s="962"/>
      <c r="I2" s="962"/>
      <c r="J2" s="966"/>
      <c r="K2" s="962">
        <v>2014</v>
      </c>
      <c r="L2" s="962"/>
      <c r="M2" s="962"/>
      <c r="N2" s="962"/>
      <c r="O2" s="965">
        <v>2015</v>
      </c>
      <c r="P2" s="962"/>
      <c r="Q2" s="962"/>
      <c r="R2" s="966"/>
      <c r="S2" s="962">
        <v>2016</v>
      </c>
      <c r="T2" s="962"/>
      <c r="U2" s="962"/>
      <c r="V2" s="962"/>
      <c r="W2" s="965" t="s">
        <v>276</v>
      </c>
      <c r="X2" s="962"/>
      <c r="Y2" s="962"/>
      <c r="Z2" s="966"/>
      <c r="AA2" s="962" t="s">
        <v>277</v>
      </c>
      <c r="AB2" s="963"/>
      <c r="AC2" s="963"/>
      <c r="AD2" s="963"/>
      <c r="AE2" s="965" t="s">
        <v>278</v>
      </c>
      <c r="AF2" s="963"/>
      <c r="AG2" s="963"/>
      <c r="AH2" s="964"/>
      <c r="AI2" s="962" t="s">
        <v>279</v>
      </c>
      <c r="AJ2" s="962"/>
      <c r="AK2" s="962"/>
      <c r="AL2" s="962"/>
      <c r="AM2" s="965">
        <v>2020</v>
      </c>
      <c r="AN2" s="963"/>
      <c r="AO2" s="963"/>
      <c r="AP2" s="964"/>
      <c r="AQ2" s="962">
        <v>2021</v>
      </c>
      <c r="AR2" s="963"/>
      <c r="AS2" s="963"/>
      <c r="AT2" s="964"/>
      <c r="AU2" s="962">
        <v>2022</v>
      </c>
      <c r="AV2" s="963"/>
      <c r="AW2" s="963"/>
      <c r="AX2" s="964"/>
      <c r="AY2" s="962">
        <v>2023</v>
      </c>
      <c r="AZ2" s="963"/>
      <c r="BA2" s="963"/>
      <c r="BB2" s="964"/>
      <c r="BC2" s="962">
        <v>2024</v>
      </c>
      <c r="BD2" s="963"/>
      <c r="BE2" s="963"/>
      <c r="BF2" s="964"/>
      <c r="BG2" s="962">
        <v>2025</v>
      </c>
      <c r="BH2" s="963"/>
      <c r="BI2" s="963"/>
      <c r="BJ2" s="964"/>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row>
    <row r="3" spans="1:483" ht="40.25" customHeight="1">
      <c r="A3" s="296" t="s">
        <v>20</v>
      </c>
      <c r="B3" s="606" t="s">
        <v>20</v>
      </c>
      <c r="C3" s="440" t="s">
        <v>280</v>
      </c>
      <c r="D3" s="440" t="s">
        <v>281</v>
      </c>
      <c r="E3" s="440" t="s">
        <v>282</v>
      </c>
      <c r="F3" s="440" t="s">
        <v>283</v>
      </c>
      <c r="G3" s="585" t="s">
        <v>280</v>
      </c>
      <c r="H3" s="440" t="s">
        <v>281</v>
      </c>
      <c r="I3" s="440" t="s">
        <v>282</v>
      </c>
      <c r="J3" s="586" t="s">
        <v>283</v>
      </c>
      <c r="K3" s="440" t="s">
        <v>280</v>
      </c>
      <c r="L3" s="440" t="s">
        <v>281</v>
      </c>
      <c r="M3" s="440" t="s">
        <v>282</v>
      </c>
      <c r="N3" s="440" t="s">
        <v>283</v>
      </c>
      <c r="O3" s="585" t="s">
        <v>280</v>
      </c>
      <c r="P3" s="440" t="s">
        <v>281</v>
      </c>
      <c r="Q3" s="440" t="s">
        <v>282</v>
      </c>
      <c r="R3" s="586" t="s">
        <v>283</v>
      </c>
      <c r="S3" s="440" t="s">
        <v>280</v>
      </c>
      <c r="T3" s="440" t="s">
        <v>281</v>
      </c>
      <c r="U3" s="440" t="s">
        <v>282</v>
      </c>
      <c r="V3" s="440" t="s">
        <v>283</v>
      </c>
      <c r="W3" s="585" t="s">
        <v>280</v>
      </c>
      <c r="X3" s="440" t="s">
        <v>281</v>
      </c>
      <c r="Y3" s="440" t="s">
        <v>282</v>
      </c>
      <c r="Z3" s="586" t="s">
        <v>283</v>
      </c>
      <c r="AA3" s="440" t="s">
        <v>280</v>
      </c>
      <c r="AB3" s="440" t="s">
        <v>281</v>
      </c>
      <c r="AC3" s="440" t="s">
        <v>282</v>
      </c>
      <c r="AD3" s="440" t="s">
        <v>283</v>
      </c>
      <c r="AE3" s="585" t="s">
        <v>280</v>
      </c>
      <c r="AF3" s="440" t="s">
        <v>281</v>
      </c>
      <c r="AG3" s="440" t="s">
        <v>282</v>
      </c>
      <c r="AH3" s="586" t="s">
        <v>283</v>
      </c>
      <c r="AI3" s="440" t="s">
        <v>280</v>
      </c>
      <c r="AJ3" s="440" t="s">
        <v>281</v>
      </c>
      <c r="AK3" s="440" t="s">
        <v>282</v>
      </c>
      <c r="AL3" s="440" t="s">
        <v>283</v>
      </c>
      <c r="AM3" s="585" t="s">
        <v>280</v>
      </c>
      <c r="AN3" s="440" t="s">
        <v>281</v>
      </c>
      <c r="AO3" s="440" t="s">
        <v>282</v>
      </c>
      <c r="AP3" s="586" t="s">
        <v>283</v>
      </c>
      <c r="AQ3" s="440" t="s">
        <v>280</v>
      </c>
      <c r="AR3" s="440" t="s">
        <v>281</v>
      </c>
      <c r="AS3" s="440" t="s">
        <v>282</v>
      </c>
      <c r="AT3" s="586" t="s">
        <v>283</v>
      </c>
      <c r="AU3" s="440" t="s">
        <v>280</v>
      </c>
      <c r="AV3" s="440" t="s">
        <v>281</v>
      </c>
      <c r="AW3" s="440" t="s">
        <v>282</v>
      </c>
      <c r="AX3" s="586" t="s">
        <v>283</v>
      </c>
      <c r="AY3" s="440" t="str">
        <f>AU3</f>
        <v>3 miesiące 
do 31 marca</v>
      </c>
      <c r="AZ3" s="440" t="s">
        <v>281</v>
      </c>
      <c r="BA3" s="440" t="s">
        <v>282</v>
      </c>
      <c r="BB3" s="586" t="s">
        <v>283</v>
      </c>
      <c r="BC3" s="440" t="str">
        <f>AY3</f>
        <v>3 miesiące 
do 31 marca</v>
      </c>
      <c r="BD3" s="440" t="s">
        <v>281</v>
      </c>
      <c r="BE3" s="440" t="s">
        <v>282</v>
      </c>
      <c r="BF3" s="586" t="s">
        <v>283</v>
      </c>
      <c r="BG3" s="440" t="str">
        <f>BC3</f>
        <v>3 miesiące 
do 31 marca</v>
      </c>
      <c r="BH3" s="440" t="s">
        <v>281</v>
      </c>
      <c r="BI3" s="440" t="s">
        <v>282</v>
      </c>
      <c r="BJ3" s="586" t="s">
        <v>283</v>
      </c>
    </row>
    <row r="4" spans="1:483" s="444" customFormat="1" ht="40.25" customHeight="1" thickBot="1">
      <c r="A4" s="442"/>
      <c r="B4" s="607"/>
      <c r="C4" s="443" t="s">
        <v>284</v>
      </c>
      <c r="D4" s="443" t="s">
        <v>285</v>
      </c>
      <c r="E4" s="443" t="s">
        <v>286</v>
      </c>
      <c r="F4" s="443" t="s">
        <v>287</v>
      </c>
      <c r="G4" s="587" t="s">
        <v>284</v>
      </c>
      <c r="H4" s="443" t="s">
        <v>285</v>
      </c>
      <c r="I4" s="443" t="s">
        <v>286</v>
      </c>
      <c r="J4" s="588" t="s">
        <v>287</v>
      </c>
      <c r="K4" s="443" t="s">
        <v>284</v>
      </c>
      <c r="L4" s="443" t="s">
        <v>285</v>
      </c>
      <c r="M4" s="443" t="s">
        <v>286</v>
      </c>
      <c r="N4" s="443" t="s">
        <v>287</v>
      </c>
      <c r="O4" s="587" t="s">
        <v>284</v>
      </c>
      <c r="P4" s="443" t="s">
        <v>285</v>
      </c>
      <c r="Q4" s="443" t="s">
        <v>286</v>
      </c>
      <c r="R4" s="588" t="s">
        <v>287</v>
      </c>
      <c r="S4" s="443" t="s">
        <v>284</v>
      </c>
      <c r="T4" s="443" t="s">
        <v>285</v>
      </c>
      <c r="U4" s="443" t="s">
        <v>286</v>
      </c>
      <c r="V4" s="443" t="s">
        <v>287</v>
      </c>
      <c r="W4" s="587" t="s">
        <v>284</v>
      </c>
      <c r="X4" s="443" t="s">
        <v>285</v>
      </c>
      <c r="Y4" s="443" t="s">
        <v>286</v>
      </c>
      <c r="Z4" s="588" t="s">
        <v>287</v>
      </c>
      <c r="AA4" s="443" t="s">
        <v>284</v>
      </c>
      <c r="AB4" s="443" t="s">
        <v>285</v>
      </c>
      <c r="AC4" s="443" t="s">
        <v>286</v>
      </c>
      <c r="AD4" s="443" t="s">
        <v>287</v>
      </c>
      <c r="AE4" s="587" t="s">
        <v>284</v>
      </c>
      <c r="AF4" s="443" t="s">
        <v>285</v>
      </c>
      <c r="AG4" s="443" t="s">
        <v>286</v>
      </c>
      <c r="AH4" s="588" t="s">
        <v>287</v>
      </c>
      <c r="AI4" s="443" t="s">
        <v>284</v>
      </c>
      <c r="AJ4" s="443" t="s">
        <v>285</v>
      </c>
      <c r="AK4" s="443" t="s">
        <v>286</v>
      </c>
      <c r="AL4" s="443" t="s">
        <v>287</v>
      </c>
      <c r="AM4" s="587" t="s">
        <v>284</v>
      </c>
      <c r="AN4" s="443" t="s">
        <v>285</v>
      </c>
      <c r="AO4" s="443" t="s">
        <v>286</v>
      </c>
      <c r="AP4" s="588" t="s">
        <v>287</v>
      </c>
      <c r="AQ4" s="443" t="s">
        <v>284</v>
      </c>
      <c r="AR4" s="443" t="s">
        <v>285</v>
      </c>
      <c r="AS4" s="443" t="s">
        <v>286</v>
      </c>
      <c r="AT4" s="588" t="s">
        <v>287</v>
      </c>
      <c r="AU4" s="443" t="s">
        <v>284</v>
      </c>
      <c r="AV4" s="443" t="s">
        <v>285</v>
      </c>
      <c r="AW4" s="443" t="s">
        <v>286</v>
      </c>
      <c r="AX4" s="588" t="s">
        <v>287</v>
      </c>
      <c r="AY4" s="443" t="s">
        <v>284</v>
      </c>
      <c r="AZ4" s="443" t="s">
        <v>285</v>
      </c>
      <c r="BA4" s="443" t="s">
        <v>286</v>
      </c>
      <c r="BB4" s="588" t="s">
        <v>287</v>
      </c>
      <c r="BC4" s="443" t="s">
        <v>284</v>
      </c>
      <c r="BD4" s="443" t="s">
        <v>285</v>
      </c>
      <c r="BE4" s="443" t="s">
        <v>286</v>
      </c>
      <c r="BF4" s="588" t="s">
        <v>287</v>
      </c>
      <c r="BG4" s="443" t="s">
        <v>284</v>
      </c>
      <c r="BH4" s="443" t="s">
        <v>285</v>
      </c>
      <c r="BI4" s="443" t="s">
        <v>286</v>
      </c>
      <c r="BJ4" s="588" t="s">
        <v>287</v>
      </c>
    </row>
    <row r="5" spans="1:483" ht="20.149999999999999" customHeight="1" thickBot="1">
      <c r="A5" s="441" t="s">
        <v>288</v>
      </c>
      <c r="B5" s="608" t="s">
        <v>289</v>
      </c>
      <c r="C5" s="84">
        <v>205.10900000000001</v>
      </c>
      <c r="D5" s="84">
        <v>304.61200000000002</v>
      </c>
      <c r="E5" s="84">
        <v>476.67400000000004</v>
      </c>
      <c r="F5" s="84">
        <v>598.298</v>
      </c>
      <c r="G5" s="589">
        <v>95.105000000000004</v>
      </c>
      <c r="H5" s="84">
        <v>175.85</v>
      </c>
      <c r="I5" s="84">
        <v>352.30099999999999</v>
      </c>
      <c r="J5" s="590">
        <v>525.44500000000005</v>
      </c>
      <c r="K5" s="84">
        <v>98.171999999999997</v>
      </c>
      <c r="L5" s="84">
        <f>'P&amp;L'!M34+'P&amp;L'!N34</f>
        <v>230.29999999999967</v>
      </c>
      <c r="M5" s="84">
        <v>278.5</v>
      </c>
      <c r="N5" s="84">
        <v>292.5</v>
      </c>
      <c r="O5" s="589">
        <v>170.8</v>
      </c>
      <c r="P5" s="84">
        <v>475.29999999999984</v>
      </c>
      <c r="Q5" s="84">
        <f>SUM('P&amp;L'!R34:T34)</f>
        <v>977.7999999999995</v>
      </c>
      <c r="R5" s="590">
        <f>SUM('P&amp;L'!V34)</f>
        <v>1163.3999999999994</v>
      </c>
      <c r="S5" s="84">
        <f>'P&amp;L'!W34</f>
        <v>178.50000000000006</v>
      </c>
      <c r="T5" s="84">
        <f>'P&amp;L'!W34+'P&amp;L'!X34</f>
        <v>409.4000000000002</v>
      </c>
      <c r="U5" s="84">
        <f>T5+'P&amp;L'!Y34</f>
        <v>679.20000000000061</v>
      </c>
      <c r="V5" s="84">
        <f>'P&amp;L'!AA34</f>
        <v>1021.0000000000001</v>
      </c>
      <c r="W5" s="589">
        <v>271.40000000000032</v>
      </c>
      <c r="X5" s="84">
        <v>553.10000000000025</v>
      </c>
      <c r="Y5" s="84">
        <v>788</v>
      </c>
      <c r="Z5" s="590">
        <v>945.2</v>
      </c>
      <c r="AA5" s="84">
        <v>292.2</v>
      </c>
      <c r="AB5" s="84">
        <v>523.6</v>
      </c>
      <c r="AC5" s="84">
        <v>750.7</v>
      </c>
      <c r="AD5" s="84">
        <v>816.1</v>
      </c>
      <c r="AE5" s="589">
        <v>300.8</v>
      </c>
      <c r="AF5" s="84">
        <v>570.9</v>
      </c>
      <c r="AG5" s="84">
        <v>817.9</v>
      </c>
      <c r="AH5" s="590">
        <v>1126.3</v>
      </c>
      <c r="AI5" s="84">
        <v>297.3</v>
      </c>
      <c r="AJ5" s="84">
        <v>566.20000000000005</v>
      </c>
      <c r="AK5" s="84">
        <v>802.7</v>
      </c>
      <c r="AL5" s="84">
        <v>1114.5999999999999</v>
      </c>
      <c r="AM5" s="589">
        <f>'P&amp;L'!BB34</f>
        <v>183.78882651999987</v>
      </c>
      <c r="AN5" s="84">
        <v>474.5</v>
      </c>
      <c r="AO5" s="84">
        <v>819.5</v>
      </c>
      <c r="AP5" s="590">
        <v>1146.2</v>
      </c>
      <c r="AQ5" s="84">
        <f>'P&amp;L'!BG34</f>
        <v>390.4</v>
      </c>
      <c r="AR5" s="84">
        <f>'P&amp;L'!BH34+AQ5</f>
        <v>932.09999999999991</v>
      </c>
      <c r="AS5" s="84">
        <f>'P&amp;L'!BI34+AR5</f>
        <v>4080.8000000000006</v>
      </c>
      <c r="AT5" s="590">
        <f>'P&amp;L'!BK34</f>
        <v>4414.4999999999982</v>
      </c>
      <c r="AU5" s="84">
        <f>'P&amp;L'!BL34</f>
        <v>212.79999999999995</v>
      </c>
      <c r="AV5" s="675">
        <f>SUM('P&amp;L'!BL34:BM34)</f>
        <v>495.49999999999977</v>
      </c>
      <c r="AW5" s="675">
        <f>SUM('P&amp;L'!BL34:BN34)</f>
        <v>726.60000000000059</v>
      </c>
      <c r="AX5" s="693">
        <f>'P&amp;L'!BP34</f>
        <v>901.10000000000014</v>
      </c>
      <c r="AY5" s="84">
        <f>'P&amp;L'!BQ34</f>
        <v>71.000000000000583</v>
      </c>
      <c r="AZ5" s="675">
        <v>79.099999999999994</v>
      </c>
      <c r="BA5" s="675">
        <v>181.3</v>
      </c>
      <c r="BB5" s="693">
        <v>311.60000000000002</v>
      </c>
      <c r="BC5" s="84">
        <v>184.3</v>
      </c>
      <c r="BD5" s="675">
        <v>359.8</v>
      </c>
      <c r="BE5" s="675">
        <v>609.6</v>
      </c>
      <c r="BF5" s="693">
        <v>777.3</v>
      </c>
      <c r="BG5" s="84">
        <v>86.7</v>
      </c>
      <c r="BH5" s="675"/>
      <c r="BI5" s="675"/>
      <c r="BJ5" s="693"/>
    </row>
    <row r="6" spans="1:483" ht="20.149999999999999" customHeight="1" thickBot="1">
      <c r="A6" s="361" t="s">
        <v>290</v>
      </c>
      <c r="B6" s="609" t="s">
        <v>291</v>
      </c>
      <c r="C6" s="362">
        <f t="shared" ref="C6:AB6" si="0">SUM(C7:C37)</f>
        <v>27.58799999999999</v>
      </c>
      <c r="D6" s="362">
        <f t="shared" si="0"/>
        <v>110.99899999999997</v>
      </c>
      <c r="E6" s="362">
        <f t="shared" si="0"/>
        <v>152.09600000000003</v>
      </c>
      <c r="F6" s="363">
        <f t="shared" si="0"/>
        <v>244.9200000000001</v>
      </c>
      <c r="G6" s="591">
        <f t="shared" si="0"/>
        <v>70.556999999999988</v>
      </c>
      <c r="H6" s="363">
        <f t="shared" si="0"/>
        <v>176.07799999999997</v>
      </c>
      <c r="I6" s="363">
        <f t="shared" si="0"/>
        <v>195.94299999999996</v>
      </c>
      <c r="J6" s="592">
        <f t="shared" si="0"/>
        <v>334.28999999999991</v>
      </c>
      <c r="K6" s="363">
        <f t="shared" si="0"/>
        <v>86.532000000000011</v>
      </c>
      <c r="L6" s="363">
        <f t="shared" si="0"/>
        <v>505.40000000000015</v>
      </c>
      <c r="M6" s="363">
        <f t="shared" si="0"/>
        <v>1145.4000000000003</v>
      </c>
      <c r="N6" s="363">
        <f t="shared" si="0"/>
        <v>1825.2999999999997</v>
      </c>
      <c r="O6" s="591">
        <f t="shared" si="0"/>
        <v>282.2000000000001</v>
      </c>
      <c r="P6" s="363">
        <f t="shared" si="0"/>
        <v>852.69999999999982</v>
      </c>
      <c r="Q6" s="363">
        <f t="shared" si="0"/>
        <v>1195.6999999999994</v>
      </c>
      <c r="R6" s="592">
        <f t="shared" si="0"/>
        <v>1821.6999999999998</v>
      </c>
      <c r="S6" s="363">
        <f t="shared" si="0"/>
        <v>405.9</v>
      </c>
      <c r="T6" s="363">
        <f t="shared" si="0"/>
        <v>1140</v>
      </c>
      <c r="U6" s="363">
        <f t="shared" si="0"/>
        <v>1678.3000000000002</v>
      </c>
      <c r="V6" s="363">
        <f t="shared" si="0"/>
        <v>2130.5</v>
      </c>
      <c r="W6" s="591">
        <f t="shared" si="0"/>
        <v>509.29999999999995</v>
      </c>
      <c r="X6" s="363">
        <f t="shared" si="0"/>
        <v>1062.8</v>
      </c>
      <c r="Y6" s="363">
        <f t="shared" si="0"/>
        <v>1457.6999999999998</v>
      </c>
      <c r="Z6" s="592">
        <f t="shared" si="0"/>
        <v>2181.1000000000004</v>
      </c>
      <c r="AA6" s="363">
        <f t="shared" si="0"/>
        <v>340.90000000000009</v>
      </c>
      <c r="AB6" s="363">
        <f t="shared" si="0"/>
        <v>873.30000000000007</v>
      </c>
      <c r="AC6" s="363">
        <v>1470.1</v>
      </c>
      <c r="AD6" s="363">
        <f t="shared" ref="AD6:BG6" si="1">SUM(AD7:AD37)</f>
        <v>2416</v>
      </c>
      <c r="AE6" s="591">
        <f t="shared" si="1"/>
        <v>402.4</v>
      </c>
      <c r="AF6" s="363">
        <f t="shared" si="1"/>
        <v>983.40000000000032</v>
      </c>
      <c r="AG6" s="363">
        <f t="shared" si="1"/>
        <v>1588.9000000000003</v>
      </c>
      <c r="AH6" s="592">
        <f t="shared" si="1"/>
        <v>2265.5</v>
      </c>
      <c r="AI6" s="363">
        <f t="shared" si="1"/>
        <v>464.9</v>
      </c>
      <c r="AJ6" s="363">
        <f t="shared" si="1"/>
        <v>1143.1000000000001</v>
      </c>
      <c r="AK6" s="363">
        <f t="shared" si="1"/>
        <v>1857.2000000000003</v>
      </c>
      <c r="AL6" s="363">
        <f t="shared" si="1"/>
        <v>2663.2999999999997</v>
      </c>
      <c r="AM6" s="591">
        <f t="shared" si="1"/>
        <v>677.20000000000016</v>
      </c>
      <c r="AN6" s="363">
        <f t="shared" si="1"/>
        <v>1232.3000000000004</v>
      </c>
      <c r="AO6" s="363">
        <f t="shared" si="1"/>
        <v>1835.7999999999997</v>
      </c>
      <c r="AP6" s="592">
        <f t="shared" si="1"/>
        <v>2651.7</v>
      </c>
      <c r="AQ6" s="363">
        <f t="shared" si="1"/>
        <v>603.90000000000009</v>
      </c>
      <c r="AR6" s="363">
        <f t="shared" si="1"/>
        <v>953.8</v>
      </c>
      <c r="AS6" s="363">
        <f t="shared" si="1"/>
        <v>-1284.9999999999998</v>
      </c>
      <c r="AT6" s="592">
        <f t="shared" si="1"/>
        <v>-724.80000000000007</v>
      </c>
      <c r="AU6" s="363">
        <f t="shared" si="1"/>
        <v>454.00000000000011</v>
      </c>
      <c r="AV6" s="676">
        <f t="shared" si="1"/>
        <v>997.8</v>
      </c>
      <c r="AW6" s="363">
        <f t="shared" si="1"/>
        <v>1492.8</v>
      </c>
      <c r="AX6" s="693">
        <f t="shared" si="1"/>
        <v>2072.4</v>
      </c>
      <c r="AY6" s="363">
        <f t="shared" si="1"/>
        <v>284.7000000000001</v>
      </c>
      <c r="AZ6" s="676">
        <f t="shared" si="1"/>
        <v>1311.7999999999993</v>
      </c>
      <c r="BA6" s="676">
        <f t="shared" si="1"/>
        <v>1483.7999999999995</v>
      </c>
      <c r="BB6" s="693">
        <f t="shared" si="1"/>
        <v>2316.5999999999995</v>
      </c>
      <c r="BC6" s="363">
        <f t="shared" si="1"/>
        <v>616.20000000000005</v>
      </c>
      <c r="BD6" s="676">
        <f t="shared" si="1"/>
        <v>1158.8000000000002</v>
      </c>
      <c r="BE6" s="676">
        <f t="shared" si="1"/>
        <v>1991.0999999999995</v>
      </c>
      <c r="BF6" s="693">
        <f t="shared" si="1"/>
        <v>2783.2600000000007</v>
      </c>
      <c r="BG6" s="363">
        <f t="shared" si="1"/>
        <v>662.7</v>
      </c>
      <c r="BH6" s="676"/>
      <c r="BI6" s="676"/>
      <c r="BJ6" s="693"/>
    </row>
    <row r="7" spans="1:483" ht="20.149999999999999" customHeight="1">
      <c r="A7" s="64" t="s">
        <v>45</v>
      </c>
      <c r="B7" s="610" t="s">
        <v>46</v>
      </c>
      <c r="C7" s="62">
        <v>54.433</v>
      </c>
      <c r="D7" s="62">
        <v>111.117</v>
      </c>
      <c r="E7" s="62">
        <v>171.35499999999999</v>
      </c>
      <c r="F7" s="62">
        <v>243.066</v>
      </c>
      <c r="G7" s="593">
        <v>60.698</v>
      </c>
      <c r="H7" s="62">
        <v>122.961</v>
      </c>
      <c r="I7" s="62">
        <v>187.82599999999999</v>
      </c>
      <c r="J7" s="594">
        <v>256.416</v>
      </c>
      <c r="K7" s="62">
        <v>62.434000000000005</v>
      </c>
      <c r="L7" s="62">
        <v>373.8</v>
      </c>
      <c r="M7" s="62">
        <v>852.1</v>
      </c>
      <c r="N7" s="62">
        <v>1295.9000000000001</v>
      </c>
      <c r="O7" s="593">
        <v>467.9</v>
      </c>
      <c r="P7" s="62">
        <v>861.4</v>
      </c>
      <c r="Q7" s="62">
        <v>1262.5999999999999</v>
      </c>
      <c r="R7" s="594">
        <v>1699.3</v>
      </c>
      <c r="S7" s="62">
        <v>423.7</v>
      </c>
      <c r="T7" s="62">
        <v>951.2</v>
      </c>
      <c r="U7" s="62">
        <v>1459.1</v>
      </c>
      <c r="V7" s="62">
        <v>1971.5</v>
      </c>
      <c r="W7" s="593">
        <v>472.3</v>
      </c>
      <c r="X7" s="62">
        <v>919</v>
      </c>
      <c r="Y7" s="62">
        <v>1348.2</v>
      </c>
      <c r="Z7" s="594">
        <v>1783</v>
      </c>
      <c r="AA7" s="62">
        <v>454.5</v>
      </c>
      <c r="AB7" s="62">
        <v>925.3</v>
      </c>
      <c r="AC7" s="62">
        <v>1448.8</v>
      </c>
      <c r="AD7" s="62">
        <v>1970.7</v>
      </c>
      <c r="AE7" s="593">
        <v>440.1</v>
      </c>
      <c r="AF7" s="62">
        <v>884.7</v>
      </c>
      <c r="AG7" s="62">
        <v>1333.2</v>
      </c>
      <c r="AH7" s="594">
        <v>1786.4</v>
      </c>
      <c r="AI7" s="62">
        <v>547.1</v>
      </c>
      <c r="AJ7" s="62">
        <v>1100.7</v>
      </c>
      <c r="AK7" s="62">
        <v>1662.2</v>
      </c>
      <c r="AL7" s="62">
        <v>2229.6999999999998</v>
      </c>
      <c r="AM7" s="593">
        <v>564.5</v>
      </c>
      <c r="AN7" s="62">
        <v>1130.4000000000001</v>
      </c>
      <c r="AO7" s="62">
        <v>1703.4</v>
      </c>
      <c r="AP7" s="594">
        <v>2305.6999999999998</v>
      </c>
      <c r="AQ7" s="62">
        <v>521.20000000000005</v>
      </c>
      <c r="AR7" s="62">
        <v>978.4</v>
      </c>
      <c r="AS7" s="62">
        <v>1442</v>
      </c>
      <c r="AT7" s="594">
        <v>1903.2</v>
      </c>
      <c r="AU7" s="62">
        <v>446.3</v>
      </c>
      <c r="AV7" s="234">
        <v>913.8</v>
      </c>
      <c r="AW7" s="681">
        <v>1365.9</v>
      </c>
      <c r="AX7" s="594">
        <v>1829</v>
      </c>
      <c r="AY7" s="62">
        <v>462.5</v>
      </c>
      <c r="AZ7" s="721">
        <v>931.2</v>
      </c>
      <c r="BA7" s="721">
        <v>1415.1</v>
      </c>
      <c r="BB7" s="594">
        <v>1919.6</v>
      </c>
      <c r="BC7" s="62">
        <v>493.6</v>
      </c>
      <c r="BD7" s="721">
        <v>962.6</v>
      </c>
      <c r="BE7" s="721">
        <v>1279.5</v>
      </c>
      <c r="BF7" s="594">
        <v>1671.4</v>
      </c>
      <c r="BG7" s="62">
        <v>398.8</v>
      </c>
      <c r="BH7" s="721"/>
      <c r="BI7" s="721"/>
      <c r="BJ7" s="594"/>
    </row>
    <row r="8" spans="1:483" ht="20.149999999999999" customHeight="1">
      <c r="A8" s="64" t="s">
        <v>292</v>
      </c>
      <c r="B8" s="610" t="s">
        <v>293</v>
      </c>
      <c r="C8" s="62">
        <v>-29.711000000000002</v>
      </c>
      <c r="D8" s="62">
        <v>-88.683000000000007</v>
      </c>
      <c r="E8" s="62">
        <v>-140.589</v>
      </c>
      <c r="F8" s="62">
        <v>-177.86799999999999</v>
      </c>
      <c r="G8" s="593">
        <v>-44.32</v>
      </c>
      <c r="H8" s="62">
        <v>-122.45100000000001</v>
      </c>
      <c r="I8" s="62">
        <v>-189.477</v>
      </c>
      <c r="J8" s="594">
        <v>-222.45600000000002</v>
      </c>
      <c r="K8" s="62">
        <v>-109.42100000000001</v>
      </c>
      <c r="L8" s="62">
        <v>-148.9</v>
      </c>
      <c r="M8" s="62">
        <v>-224.7</v>
      </c>
      <c r="N8" s="62">
        <v>-306.8</v>
      </c>
      <c r="O8" s="593">
        <v>-41.5</v>
      </c>
      <c r="P8" s="62">
        <v>-115.2</v>
      </c>
      <c r="Q8" s="62">
        <v>-195.4</v>
      </c>
      <c r="R8" s="594">
        <v>-238.1</v>
      </c>
      <c r="S8" s="62">
        <v>-58.1</v>
      </c>
      <c r="T8" s="62">
        <v>-119</v>
      </c>
      <c r="U8" s="62">
        <v>-189.6</v>
      </c>
      <c r="V8" s="62">
        <v>-246.5</v>
      </c>
      <c r="W8" s="593">
        <v>-33.299999999999997</v>
      </c>
      <c r="X8" s="62">
        <v>-94.2</v>
      </c>
      <c r="Y8" s="62">
        <v>-246.2</v>
      </c>
      <c r="Z8" s="594">
        <v>-305.10000000000002</v>
      </c>
      <c r="AA8" s="62">
        <v>-62.4</v>
      </c>
      <c r="AB8" s="62">
        <v>-124.7</v>
      </c>
      <c r="AC8" s="62">
        <v>-411.2</v>
      </c>
      <c r="AD8" s="62">
        <v>-363.5</v>
      </c>
      <c r="AE8" s="593">
        <v>-156.30000000000001</v>
      </c>
      <c r="AF8" s="62">
        <v>-343.1</v>
      </c>
      <c r="AG8" s="62">
        <v>-534</v>
      </c>
      <c r="AH8" s="594">
        <v>-617.29999999999995</v>
      </c>
      <c r="AI8" s="62">
        <v>-156.30000000000001</v>
      </c>
      <c r="AJ8" s="62">
        <v>-343.1</v>
      </c>
      <c r="AK8" s="62">
        <v>-534</v>
      </c>
      <c r="AL8" s="62">
        <v>-617.29999999999995</v>
      </c>
      <c r="AM8" s="593">
        <v>-160.5</v>
      </c>
      <c r="AN8" s="62">
        <v>-223.3</v>
      </c>
      <c r="AO8" s="62">
        <v>-311.39999999999998</v>
      </c>
      <c r="AP8" s="594">
        <v>-511.9</v>
      </c>
      <c r="AQ8" s="62">
        <v>-175.1</v>
      </c>
      <c r="AR8" s="62">
        <v>-411.4</v>
      </c>
      <c r="AS8" s="62">
        <v>-557.1</v>
      </c>
      <c r="AT8" s="594">
        <v>-645</v>
      </c>
      <c r="AU8" s="62">
        <v>-178</v>
      </c>
      <c r="AV8" s="234">
        <v>-268.5</v>
      </c>
      <c r="AW8" s="234">
        <v>-492.8</v>
      </c>
      <c r="AX8" s="594">
        <v>-587.1</v>
      </c>
      <c r="AY8" s="62">
        <v>-187.2</v>
      </c>
      <c r="AZ8" s="62">
        <v>-341.3</v>
      </c>
      <c r="BA8" s="62">
        <v>-582.4</v>
      </c>
      <c r="BB8" s="594">
        <v>-654</v>
      </c>
      <c r="BC8" s="62">
        <v>-206.7</v>
      </c>
      <c r="BD8" s="62">
        <v>-306.7</v>
      </c>
      <c r="BE8" s="62">
        <v>-448.6</v>
      </c>
      <c r="BF8" s="594">
        <v>-571.70000000000005</v>
      </c>
      <c r="BG8" s="62">
        <v>-151.6</v>
      </c>
      <c r="BH8" s="62"/>
      <c r="BI8" s="62"/>
      <c r="BJ8" s="594"/>
    </row>
    <row r="9" spans="1:483" ht="20.149999999999999" customHeight="1">
      <c r="A9" s="64" t="s">
        <v>294</v>
      </c>
      <c r="B9" s="610" t="s">
        <v>295</v>
      </c>
      <c r="C9" s="62">
        <v>46.908999999999999</v>
      </c>
      <c r="D9" s="62">
        <v>99.832000000000008</v>
      </c>
      <c r="E9" s="62">
        <v>145.40600000000001</v>
      </c>
      <c r="F9" s="62">
        <v>194.52100000000002</v>
      </c>
      <c r="G9" s="593">
        <v>46.048999999999999</v>
      </c>
      <c r="H9" s="62">
        <v>102.423</v>
      </c>
      <c r="I9" s="62">
        <v>162.63200000000001</v>
      </c>
      <c r="J9" s="594">
        <v>220.37100000000001</v>
      </c>
      <c r="K9" s="62">
        <v>40.084000000000003</v>
      </c>
      <c r="L9" s="62">
        <v>85.1</v>
      </c>
      <c r="M9" s="62">
        <v>162.19999999999999</v>
      </c>
      <c r="N9" s="62">
        <v>224.4</v>
      </c>
      <c r="O9" s="593">
        <v>43.7</v>
      </c>
      <c r="P9" s="62">
        <v>90.5</v>
      </c>
      <c r="Q9" s="62">
        <v>149.9</v>
      </c>
      <c r="R9" s="594">
        <v>212.6</v>
      </c>
      <c r="S9" s="62">
        <v>49.1</v>
      </c>
      <c r="T9" s="62">
        <v>125.3</v>
      </c>
      <c r="U9" s="62">
        <v>173.5</v>
      </c>
      <c r="V9" s="62">
        <v>230.7</v>
      </c>
      <c r="W9" s="593">
        <v>48.5</v>
      </c>
      <c r="X9" s="62">
        <v>102.7</v>
      </c>
      <c r="Y9" s="62">
        <v>166.1</v>
      </c>
      <c r="Z9" s="594">
        <v>228.6</v>
      </c>
      <c r="AA9" s="62">
        <v>45.7</v>
      </c>
      <c r="AB9" s="62">
        <v>103.8</v>
      </c>
      <c r="AC9" s="62">
        <v>100.5</v>
      </c>
      <c r="AD9" s="62">
        <v>337</v>
      </c>
      <c r="AE9" s="593">
        <v>123.3</v>
      </c>
      <c r="AF9" s="62">
        <v>262.39999999999998</v>
      </c>
      <c r="AG9" s="62">
        <v>411</v>
      </c>
      <c r="AH9" s="594">
        <v>543.6</v>
      </c>
      <c r="AI9" s="62">
        <v>123.3</v>
      </c>
      <c r="AJ9" s="62">
        <v>262.39999999999998</v>
      </c>
      <c r="AK9" s="62">
        <v>411</v>
      </c>
      <c r="AL9" s="62">
        <v>543.6</v>
      </c>
      <c r="AM9" s="593">
        <v>125.1</v>
      </c>
      <c r="AN9" s="62">
        <v>246.4</v>
      </c>
      <c r="AO9" s="62">
        <v>372.4</v>
      </c>
      <c r="AP9" s="594">
        <v>519.6</v>
      </c>
      <c r="AQ9" s="62">
        <v>136.80000000000001</v>
      </c>
      <c r="AR9" s="62">
        <v>267.39999999999998</v>
      </c>
      <c r="AS9" s="62">
        <v>394.1</v>
      </c>
      <c r="AT9" s="594">
        <v>558.79999999999995</v>
      </c>
      <c r="AU9" s="62">
        <v>149.80000000000001</v>
      </c>
      <c r="AV9" s="234">
        <v>323</v>
      </c>
      <c r="AW9" s="483">
        <v>502.9</v>
      </c>
      <c r="AX9" s="594">
        <v>668.6</v>
      </c>
      <c r="AY9" s="62">
        <v>151.30000000000001</v>
      </c>
      <c r="AZ9" s="483">
        <v>318.60000000000002</v>
      </c>
      <c r="BA9" s="483">
        <v>492.8</v>
      </c>
      <c r="BB9" s="594">
        <v>660.5</v>
      </c>
      <c r="BC9" s="62">
        <v>146.4</v>
      </c>
      <c r="BD9" s="483">
        <v>302.89999999999998</v>
      </c>
      <c r="BE9" s="483">
        <v>401.7</v>
      </c>
      <c r="BF9" s="594">
        <v>519.70000000000005</v>
      </c>
      <c r="BG9" s="62">
        <v>111.6</v>
      </c>
      <c r="BH9" s="483"/>
      <c r="BI9" s="483"/>
      <c r="BJ9" s="594"/>
    </row>
    <row r="10" spans="1:483" ht="26">
      <c r="A10" s="64" t="s">
        <v>296</v>
      </c>
      <c r="B10" s="610" t="s">
        <v>297</v>
      </c>
      <c r="C10" s="62">
        <v>-1.0999999999999999E-2</v>
      </c>
      <c r="D10" s="62">
        <v>-0.25700000000000001</v>
      </c>
      <c r="E10" s="62">
        <v>-0.48299999999999998</v>
      </c>
      <c r="F10" s="62">
        <v>-0.111</v>
      </c>
      <c r="G10" s="593">
        <v>5.8000000000000003E-2</v>
      </c>
      <c r="H10" s="62">
        <v>7.2999999999999995E-2</v>
      </c>
      <c r="I10" s="62">
        <v>-38.896000000000001</v>
      </c>
      <c r="J10" s="594">
        <v>-35.765000000000001</v>
      </c>
      <c r="K10" s="62">
        <v>-5.2999999999999999E-2</v>
      </c>
      <c r="L10" s="62">
        <v>-0.7</v>
      </c>
      <c r="M10" s="62">
        <v>-2.4</v>
      </c>
      <c r="N10" s="62">
        <v>-2.9</v>
      </c>
      <c r="O10" s="593">
        <v>-0.4</v>
      </c>
      <c r="P10" s="62">
        <v>-4.8</v>
      </c>
      <c r="Q10" s="62">
        <v>-5.7</v>
      </c>
      <c r="R10" s="594">
        <v>-6.9</v>
      </c>
      <c r="S10" s="83" t="s">
        <v>250</v>
      </c>
      <c r="T10" s="83" t="s">
        <v>250</v>
      </c>
      <c r="U10" s="83" t="s">
        <v>250</v>
      </c>
      <c r="V10" s="83" t="s">
        <v>250</v>
      </c>
      <c r="W10" s="595" t="s">
        <v>250</v>
      </c>
      <c r="X10" s="83" t="s">
        <v>250</v>
      </c>
      <c r="Y10" s="83" t="s">
        <v>250</v>
      </c>
      <c r="Z10" s="596" t="s">
        <v>250</v>
      </c>
      <c r="AA10" s="83" t="s">
        <v>250</v>
      </c>
      <c r="AB10" s="83" t="s">
        <v>250</v>
      </c>
      <c r="AC10" s="83" t="s">
        <v>250</v>
      </c>
      <c r="AD10" s="83" t="s">
        <v>250</v>
      </c>
      <c r="AE10" s="595" t="s">
        <v>250</v>
      </c>
      <c r="AF10" s="83" t="s">
        <v>250</v>
      </c>
      <c r="AG10" s="83" t="s">
        <v>250</v>
      </c>
      <c r="AH10" s="596" t="s">
        <v>250</v>
      </c>
      <c r="AI10" s="83" t="s">
        <v>250</v>
      </c>
      <c r="AJ10" s="83" t="s">
        <v>250</v>
      </c>
      <c r="AK10" s="83" t="s">
        <v>250</v>
      </c>
      <c r="AL10" s="83" t="s">
        <v>250</v>
      </c>
      <c r="AM10" s="595" t="s">
        <v>250</v>
      </c>
      <c r="AN10" s="83" t="s">
        <v>250</v>
      </c>
      <c r="AO10" s="83" t="s">
        <v>250</v>
      </c>
      <c r="AP10" s="596" t="s">
        <v>250</v>
      </c>
      <c r="AQ10" s="83" t="s">
        <v>250</v>
      </c>
      <c r="AR10" s="83" t="s">
        <v>250</v>
      </c>
      <c r="AS10" s="83" t="s">
        <v>250</v>
      </c>
      <c r="AT10" s="596" t="s">
        <v>250</v>
      </c>
      <c r="AU10" s="83" t="s">
        <v>250</v>
      </c>
      <c r="AV10" s="236" t="s">
        <v>250</v>
      </c>
      <c r="AW10" s="83" t="s">
        <v>250</v>
      </c>
      <c r="AX10" s="596" t="s">
        <v>250</v>
      </c>
      <c r="AY10" s="83" t="s">
        <v>250</v>
      </c>
      <c r="AZ10" s="236" t="s">
        <v>250</v>
      </c>
      <c r="BA10" s="236" t="s">
        <v>250</v>
      </c>
      <c r="BB10" s="596" t="s">
        <v>250</v>
      </c>
      <c r="BC10" s="83" t="s">
        <v>250</v>
      </c>
      <c r="BD10" s="83" t="s">
        <v>250</v>
      </c>
      <c r="BE10" s="83" t="s">
        <v>250</v>
      </c>
      <c r="BF10" s="596" t="s">
        <v>250</v>
      </c>
      <c r="BG10" s="83" t="s">
        <v>250</v>
      </c>
      <c r="BH10" s="83"/>
      <c r="BI10" s="83"/>
      <c r="BJ10" s="596"/>
    </row>
    <row r="11" spans="1:483" ht="20.149999999999999" customHeight="1">
      <c r="A11" s="64" t="s">
        <v>298</v>
      </c>
      <c r="B11" s="610" t="s">
        <v>299</v>
      </c>
      <c r="C11" s="62">
        <v>2.3109999999999999</v>
      </c>
      <c r="D11" s="62">
        <v>4.6020000000000003</v>
      </c>
      <c r="E11" s="62">
        <v>6.1379999999999999</v>
      </c>
      <c r="F11" s="62">
        <v>9.2439999999999998</v>
      </c>
      <c r="G11" s="593">
        <v>3.504</v>
      </c>
      <c r="H11" s="62">
        <v>5.843</v>
      </c>
      <c r="I11" s="62">
        <v>6.3049999999999997</v>
      </c>
      <c r="J11" s="594">
        <v>6.407</v>
      </c>
      <c r="K11" s="62">
        <v>4.1000000000000002E-2</v>
      </c>
      <c r="L11" s="62">
        <v>0.1</v>
      </c>
      <c r="M11" s="62">
        <v>30.4</v>
      </c>
      <c r="N11" s="62">
        <v>30.5</v>
      </c>
      <c r="O11" s="593">
        <v>0.1</v>
      </c>
      <c r="P11" s="62">
        <v>0.5</v>
      </c>
      <c r="Q11" s="62">
        <v>0.5</v>
      </c>
      <c r="R11" s="594">
        <v>1.4</v>
      </c>
      <c r="S11" s="83" t="s">
        <v>250</v>
      </c>
      <c r="T11" s="83" t="s">
        <v>250</v>
      </c>
      <c r="U11" s="83" t="s">
        <v>250</v>
      </c>
      <c r="V11" s="83" t="s">
        <v>250</v>
      </c>
      <c r="W11" s="595" t="s">
        <v>250</v>
      </c>
      <c r="X11" s="83" t="s">
        <v>250</v>
      </c>
      <c r="Y11" s="83" t="s">
        <v>250</v>
      </c>
      <c r="Z11" s="596" t="s">
        <v>250</v>
      </c>
      <c r="AA11" s="83" t="s">
        <v>250</v>
      </c>
      <c r="AB11" s="83" t="s">
        <v>250</v>
      </c>
      <c r="AC11" s="83" t="s">
        <v>250</v>
      </c>
      <c r="AD11" s="83" t="s">
        <v>250</v>
      </c>
      <c r="AE11" s="595" t="s">
        <v>250</v>
      </c>
      <c r="AF11" s="83" t="s">
        <v>250</v>
      </c>
      <c r="AG11" s="83" t="s">
        <v>250</v>
      </c>
      <c r="AH11" s="596" t="s">
        <v>250</v>
      </c>
      <c r="AI11" s="83" t="s">
        <v>250</v>
      </c>
      <c r="AJ11" s="83" t="s">
        <v>250</v>
      </c>
      <c r="AK11" s="83" t="s">
        <v>250</v>
      </c>
      <c r="AL11" s="83" t="s">
        <v>250</v>
      </c>
      <c r="AM11" s="595" t="s">
        <v>250</v>
      </c>
      <c r="AN11" s="83" t="s">
        <v>250</v>
      </c>
      <c r="AO11" s="83" t="s">
        <v>250</v>
      </c>
      <c r="AP11" s="596" t="s">
        <v>250</v>
      </c>
      <c r="AQ11" s="83" t="s">
        <v>250</v>
      </c>
      <c r="AR11" s="83" t="s">
        <v>250</v>
      </c>
      <c r="AS11" s="83" t="s">
        <v>250</v>
      </c>
      <c r="AT11" s="596" t="s">
        <v>250</v>
      </c>
      <c r="AU11" s="83" t="s">
        <v>250</v>
      </c>
      <c r="AV11" s="236" t="s">
        <v>250</v>
      </c>
      <c r="AW11" s="83" t="s">
        <v>250</v>
      </c>
      <c r="AX11" s="596" t="s">
        <v>250</v>
      </c>
      <c r="AY11" s="83" t="s">
        <v>250</v>
      </c>
      <c r="AZ11" s="236" t="s">
        <v>250</v>
      </c>
      <c r="BA11" s="236" t="s">
        <v>250</v>
      </c>
      <c r="BB11" s="596" t="s">
        <v>250</v>
      </c>
      <c r="BC11" s="83" t="s">
        <v>250</v>
      </c>
      <c r="BD11" s="83" t="s">
        <v>250</v>
      </c>
      <c r="BE11" s="83" t="s">
        <v>250</v>
      </c>
      <c r="BF11" s="596" t="s">
        <v>250</v>
      </c>
      <c r="BG11" s="83" t="s">
        <v>250</v>
      </c>
      <c r="BH11" s="83"/>
      <c r="BI11" s="83"/>
      <c r="BJ11" s="596"/>
    </row>
    <row r="12" spans="1:483" ht="20.149999999999999" customHeight="1">
      <c r="A12" s="64" t="s">
        <v>300</v>
      </c>
      <c r="B12" s="610" t="s">
        <v>301</v>
      </c>
      <c r="C12" s="62">
        <v>52.017000000000003</v>
      </c>
      <c r="D12" s="62">
        <v>105.822</v>
      </c>
      <c r="E12" s="62">
        <v>156.893</v>
      </c>
      <c r="F12" s="62">
        <v>205.185</v>
      </c>
      <c r="G12" s="593">
        <v>46.368000000000002</v>
      </c>
      <c r="H12" s="62">
        <v>93.388999999999996</v>
      </c>
      <c r="I12" s="62">
        <v>140.42699999999999</v>
      </c>
      <c r="J12" s="594">
        <v>183.81100000000001</v>
      </c>
      <c r="K12" s="62">
        <v>90.381</v>
      </c>
      <c r="L12" s="62">
        <v>248.5</v>
      </c>
      <c r="M12" s="62">
        <v>421.4</v>
      </c>
      <c r="N12" s="62">
        <v>603.70000000000005</v>
      </c>
      <c r="O12" s="593">
        <v>177.4</v>
      </c>
      <c r="P12" s="62">
        <v>348.5</v>
      </c>
      <c r="Q12" s="62">
        <v>581.29999999999995</v>
      </c>
      <c r="R12" s="594">
        <v>763.6</v>
      </c>
      <c r="S12" s="62">
        <v>144.69999999999999</v>
      </c>
      <c r="T12" s="62">
        <v>285.89999999999998</v>
      </c>
      <c r="U12" s="62">
        <v>417.4</v>
      </c>
      <c r="V12" s="62">
        <v>541.9</v>
      </c>
      <c r="W12" s="593">
        <v>114.5</v>
      </c>
      <c r="X12" s="62">
        <v>228.7</v>
      </c>
      <c r="Y12" s="62">
        <v>331.1</v>
      </c>
      <c r="Z12" s="594">
        <v>432.3</v>
      </c>
      <c r="AA12" s="62">
        <v>68.5</v>
      </c>
      <c r="AB12" s="62">
        <v>166.7</v>
      </c>
      <c r="AC12" s="62">
        <v>269</v>
      </c>
      <c r="AD12" s="62">
        <v>401.6</v>
      </c>
      <c r="AE12" s="593">
        <v>94.5</v>
      </c>
      <c r="AF12" s="62">
        <v>189.2</v>
      </c>
      <c r="AG12" s="62">
        <v>291</v>
      </c>
      <c r="AH12" s="594">
        <v>388.2</v>
      </c>
      <c r="AI12" s="62">
        <v>107.2</v>
      </c>
      <c r="AJ12" s="62">
        <v>214.3</v>
      </c>
      <c r="AK12" s="62">
        <v>327.5</v>
      </c>
      <c r="AL12" s="62">
        <v>437.8</v>
      </c>
      <c r="AM12" s="593">
        <v>111.9</v>
      </c>
      <c r="AN12" s="62">
        <v>206.1</v>
      </c>
      <c r="AO12" s="62">
        <v>285.7</v>
      </c>
      <c r="AP12" s="594">
        <v>364.8</v>
      </c>
      <c r="AQ12" s="62">
        <v>78</v>
      </c>
      <c r="AR12" s="62">
        <v>154.9</v>
      </c>
      <c r="AS12" s="62">
        <v>223</v>
      </c>
      <c r="AT12" s="594">
        <v>299.39999999999998</v>
      </c>
      <c r="AU12" s="62">
        <v>112.3</v>
      </c>
      <c r="AV12" s="234">
        <v>271.2</v>
      </c>
      <c r="AW12" s="234">
        <v>466.2</v>
      </c>
      <c r="AX12" s="594">
        <v>660.6</v>
      </c>
      <c r="AY12" s="62">
        <v>236.9</v>
      </c>
      <c r="AZ12" s="62">
        <v>514</v>
      </c>
      <c r="BA12" s="6">
        <v>787.2</v>
      </c>
      <c r="BB12" s="594">
        <v>1078.2</v>
      </c>
      <c r="BC12" s="62">
        <v>264.2</v>
      </c>
      <c r="BD12" s="62">
        <v>515.20000000000005</v>
      </c>
      <c r="BE12" s="6">
        <v>771.5</v>
      </c>
      <c r="BF12" s="594">
        <v>1031.0999999999999</v>
      </c>
      <c r="BG12" s="944">
        <v>256.60000000000002</v>
      </c>
      <c r="BH12" s="62"/>
      <c r="BI12" s="6"/>
      <c r="BJ12" s="594"/>
    </row>
    <row r="13" spans="1:483" ht="20.149999999999999" customHeight="1">
      <c r="A13" s="64" t="s">
        <v>302</v>
      </c>
      <c r="B13" s="610" t="s">
        <v>303</v>
      </c>
      <c r="C13" s="62">
        <v>-7.2490000000000006</v>
      </c>
      <c r="D13" s="62">
        <v>-7.3810000000000002</v>
      </c>
      <c r="E13" s="62">
        <v>1.093</v>
      </c>
      <c r="F13" s="62">
        <v>16.173000000000002</v>
      </c>
      <c r="G13" s="593">
        <v>11.273</v>
      </c>
      <c r="H13" s="62">
        <v>4.4740000000000002</v>
      </c>
      <c r="I13" s="62">
        <v>5.9119999999999999</v>
      </c>
      <c r="J13" s="594">
        <v>14.839</v>
      </c>
      <c r="K13" s="62">
        <v>-16.302</v>
      </c>
      <c r="L13" s="62">
        <v>-41.8</v>
      </c>
      <c r="M13" s="62">
        <v>-14.7</v>
      </c>
      <c r="N13" s="62">
        <v>0.5</v>
      </c>
      <c r="O13" s="593">
        <v>48.6</v>
      </c>
      <c r="P13" s="62">
        <v>45.6</v>
      </c>
      <c r="Q13" s="62">
        <v>43.3</v>
      </c>
      <c r="R13" s="594">
        <v>26.4</v>
      </c>
      <c r="S13" s="62">
        <v>21.5</v>
      </c>
      <c r="T13" s="62">
        <v>11.7</v>
      </c>
      <c r="U13" s="62">
        <v>0.7</v>
      </c>
      <c r="V13" s="62">
        <v>3</v>
      </c>
      <c r="W13" s="593">
        <v>41.5</v>
      </c>
      <c r="X13" s="62">
        <v>-0.3</v>
      </c>
      <c r="Y13" s="62">
        <v>-16.899999999999999</v>
      </c>
      <c r="Z13" s="594">
        <v>-5</v>
      </c>
      <c r="AA13" s="62">
        <v>7.7</v>
      </c>
      <c r="AB13" s="62">
        <v>-45.1</v>
      </c>
      <c r="AC13" s="62">
        <v>-70.8</v>
      </c>
      <c r="AD13" s="62">
        <v>-77.2</v>
      </c>
      <c r="AE13" s="593">
        <v>60.3</v>
      </c>
      <c r="AF13" s="62">
        <v>51.4</v>
      </c>
      <c r="AG13" s="62">
        <v>36.299999999999997</v>
      </c>
      <c r="AH13" s="594">
        <v>89.1</v>
      </c>
      <c r="AI13" s="62">
        <v>60.3</v>
      </c>
      <c r="AJ13" s="62">
        <v>51.4</v>
      </c>
      <c r="AK13" s="62">
        <v>36.299999999999997</v>
      </c>
      <c r="AL13" s="62">
        <v>89.1</v>
      </c>
      <c r="AM13" s="593">
        <v>-85.7</v>
      </c>
      <c r="AN13" s="62">
        <v>-190.2</v>
      </c>
      <c r="AO13" s="62">
        <v>-96.4</v>
      </c>
      <c r="AP13" s="594">
        <v>13.2</v>
      </c>
      <c r="AQ13" s="62">
        <v>-5.4</v>
      </c>
      <c r="AR13" s="62">
        <v>-139.6</v>
      </c>
      <c r="AS13" s="62">
        <v>-215.3</v>
      </c>
      <c r="AT13" s="594">
        <v>-295.39999999999998</v>
      </c>
      <c r="AU13" s="62">
        <v>-1.8</v>
      </c>
      <c r="AV13" s="234">
        <v>-113.6</v>
      </c>
      <c r="AW13" s="234">
        <v>-66.900000000000006</v>
      </c>
      <c r="AX13" s="594">
        <v>-82.5</v>
      </c>
      <c r="AY13" s="62">
        <v>-109.8</v>
      </c>
      <c r="AZ13" s="62">
        <v>-107.4</v>
      </c>
      <c r="BA13" s="62">
        <v>-50.3</v>
      </c>
      <c r="BB13" s="594">
        <v>150.1</v>
      </c>
      <c r="BC13" s="62">
        <v>-4.2</v>
      </c>
      <c r="BD13" s="62">
        <v>24.4</v>
      </c>
      <c r="BE13" s="62">
        <v>125.9</v>
      </c>
      <c r="BF13" s="594">
        <v>117.5</v>
      </c>
      <c r="BG13" s="944">
        <v>-10.6</v>
      </c>
      <c r="BH13" s="62"/>
      <c r="BI13" s="62"/>
      <c r="BJ13" s="594"/>
    </row>
    <row r="14" spans="1:483" ht="20.149999999999999" customHeight="1">
      <c r="A14" s="64" t="s">
        <v>304</v>
      </c>
      <c r="B14" s="610" t="s">
        <v>305</v>
      </c>
      <c r="C14" s="62">
        <v>-48.496000000000002</v>
      </c>
      <c r="D14" s="62">
        <v>-85.073000000000008</v>
      </c>
      <c r="E14" s="62">
        <v>-90.59</v>
      </c>
      <c r="F14" s="62">
        <v>-106.816</v>
      </c>
      <c r="G14" s="593">
        <v>-18.654</v>
      </c>
      <c r="H14" s="62">
        <v>-16.358000000000001</v>
      </c>
      <c r="I14" s="62">
        <v>16.681000000000001</v>
      </c>
      <c r="J14" s="594">
        <v>60.908000000000001</v>
      </c>
      <c r="K14" s="62">
        <v>-5.1610000000000005</v>
      </c>
      <c r="L14" s="62">
        <v>-29.2</v>
      </c>
      <c r="M14" s="62">
        <v>-87.6</v>
      </c>
      <c r="N14" s="62">
        <v>-191.9</v>
      </c>
      <c r="O14" s="593">
        <v>-211.8</v>
      </c>
      <c r="P14" s="62">
        <v>-581.20000000000005</v>
      </c>
      <c r="Q14" s="62">
        <v>-349.3</v>
      </c>
      <c r="R14" s="594">
        <v>-478.2</v>
      </c>
      <c r="S14" s="62">
        <v>-33.9</v>
      </c>
      <c r="T14" s="62">
        <v>-105.3</v>
      </c>
      <c r="U14" s="62">
        <v>-164.6</v>
      </c>
      <c r="V14" s="62">
        <v>-329.9</v>
      </c>
      <c r="W14" s="593">
        <v>21.5</v>
      </c>
      <c r="X14" s="62">
        <v>-112.7</v>
      </c>
      <c r="Y14" s="62">
        <v>-224.5</v>
      </c>
      <c r="Z14" s="594">
        <v>-470.8</v>
      </c>
      <c r="AA14" s="62">
        <v>38.1</v>
      </c>
      <c r="AB14" s="62">
        <v>-516.5</v>
      </c>
      <c r="AC14" s="62">
        <v>-266.89999999999998</v>
      </c>
      <c r="AD14" s="62">
        <v>-289.10000000000002</v>
      </c>
      <c r="AE14" s="593">
        <v>155.9</v>
      </c>
      <c r="AF14" s="62">
        <v>8.1</v>
      </c>
      <c r="AG14" s="62">
        <v>-51.3</v>
      </c>
      <c r="AH14" s="594">
        <v>-312.5</v>
      </c>
      <c r="AI14" s="62">
        <v>158.4</v>
      </c>
      <c r="AJ14" s="62">
        <v>12.4</v>
      </c>
      <c r="AK14" s="62">
        <v>-48.3</v>
      </c>
      <c r="AL14" s="62">
        <v>-311.8</v>
      </c>
      <c r="AM14" s="593">
        <v>185.1</v>
      </c>
      <c r="AN14" s="62">
        <v>293.7</v>
      </c>
      <c r="AO14" s="62">
        <v>194.2</v>
      </c>
      <c r="AP14" s="594">
        <v>119.3</v>
      </c>
      <c r="AQ14" s="62">
        <v>-48.2</v>
      </c>
      <c r="AR14" s="62">
        <v>3.7</v>
      </c>
      <c r="AS14" s="62">
        <v>76.099999999999994</v>
      </c>
      <c r="AT14" s="594">
        <v>-25.7</v>
      </c>
      <c r="AU14" s="62">
        <v>41.7</v>
      </c>
      <c r="AV14" s="234">
        <v>-113.2</v>
      </c>
      <c r="AW14" s="234">
        <v>174.4</v>
      </c>
      <c r="AX14" s="594">
        <v>-0.9</v>
      </c>
      <c r="AY14" s="62">
        <v>132.5</v>
      </c>
      <c r="AZ14" s="62">
        <v>138.30000000000001</v>
      </c>
      <c r="BA14" s="62">
        <v>-246.2</v>
      </c>
      <c r="BB14" s="594">
        <v>-32.1</v>
      </c>
      <c r="BC14" s="62">
        <v>-71</v>
      </c>
      <c r="BD14" s="62">
        <v>-90.9</v>
      </c>
      <c r="BE14" s="62">
        <v>-14.9</v>
      </c>
      <c r="BF14" s="594">
        <v>-153.5</v>
      </c>
      <c r="BG14" s="944">
        <v>136.19999999999999</v>
      </c>
      <c r="BH14" s="62"/>
      <c r="BI14" s="62"/>
      <c r="BJ14" s="594"/>
    </row>
    <row r="15" spans="1:483" ht="20.149999999999999" customHeight="1">
      <c r="A15" s="172" t="s">
        <v>306</v>
      </c>
      <c r="B15" s="611" t="s">
        <v>307</v>
      </c>
      <c r="C15" s="62">
        <v>53.564</v>
      </c>
      <c r="D15" s="62">
        <v>51.881</v>
      </c>
      <c r="E15" s="62">
        <v>66.406999999999996</v>
      </c>
      <c r="F15" s="62">
        <v>67.872</v>
      </c>
      <c r="G15" s="593">
        <v>-36.840000000000003</v>
      </c>
      <c r="H15" s="62">
        <v>-56.231999999999999</v>
      </c>
      <c r="I15" s="62">
        <v>-85.896000000000001</v>
      </c>
      <c r="J15" s="594">
        <v>-104.93900000000001</v>
      </c>
      <c r="K15" s="62">
        <v>31.469000000000001</v>
      </c>
      <c r="L15" s="62">
        <v>-73.8</v>
      </c>
      <c r="M15" s="62">
        <v>-175.9</v>
      </c>
      <c r="N15" s="62">
        <v>-277.7</v>
      </c>
      <c r="O15" s="593">
        <v>-216.1</v>
      </c>
      <c r="P15" s="62">
        <v>69.3</v>
      </c>
      <c r="Q15" s="62">
        <v>-184.3</v>
      </c>
      <c r="R15" s="594">
        <v>-118</v>
      </c>
      <c r="S15" s="62">
        <v>-205.9</v>
      </c>
      <c r="T15" s="62">
        <v>-106.7</v>
      </c>
      <c r="U15" s="62">
        <v>-141.30000000000001</v>
      </c>
      <c r="V15" s="62">
        <v>-33.299999999999997</v>
      </c>
      <c r="W15" s="593">
        <v>-181.5</v>
      </c>
      <c r="X15" s="62">
        <v>-112.9</v>
      </c>
      <c r="Y15" s="62">
        <v>-90.1</v>
      </c>
      <c r="Z15" s="594">
        <v>183.1</v>
      </c>
      <c r="AA15" s="62">
        <v>-259.2</v>
      </c>
      <c r="AB15" s="62">
        <v>125.8</v>
      </c>
      <c r="AC15" s="62">
        <v>88</v>
      </c>
      <c r="AD15" s="62">
        <v>-44.2</v>
      </c>
      <c r="AE15" s="593">
        <v>-379.7</v>
      </c>
      <c r="AF15" s="62">
        <v>-183.1</v>
      </c>
      <c r="AG15" s="62">
        <v>-163.69999999999999</v>
      </c>
      <c r="AH15" s="594">
        <v>64.8</v>
      </c>
      <c r="AI15" s="62">
        <v>-439.5</v>
      </c>
      <c r="AJ15" s="62">
        <v>-264.7</v>
      </c>
      <c r="AK15" s="62">
        <v>-266.8</v>
      </c>
      <c r="AL15" s="62">
        <v>-25.7</v>
      </c>
      <c r="AM15" s="593">
        <v>-138.9</v>
      </c>
      <c r="AN15" s="62">
        <v>-265.5</v>
      </c>
      <c r="AO15" s="62">
        <v>-408.2</v>
      </c>
      <c r="AP15" s="594">
        <v>-401.3</v>
      </c>
      <c r="AQ15" s="62">
        <v>-2.1</v>
      </c>
      <c r="AR15" s="62">
        <v>-78.3</v>
      </c>
      <c r="AS15" s="62">
        <v>-92</v>
      </c>
      <c r="AT15" s="594">
        <v>-55</v>
      </c>
      <c r="AU15" s="62">
        <v>-143.80000000000001</v>
      </c>
      <c r="AV15" s="234">
        <v>-49.7</v>
      </c>
      <c r="AW15" s="234">
        <v>-391.4</v>
      </c>
      <c r="AX15" s="594">
        <v>-218.6</v>
      </c>
      <c r="AY15" s="62">
        <v>-330.2</v>
      </c>
      <c r="AZ15" s="62">
        <v>-55.2</v>
      </c>
      <c r="BA15" s="62">
        <v>-122.4</v>
      </c>
      <c r="BB15" s="594">
        <v>-268.5</v>
      </c>
      <c r="BC15" s="62">
        <v>0.6</v>
      </c>
      <c r="BD15" s="62">
        <v>-2.4</v>
      </c>
      <c r="BE15" s="62">
        <v>82.4</v>
      </c>
      <c r="BF15" s="594">
        <v>445.8</v>
      </c>
      <c r="BG15" s="944">
        <v>-135.19999999999999</v>
      </c>
      <c r="BH15" s="62"/>
      <c r="BI15" s="62"/>
      <c r="BJ15" s="594"/>
    </row>
    <row r="16" spans="1:483" ht="20.149999999999999" customHeight="1">
      <c r="A16" s="64" t="s">
        <v>308</v>
      </c>
      <c r="B16" s="610" t="s">
        <v>309</v>
      </c>
      <c r="C16" s="62"/>
      <c r="D16" s="62"/>
      <c r="E16" s="62"/>
      <c r="F16" s="62"/>
      <c r="G16" s="593"/>
      <c r="H16" s="62"/>
      <c r="I16" s="62"/>
      <c r="J16" s="594"/>
      <c r="K16" s="62"/>
      <c r="L16" s="62"/>
      <c r="M16" s="62"/>
      <c r="N16" s="62"/>
      <c r="O16" s="593"/>
      <c r="P16" s="62"/>
      <c r="Q16" s="62"/>
      <c r="R16" s="594"/>
      <c r="S16" s="62"/>
      <c r="T16" s="62"/>
      <c r="U16" s="62"/>
      <c r="V16" s="62"/>
      <c r="W16" s="593"/>
      <c r="X16" s="62"/>
      <c r="Y16" s="62"/>
      <c r="Z16" s="594"/>
      <c r="AA16" s="62">
        <v>29.6</v>
      </c>
      <c r="AB16" s="62">
        <v>48.1</v>
      </c>
      <c r="AC16" s="62">
        <v>55.2</v>
      </c>
      <c r="AD16" s="62">
        <v>47.8</v>
      </c>
      <c r="AE16" s="593">
        <v>-9.1999999999999993</v>
      </c>
      <c r="AF16" s="62">
        <v>-3.3</v>
      </c>
      <c r="AG16" s="62">
        <v>9.1999999999999993</v>
      </c>
      <c r="AH16" s="594">
        <v>9.6999999999999993</v>
      </c>
      <c r="AI16" s="62">
        <v>-9.1999999999999993</v>
      </c>
      <c r="AJ16" s="62">
        <v>-3.3</v>
      </c>
      <c r="AK16" s="62">
        <v>9.1999999999999993</v>
      </c>
      <c r="AL16" s="62">
        <v>9.6999999999999993</v>
      </c>
      <c r="AM16" s="593">
        <v>10.6</v>
      </c>
      <c r="AN16" s="62">
        <v>46.2</v>
      </c>
      <c r="AO16" s="62">
        <v>71.2</v>
      </c>
      <c r="AP16" s="594">
        <v>101</v>
      </c>
      <c r="AQ16" s="62">
        <v>32.1</v>
      </c>
      <c r="AR16" s="62">
        <v>61.5</v>
      </c>
      <c r="AS16" s="62">
        <v>99</v>
      </c>
      <c r="AT16" s="594">
        <v>119.7</v>
      </c>
      <c r="AU16" s="62">
        <v>24.2</v>
      </c>
      <c r="AV16" s="62">
        <v>43.9</v>
      </c>
      <c r="AW16" s="62">
        <v>56.5</v>
      </c>
      <c r="AX16" s="594">
        <v>55.1</v>
      </c>
      <c r="AY16" s="62">
        <v>-14.6</v>
      </c>
      <c r="AZ16" s="62">
        <v>-12.4</v>
      </c>
      <c r="BA16" s="62">
        <v>10.7</v>
      </c>
      <c r="BB16" s="594">
        <v>13.9</v>
      </c>
      <c r="BC16" s="62">
        <v>8.1999999999999993</v>
      </c>
      <c r="BD16" s="62">
        <v>12.4</v>
      </c>
      <c r="BE16" s="62">
        <v>11.3</v>
      </c>
      <c r="BF16" s="594">
        <v>7</v>
      </c>
      <c r="BG16" s="944">
        <v>3.5</v>
      </c>
      <c r="BH16" s="62"/>
      <c r="BI16" s="62"/>
      <c r="BJ16" s="594"/>
    </row>
    <row r="17" spans="1:62" ht="20.149999999999999" customHeight="1">
      <c r="A17" s="64" t="s">
        <v>310</v>
      </c>
      <c r="B17" s="610" t="s">
        <v>311</v>
      </c>
      <c r="C17" s="62"/>
      <c r="D17" s="62"/>
      <c r="E17" s="62"/>
      <c r="F17" s="62"/>
      <c r="G17" s="593"/>
      <c r="H17" s="62"/>
      <c r="I17" s="62"/>
      <c r="J17" s="594"/>
      <c r="K17" s="62"/>
      <c r="L17" s="62"/>
      <c r="M17" s="62"/>
      <c r="N17" s="62"/>
      <c r="O17" s="593"/>
      <c r="P17" s="62"/>
      <c r="Q17" s="62"/>
      <c r="R17" s="594"/>
      <c r="S17" s="62"/>
      <c r="T17" s="62"/>
      <c r="U17" s="62"/>
      <c r="V17" s="62"/>
      <c r="W17" s="593"/>
      <c r="X17" s="62"/>
      <c r="Y17" s="62"/>
      <c r="Z17" s="594"/>
      <c r="AA17" s="62">
        <v>-9.6</v>
      </c>
      <c r="AB17" s="62">
        <v>39.5</v>
      </c>
      <c r="AC17" s="62">
        <v>43.2</v>
      </c>
      <c r="AD17" s="62">
        <v>107.6</v>
      </c>
      <c r="AE17" s="593">
        <v>17.399999999999999</v>
      </c>
      <c r="AF17" s="62">
        <v>7</v>
      </c>
      <c r="AG17" s="62">
        <v>24.4</v>
      </c>
      <c r="AH17" s="594">
        <v>7.9</v>
      </c>
      <c r="AI17" s="62">
        <v>17.399999999999999</v>
      </c>
      <c r="AJ17" s="62">
        <v>7</v>
      </c>
      <c r="AK17" s="62">
        <v>24.4</v>
      </c>
      <c r="AL17" s="62">
        <v>7.9</v>
      </c>
      <c r="AM17" s="593">
        <v>12</v>
      </c>
      <c r="AN17" s="62">
        <v>-26.7</v>
      </c>
      <c r="AO17" s="62">
        <v>-41.4</v>
      </c>
      <c r="AP17" s="594">
        <v>-37.5</v>
      </c>
      <c r="AQ17" s="62">
        <v>-12.5</v>
      </c>
      <c r="AR17" s="62">
        <v>-28.9</v>
      </c>
      <c r="AS17" s="62">
        <v>-7.3</v>
      </c>
      <c r="AT17" s="594">
        <v>-30.6</v>
      </c>
      <c r="AU17" s="62">
        <v>-13.3</v>
      </c>
      <c r="AV17" s="62">
        <v>-28.1</v>
      </c>
      <c r="AW17" s="234">
        <v>-27.1</v>
      </c>
      <c r="AX17" s="594">
        <v>-48.1</v>
      </c>
      <c r="AY17" s="62">
        <v>22.1</v>
      </c>
      <c r="AZ17" s="62">
        <v>23.1</v>
      </c>
      <c r="BA17" s="62">
        <v>1.9</v>
      </c>
      <c r="BB17" s="594">
        <v>-38</v>
      </c>
      <c r="BC17" s="62">
        <v>37.700000000000003</v>
      </c>
      <c r="BD17" s="62">
        <v>70</v>
      </c>
      <c r="BE17" s="62">
        <v>88</v>
      </c>
      <c r="BF17" s="594">
        <v>-4.2</v>
      </c>
      <c r="BG17" s="944">
        <v>8.9</v>
      </c>
      <c r="BH17" s="62"/>
      <c r="BI17" s="62"/>
      <c r="BJ17" s="594"/>
    </row>
    <row r="18" spans="1:62" ht="26">
      <c r="A18" s="64" t="s">
        <v>312</v>
      </c>
      <c r="B18" s="610" t="s">
        <v>313</v>
      </c>
      <c r="C18" s="62">
        <v>-0.186</v>
      </c>
      <c r="D18" s="62">
        <v>4.0730000000000004</v>
      </c>
      <c r="E18" s="62">
        <v>0.502</v>
      </c>
      <c r="F18" s="62">
        <v>2.093</v>
      </c>
      <c r="G18" s="593">
        <v>-1.048</v>
      </c>
      <c r="H18" s="62">
        <v>2.4170000000000003</v>
      </c>
      <c r="I18" s="62">
        <v>-3.5390000000000001</v>
      </c>
      <c r="J18" s="594">
        <v>6.4770000000000003</v>
      </c>
      <c r="K18" s="62">
        <v>-13.309000000000001</v>
      </c>
      <c r="L18" s="62">
        <v>-1.5</v>
      </c>
      <c r="M18" s="62">
        <v>-17.399999999999999</v>
      </c>
      <c r="N18" s="62">
        <v>-4.9000000000000004</v>
      </c>
      <c r="O18" s="593">
        <v>-11.7</v>
      </c>
      <c r="P18" s="62">
        <v>-7.6</v>
      </c>
      <c r="Q18" s="62">
        <v>-17.7</v>
      </c>
      <c r="R18" s="594">
        <v>-3.9</v>
      </c>
      <c r="S18" s="62">
        <v>-11.1</v>
      </c>
      <c r="T18" s="62">
        <v>1</v>
      </c>
      <c r="U18" s="62">
        <v>-5.6</v>
      </c>
      <c r="V18" s="62">
        <v>-6.1</v>
      </c>
      <c r="W18" s="595" t="s">
        <v>250</v>
      </c>
      <c r="X18" s="62">
        <v>9.4</v>
      </c>
      <c r="Y18" s="62">
        <v>1.4</v>
      </c>
      <c r="Z18" s="594">
        <v>3.9</v>
      </c>
      <c r="AA18" s="83" t="s">
        <v>250</v>
      </c>
      <c r="AB18" s="83" t="s">
        <v>250</v>
      </c>
      <c r="AC18" s="83" t="s">
        <v>250</v>
      </c>
      <c r="AD18" s="83" t="s">
        <v>250</v>
      </c>
      <c r="AE18" s="595" t="s">
        <v>250</v>
      </c>
      <c r="AF18" s="83" t="s">
        <v>250</v>
      </c>
      <c r="AG18" s="83" t="s">
        <v>250</v>
      </c>
      <c r="AH18" s="596" t="s">
        <v>250</v>
      </c>
      <c r="AI18" s="83" t="s">
        <v>250</v>
      </c>
      <c r="AJ18" s="83" t="s">
        <v>250</v>
      </c>
      <c r="AK18" s="83" t="s">
        <v>250</v>
      </c>
      <c r="AL18" s="83" t="s">
        <v>250</v>
      </c>
      <c r="AM18" s="595" t="s">
        <v>250</v>
      </c>
      <c r="AN18" s="83" t="s">
        <v>250</v>
      </c>
      <c r="AO18" s="83" t="s">
        <v>250</v>
      </c>
      <c r="AP18" s="596" t="s">
        <v>250</v>
      </c>
      <c r="AQ18" s="83" t="s">
        <v>250</v>
      </c>
      <c r="AR18" s="83" t="s">
        <v>250</v>
      </c>
      <c r="AS18" s="83" t="s">
        <v>250</v>
      </c>
      <c r="AT18" s="596" t="s">
        <v>250</v>
      </c>
      <c r="AU18" s="83" t="s">
        <v>250</v>
      </c>
      <c r="AV18" s="83" t="s">
        <v>250</v>
      </c>
      <c r="AW18" s="83" t="s">
        <v>250</v>
      </c>
      <c r="AX18" s="596" t="s">
        <v>250</v>
      </c>
      <c r="AY18" s="83" t="s">
        <v>250</v>
      </c>
      <c r="AZ18" s="83" t="s">
        <v>250</v>
      </c>
      <c r="BA18" s="83" t="s">
        <v>250</v>
      </c>
      <c r="BB18" s="596" t="s">
        <v>250</v>
      </c>
      <c r="BC18" s="83" t="s">
        <v>250</v>
      </c>
      <c r="BD18" s="83" t="s">
        <v>250</v>
      </c>
      <c r="BE18" s="83" t="s">
        <v>250</v>
      </c>
      <c r="BF18" s="596" t="s">
        <v>250</v>
      </c>
      <c r="BG18" s="83" t="s">
        <v>250</v>
      </c>
      <c r="BH18" s="83"/>
      <c r="BI18" s="83"/>
      <c r="BJ18" s="596"/>
    </row>
    <row r="19" spans="1:62" ht="20.149999999999999" customHeight="1">
      <c r="A19" s="64" t="s">
        <v>314</v>
      </c>
      <c r="B19" s="610" t="s">
        <v>315</v>
      </c>
      <c r="C19" s="62">
        <v>-9.7880000000000003</v>
      </c>
      <c r="D19" s="62">
        <v>-10.354000000000001</v>
      </c>
      <c r="E19" s="62">
        <v>-21.978000000000002</v>
      </c>
      <c r="F19" s="62">
        <v>-31.345000000000002</v>
      </c>
      <c r="G19" s="593">
        <v>3.66</v>
      </c>
      <c r="H19" s="62">
        <v>9.0690000000000008</v>
      </c>
      <c r="I19" s="62">
        <v>11.329000000000001</v>
      </c>
      <c r="J19" s="594">
        <v>14.404</v>
      </c>
      <c r="K19" s="62">
        <v>11.066000000000001</v>
      </c>
      <c r="L19" s="62">
        <v>11.1</v>
      </c>
      <c r="M19" s="62">
        <v>-0.2</v>
      </c>
      <c r="N19" s="62">
        <v>-3.9</v>
      </c>
      <c r="O19" s="593">
        <v>-0.6</v>
      </c>
      <c r="P19" s="62">
        <v>5.3</v>
      </c>
      <c r="Q19" s="62">
        <v>4.8</v>
      </c>
      <c r="R19" s="594">
        <v>6.6</v>
      </c>
      <c r="S19" s="62">
        <v>2.5</v>
      </c>
      <c r="T19" s="62">
        <v>4.7</v>
      </c>
      <c r="U19" s="62">
        <v>7.3</v>
      </c>
      <c r="V19" s="62">
        <v>9.8000000000000007</v>
      </c>
      <c r="W19" s="595" t="s">
        <v>250</v>
      </c>
      <c r="X19" s="83" t="s">
        <v>250</v>
      </c>
      <c r="Y19" s="83" t="s">
        <v>250</v>
      </c>
      <c r="Z19" s="596" t="s">
        <v>250</v>
      </c>
      <c r="AA19" s="83" t="s">
        <v>250</v>
      </c>
      <c r="AB19" s="83" t="s">
        <v>250</v>
      </c>
      <c r="AC19" s="83" t="s">
        <v>250</v>
      </c>
      <c r="AD19" s="83" t="s">
        <v>250</v>
      </c>
      <c r="AE19" s="595" t="s">
        <v>250</v>
      </c>
      <c r="AF19" s="83" t="s">
        <v>250</v>
      </c>
      <c r="AG19" s="83" t="s">
        <v>250</v>
      </c>
      <c r="AH19" s="596" t="s">
        <v>250</v>
      </c>
      <c r="AI19" s="83" t="s">
        <v>250</v>
      </c>
      <c r="AJ19" s="83" t="s">
        <v>250</v>
      </c>
      <c r="AK19" s="83" t="s">
        <v>250</v>
      </c>
      <c r="AL19" s="83" t="s">
        <v>250</v>
      </c>
      <c r="AM19" s="595" t="s">
        <v>250</v>
      </c>
      <c r="AN19" s="83" t="s">
        <v>250</v>
      </c>
      <c r="AO19" s="83" t="s">
        <v>250</v>
      </c>
      <c r="AP19" s="596" t="s">
        <v>250</v>
      </c>
      <c r="AQ19" s="83" t="s">
        <v>250</v>
      </c>
      <c r="AR19" s="83" t="s">
        <v>250</v>
      </c>
      <c r="AS19" s="83" t="s">
        <v>250</v>
      </c>
      <c r="AT19" s="596" t="s">
        <v>250</v>
      </c>
      <c r="AU19" s="83" t="s">
        <v>250</v>
      </c>
      <c r="AV19" s="62">
        <v>31.9</v>
      </c>
      <c r="AW19" s="83" t="s">
        <v>250</v>
      </c>
      <c r="AX19" s="596" t="s">
        <v>250</v>
      </c>
      <c r="AY19" s="83" t="s">
        <v>250</v>
      </c>
      <c r="AZ19" s="62">
        <v>-17.7</v>
      </c>
      <c r="BA19" s="62">
        <v>-30.1</v>
      </c>
      <c r="BB19" s="594">
        <v>-28.8</v>
      </c>
      <c r="BC19" s="62">
        <v>0</v>
      </c>
      <c r="BD19" s="62">
        <v>5.3</v>
      </c>
      <c r="BE19" s="62">
        <v>-6.4</v>
      </c>
      <c r="BF19" s="594">
        <v>-0.24</v>
      </c>
      <c r="BG19" s="62">
        <v>0</v>
      </c>
      <c r="BH19" s="62"/>
      <c r="BI19" s="62"/>
      <c r="BJ19" s="594"/>
    </row>
    <row r="20" spans="1:62" ht="26">
      <c r="A20" s="64" t="s">
        <v>316</v>
      </c>
      <c r="B20" s="610" t="s">
        <v>317</v>
      </c>
      <c r="C20" s="62">
        <v>-0.73</v>
      </c>
      <c r="D20" s="62">
        <v>-1.5010000000000001</v>
      </c>
      <c r="E20" s="62">
        <v>-2.044</v>
      </c>
      <c r="F20" s="62">
        <v>-2.8970000000000002</v>
      </c>
      <c r="G20" s="593">
        <v>-0.76200000000000001</v>
      </c>
      <c r="H20" s="62">
        <v>-1.58</v>
      </c>
      <c r="I20" s="62">
        <v>-2.3290000000000002</v>
      </c>
      <c r="J20" s="594">
        <v>-2.9239999999999999</v>
      </c>
      <c r="K20" s="62">
        <v>-0.63300000000000001</v>
      </c>
      <c r="L20" s="62">
        <v>-1.3</v>
      </c>
      <c r="M20" s="62">
        <v>-2</v>
      </c>
      <c r="N20" s="62">
        <v>-2.6</v>
      </c>
      <c r="O20" s="593">
        <v>-0.5</v>
      </c>
      <c r="P20" s="62">
        <v>-1.4</v>
      </c>
      <c r="Q20" s="62">
        <v>-1.9</v>
      </c>
      <c r="R20" s="594">
        <v>-2.6</v>
      </c>
      <c r="S20" s="62">
        <v>-0.8</v>
      </c>
      <c r="T20" s="62">
        <v>0</v>
      </c>
      <c r="U20" s="62">
        <v>0</v>
      </c>
      <c r="V20" s="62">
        <v>0</v>
      </c>
      <c r="W20" s="595" t="s">
        <v>250</v>
      </c>
      <c r="X20" s="83" t="s">
        <v>250</v>
      </c>
      <c r="Y20" s="83" t="s">
        <v>250</v>
      </c>
      <c r="Z20" s="596" t="s">
        <v>250</v>
      </c>
      <c r="AA20" s="83" t="s">
        <v>250</v>
      </c>
      <c r="AB20" s="83" t="s">
        <v>250</v>
      </c>
      <c r="AC20" s="83" t="s">
        <v>250</v>
      </c>
      <c r="AD20" s="83" t="s">
        <v>250</v>
      </c>
      <c r="AE20" s="595" t="s">
        <v>250</v>
      </c>
      <c r="AF20" s="83" t="s">
        <v>250</v>
      </c>
      <c r="AG20" s="83" t="s">
        <v>250</v>
      </c>
      <c r="AH20" s="596" t="s">
        <v>250</v>
      </c>
      <c r="AI20" s="83" t="s">
        <v>250</v>
      </c>
      <c r="AJ20" s="83" t="s">
        <v>250</v>
      </c>
      <c r="AK20" s="83" t="s">
        <v>250</v>
      </c>
      <c r="AL20" s="83" t="s">
        <v>250</v>
      </c>
      <c r="AM20" s="595" t="s">
        <v>250</v>
      </c>
      <c r="AN20" s="83" t="s">
        <v>250</v>
      </c>
      <c r="AO20" s="83" t="s">
        <v>250</v>
      </c>
      <c r="AP20" s="596" t="s">
        <v>250</v>
      </c>
      <c r="AQ20" s="83" t="s">
        <v>250</v>
      </c>
      <c r="AR20" s="83" t="s">
        <v>250</v>
      </c>
      <c r="AS20" s="83" t="s">
        <v>250</v>
      </c>
      <c r="AT20" s="596" t="s">
        <v>250</v>
      </c>
      <c r="AU20" s="83" t="s">
        <v>250</v>
      </c>
      <c r="AV20" s="83" t="s">
        <v>250</v>
      </c>
      <c r="AW20" s="83" t="s">
        <v>250</v>
      </c>
      <c r="AX20" s="596" t="s">
        <v>250</v>
      </c>
      <c r="AY20" s="83" t="s">
        <v>250</v>
      </c>
      <c r="AZ20" s="83" t="s">
        <v>250</v>
      </c>
      <c r="BA20" s="83" t="s">
        <v>250</v>
      </c>
      <c r="BB20" s="596" t="s">
        <v>250</v>
      </c>
      <c r="BC20" s="83" t="s">
        <v>250</v>
      </c>
      <c r="BD20" s="83" t="s">
        <v>250</v>
      </c>
      <c r="BE20" s="83"/>
      <c r="BF20" s="596" t="s">
        <v>250</v>
      </c>
      <c r="BG20" s="83" t="s">
        <v>250</v>
      </c>
      <c r="BH20" s="83"/>
      <c r="BI20" s="83"/>
      <c r="BJ20" s="596"/>
    </row>
    <row r="21" spans="1:62" ht="26">
      <c r="A21" s="172" t="s">
        <v>318</v>
      </c>
      <c r="B21" s="611" t="s">
        <v>319</v>
      </c>
      <c r="C21" s="62">
        <v>-0.73</v>
      </c>
      <c r="D21" s="62"/>
      <c r="E21" s="62"/>
      <c r="F21" s="62"/>
      <c r="G21" s="593"/>
      <c r="H21" s="62"/>
      <c r="I21" s="62"/>
      <c r="J21" s="594"/>
      <c r="K21" s="62"/>
      <c r="L21" s="62"/>
      <c r="M21" s="62"/>
      <c r="N21" s="62"/>
      <c r="O21" s="593"/>
      <c r="P21" s="62"/>
      <c r="Q21" s="62"/>
      <c r="R21" s="594"/>
      <c r="S21" s="62"/>
      <c r="T21" s="62"/>
      <c r="U21" s="62"/>
      <c r="V21" s="62">
        <v>0</v>
      </c>
      <c r="W21" s="595"/>
      <c r="X21" s="83"/>
      <c r="Y21" s="83"/>
      <c r="Z21" s="594">
        <v>-2.8</v>
      </c>
      <c r="AA21" s="62">
        <v>-5.2</v>
      </c>
      <c r="AB21" s="62">
        <v>-5.0999999999999996</v>
      </c>
      <c r="AC21" s="62">
        <v>-1.6</v>
      </c>
      <c r="AD21" s="62">
        <v>1.2</v>
      </c>
      <c r="AE21" s="593">
        <v>1.7</v>
      </c>
      <c r="AF21" s="62">
        <v>3.6</v>
      </c>
      <c r="AG21" s="62">
        <v>4.9000000000000004</v>
      </c>
      <c r="AH21" s="594">
        <v>6.5</v>
      </c>
      <c r="AI21" s="62">
        <v>1.7</v>
      </c>
      <c r="AJ21" s="62">
        <v>3.6</v>
      </c>
      <c r="AK21" s="62">
        <v>4.9000000000000004</v>
      </c>
      <c r="AL21" s="62">
        <v>6.5</v>
      </c>
      <c r="AM21" s="593">
        <v>-16.3</v>
      </c>
      <c r="AN21" s="62">
        <v>-34.1</v>
      </c>
      <c r="AO21" s="62">
        <v>-47.6</v>
      </c>
      <c r="AP21" s="594">
        <v>-2</v>
      </c>
      <c r="AQ21" s="62">
        <v>-16.5</v>
      </c>
      <c r="AR21" s="62">
        <v>-41.5</v>
      </c>
      <c r="AS21" s="62">
        <v>-64</v>
      </c>
      <c r="AT21" s="594">
        <v>-75.400000000000006</v>
      </c>
      <c r="AU21" s="62">
        <v>-14.7</v>
      </c>
      <c r="AV21" s="62">
        <v>-38.9</v>
      </c>
      <c r="AW21" s="62">
        <v>-62.7</v>
      </c>
      <c r="AX21" s="601">
        <v>-94.5</v>
      </c>
      <c r="AY21" s="62">
        <v>-20.3</v>
      </c>
      <c r="AZ21" s="62">
        <v>-10.4</v>
      </c>
      <c r="BA21" s="62">
        <v>-29.7</v>
      </c>
      <c r="BB21" s="594">
        <v>-29.7</v>
      </c>
      <c r="BC21" s="62">
        <v>0</v>
      </c>
      <c r="BD21" s="62">
        <v>-0.1</v>
      </c>
      <c r="BE21" s="62">
        <v>0.7</v>
      </c>
      <c r="BF21" s="594">
        <v>0.7</v>
      </c>
      <c r="BG21" s="62">
        <v>0</v>
      </c>
      <c r="BH21" s="62"/>
      <c r="BI21" s="62"/>
      <c r="BJ21" s="594"/>
    </row>
    <row r="22" spans="1:62" ht="20.149999999999999" customHeight="1">
      <c r="A22" s="64" t="s">
        <v>320</v>
      </c>
      <c r="B22" s="610" t="s">
        <v>321</v>
      </c>
      <c r="C22" s="62">
        <v>-87.786000000000001</v>
      </c>
      <c r="D22" s="62">
        <v>-51.798000000000002</v>
      </c>
      <c r="E22" s="62">
        <v>-102.06700000000001</v>
      </c>
      <c r="F22" s="62">
        <v>-111.07600000000001</v>
      </c>
      <c r="G22" s="593">
        <v>25.975999999999999</v>
      </c>
      <c r="H22" s="62">
        <v>77.412999999999997</v>
      </c>
      <c r="I22" s="62">
        <v>39.252000000000002</v>
      </c>
      <c r="J22" s="594">
        <v>16.294</v>
      </c>
      <c r="K22" s="62">
        <v>10.337</v>
      </c>
      <c r="L22" s="62">
        <v>8.8000000000000007</v>
      </c>
      <c r="M22" s="62">
        <v>164.9</v>
      </c>
      <c r="N22" s="62">
        <v>369.9</v>
      </c>
      <c r="O22" s="593">
        <v>37.1</v>
      </c>
      <c r="P22" s="62">
        <v>99.2</v>
      </c>
      <c r="Q22" s="62">
        <v>135.80000000000001</v>
      </c>
      <c r="R22" s="594">
        <v>222</v>
      </c>
      <c r="S22" s="62">
        <v>250.2</v>
      </c>
      <c r="T22" s="62">
        <v>276.10000000000002</v>
      </c>
      <c r="U22" s="62">
        <v>258.3</v>
      </c>
      <c r="V22" s="62">
        <v>270.89999999999998</v>
      </c>
      <c r="W22" s="593">
        <v>-28.4</v>
      </c>
      <c r="X22" s="62">
        <v>-27.4</v>
      </c>
      <c r="Y22" s="62">
        <v>-15.1</v>
      </c>
      <c r="Z22" s="594">
        <v>-31.1</v>
      </c>
      <c r="AA22" s="62">
        <v>4.5999999999999996</v>
      </c>
      <c r="AB22" s="62">
        <v>24.1</v>
      </c>
      <c r="AC22" s="62">
        <v>11.1</v>
      </c>
      <c r="AD22" s="62">
        <v>15.8</v>
      </c>
      <c r="AE22" s="593">
        <v>1.1000000000000001</v>
      </c>
      <c r="AF22" s="62">
        <v>-3.3</v>
      </c>
      <c r="AG22" s="62">
        <v>5.7</v>
      </c>
      <c r="AH22" s="594">
        <v>-2.2999999999999998</v>
      </c>
      <c r="AI22" s="62">
        <v>1.9</v>
      </c>
      <c r="AJ22" s="62">
        <v>-6.3</v>
      </c>
      <c r="AK22" s="62">
        <v>12.2</v>
      </c>
      <c r="AL22" s="62">
        <v>-4.8</v>
      </c>
      <c r="AM22" s="593">
        <v>41.2</v>
      </c>
      <c r="AN22" s="62">
        <v>29.4</v>
      </c>
      <c r="AO22" s="62">
        <v>35.9</v>
      </c>
      <c r="AP22" s="594">
        <v>45.8</v>
      </c>
      <c r="AQ22" s="62">
        <v>8.3000000000000007</v>
      </c>
      <c r="AR22" s="62">
        <v>-9.1</v>
      </c>
      <c r="AS22" s="62">
        <v>0.2</v>
      </c>
      <c r="AT22" s="594">
        <v>-1.9</v>
      </c>
      <c r="AU22" s="62">
        <v>2.6</v>
      </c>
      <c r="AV22" s="62">
        <v>6.9</v>
      </c>
      <c r="AW22" s="62">
        <v>18.600000000000001</v>
      </c>
      <c r="AX22" s="594">
        <v>14.6</v>
      </c>
      <c r="AY22" s="62">
        <v>0.1</v>
      </c>
      <c r="AZ22" s="62">
        <v>-19.7</v>
      </c>
      <c r="BA22" s="62">
        <v>43.3</v>
      </c>
      <c r="BB22" s="594">
        <v>-119.8</v>
      </c>
      <c r="BC22" s="62">
        <v>-20.5</v>
      </c>
      <c r="BD22" s="62">
        <v>-17.3</v>
      </c>
      <c r="BE22" s="62">
        <v>-32.799999999999997</v>
      </c>
      <c r="BF22" s="594">
        <v>-41.2</v>
      </c>
      <c r="BG22" s="62">
        <v>-51.6</v>
      </c>
      <c r="BH22" s="62"/>
      <c r="BI22" s="62"/>
      <c r="BJ22" s="594"/>
    </row>
    <row r="23" spans="1:62" ht="20.149999999999999" customHeight="1">
      <c r="A23" s="64" t="s">
        <v>322</v>
      </c>
      <c r="B23" s="610" t="s">
        <v>80</v>
      </c>
      <c r="C23" s="62">
        <v>41.158999999999999</v>
      </c>
      <c r="D23" s="62">
        <v>54.56</v>
      </c>
      <c r="E23" s="62">
        <v>80.768000000000001</v>
      </c>
      <c r="F23" s="62">
        <v>97.349000000000004</v>
      </c>
      <c r="G23" s="593">
        <v>14.031000000000001</v>
      </c>
      <c r="H23" s="62">
        <v>27.457000000000001</v>
      </c>
      <c r="I23" s="62">
        <v>51.835000000000001</v>
      </c>
      <c r="J23" s="594">
        <v>67.376000000000005</v>
      </c>
      <c r="K23" s="62">
        <v>14.384</v>
      </c>
      <c r="L23" s="62">
        <v>31.1</v>
      </c>
      <c r="M23" s="62">
        <v>32.200000000000003</v>
      </c>
      <c r="N23" s="62">
        <v>21.7</v>
      </c>
      <c r="O23" s="593">
        <v>26</v>
      </c>
      <c r="P23" s="62">
        <v>71.900000000000006</v>
      </c>
      <c r="Q23" s="62">
        <v>182.7</v>
      </c>
      <c r="R23" s="594">
        <v>169</v>
      </c>
      <c r="S23" s="62">
        <v>27.2</v>
      </c>
      <c r="T23" s="62">
        <v>48.4</v>
      </c>
      <c r="U23" s="62">
        <v>113.5</v>
      </c>
      <c r="V23" s="62">
        <v>12.4</v>
      </c>
      <c r="W23" s="593">
        <v>30.8</v>
      </c>
      <c r="X23" s="62">
        <v>138.4</v>
      </c>
      <c r="Y23" s="62">
        <v>192.6</v>
      </c>
      <c r="Z23" s="594">
        <v>389.8</v>
      </c>
      <c r="AA23" s="62">
        <v>72.5</v>
      </c>
      <c r="AB23" s="62">
        <v>171.8</v>
      </c>
      <c r="AC23" s="62">
        <v>247.8</v>
      </c>
      <c r="AD23" s="62">
        <v>490</v>
      </c>
      <c r="AE23" s="593">
        <v>78</v>
      </c>
      <c r="AF23" s="62">
        <v>164.9</v>
      </c>
      <c r="AG23" s="62">
        <v>236.9</v>
      </c>
      <c r="AH23" s="594">
        <v>355.8</v>
      </c>
      <c r="AI23" s="62">
        <v>77.3</v>
      </c>
      <c r="AJ23" s="62">
        <v>163.80000000000001</v>
      </c>
      <c r="AK23" s="62">
        <v>233.3</v>
      </c>
      <c r="AL23" s="62">
        <v>353</v>
      </c>
      <c r="AM23" s="593">
        <v>66.7</v>
      </c>
      <c r="AN23" s="62">
        <v>139</v>
      </c>
      <c r="AO23" s="62">
        <v>220.6</v>
      </c>
      <c r="AP23" s="594">
        <v>295.89999999999998</v>
      </c>
      <c r="AQ23" s="62">
        <v>108.1</v>
      </c>
      <c r="AR23" s="62">
        <v>222.4</v>
      </c>
      <c r="AS23" s="62">
        <v>1156.4000000000001</v>
      </c>
      <c r="AT23" s="594">
        <v>1251.5999999999999</v>
      </c>
      <c r="AU23" s="62">
        <v>52.3</v>
      </c>
      <c r="AV23" s="62">
        <v>94.6</v>
      </c>
      <c r="AW23" s="62">
        <v>160.80000000000001</v>
      </c>
      <c r="AX23" s="594">
        <v>209.2</v>
      </c>
      <c r="AY23" s="62">
        <v>13.1</v>
      </c>
      <c r="AZ23" s="62">
        <v>45.2</v>
      </c>
      <c r="BA23" s="62">
        <v>114.1</v>
      </c>
      <c r="BB23" s="594">
        <v>110.2</v>
      </c>
      <c r="BC23" s="62">
        <v>86.3</v>
      </c>
      <c r="BD23" s="62">
        <v>124</v>
      </c>
      <c r="BE23" s="62">
        <v>246.1</v>
      </c>
      <c r="BF23" s="594">
        <v>302.2</v>
      </c>
      <c r="BG23" s="62">
        <v>35.799999999999997</v>
      </c>
      <c r="BH23" s="62"/>
      <c r="BI23" s="62"/>
      <c r="BJ23" s="594"/>
    </row>
    <row r="24" spans="1:62" ht="20.149999999999999" customHeight="1">
      <c r="A24" s="64" t="s">
        <v>323</v>
      </c>
      <c r="B24" s="611" t="s">
        <v>324</v>
      </c>
      <c r="C24" s="62">
        <v>-38.363</v>
      </c>
      <c r="D24" s="62">
        <v>-76.626000000000005</v>
      </c>
      <c r="E24" s="62">
        <v>-120.02500000000001</v>
      </c>
      <c r="F24" s="62">
        <v>-164.00800000000001</v>
      </c>
      <c r="G24" s="593">
        <v>-40.92</v>
      </c>
      <c r="H24" s="62">
        <v>-81.858999999999995</v>
      </c>
      <c r="I24" s="62">
        <v>-116.813</v>
      </c>
      <c r="J24" s="594">
        <v>-158.85900000000001</v>
      </c>
      <c r="K24" s="62">
        <v>-30.564</v>
      </c>
      <c r="L24" s="62">
        <v>-65.3</v>
      </c>
      <c r="M24" s="62">
        <v>-142.1</v>
      </c>
      <c r="N24" s="62">
        <v>-193.1</v>
      </c>
      <c r="O24" s="593">
        <v>-43.6</v>
      </c>
      <c r="P24" s="62">
        <v>-72.2</v>
      </c>
      <c r="Q24" s="62">
        <v>-96.7</v>
      </c>
      <c r="R24" s="594">
        <v>-134.69999999999999</v>
      </c>
      <c r="S24" s="62">
        <v>-31.1</v>
      </c>
      <c r="T24" s="62">
        <v>-71.2</v>
      </c>
      <c r="U24" s="62">
        <v>-111</v>
      </c>
      <c r="V24" s="62">
        <v>-153</v>
      </c>
      <c r="W24" s="593">
        <v>-33.1</v>
      </c>
      <c r="X24" s="62">
        <v>-65.599999999999994</v>
      </c>
      <c r="Y24" s="62">
        <v>-97.4</v>
      </c>
      <c r="Z24" s="594">
        <v>-137.5</v>
      </c>
      <c r="AA24" s="62">
        <v>-25.7</v>
      </c>
      <c r="AB24" s="62">
        <v>-42.9</v>
      </c>
      <c r="AC24" s="62">
        <v>-61.2</v>
      </c>
      <c r="AD24" s="62">
        <v>-83.9</v>
      </c>
      <c r="AE24" s="593">
        <v>-25.8</v>
      </c>
      <c r="AF24" s="62">
        <v>-48.8</v>
      </c>
      <c r="AG24" s="62">
        <v>-79.5</v>
      </c>
      <c r="AH24" s="594">
        <v>-122.8</v>
      </c>
      <c r="AI24" s="62">
        <v>-25.8</v>
      </c>
      <c r="AJ24" s="62">
        <v>-48.8</v>
      </c>
      <c r="AK24" s="62">
        <v>-79.5</v>
      </c>
      <c r="AL24" s="62">
        <v>-122.8</v>
      </c>
      <c r="AM24" s="593">
        <v>-33.1</v>
      </c>
      <c r="AN24" s="62">
        <v>-71</v>
      </c>
      <c r="AO24" s="62">
        <v>-112.2</v>
      </c>
      <c r="AP24" s="594">
        <v>-147.1</v>
      </c>
      <c r="AQ24" s="62">
        <v>-33.9</v>
      </c>
      <c r="AR24" s="62">
        <v>-55.5</v>
      </c>
      <c r="AS24" s="62">
        <v>-78.099999999999994</v>
      </c>
      <c r="AT24" s="594">
        <v>-110</v>
      </c>
      <c r="AU24" s="62">
        <v>-37.700000000000003</v>
      </c>
      <c r="AV24" s="62">
        <v>-66.400000000000006</v>
      </c>
      <c r="AW24" s="62">
        <v>-84.5</v>
      </c>
      <c r="AX24" s="594">
        <v>-113.1</v>
      </c>
      <c r="AY24" s="62">
        <v>-24.8</v>
      </c>
      <c r="AZ24" s="62">
        <v>-47.2</v>
      </c>
      <c r="BA24" s="62">
        <v>-89.5</v>
      </c>
      <c r="BB24" s="594">
        <v>-145.80000000000001</v>
      </c>
      <c r="BC24" s="62">
        <v>-45.8</v>
      </c>
      <c r="BD24" s="62">
        <v>-78.599999999999994</v>
      </c>
      <c r="BE24" s="62">
        <v>-109.6</v>
      </c>
      <c r="BF24" s="594">
        <v>-141.1</v>
      </c>
      <c r="BG24" s="62">
        <v>-32.9</v>
      </c>
      <c r="BH24" s="62"/>
      <c r="BI24" s="62"/>
      <c r="BJ24" s="594"/>
    </row>
    <row r="25" spans="1:62" ht="39">
      <c r="A25" s="64" t="s">
        <v>325</v>
      </c>
      <c r="B25" s="610" t="s">
        <v>326</v>
      </c>
      <c r="C25" s="63">
        <v>0</v>
      </c>
      <c r="D25" s="63">
        <v>0</v>
      </c>
      <c r="E25" s="63">
        <v>0</v>
      </c>
      <c r="F25" s="63">
        <v>0</v>
      </c>
      <c r="G25" s="614">
        <v>0</v>
      </c>
      <c r="H25" s="63">
        <v>0</v>
      </c>
      <c r="I25" s="63">
        <v>0</v>
      </c>
      <c r="J25" s="615">
        <v>0</v>
      </c>
      <c r="K25" s="63">
        <v>0</v>
      </c>
      <c r="L25" s="62">
        <v>82.1</v>
      </c>
      <c r="M25" s="62">
        <v>82.1</v>
      </c>
      <c r="N25" s="62">
        <v>82.1</v>
      </c>
      <c r="O25" s="593">
        <v>0</v>
      </c>
      <c r="P25" s="62">
        <v>0</v>
      </c>
      <c r="Q25" s="62">
        <v>-371.4</v>
      </c>
      <c r="R25" s="594">
        <v>-371.4</v>
      </c>
      <c r="S25" s="62">
        <v>0</v>
      </c>
      <c r="T25" s="62">
        <v>0</v>
      </c>
      <c r="U25" s="62">
        <v>0</v>
      </c>
      <c r="V25" s="62">
        <v>0</v>
      </c>
      <c r="W25" s="593">
        <v>0</v>
      </c>
      <c r="X25" s="62">
        <v>0</v>
      </c>
      <c r="Y25" s="62">
        <v>0</v>
      </c>
      <c r="Z25" s="594">
        <v>0</v>
      </c>
      <c r="AA25" s="62">
        <v>0</v>
      </c>
      <c r="AB25" s="62">
        <v>0</v>
      </c>
      <c r="AC25" s="62">
        <v>0</v>
      </c>
      <c r="AD25" s="62">
        <v>0</v>
      </c>
      <c r="AE25" s="593">
        <v>0</v>
      </c>
      <c r="AF25" s="62">
        <v>0</v>
      </c>
      <c r="AG25" s="62">
        <v>0</v>
      </c>
      <c r="AH25" s="594">
        <v>0</v>
      </c>
      <c r="AI25" s="62">
        <v>0</v>
      </c>
      <c r="AJ25" s="62">
        <v>0</v>
      </c>
      <c r="AK25" s="62">
        <v>0</v>
      </c>
      <c r="AL25" s="62">
        <v>0</v>
      </c>
      <c r="AM25" s="593">
        <v>0</v>
      </c>
      <c r="AN25" s="62">
        <v>0</v>
      </c>
      <c r="AO25" s="62">
        <v>0</v>
      </c>
      <c r="AP25" s="594">
        <v>0</v>
      </c>
      <c r="AQ25" s="62">
        <v>0</v>
      </c>
      <c r="AR25" s="62">
        <v>0</v>
      </c>
      <c r="AS25" s="62">
        <v>0</v>
      </c>
      <c r="AT25" s="594">
        <v>0</v>
      </c>
      <c r="AU25" s="62">
        <v>0</v>
      </c>
      <c r="AV25" s="62">
        <v>0</v>
      </c>
      <c r="AW25" s="62">
        <v>0</v>
      </c>
      <c r="AX25" s="594">
        <v>0</v>
      </c>
      <c r="AY25" s="62">
        <v>0</v>
      </c>
      <c r="AZ25" s="62"/>
      <c r="BA25" s="62"/>
      <c r="BB25" s="594"/>
      <c r="BC25" s="62">
        <v>0</v>
      </c>
      <c r="BD25" s="62">
        <v>0</v>
      </c>
      <c r="BE25" s="62">
        <v>0</v>
      </c>
      <c r="BF25" s="594">
        <v>0</v>
      </c>
      <c r="BG25" s="62">
        <v>0</v>
      </c>
      <c r="BH25" s="62"/>
      <c r="BI25" s="62"/>
      <c r="BJ25" s="594"/>
    </row>
    <row r="26" spans="1:62" ht="26">
      <c r="A26" s="64" t="s">
        <v>798</v>
      </c>
      <c r="B26" s="610" t="s">
        <v>805</v>
      </c>
      <c r="C26" s="63"/>
      <c r="D26" s="63"/>
      <c r="E26" s="63"/>
      <c r="F26" s="63"/>
      <c r="G26" s="614"/>
      <c r="H26" s="63"/>
      <c r="I26" s="63"/>
      <c r="J26" s="615"/>
      <c r="K26" s="63"/>
      <c r="L26" s="62"/>
      <c r="M26" s="62"/>
      <c r="N26" s="62"/>
      <c r="O26" s="593"/>
      <c r="P26" s="62"/>
      <c r="Q26" s="62"/>
      <c r="R26" s="594"/>
      <c r="S26" s="62"/>
      <c r="T26" s="62"/>
      <c r="U26" s="62"/>
      <c r="V26" s="62"/>
      <c r="W26" s="593"/>
      <c r="X26" s="62"/>
      <c r="Y26" s="62"/>
      <c r="Z26" s="594"/>
      <c r="AA26" s="62"/>
      <c r="AB26" s="62"/>
      <c r="AC26" s="62"/>
      <c r="AD26" s="62"/>
      <c r="AE26" s="593"/>
      <c r="AF26" s="62"/>
      <c r="AG26" s="62"/>
      <c r="AH26" s="594"/>
      <c r="AI26" s="62"/>
      <c r="AJ26" s="62"/>
      <c r="AK26" s="62"/>
      <c r="AL26" s="62"/>
      <c r="AM26" s="593"/>
      <c r="AN26" s="62"/>
      <c r="AO26" s="62"/>
      <c r="AP26" s="594"/>
      <c r="AQ26" s="62"/>
      <c r="AR26" s="62"/>
      <c r="AS26" s="62"/>
      <c r="AT26" s="594"/>
      <c r="AU26" s="62"/>
      <c r="AV26" s="62"/>
      <c r="AW26" s="62"/>
      <c r="AX26" s="594"/>
      <c r="AY26" s="62"/>
      <c r="AZ26" s="62"/>
      <c r="BA26" s="62"/>
      <c r="BB26" s="594"/>
      <c r="BC26" s="62"/>
      <c r="BD26" s="62"/>
      <c r="BE26" s="62"/>
      <c r="BF26" s="594"/>
      <c r="BG26" s="62">
        <v>1.2</v>
      </c>
      <c r="BH26" s="62"/>
      <c r="BI26" s="62"/>
      <c r="BJ26" s="594"/>
    </row>
    <row r="27" spans="1:62" ht="20.149999999999999" customHeight="1">
      <c r="A27" s="64" t="s">
        <v>327</v>
      </c>
      <c r="B27" s="610" t="s">
        <v>328</v>
      </c>
      <c r="C27" s="63"/>
      <c r="D27" s="63"/>
      <c r="E27" s="63"/>
      <c r="F27" s="63"/>
      <c r="G27" s="614"/>
      <c r="H27" s="63"/>
      <c r="I27" s="63"/>
      <c r="J27" s="615"/>
      <c r="K27" s="63"/>
      <c r="L27" s="62"/>
      <c r="M27" s="62"/>
      <c r="N27" s="62"/>
      <c r="O27" s="593"/>
      <c r="P27" s="62"/>
      <c r="Q27" s="62"/>
      <c r="R27" s="594"/>
      <c r="S27" s="62"/>
      <c r="T27" s="62"/>
      <c r="U27" s="62"/>
      <c r="V27" s="62">
        <v>0</v>
      </c>
      <c r="W27" s="593">
        <v>58.7</v>
      </c>
      <c r="X27" s="62">
        <v>58.7</v>
      </c>
      <c r="Y27" s="62">
        <v>58.7</v>
      </c>
      <c r="Z27" s="594">
        <v>58.7</v>
      </c>
      <c r="AA27" s="62">
        <v>0</v>
      </c>
      <c r="AB27" s="62">
        <v>0</v>
      </c>
      <c r="AC27" s="233">
        <v>0</v>
      </c>
      <c r="AD27" s="62">
        <v>0</v>
      </c>
      <c r="AE27" s="593">
        <v>0</v>
      </c>
      <c r="AF27" s="62">
        <v>0</v>
      </c>
      <c r="AG27" s="233">
        <v>0</v>
      </c>
      <c r="AH27" s="594">
        <v>0</v>
      </c>
      <c r="AI27" s="62">
        <v>0</v>
      </c>
      <c r="AJ27" s="62">
        <v>0</v>
      </c>
      <c r="AK27" s="233">
        <v>0</v>
      </c>
      <c r="AL27" s="62">
        <v>0</v>
      </c>
      <c r="AM27" s="593">
        <v>0</v>
      </c>
      <c r="AN27" s="62">
        <v>0</v>
      </c>
      <c r="AO27" s="233">
        <v>0</v>
      </c>
      <c r="AP27" s="594">
        <v>0</v>
      </c>
      <c r="AQ27" s="62">
        <v>0</v>
      </c>
      <c r="AR27" s="62">
        <v>0</v>
      </c>
      <c r="AS27" s="233">
        <v>0</v>
      </c>
      <c r="AT27" s="594">
        <v>0</v>
      </c>
      <c r="AU27" s="62">
        <v>0</v>
      </c>
      <c r="AV27" s="62">
        <v>0</v>
      </c>
      <c r="AW27" s="233">
        <v>0</v>
      </c>
      <c r="AX27" s="594">
        <v>0</v>
      </c>
      <c r="AY27" s="62">
        <v>9.6999999999999993</v>
      </c>
      <c r="AZ27" s="483">
        <v>9.6999999999999993</v>
      </c>
      <c r="BA27" s="483">
        <v>10.1</v>
      </c>
      <c r="BB27" s="594">
        <v>10.1</v>
      </c>
      <c r="BC27" s="62">
        <v>0.4</v>
      </c>
      <c r="BD27" s="483">
        <v>0.4</v>
      </c>
      <c r="BE27" s="483">
        <v>0.4</v>
      </c>
      <c r="BF27" s="594">
        <v>0.4</v>
      </c>
      <c r="BG27" s="62">
        <v>0</v>
      </c>
      <c r="BH27" s="483"/>
      <c r="BI27" s="483"/>
      <c r="BJ27" s="594"/>
    </row>
    <row r="28" spans="1:62" ht="26">
      <c r="A28" s="64" t="s">
        <v>329</v>
      </c>
      <c r="B28" s="610" t="s">
        <v>330</v>
      </c>
      <c r="C28" s="63"/>
      <c r="D28" s="63"/>
      <c r="E28" s="63"/>
      <c r="F28" s="63"/>
      <c r="G28" s="614"/>
      <c r="H28" s="63"/>
      <c r="I28" s="63"/>
      <c r="J28" s="615"/>
      <c r="K28" s="63"/>
      <c r="L28" s="62"/>
      <c r="M28" s="62"/>
      <c r="N28" s="62"/>
      <c r="O28" s="593"/>
      <c r="P28" s="62"/>
      <c r="Q28" s="62"/>
      <c r="R28" s="594"/>
      <c r="S28" s="62"/>
      <c r="T28" s="62"/>
      <c r="U28" s="62"/>
      <c r="V28" s="62"/>
      <c r="W28" s="593"/>
      <c r="X28" s="62"/>
      <c r="Y28" s="62"/>
      <c r="Z28" s="594"/>
      <c r="AA28" s="62"/>
      <c r="AB28" s="62"/>
      <c r="AC28" s="233"/>
      <c r="AD28" s="62"/>
      <c r="AE28" s="593"/>
      <c r="AF28" s="62"/>
      <c r="AG28" s="233"/>
      <c r="AH28" s="594"/>
      <c r="AI28" s="62"/>
      <c r="AJ28" s="62"/>
      <c r="AK28" s="233"/>
      <c r="AL28" s="62"/>
      <c r="AM28" s="593"/>
      <c r="AN28" s="62"/>
      <c r="AO28" s="233"/>
      <c r="AP28" s="594"/>
      <c r="AQ28" s="62"/>
      <c r="AR28" s="62"/>
      <c r="AS28" s="233"/>
      <c r="AT28" s="594"/>
      <c r="AU28" s="62"/>
      <c r="AV28" s="62"/>
      <c r="AW28" s="233"/>
      <c r="AX28" s="594"/>
      <c r="AY28" s="62">
        <v>-19.2</v>
      </c>
      <c r="AZ28" s="62">
        <v>-19.2</v>
      </c>
      <c r="BA28" s="62">
        <v>-20.8</v>
      </c>
      <c r="BB28" s="594">
        <v>-20.8</v>
      </c>
      <c r="BC28" s="62">
        <v>-2.5</v>
      </c>
      <c r="BD28" s="62">
        <v>-2.5</v>
      </c>
      <c r="BE28" s="62">
        <v>-2.5</v>
      </c>
      <c r="BF28" s="594">
        <v>-2.5</v>
      </c>
      <c r="BG28" s="62">
        <v>0</v>
      </c>
      <c r="BH28" s="62"/>
      <c r="BI28" s="62"/>
      <c r="BJ28" s="594"/>
    </row>
    <row r="29" spans="1:62" ht="20.149999999999999" customHeight="1">
      <c r="A29" s="64" t="s">
        <v>331</v>
      </c>
      <c r="B29" s="610" t="s">
        <v>332</v>
      </c>
      <c r="C29" s="63">
        <v>0</v>
      </c>
      <c r="D29" s="63">
        <v>0</v>
      </c>
      <c r="E29" s="63">
        <v>0</v>
      </c>
      <c r="F29" s="63">
        <v>0</v>
      </c>
      <c r="G29" s="614">
        <v>0</v>
      </c>
      <c r="H29" s="63">
        <v>0</v>
      </c>
      <c r="I29" s="63">
        <v>0</v>
      </c>
      <c r="J29" s="615">
        <v>0</v>
      </c>
      <c r="K29" s="63">
        <v>0</v>
      </c>
      <c r="L29" s="62">
        <v>16.5</v>
      </c>
      <c r="M29" s="62">
        <v>55.4</v>
      </c>
      <c r="N29" s="62">
        <v>84.3</v>
      </c>
      <c r="O29" s="593">
        <v>10.6</v>
      </c>
      <c r="P29" s="62">
        <v>33.9</v>
      </c>
      <c r="Q29" s="62">
        <v>37.6</v>
      </c>
      <c r="R29" s="594">
        <v>53</v>
      </c>
      <c r="S29" s="62">
        <v>-174.6</v>
      </c>
      <c r="T29" s="62">
        <v>-160.19999999999999</v>
      </c>
      <c r="U29" s="62">
        <v>-161.9</v>
      </c>
      <c r="V29" s="62">
        <v>-164.9</v>
      </c>
      <c r="W29" s="593">
        <v>-0.1</v>
      </c>
      <c r="X29" s="62">
        <v>0.9</v>
      </c>
      <c r="Y29" s="62">
        <v>-1.3</v>
      </c>
      <c r="Z29" s="594">
        <v>-1.5</v>
      </c>
      <c r="AA29" s="83" t="s">
        <v>250</v>
      </c>
      <c r="AB29" s="83" t="s">
        <v>250</v>
      </c>
      <c r="AC29" s="83" t="s">
        <v>250</v>
      </c>
      <c r="AD29" s="83" t="s">
        <v>250</v>
      </c>
      <c r="AE29" s="595" t="s">
        <v>250</v>
      </c>
      <c r="AF29" s="83" t="s">
        <v>250</v>
      </c>
      <c r="AG29" s="83" t="s">
        <v>250</v>
      </c>
      <c r="AH29" s="596" t="s">
        <v>250</v>
      </c>
      <c r="AI29" s="83" t="s">
        <v>250</v>
      </c>
      <c r="AJ29" s="83" t="s">
        <v>250</v>
      </c>
      <c r="AK29" s="83" t="s">
        <v>250</v>
      </c>
      <c r="AL29" s="83" t="s">
        <v>250</v>
      </c>
      <c r="AM29" s="595" t="s">
        <v>250</v>
      </c>
      <c r="AN29" s="83" t="s">
        <v>250</v>
      </c>
      <c r="AO29" s="83" t="s">
        <v>250</v>
      </c>
      <c r="AP29" s="596" t="s">
        <v>250</v>
      </c>
      <c r="AQ29" s="83" t="s">
        <v>250</v>
      </c>
      <c r="AR29" s="83" t="s">
        <v>250</v>
      </c>
      <c r="AS29" s="83" t="s">
        <v>250</v>
      </c>
      <c r="AT29" s="596" t="s">
        <v>250</v>
      </c>
      <c r="AU29" s="83" t="s">
        <v>250</v>
      </c>
      <c r="AV29" s="62">
        <v>-27.5</v>
      </c>
      <c r="AW29" s="83" t="s">
        <v>250</v>
      </c>
      <c r="AX29" s="596" t="s">
        <v>250</v>
      </c>
      <c r="AY29" s="83" t="s">
        <v>250</v>
      </c>
      <c r="AZ29" s="62">
        <v>-58.2</v>
      </c>
      <c r="BA29" s="62">
        <v>-38.4</v>
      </c>
      <c r="BB29" s="594">
        <v>6.7</v>
      </c>
      <c r="BC29" s="62">
        <v>0</v>
      </c>
      <c r="BD29" s="62">
        <v>-50.2</v>
      </c>
      <c r="BE29" s="62">
        <v>-18.8</v>
      </c>
      <c r="BF29" s="594">
        <v>-67.8</v>
      </c>
      <c r="BG29" s="62">
        <v>0</v>
      </c>
      <c r="BH29" s="62"/>
      <c r="BI29" s="62"/>
      <c r="BJ29" s="594"/>
    </row>
    <row r="30" spans="1:62" ht="26">
      <c r="A30" s="64" t="s">
        <v>333</v>
      </c>
      <c r="B30" s="610" t="s">
        <v>64</v>
      </c>
      <c r="C30" s="63"/>
      <c r="D30" s="63"/>
      <c r="E30" s="63"/>
      <c r="F30" s="63"/>
      <c r="G30" s="614"/>
      <c r="H30" s="63"/>
      <c r="I30" s="63"/>
      <c r="J30" s="615"/>
      <c r="K30" s="63"/>
      <c r="L30" s="62"/>
      <c r="M30" s="62"/>
      <c r="N30" s="62"/>
      <c r="O30" s="593"/>
      <c r="P30" s="62"/>
      <c r="Q30" s="62"/>
      <c r="R30" s="594"/>
      <c r="S30" s="62"/>
      <c r="T30" s="62"/>
      <c r="U30" s="62"/>
      <c r="V30" s="62"/>
      <c r="W30" s="593"/>
      <c r="X30" s="62"/>
      <c r="Y30" s="62"/>
      <c r="Z30" s="594"/>
      <c r="AA30" s="83"/>
      <c r="AB30" s="83"/>
      <c r="AC30" s="83"/>
      <c r="AD30" s="83"/>
      <c r="AE30" s="595"/>
      <c r="AF30" s="83"/>
      <c r="AG30" s="83"/>
      <c r="AH30" s="596"/>
      <c r="AI30" s="83"/>
      <c r="AJ30" s="83"/>
      <c r="AK30" s="83"/>
      <c r="AL30" s="83"/>
      <c r="AM30" s="595"/>
      <c r="AN30" s="83"/>
      <c r="AO30" s="83"/>
      <c r="AP30" s="596"/>
      <c r="AQ30" s="83"/>
      <c r="AR30" s="83"/>
      <c r="AS30" s="62">
        <v>-3690.8</v>
      </c>
      <c r="AT30" s="594">
        <v>-3680.6</v>
      </c>
      <c r="AU30" s="83">
        <v>0</v>
      </c>
      <c r="AV30" s="83">
        <v>0</v>
      </c>
      <c r="AW30" s="62">
        <v>-113.4</v>
      </c>
      <c r="AX30" s="594">
        <v>-153.19999999999999</v>
      </c>
      <c r="AY30" s="62">
        <v>0</v>
      </c>
      <c r="AZ30" s="83"/>
      <c r="BA30" s="62">
        <v>-220.1</v>
      </c>
      <c r="BB30" s="594">
        <v>-219.7</v>
      </c>
      <c r="BC30" s="62">
        <v>-10</v>
      </c>
      <c r="BD30" s="62">
        <v>-10</v>
      </c>
      <c r="BE30" s="62">
        <v>-10</v>
      </c>
      <c r="BF30" s="594">
        <v>-10</v>
      </c>
      <c r="BG30" s="62">
        <v>0.2</v>
      </c>
      <c r="BH30" s="62"/>
      <c r="BI30" s="62"/>
      <c r="BJ30" s="594"/>
    </row>
    <row r="31" spans="1:62" ht="26">
      <c r="A31" s="64" t="s">
        <v>334</v>
      </c>
      <c r="B31" s="610" t="s">
        <v>335</v>
      </c>
      <c r="C31" s="63"/>
      <c r="D31" s="63"/>
      <c r="E31" s="63"/>
      <c r="F31" s="63"/>
      <c r="G31" s="614"/>
      <c r="H31" s="63"/>
      <c r="I31" s="63"/>
      <c r="J31" s="615"/>
      <c r="K31" s="63"/>
      <c r="L31" s="62"/>
      <c r="M31" s="62"/>
      <c r="N31" s="62"/>
      <c r="O31" s="593"/>
      <c r="P31" s="62"/>
      <c r="Q31" s="62"/>
      <c r="R31" s="594"/>
      <c r="S31" s="62"/>
      <c r="T31" s="62"/>
      <c r="U31" s="62"/>
      <c r="V31" s="62"/>
      <c r="W31" s="593"/>
      <c r="X31" s="62"/>
      <c r="Y31" s="62"/>
      <c r="Z31" s="594"/>
      <c r="AA31" s="83"/>
      <c r="AB31" s="83"/>
      <c r="AC31" s="83"/>
      <c r="AD31" s="83"/>
      <c r="AE31" s="595"/>
      <c r="AF31" s="83"/>
      <c r="AG31" s="83"/>
      <c r="AH31" s="596"/>
      <c r="AI31" s="83"/>
      <c r="AJ31" s="83"/>
      <c r="AK31" s="83"/>
      <c r="AL31" s="83"/>
      <c r="AM31" s="595">
        <v>0</v>
      </c>
      <c r="AN31" s="62">
        <v>-44.8</v>
      </c>
      <c r="AO31" s="62">
        <v>-44.8</v>
      </c>
      <c r="AP31" s="597">
        <v>-44.8</v>
      </c>
      <c r="AQ31" s="83">
        <v>0</v>
      </c>
      <c r="AR31" s="62">
        <v>0</v>
      </c>
      <c r="AS31" s="62">
        <v>0</v>
      </c>
      <c r="AT31" s="597">
        <v>0</v>
      </c>
      <c r="AU31" s="83">
        <v>0</v>
      </c>
      <c r="AV31" s="62">
        <v>0</v>
      </c>
      <c r="AW31" s="62">
        <v>0</v>
      </c>
      <c r="AX31" s="597">
        <v>0</v>
      </c>
      <c r="AY31" s="83">
        <v>0</v>
      </c>
      <c r="AZ31" s="62"/>
      <c r="BA31" s="62"/>
      <c r="BB31" s="597"/>
      <c r="BC31" s="62">
        <v>0</v>
      </c>
      <c r="BD31" s="62">
        <v>0</v>
      </c>
      <c r="BE31" s="62">
        <v>0</v>
      </c>
      <c r="BF31" s="597">
        <v>0</v>
      </c>
      <c r="BG31" s="62">
        <v>0</v>
      </c>
      <c r="BH31" s="62"/>
      <c r="BI31" s="62"/>
      <c r="BJ31" s="597"/>
    </row>
    <row r="32" spans="1:62" ht="14.5">
      <c r="A32" s="64" t="s">
        <v>336</v>
      </c>
      <c r="B32" s="610" t="s">
        <v>337</v>
      </c>
      <c r="C32" s="63"/>
      <c r="D32" s="63"/>
      <c r="E32" s="63"/>
      <c r="F32" s="63"/>
      <c r="G32" s="614"/>
      <c r="H32" s="63"/>
      <c r="I32" s="63"/>
      <c r="J32" s="615"/>
      <c r="K32" s="63"/>
      <c r="L32" s="62"/>
      <c r="M32" s="62"/>
      <c r="N32" s="62"/>
      <c r="O32" s="593"/>
      <c r="P32" s="62"/>
      <c r="Q32" s="62"/>
      <c r="R32" s="594"/>
      <c r="S32" s="62"/>
      <c r="T32" s="62"/>
      <c r="U32" s="62"/>
      <c r="V32" s="62"/>
      <c r="W32" s="593"/>
      <c r="X32" s="62"/>
      <c r="Y32" s="62"/>
      <c r="Z32" s="594"/>
      <c r="AA32" s="83"/>
      <c r="AB32" s="83"/>
      <c r="AC32" s="83"/>
      <c r="AD32" s="83"/>
      <c r="AE32" s="595"/>
      <c r="AF32" s="83"/>
      <c r="AG32" s="83"/>
      <c r="AH32" s="596"/>
      <c r="AI32" s="83"/>
      <c r="AJ32" s="83"/>
      <c r="AK32" s="83"/>
      <c r="AL32" s="83"/>
      <c r="AM32" s="595"/>
      <c r="AN32" s="62"/>
      <c r="AO32" s="62"/>
      <c r="AP32" s="597"/>
      <c r="AQ32" s="83"/>
      <c r="AR32" s="62"/>
      <c r="AS32" s="62"/>
      <c r="AT32" s="597"/>
      <c r="AU32" s="83"/>
      <c r="AV32" s="62"/>
      <c r="AW32" s="62"/>
      <c r="AX32" s="597"/>
      <c r="AY32" s="83"/>
      <c r="AZ32" s="62">
        <v>20.8</v>
      </c>
      <c r="BA32" s="62">
        <v>20.8</v>
      </c>
      <c r="BB32" s="594">
        <v>20.8</v>
      </c>
      <c r="BC32" s="62">
        <v>0</v>
      </c>
      <c r="BD32" s="62">
        <v>0</v>
      </c>
      <c r="BE32" s="62">
        <v>0</v>
      </c>
      <c r="BF32" s="594">
        <v>0</v>
      </c>
      <c r="BG32" s="62">
        <v>0</v>
      </c>
      <c r="BH32" s="62"/>
      <c r="BI32" s="62"/>
      <c r="BJ32" s="594"/>
    </row>
    <row r="33" spans="1:65" ht="14.5">
      <c r="A33" s="64" t="s">
        <v>338</v>
      </c>
      <c r="B33" s="610" t="s">
        <v>339</v>
      </c>
      <c r="C33" s="63"/>
      <c r="D33" s="63"/>
      <c r="E33" s="63"/>
      <c r="F33" s="63"/>
      <c r="G33" s="614"/>
      <c r="H33" s="63"/>
      <c r="I33" s="63"/>
      <c r="J33" s="615"/>
      <c r="K33" s="63"/>
      <c r="L33" s="62"/>
      <c r="M33" s="62"/>
      <c r="N33" s="62"/>
      <c r="O33" s="593"/>
      <c r="P33" s="62"/>
      <c r="Q33" s="62"/>
      <c r="R33" s="594"/>
      <c r="S33" s="62"/>
      <c r="T33" s="62"/>
      <c r="U33" s="62"/>
      <c r="V33" s="62"/>
      <c r="W33" s="593"/>
      <c r="X33" s="62"/>
      <c r="Y33" s="62"/>
      <c r="Z33" s="594"/>
      <c r="AA33" s="83"/>
      <c r="AB33" s="83"/>
      <c r="AC33" s="83"/>
      <c r="AD33" s="83"/>
      <c r="AE33" s="595"/>
      <c r="AF33" s="83"/>
      <c r="AG33" s="83"/>
      <c r="AH33" s="596"/>
      <c r="AI33" s="83"/>
      <c r="AJ33" s="83"/>
      <c r="AK33" s="83"/>
      <c r="AL33" s="83"/>
      <c r="AM33" s="595"/>
      <c r="AN33" s="62"/>
      <c r="AO33" s="62"/>
      <c r="AP33" s="597"/>
      <c r="AQ33" s="83"/>
      <c r="AR33" s="62"/>
      <c r="AS33" s="62"/>
      <c r="AT33" s="597"/>
      <c r="AU33" s="83"/>
      <c r="AV33" s="62"/>
      <c r="AW33" s="62"/>
      <c r="AX33" s="597"/>
      <c r="AY33" s="83"/>
      <c r="AZ33" s="62"/>
      <c r="BA33" s="62"/>
      <c r="BB33" s="594">
        <v>-0.8</v>
      </c>
      <c r="BC33" s="62">
        <v>0</v>
      </c>
      <c r="BD33" s="62">
        <v>-30.8</v>
      </c>
      <c r="BE33" s="62">
        <v>-30.8</v>
      </c>
      <c r="BF33" s="594">
        <v>-30.8</v>
      </c>
      <c r="BG33" s="62"/>
      <c r="BH33" s="62"/>
      <c r="BI33" s="62"/>
      <c r="BJ33" s="594"/>
    </row>
    <row r="34" spans="1:65" ht="14.5">
      <c r="A34" s="64" t="s">
        <v>799</v>
      </c>
      <c r="B34" s="610" t="s">
        <v>804</v>
      </c>
      <c r="C34" s="63"/>
      <c r="D34" s="63"/>
      <c r="E34" s="63"/>
      <c r="F34" s="63"/>
      <c r="G34" s="614"/>
      <c r="H34" s="63"/>
      <c r="I34" s="63"/>
      <c r="J34" s="615"/>
      <c r="K34" s="63"/>
      <c r="L34" s="62"/>
      <c r="M34" s="62"/>
      <c r="N34" s="62"/>
      <c r="O34" s="593"/>
      <c r="P34" s="62"/>
      <c r="Q34" s="62"/>
      <c r="R34" s="594"/>
      <c r="S34" s="62"/>
      <c r="T34" s="62"/>
      <c r="U34" s="62"/>
      <c r="V34" s="62"/>
      <c r="W34" s="593"/>
      <c r="X34" s="62"/>
      <c r="Y34" s="62"/>
      <c r="Z34" s="594"/>
      <c r="AA34" s="83"/>
      <c r="AB34" s="83"/>
      <c r="AC34" s="83"/>
      <c r="AD34" s="83"/>
      <c r="AE34" s="595"/>
      <c r="AF34" s="83"/>
      <c r="AG34" s="83"/>
      <c r="AH34" s="596"/>
      <c r="AI34" s="83"/>
      <c r="AJ34" s="83"/>
      <c r="AK34" s="83"/>
      <c r="AL34" s="83"/>
      <c r="AM34" s="595"/>
      <c r="AN34" s="62"/>
      <c r="AO34" s="62"/>
      <c r="AP34" s="597"/>
      <c r="AQ34" s="83"/>
      <c r="AR34" s="62"/>
      <c r="AS34" s="62"/>
      <c r="AT34" s="597"/>
      <c r="AU34" s="83"/>
      <c r="AV34" s="62"/>
      <c r="AW34" s="62"/>
      <c r="AX34" s="597"/>
      <c r="AY34" s="83"/>
      <c r="AZ34" s="62"/>
      <c r="BA34" s="62"/>
      <c r="BB34" s="594"/>
      <c r="BC34" s="62"/>
      <c r="BD34" s="62"/>
      <c r="BE34" s="62"/>
      <c r="BF34" s="594"/>
      <c r="BG34" s="62">
        <v>90.6</v>
      </c>
      <c r="BH34" s="62"/>
      <c r="BI34" s="62"/>
      <c r="BJ34" s="594"/>
    </row>
    <row r="35" spans="1:65" ht="14.5">
      <c r="A35" s="64" t="s">
        <v>340</v>
      </c>
      <c r="B35" s="610" t="s">
        <v>341</v>
      </c>
      <c r="C35" s="63"/>
      <c r="D35" s="63"/>
      <c r="E35" s="63"/>
      <c r="F35" s="63"/>
      <c r="G35" s="614"/>
      <c r="H35" s="63"/>
      <c r="I35" s="63"/>
      <c r="J35" s="615"/>
      <c r="K35" s="63"/>
      <c r="L35" s="62"/>
      <c r="M35" s="62"/>
      <c r="N35" s="62"/>
      <c r="O35" s="593"/>
      <c r="P35" s="62"/>
      <c r="Q35" s="62"/>
      <c r="R35" s="594"/>
      <c r="S35" s="62"/>
      <c r="T35" s="62"/>
      <c r="U35" s="62"/>
      <c r="V35" s="62"/>
      <c r="W35" s="593"/>
      <c r="X35" s="62"/>
      <c r="Y35" s="62"/>
      <c r="Z35" s="594"/>
      <c r="AA35" s="83"/>
      <c r="AB35" s="83"/>
      <c r="AC35" s="83"/>
      <c r="AD35" s="83"/>
      <c r="AE35" s="595"/>
      <c r="AF35" s="83"/>
      <c r="AG35" s="83"/>
      <c r="AH35" s="596"/>
      <c r="AI35" s="83"/>
      <c r="AJ35" s="83"/>
      <c r="AK35" s="83"/>
      <c r="AL35" s="83"/>
      <c r="AM35" s="595"/>
      <c r="AN35" s="62"/>
      <c r="AO35" s="62"/>
      <c r="AP35" s="597"/>
      <c r="AQ35" s="83"/>
      <c r="AR35" s="62"/>
      <c r="AS35" s="62"/>
      <c r="AT35" s="597"/>
      <c r="AU35" s="83"/>
      <c r="AV35" s="62"/>
      <c r="AW35" s="62"/>
      <c r="AX35" s="597"/>
      <c r="AY35" s="83"/>
      <c r="AZ35" s="62"/>
      <c r="BA35" s="62"/>
      <c r="BB35" s="594"/>
      <c r="BC35" s="62">
        <v>0</v>
      </c>
      <c r="BD35" s="62">
        <v>-58.4</v>
      </c>
      <c r="BE35" s="62">
        <v>-116</v>
      </c>
      <c r="BF35" s="594">
        <v>-194.2</v>
      </c>
      <c r="BG35" s="62">
        <v>0</v>
      </c>
      <c r="BH35" s="62"/>
      <c r="BI35" s="62"/>
      <c r="BJ35" s="594"/>
    </row>
    <row r="36" spans="1:65" ht="14.5">
      <c r="A36" s="64" t="s">
        <v>342</v>
      </c>
      <c r="B36" s="610" t="s">
        <v>343</v>
      </c>
      <c r="C36" s="63"/>
      <c r="D36" s="63"/>
      <c r="E36" s="63"/>
      <c r="F36" s="63"/>
      <c r="G36" s="614"/>
      <c r="H36" s="63"/>
      <c r="I36" s="63"/>
      <c r="J36" s="615"/>
      <c r="K36" s="63"/>
      <c r="L36" s="62"/>
      <c r="M36" s="62"/>
      <c r="N36" s="62"/>
      <c r="O36" s="593"/>
      <c r="P36" s="62"/>
      <c r="Q36" s="62"/>
      <c r="R36" s="594"/>
      <c r="S36" s="62"/>
      <c r="T36" s="62"/>
      <c r="U36" s="62"/>
      <c r="V36" s="62"/>
      <c r="W36" s="593"/>
      <c r="X36" s="62"/>
      <c r="Y36" s="62"/>
      <c r="Z36" s="594"/>
      <c r="AA36" s="83"/>
      <c r="AB36" s="83"/>
      <c r="AC36" s="83"/>
      <c r="AD36" s="83"/>
      <c r="AE36" s="595"/>
      <c r="AF36" s="83"/>
      <c r="AG36" s="83"/>
      <c r="AH36" s="596"/>
      <c r="AI36" s="83"/>
      <c r="AJ36" s="83"/>
      <c r="AK36" s="83"/>
      <c r="AL36" s="83"/>
      <c r="AM36" s="595"/>
      <c r="AN36" s="62"/>
      <c r="AO36" s="62"/>
      <c r="AP36" s="597"/>
      <c r="AQ36" s="83"/>
      <c r="AR36" s="62"/>
      <c r="AS36" s="62"/>
      <c r="AT36" s="597"/>
      <c r="AU36" s="83"/>
      <c r="AV36" s="62"/>
      <c r="AW36" s="62"/>
      <c r="AX36" s="597"/>
      <c r="AY36" s="83"/>
      <c r="AZ36" s="62"/>
      <c r="BA36" s="62"/>
      <c r="BB36" s="594"/>
      <c r="BC36" s="62">
        <v>0</v>
      </c>
      <c r="BD36" s="62">
        <v>-185.1</v>
      </c>
      <c r="BE36" s="62">
        <v>-198.7</v>
      </c>
      <c r="BF36" s="594">
        <v>-198.7</v>
      </c>
      <c r="BG36" s="62">
        <v>0</v>
      </c>
      <c r="BH36" s="62"/>
      <c r="BI36" s="62"/>
      <c r="BJ36" s="594"/>
    </row>
    <row r="37" spans="1:65" ht="20.149999999999999" customHeight="1" thickBot="1">
      <c r="A37" s="64" t="s">
        <v>344</v>
      </c>
      <c r="B37" s="610" t="s">
        <v>345</v>
      </c>
      <c r="C37" s="62">
        <v>0.245</v>
      </c>
      <c r="D37" s="62">
        <v>0.78500000000000003</v>
      </c>
      <c r="E37" s="62">
        <v>1.31</v>
      </c>
      <c r="F37" s="62">
        <v>3.5380000000000003</v>
      </c>
      <c r="G37" s="593">
        <v>1.484</v>
      </c>
      <c r="H37" s="62">
        <f>4.197+4.842</f>
        <v>9.0389999999999997</v>
      </c>
      <c r="I37" s="62">
        <f>5.852+4.842</f>
        <v>10.693999999999999</v>
      </c>
      <c r="J37" s="594">
        <v>11.93</v>
      </c>
      <c r="K37" s="62">
        <v>1.7790000000000001</v>
      </c>
      <c r="L37" s="62">
        <v>10.8</v>
      </c>
      <c r="M37" s="62">
        <v>11.7</v>
      </c>
      <c r="N37" s="62">
        <v>96.1</v>
      </c>
      <c r="O37" s="593">
        <v>-3</v>
      </c>
      <c r="P37" s="62">
        <v>9</v>
      </c>
      <c r="Q37" s="62">
        <v>19.600000000000001</v>
      </c>
      <c r="R37" s="594">
        <v>21.6</v>
      </c>
      <c r="S37" s="62">
        <v>2.5</v>
      </c>
      <c r="T37" s="62">
        <v>-1.9</v>
      </c>
      <c r="U37" s="62">
        <v>22.5</v>
      </c>
      <c r="V37" s="62">
        <v>24</v>
      </c>
      <c r="W37" s="593">
        <v>-2.1</v>
      </c>
      <c r="X37" s="62">
        <v>18.100000000000001</v>
      </c>
      <c r="Y37" s="62">
        <v>51.1</v>
      </c>
      <c r="Z37" s="594">
        <v>55.5</v>
      </c>
      <c r="AA37" s="62">
        <v>-18.2</v>
      </c>
      <c r="AB37" s="62">
        <v>2.5</v>
      </c>
      <c r="AC37" s="62">
        <v>18.2</v>
      </c>
      <c r="AD37" s="62">
        <v>-97.8</v>
      </c>
      <c r="AE37" s="593">
        <v>1.1000000000000001</v>
      </c>
      <c r="AF37" s="62">
        <v>-6.3</v>
      </c>
      <c r="AG37" s="62">
        <v>64.8</v>
      </c>
      <c r="AH37" s="594">
        <v>68.400000000000006</v>
      </c>
      <c r="AI37" s="62">
        <v>1.1000000000000001</v>
      </c>
      <c r="AJ37" s="62">
        <v>-6.3</v>
      </c>
      <c r="AK37" s="62">
        <v>64.8</v>
      </c>
      <c r="AL37" s="62">
        <v>68.400000000000006</v>
      </c>
      <c r="AM37" s="593">
        <v>-5.4</v>
      </c>
      <c r="AN37" s="62">
        <v>-3.3</v>
      </c>
      <c r="AO37" s="62">
        <v>14.4</v>
      </c>
      <c r="AP37" s="594">
        <v>31</v>
      </c>
      <c r="AQ37" s="62">
        <v>13.1</v>
      </c>
      <c r="AR37" s="62">
        <v>29.8</v>
      </c>
      <c r="AS37" s="62">
        <v>28.8</v>
      </c>
      <c r="AT37" s="594">
        <v>62.1</v>
      </c>
      <c r="AU37" s="62">
        <v>14.1</v>
      </c>
      <c r="AV37" s="62">
        <v>18.399999999999999</v>
      </c>
      <c r="AW37" s="62">
        <v>-13.7</v>
      </c>
      <c r="AX37" s="601">
        <v>-66.7</v>
      </c>
      <c r="AY37" s="62">
        <v>-37.4</v>
      </c>
      <c r="AZ37" s="62">
        <v>-0.4</v>
      </c>
      <c r="BA37" s="62">
        <v>17.7</v>
      </c>
      <c r="BB37" s="594">
        <v>-95.5</v>
      </c>
      <c r="BC37" s="62">
        <v>-60.5</v>
      </c>
      <c r="BD37" s="62">
        <v>-25.4</v>
      </c>
      <c r="BE37" s="62">
        <v>-27.3</v>
      </c>
      <c r="BF37" s="594">
        <v>103.4</v>
      </c>
      <c r="BG37" s="62">
        <v>1.2</v>
      </c>
      <c r="BH37" s="62"/>
      <c r="BI37" s="62"/>
      <c r="BJ37" s="594"/>
    </row>
    <row r="38" spans="1:65" ht="20.149999999999999" customHeight="1" thickBot="1">
      <c r="A38" s="361" t="s">
        <v>346</v>
      </c>
      <c r="B38" s="609" t="s">
        <v>347</v>
      </c>
      <c r="C38" s="362">
        <f t="shared" ref="C38:AB38" si="2">C5+C6</f>
        <v>232.697</v>
      </c>
      <c r="D38" s="362">
        <f t="shared" si="2"/>
        <v>415.61099999999999</v>
      </c>
      <c r="E38" s="362">
        <f t="shared" si="2"/>
        <v>628.7700000000001</v>
      </c>
      <c r="F38" s="363">
        <f t="shared" si="2"/>
        <v>843.21800000000007</v>
      </c>
      <c r="G38" s="591">
        <f t="shared" si="2"/>
        <v>165.66199999999998</v>
      </c>
      <c r="H38" s="363">
        <f t="shared" si="2"/>
        <v>351.928</v>
      </c>
      <c r="I38" s="363">
        <f t="shared" si="2"/>
        <v>548.24399999999991</v>
      </c>
      <c r="J38" s="592">
        <f t="shared" si="2"/>
        <v>859.7349999999999</v>
      </c>
      <c r="K38" s="363">
        <f t="shared" si="2"/>
        <v>184.70400000000001</v>
      </c>
      <c r="L38" s="363">
        <f t="shared" si="2"/>
        <v>735.69999999999982</v>
      </c>
      <c r="M38" s="363">
        <f t="shared" si="2"/>
        <v>1423.9000000000003</v>
      </c>
      <c r="N38" s="363">
        <f t="shared" si="2"/>
        <v>2117.7999999999997</v>
      </c>
      <c r="O38" s="591">
        <f t="shared" si="2"/>
        <v>453.00000000000011</v>
      </c>
      <c r="P38" s="363">
        <f t="shared" si="2"/>
        <v>1327.9999999999995</v>
      </c>
      <c r="Q38" s="363">
        <f t="shared" si="2"/>
        <v>2173.4999999999991</v>
      </c>
      <c r="R38" s="592">
        <f t="shared" si="2"/>
        <v>2985.0999999999995</v>
      </c>
      <c r="S38" s="363">
        <f t="shared" si="2"/>
        <v>584.40000000000009</v>
      </c>
      <c r="T38" s="363">
        <f t="shared" si="2"/>
        <v>1549.4</v>
      </c>
      <c r="U38" s="363">
        <f t="shared" si="2"/>
        <v>2357.5000000000009</v>
      </c>
      <c r="V38" s="363">
        <f t="shared" si="2"/>
        <v>3151.5</v>
      </c>
      <c r="W38" s="591">
        <f t="shared" si="2"/>
        <v>780.70000000000027</v>
      </c>
      <c r="X38" s="363">
        <f t="shared" si="2"/>
        <v>1615.9</v>
      </c>
      <c r="Y38" s="363">
        <f t="shared" si="2"/>
        <v>2245.6999999999998</v>
      </c>
      <c r="Z38" s="592">
        <f t="shared" si="2"/>
        <v>3126.3</v>
      </c>
      <c r="AA38" s="363">
        <f t="shared" si="2"/>
        <v>633.10000000000014</v>
      </c>
      <c r="AB38" s="363">
        <f t="shared" si="2"/>
        <v>1396.9</v>
      </c>
      <c r="AC38" s="363">
        <v>2220.8000000000002</v>
      </c>
      <c r="AD38" s="363">
        <f t="shared" ref="AD38:BG38" si="3">AD5+AD6</f>
        <v>3232.1</v>
      </c>
      <c r="AE38" s="591">
        <f t="shared" si="3"/>
        <v>703.2</v>
      </c>
      <c r="AF38" s="363">
        <f t="shared" si="3"/>
        <v>1554.3000000000002</v>
      </c>
      <c r="AG38" s="363">
        <f t="shared" si="3"/>
        <v>2406.8000000000002</v>
      </c>
      <c r="AH38" s="592">
        <f t="shared" si="3"/>
        <v>3391.8</v>
      </c>
      <c r="AI38" s="363">
        <f t="shared" si="3"/>
        <v>762.2</v>
      </c>
      <c r="AJ38" s="363">
        <f t="shared" si="3"/>
        <v>1709.3000000000002</v>
      </c>
      <c r="AK38" s="363">
        <f t="shared" si="3"/>
        <v>2659.9000000000005</v>
      </c>
      <c r="AL38" s="363">
        <f t="shared" si="3"/>
        <v>3777.8999999999996</v>
      </c>
      <c r="AM38" s="591">
        <f t="shared" si="3"/>
        <v>860.98882651999998</v>
      </c>
      <c r="AN38" s="363">
        <f t="shared" si="3"/>
        <v>1706.8000000000004</v>
      </c>
      <c r="AO38" s="363">
        <f t="shared" si="3"/>
        <v>2655.2999999999997</v>
      </c>
      <c r="AP38" s="592">
        <f t="shared" si="3"/>
        <v>3797.8999999999996</v>
      </c>
      <c r="AQ38" s="363">
        <f t="shared" si="3"/>
        <v>994.30000000000007</v>
      </c>
      <c r="AR38" s="363">
        <f t="shared" si="3"/>
        <v>1885.8999999999999</v>
      </c>
      <c r="AS38" s="363">
        <f t="shared" si="3"/>
        <v>2795.8000000000011</v>
      </c>
      <c r="AT38" s="592">
        <f t="shared" si="3"/>
        <v>3689.699999999998</v>
      </c>
      <c r="AU38" s="363">
        <f t="shared" si="3"/>
        <v>666.80000000000007</v>
      </c>
      <c r="AV38" s="663">
        <f t="shared" si="3"/>
        <v>1493.2999999999997</v>
      </c>
      <c r="AW38" s="363">
        <f t="shared" si="3"/>
        <v>2219.4000000000005</v>
      </c>
      <c r="AX38" s="693">
        <f t="shared" si="3"/>
        <v>2973.5</v>
      </c>
      <c r="AY38" s="363">
        <f t="shared" si="3"/>
        <v>355.70000000000067</v>
      </c>
      <c r="AZ38" s="363">
        <f t="shared" si="3"/>
        <v>1390.8999999999992</v>
      </c>
      <c r="BA38" s="363">
        <f t="shared" si="3"/>
        <v>1665.0999999999995</v>
      </c>
      <c r="BB38" s="693">
        <f t="shared" si="3"/>
        <v>2628.1999999999994</v>
      </c>
      <c r="BC38" s="363">
        <f t="shared" si="3"/>
        <v>800.5</v>
      </c>
      <c r="BD38" s="363">
        <f t="shared" si="3"/>
        <v>1518.6000000000001</v>
      </c>
      <c r="BE38" s="363">
        <f t="shared" si="3"/>
        <v>2600.6999999999994</v>
      </c>
      <c r="BF38" s="693">
        <f t="shared" si="3"/>
        <v>3560.5600000000004</v>
      </c>
      <c r="BG38" s="363">
        <f t="shared" si="3"/>
        <v>749.40000000000009</v>
      </c>
      <c r="BH38" s="363"/>
      <c r="BI38" s="363"/>
      <c r="BJ38" s="693"/>
    </row>
    <row r="39" spans="1:65" ht="20.149999999999999" customHeight="1">
      <c r="A39" s="64" t="s">
        <v>348</v>
      </c>
      <c r="B39" s="610" t="s">
        <v>349</v>
      </c>
      <c r="C39" s="62">
        <v>-12.561</v>
      </c>
      <c r="D39" s="62">
        <v>-47.188000000000002</v>
      </c>
      <c r="E39" s="62">
        <v>-59.765999999999998</v>
      </c>
      <c r="F39" s="62">
        <v>-78.733000000000004</v>
      </c>
      <c r="G39" s="593">
        <v>-13.763</v>
      </c>
      <c r="H39" s="62">
        <v>-26.318999999999999</v>
      </c>
      <c r="I39" s="62">
        <v>-37.451999999999998</v>
      </c>
      <c r="J39" s="594">
        <v>-67.486000000000004</v>
      </c>
      <c r="K39" s="62">
        <v>-17.809000000000001</v>
      </c>
      <c r="L39" s="62">
        <v>-99.5</v>
      </c>
      <c r="M39" s="62">
        <v>-135.19999999999999</v>
      </c>
      <c r="N39" s="62">
        <v>-189.1</v>
      </c>
      <c r="O39" s="593">
        <v>-48.5</v>
      </c>
      <c r="P39" s="62">
        <v>-44.2</v>
      </c>
      <c r="Q39" s="62">
        <v>-94.2</v>
      </c>
      <c r="R39" s="594">
        <v>-136.19999999999999</v>
      </c>
      <c r="S39" s="62">
        <v>-145.69999999999999</v>
      </c>
      <c r="T39" s="62">
        <v>-186.5</v>
      </c>
      <c r="U39" s="62">
        <v>-236.1</v>
      </c>
      <c r="V39" s="62">
        <v>-292.7</v>
      </c>
      <c r="W39" s="593">
        <v>-43.5</v>
      </c>
      <c r="X39" s="62">
        <v>-112.5</v>
      </c>
      <c r="Y39" s="62">
        <v>-181.5</v>
      </c>
      <c r="Z39" s="594">
        <v>-216.2</v>
      </c>
      <c r="AA39" s="62">
        <v>-70.599999999999994</v>
      </c>
      <c r="AB39" s="62">
        <v>-191.3</v>
      </c>
      <c r="AC39" s="62">
        <v>-265.10000000000002</v>
      </c>
      <c r="AD39" s="62">
        <v>-343.2</v>
      </c>
      <c r="AE39" s="593">
        <v>-66.099999999999994</v>
      </c>
      <c r="AF39" s="62">
        <v>-163</v>
      </c>
      <c r="AG39" s="62">
        <v>-252.5</v>
      </c>
      <c r="AH39" s="594">
        <v>-328.5</v>
      </c>
      <c r="AI39" s="62">
        <v>-66.099999999999994</v>
      </c>
      <c r="AJ39" s="62">
        <v>-163</v>
      </c>
      <c r="AK39" s="62">
        <v>-252.5</v>
      </c>
      <c r="AL39" s="62">
        <v>-328.5</v>
      </c>
      <c r="AM39" s="593">
        <v>-87.1</v>
      </c>
      <c r="AN39" s="62">
        <v>-360.4</v>
      </c>
      <c r="AO39" s="62">
        <v>-438.9</v>
      </c>
      <c r="AP39" s="594">
        <v>-552.9</v>
      </c>
      <c r="AQ39" s="62">
        <v>-106</v>
      </c>
      <c r="AR39" s="62">
        <v>-269.89999999999998</v>
      </c>
      <c r="AS39" s="62">
        <v>-356.9</v>
      </c>
      <c r="AT39" s="594">
        <v>-463</v>
      </c>
      <c r="AU39" s="62">
        <v>-98.9</v>
      </c>
      <c r="AV39" s="62">
        <v>-1079.9000000000001</v>
      </c>
      <c r="AW39" s="62">
        <v>-1175.8</v>
      </c>
      <c r="AX39" s="594">
        <v>-1278.4000000000001</v>
      </c>
      <c r="AY39" s="62">
        <v>-80.5</v>
      </c>
      <c r="AZ39" s="62">
        <v>-197.3</v>
      </c>
      <c r="BA39" s="62">
        <v>-266.5</v>
      </c>
      <c r="BB39" s="594">
        <v>-342.1</v>
      </c>
      <c r="BC39" s="62">
        <v>-67.8</v>
      </c>
      <c r="BD39" s="62">
        <v>-124</v>
      </c>
      <c r="BE39" s="62">
        <v>-177.9</v>
      </c>
      <c r="BF39" s="594">
        <v>-271.8</v>
      </c>
      <c r="BG39" s="62">
        <v>-97.5</v>
      </c>
      <c r="BH39" s="62"/>
      <c r="BI39" s="62"/>
      <c r="BJ39" s="594"/>
    </row>
    <row r="40" spans="1:65" ht="20.149999999999999" customHeight="1">
      <c r="A40" s="64" t="s">
        <v>350</v>
      </c>
      <c r="B40" s="610" t="s">
        <v>351</v>
      </c>
      <c r="C40" s="62">
        <v>3.843</v>
      </c>
      <c r="D40" s="62">
        <v>8.1440000000000001</v>
      </c>
      <c r="E40" s="62">
        <v>12.96</v>
      </c>
      <c r="F40" s="62">
        <v>16.882000000000001</v>
      </c>
      <c r="G40" s="593">
        <v>3.544</v>
      </c>
      <c r="H40" s="62">
        <v>6.1040000000000001</v>
      </c>
      <c r="I40" s="62">
        <v>8.5630000000000006</v>
      </c>
      <c r="J40" s="594">
        <v>10.41</v>
      </c>
      <c r="K40" s="62">
        <v>2.165</v>
      </c>
      <c r="L40" s="62">
        <v>13.4</v>
      </c>
      <c r="M40" s="62">
        <v>33.1</v>
      </c>
      <c r="N40" s="62">
        <v>45.2</v>
      </c>
      <c r="O40" s="593">
        <v>13.2</v>
      </c>
      <c r="P40" s="62">
        <v>20.5</v>
      </c>
      <c r="Q40" s="62">
        <v>30.5</v>
      </c>
      <c r="R40" s="594">
        <v>38.799999999999997</v>
      </c>
      <c r="S40" s="62">
        <v>8.1</v>
      </c>
      <c r="T40" s="62">
        <v>13.1</v>
      </c>
      <c r="U40" s="62">
        <v>19.5</v>
      </c>
      <c r="V40" s="62">
        <v>25.9</v>
      </c>
      <c r="W40" s="593">
        <v>14.5</v>
      </c>
      <c r="X40" s="62">
        <v>16</v>
      </c>
      <c r="Y40" s="62">
        <v>23.5</v>
      </c>
      <c r="Z40" s="594">
        <v>31.3</v>
      </c>
      <c r="AA40" s="62">
        <v>7.5</v>
      </c>
      <c r="AB40" s="62">
        <v>14.6</v>
      </c>
      <c r="AC40" s="62">
        <v>20.5</v>
      </c>
      <c r="AD40" s="62">
        <v>26.2</v>
      </c>
      <c r="AE40" s="593">
        <v>4.8</v>
      </c>
      <c r="AF40" s="62">
        <v>11.8</v>
      </c>
      <c r="AG40" s="62">
        <v>18.3</v>
      </c>
      <c r="AH40" s="594">
        <v>24</v>
      </c>
      <c r="AI40" s="62">
        <v>4.8</v>
      </c>
      <c r="AJ40" s="62">
        <v>11.8</v>
      </c>
      <c r="AK40" s="62">
        <v>18.3</v>
      </c>
      <c r="AL40" s="62">
        <v>24</v>
      </c>
      <c r="AM40" s="593">
        <v>4.9000000000000004</v>
      </c>
      <c r="AN40" s="62">
        <v>6.8</v>
      </c>
      <c r="AO40" s="62">
        <v>6.7</v>
      </c>
      <c r="AP40" s="594">
        <v>6.7</v>
      </c>
      <c r="AQ40" s="62">
        <v>0.7</v>
      </c>
      <c r="AR40" s="62">
        <v>2.7</v>
      </c>
      <c r="AS40" s="62">
        <v>3.8</v>
      </c>
      <c r="AT40" s="594">
        <v>7.6</v>
      </c>
      <c r="AU40" s="62">
        <v>10.9</v>
      </c>
      <c r="AV40" s="62">
        <v>32.4</v>
      </c>
      <c r="AW40" s="62">
        <v>46.6</v>
      </c>
      <c r="AX40" s="594">
        <v>66.599999999999994</v>
      </c>
      <c r="AY40" s="62">
        <v>24.4</v>
      </c>
      <c r="AZ40" s="62">
        <v>46.1</v>
      </c>
      <c r="BA40" s="62">
        <v>69.7</v>
      </c>
      <c r="BB40" s="594">
        <v>106.3</v>
      </c>
      <c r="BC40" s="62">
        <v>30.5</v>
      </c>
      <c r="BD40" s="62">
        <v>69.3</v>
      </c>
      <c r="BE40" s="62">
        <v>106.4</v>
      </c>
      <c r="BF40" s="594">
        <v>138.4</v>
      </c>
      <c r="BG40" s="62">
        <v>31.7</v>
      </c>
      <c r="BH40" s="62"/>
      <c r="BI40" s="62"/>
      <c r="BJ40" s="594"/>
    </row>
    <row r="41" spans="1:65" s="239" customFormat="1" ht="25.25" customHeight="1">
      <c r="A41" s="359" t="s">
        <v>352</v>
      </c>
      <c r="B41" s="612" t="s">
        <v>353</v>
      </c>
      <c r="C41" s="360">
        <f t="shared" ref="C41:R41" si="4">SUM(C38:C40)</f>
        <v>223.97899999999998</v>
      </c>
      <c r="D41" s="360">
        <f t="shared" si="4"/>
        <v>376.56700000000001</v>
      </c>
      <c r="E41" s="360">
        <f t="shared" si="4"/>
        <v>581.96400000000017</v>
      </c>
      <c r="F41" s="360">
        <f t="shared" si="4"/>
        <v>781.36700000000008</v>
      </c>
      <c r="G41" s="598">
        <f t="shared" si="4"/>
        <v>155.44299999999998</v>
      </c>
      <c r="H41" s="360">
        <f t="shared" si="4"/>
        <v>331.71299999999997</v>
      </c>
      <c r="I41" s="360">
        <f t="shared" si="4"/>
        <v>519.3549999999999</v>
      </c>
      <c r="J41" s="599">
        <f t="shared" si="4"/>
        <v>802.65899999999988</v>
      </c>
      <c r="K41" s="360">
        <f t="shared" si="4"/>
        <v>169.06</v>
      </c>
      <c r="L41" s="360">
        <f t="shared" si="4"/>
        <v>649.5999999999998</v>
      </c>
      <c r="M41" s="360">
        <f t="shared" si="4"/>
        <v>1321.8000000000002</v>
      </c>
      <c r="N41" s="360">
        <f t="shared" si="4"/>
        <v>1973.8999999999999</v>
      </c>
      <c r="O41" s="598">
        <f t="shared" si="4"/>
        <v>417.7000000000001</v>
      </c>
      <c r="P41" s="360">
        <f t="shared" si="4"/>
        <v>1304.2999999999995</v>
      </c>
      <c r="Q41" s="360">
        <f t="shared" si="4"/>
        <v>2109.7999999999993</v>
      </c>
      <c r="R41" s="599">
        <f t="shared" si="4"/>
        <v>2887.7</v>
      </c>
      <c r="S41" s="360">
        <f t="shared" ref="S41" si="5">SUM(S38:S40)</f>
        <v>446.80000000000013</v>
      </c>
      <c r="T41" s="360">
        <f t="shared" ref="T41:U41" si="6">SUM(T38:T40)</f>
        <v>1376</v>
      </c>
      <c r="U41" s="360">
        <f t="shared" si="6"/>
        <v>2140.900000000001</v>
      </c>
      <c r="V41" s="360">
        <f t="shared" ref="V41:Z41" si="7">SUM(V38:V40)</f>
        <v>2884.7000000000003</v>
      </c>
      <c r="W41" s="598">
        <f t="shared" si="7"/>
        <v>751.70000000000027</v>
      </c>
      <c r="X41" s="360">
        <f t="shared" si="7"/>
        <v>1519.4</v>
      </c>
      <c r="Y41" s="360">
        <f t="shared" si="7"/>
        <v>2087.6999999999998</v>
      </c>
      <c r="Z41" s="599">
        <f t="shared" si="7"/>
        <v>2941.4000000000005</v>
      </c>
      <c r="AA41" s="360">
        <f t="shared" ref="AA41:AD41" si="8">SUM(AA38:AA40)</f>
        <v>570.00000000000011</v>
      </c>
      <c r="AB41" s="360">
        <f>SUM(AB38:AB40)</f>
        <v>1220.2</v>
      </c>
      <c r="AC41" s="360">
        <f>SUM(AC38:AC40)</f>
        <v>1976.2000000000003</v>
      </c>
      <c r="AD41" s="360">
        <f t="shared" si="8"/>
        <v>2915.1</v>
      </c>
      <c r="AE41" s="598">
        <f t="shared" ref="AE41:AH41" si="9">SUM(AE38:AE40)</f>
        <v>641.9</v>
      </c>
      <c r="AF41" s="360">
        <f t="shared" si="9"/>
        <v>1403.1000000000001</v>
      </c>
      <c r="AG41" s="360">
        <f t="shared" si="9"/>
        <v>2172.6000000000004</v>
      </c>
      <c r="AH41" s="599">
        <f t="shared" si="9"/>
        <v>3087.3</v>
      </c>
      <c r="AI41" s="360">
        <f t="shared" ref="AI41:AL41" si="10">SUM(AI38:AI40)</f>
        <v>700.9</v>
      </c>
      <c r="AJ41" s="360">
        <f t="shared" si="10"/>
        <v>1558.1000000000001</v>
      </c>
      <c r="AK41" s="360">
        <f t="shared" si="10"/>
        <v>2425.7000000000007</v>
      </c>
      <c r="AL41" s="360">
        <f t="shared" si="10"/>
        <v>3473.3999999999996</v>
      </c>
      <c r="AM41" s="598">
        <f t="shared" ref="AM41:AP41" si="11">SUM(AM38:AM40)</f>
        <v>778.78882651999993</v>
      </c>
      <c r="AN41" s="360">
        <f t="shared" si="11"/>
        <v>1353.2000000000005</v>
      </c>
      <c r="AO41" s="360">
        <v>2223.1</v>
      </c>
      <c r="AP41" s="599">
        <f t="shared" si="11"/>
        <v>3251.6999999999994</v>
      </c>
      <c r="AQ41" s="360">
        <f t="shared" ref="AQ41:AS41" si="12">SUM(AQ38:AQ40)</f>
        <v>889.00000000000011</v>
      </c>
      <c r="AR41" s="360">
        <f t="shared" si="12"/>
        <v>1618.7</v>
      </c>
      <c r="AS41" s="360">
        <f t="shared" si="12"/>
        <v>2442.7000000000012</v>
      </c>
      <c r="AT41" s="599">
        <f t="shared" ref="AT41:AW41" si="13">SUM(AT38:AT40)</f>
        <v>3234.2999999999979</v>
      </c>
      <c r="AU41" s="360">
        <f t="shared" si="13"/>
        <v>578.80000000000007</v>
      </c>
      <c r="AV41" s="360">
        <f>SUM(AV38:AV40)</f>
        <v>445.79999999999961</v>
      </c>
      <c r="AW41" s="360">
        <f t="shared" si="13"/>
        <v>1090.2000000000005</v>
      </c>
      <c r="AX41" s="599">
        <f t="shared" ref="AX41:AY41" si="14">SUM(AX38:AX40)</f>
        <v>1761.6999999999998</v>
      </c>
      <c r="AY41" s="360">
        <f t="shared" si="14"/>
        <v>299.60000000000065</v>
      </c>
      <c r="AZ41" s="360">
        <f>SUM(AZ38:AZ40)</f>
        <v>1239.6999999999991</v>
      </c>
      <c r="BA41" s="360">
        <f t="shared" ref="BA41:BC41" si="15">SUM(BA38:BA40)</f>
        <v>1468.2999999999995</v>
      </c>
      <c r="BB41" s="599">
        <f t="shared" si="15"/>
        <v>2392.3999999999996</v>
      </c>
      <c r="BC41" s="360">
        <f t="shared" si="15"/>
        <v>763.2</v>
      </c>
      <c r="BD41" s="360">
        <f>SUM(BD38:BD40)</f>
        <v>1463.9</v>
      </c>
      <c r="BE41" s="360">
        <f>SUM(BE38:BE40)</f>
        <v>2529.1999999999994</v>
      </c>
      <c r="BF41" s="599">
        <f>SUM(BF38:BF40)</f>
        <v>3427.1600000000003</v>
      </c>
      <c r="BG41" s="360">
        <f t="shared" ref="BG41" si="16">SUM(BG38:BG40)</f>
        <v>683.60000000000014</v>
      </c>
      <c r="BH41" s="360"/>
      <c r="BI41" s="360"/>
      <c r="BJ41" s="599"/>
      <c r="BM41" s="4"/>
    </row>
    <row r="42" spans="1:65" ht="20.149999999999999" customHeight="1">
      <c r="A42" s="64" t="s">
        <v>354</v>
      </c>
      <c r="B42" s="610" t="s">
        <v>355</v>
      </c>
      <c r="C42" s="62">
        <v>-13.759</v>
      </c>
      <c r="D42" s="62">
        <v>-28.18</v>
      </c>
      <c r="E42" s="62">
        <v>-40.478000000000002</v>
      </c>
      <c r="F42" s="62">
        <v>-54.936999999999998</v>
      </c>
      <c r="G42" s="593">
        <v>-21.702999999999999</v>
      </c>
      <c r="H42" s="62">
        <v>-40.633000000000003</v>
      </c>
      <c r="I42" s="62">
        <v>-53.000999999999998</v>
      </c>
      <c r="J42" s="594">
        <v>-60.844999999999999</v>
      </c>
      <c r="K42" s="62">
        <v>-19.433</v>
      </c>
      <c r="L42" s="62">
        <v>-93</v>
      </c>
      <c r="M42" s="62">
        <v>-180</v>
      </c>
      <c r="N42" s="62">
        <v>-263.60000000000002</v>
      </c>
      <c r="O42" s="593">
        <v>-137.6</v>
      </c>
      <c r="P42" s="62">
        <v>-187</v>
      </c>
      <c r="Q42" s="62">
        <v>-323.2</v>
      </c>
      <c r="R42" s="594">
        <v>-417.8</v>
      </c>
      <c r="S42" s="62">
        <v>-98.4</v>
      </c>
      <c r="T42" s="62">
        <v>-179.5</v>
      </c>
      <c r="U42" s="62">
        <v>-301.2</v>
      </c>
      <c r="V42" s="62">
        <v>-436.2</v>
      </c>
      <c r="W42" s="593">
        <v>-138.9</v>
      </c>
      <c r="X42" s="62">
        <v>-268.8</v>
      </c>
      <c r="Y42" s="62">
        <v>-418.9</v>
      </c>
      <c r="Z42" s="594">
        <v>-524.79999999999995</v>
      </c>
      <c r="AA42" s="62">
        <v>-131.6</v>
      </c>
      <c r="AB42" s="62">
        <v>-266.7</v>
      </c>
      <c r="AC42" s="62">
        <v>-465</v>
      </c>
      <c r="AD42" s="62">
        <v>-624.29999999999995</v>
      </c>
      <c r="AE42" s="593">
        <v>-251.4</v>
      </c>
      <c r="AF42" s="62">
        <v>-433.6</v>
      </c>
      <c r="AG42" s="62">
        <v>-651.9</v>
      </c>
      <c r="AH42" s="594">
        <v>-852.6</v>
      </c>
      <c r="AI42" s="62">
        <v>-251.4</v>
      </c>
      <c r="AJ42" s="62">
        <v>-433.6</v>
      </c>
      <c r="AK42" s="62">
        <v>-651.9</v>
      </c>
      <c r="AL42" s="62">
        <v>-852.6</v>
      </c>
      <c r="AM42" s="593">
        <v>-255.9</v>
      </c>
      <c r="AN42" s="62">
        <v>-441.3</v>
      </c>
      <c r="AO42" s="62">
        <v>-648.29999999999995</v>
      </c>
      <c r="AP42" s="594">
        <v>-1006.4</v>
      </c>
      <c r="AQ42" s="62">
        <v>-270.10000000000002</v>
      </c>
      <c r="AR42" s="62">
        <v>-567.4</v>
      </c>
      <c r="AS42" s="62">
        <v>-728.5</v>
      </c>
      <c r="AT42" s="594">
        <v>-924.1</v>
      </c>
      <c r="AU42" s="62">
        <v>-222.5</v>
      </c>
      <c r="AV42" s="62">
        <v>-422.7</v>
      </c>
      <c r="AW42" s="62">
        <v>-567.9</v>
      </c>
      <c r="AX42" s="601">
        <v>-776.9</v>
      </c>
      <c r="AY42" s="62">
        <v>-215.4</v>
      </c>
      <c r="AZ42" s="62">
        <v>-344.2</v>
      </c>
      <c r="BA42" s="62">
        <v>-765</v>
      </c>
      <c r="BB42" s="601">
        <v>-1289.4000000000001</v>
      </c>
      <c r="BC42" s="62">
        <v>-233.7</v>
      </c>
      <c r="BD42" s="62">
        <v>-520.5</v>
      </c>
      <c r="BE42" s="62">
        <v>-933.8</v>
      </c>
      <c r="BF42" s="601">
        <v>-1465.9</v>
      </c>
      <c r="BG42" s="62">
        <v>-340.5</v>
      </c>
      <c r="BH42" s="62"/>
      <c r="BI42" s="62"/>
      <c r="BJ42" s="601"/>
      <c r="BL42" s="208"/>
    </row>
    <row r="43" spans="1:65" ht="20.149999999999999" customHeight="1">
      <c r="A43" s="64" t="s">
        <v>356</v>
      </c>
      <c r="B43" s="610" t="s">
        <v>357</v>
      </c>
      <c r="C43" s="62">
        <v>-7.0449999999999999</v>
      </c>
      <c r="D43" s="62">
        <v>-11.33</v>
      </c>
      <c r="E43" s="62">
        <v>-23.225000000000001</v>
      </c>
      <c r="F43" s="62">
        <v>-36.24</v>
      </c>
      <c r="G43" s="593">
        <v>-13.377000000000001</v>
      </c>
      <c r="H43" s="62">
        <v>-20.378</v>
      </c>
      <c r="I43" s="62">
        <v>-45.453000000000003</v>
      </c>
      <c r="J43" s="594">
        <v>-62.041000000000004</v>
      </c>
      <c r="K43" s="62">
        <v>-19.987000000000002</v>
      </c>
      <c r="L43" s="62">
        <v>-46.6</v>
      </c>
      <c r="M43" s="62">
        <v>-57.4</v>
      </c>
      <c r="N43" s="62">
        <v>-71.8</v>
      </c>
      <c r="O43" s="593">
        <v>-19.100000000000001</v>
      </c>
      <c r="P43" s="62">
        <v>-90.7</v>
      </c>
      <c r="Q43" s="62">
        <v>-111.1</v>
      </c>
      <c r="R43" s="594">
        <v>-165.3</v>
      </c>
      <c r="S43" s="62">
        <v>-20.3</v>
      </c>
      <c r="T43" s="62">
        <v>-61.3</v>
      </c>
      <c r="U43" s="62">
        <v>-94.6</v>
      </c>
      <c r="V43" s="62">
        <v>-154.19999999999999</v>
      </c>
      <c r="W43" s="593">
        <v>-33.200000000000003</v>
      </c>
      <c r="X43" s="62">
        <v>-114.2</v>
      </c>
      <c r="Y43" s="62">
        <v>-137.30000000000001</v>
      </c>
      <c r="Z43" s="594">
        <v>-214.3</v>
      </c>
      <c r="AA43" s="62">
        <v>-42.8</v>
      </c>
      <c r="AB43" s="62">
        <v>-83.9</v>
      </c>
      <c r="AC43" s="62">
        <v>-168.4</v>
      </c>
      <c r="AD43" s="62">
        <v>-304.10000000000002</v>
      </c>
      <c r="AE43" s="593">
        <v>-108.5</v>
      </c>
      <c r="AF43" s="62">
        <v>-202.7</v>
      </c>
      <c r="AG43" s="62">
        <v>-302.7</v>
      </c>
      <c r="AH43" s="594">
        <v>-379</v>
      </c>
      <c r="AI43" s="62">
        <v>-108.5</v>
      </c>
      <c r="AJ43" s="62">
        <v>-202.7</v>
      </c>
      <c r="AK43" s="62">
        <v>-302.7</v>
      </c>
      <c r="AL43" s="62">
        <v>-379</v>
      </c>
      <c r="AM43" s="593">
        <v>-51.5</v>
      </c>
      <c r="AN43" s="62">
        <v>-90.2</v>
      </c>
      <c r="AO43" s="62">
        <v>-139.4</v>
      </c>
      <c r="AP43" s="594">
        <v>-211.5</v>
      </c>
      <c r="AQ43" s="62">
        <v>-65.400000000000006</v>
      </c>
      <c r="AR43" s="62">
        <v>-102.6</v>
      </c>
      <c r="AS43" s="62">
        <v>-173.3</v>
      </c>
      <c r="AT43" s="594">
        <v>-234.7</v>
      </c>
      <c r="AU43" s="62">
        <v>-102.4</v>
      </c>
      <c r="AV43" s="62">
        <v>-164.2</v>
      </c>
      <c r="AW43" s="62">
        <v>-244.3</v>
      </c>
      <c r="AX43" s="594">
        <v>-337.5</v>
      </c>
      <c r="AY43" s="62">
        <v>-79.8</v>
      </c>
      <c r="AZ43" s="62">
        <v>-166.8</v>
      </c>
      <c r="BA43" s="62">
        <v>-239.5</v>
      </c>
      <c r="BB43" s="601">
        <v>-312.5</v>
      </c>
      <c r="BC43" s="62">
        <v>-101.9</v>
      </c>
      <c r="BD43" s="62">
        <v>-173.2</v>
      </c>
      <c r="BE43" s="62">
        <v>-240.4</v>
      </c>
      <c r="BF43" s="601">
        <v>-318.3</v>
      </c>
      <c r="BG43" s="62">
        <v>-149.1</v>
      </c>
      <c r="BH43" s="62"/>
      <c r="BI43" s="62"/>
      <c r="BJ43" s="601"/>
      <c r="BL43" s="927"/>
    </row>
    <row r="44" spans="1:65" ht="20.149999999999999" customHeight="1">
      <c r="A44" s="64" t="s">
        <v>358</v>
      </c>
      <c r="B44" s="610" t="s">
        <v>359</v>
      </c>
      <c r="C44" s="62"/>
      <c r="D44" s="62"/>
      <c r="E44" s="62"/>
      <c r="F44" s="62"/>
      <c r="G44" s="593"/>
      <c r="H44" s="62"/>
      <c r="I44" s="62"/>
      <c r="J44" s="594"/>
      <c r="K44" s="62"/>
      <c r="L44" s="62"/>
      <c r="M44" s="62"/>
      <c r="N44" s="62"/>
      <c r="O44" s="593"/>
      <c r="P44" s="62"/>
      <c r="Q44" s="62"/>
      <c r="R44" s="594"/>
      <c r="S44" s="62"/>
      <c r="T44" s="62"/>
      <c r="U44" s="62"/>
      <c r="V44" s="62">
        <v>0</v>
      </c>
      <c r="W44" s="593"/>
      <c r="X44" s="62"/>
      <c r="Y44" s="62"/>
      <c r="Z44" s="594">
        <v>-9.3000000000000007</v>
      </c>
      <c r="AA44" s="62">
        <v>0</v>
      </c>
      <c r="AB44" s="62">
        <v>0</v>
      </c>
      <c r="AC44" s="62">
        <v>0</v>
      </c>
      <c r="AD44" s="62">
        <v>-9.1999999999999993</v>
      </c>
      <c r="AE44" s="593">
        <v>0</v>
      </c>
      <c r="AF44" s="62"/>
      <c r="AG44" s="62">
        <v>0</v>
      </c>
      <c r="AH44" s="594">
        <v>0</v>
      </c>
      <c r="AI44" s="62">
        <v>0</v>
      </c>
      <c r="AJ44" s="62">
        <v>0</v>
      </c>
      <c r="AK44" s="62">
        <v>0</v>
      </c>
      <c r="AL44" s="62">
        <v>0</v>
      </c>
      <c r="AM44" s="593">
        <v>0</v>
      </c>
      <c r="AN44" s="62">
        <v>-8.3000000000000007</v>
      </c>
      <c r="AO44" s="62">
        <v>-8.3000000000000007</v>
      </c>
      <c r="AP44" s="594">
        <v>-8.3000000000000007</v>
      </c>
      <c r="AQ44" s="62">
        <v>-27.8</v>
      </c>
      <c r="AR44" s="62">
        <v>-27.8</v>
      </c>
      <c r="AS44" s="62">
        <v>-27.8</v>
      </c>
      <c r="AT44" s="594">
        <v>-27.8</v>
      </c>
      <c r="AU44" s="62">
        <v>0</v>
      </c>
      <c r="AV44" s="62">
        <v>0</v>
      </c>
      <c r="AW44" s="62">
        <v>0</v>
      </c>
      <c r="AX44" s="594"/>
      <c r="AY44" s="62">
        <v>0</v>
      </c>
      <c r="AZ44" s="62">
        <v>-20</v>
      </c>
      <c r="BA44" s="62">
        <v>-20</v>
      </c>
      <c r="BB44" s="601">
        <v>-20</v>
      </c>
      <c r="BC44" s="62">
        <v>0</v>
      </c>
      <c r="BD44" s="62">
        <v>0</v>
      </c>
      <c r="BE44" s="62">
        <v>0</v>
      </c>
      <c r="BF44" s="601">
        <v>0</v>
      </c>
      <c r="BG44" s="62">
        <v>0</v>
      </c>
      <c r="BH44" s="62"/>
      <c r="BI44" s="62"/>
      <c r="BJ44" s="601"/>
    </row>
    <row r="45" spans="1:65" ht="20.149999999999999" customHeight="1">
      <c r="A45" s="64" t="s">
        <v>360</v>
      </c>
      <c r="B45" s="610" t="s">
        <v>361</v>
      </c>
      <c r="C45" s="63">
        <v>0</v>
      </c>
      <c r="D45" s="63">
        <v>0</v>
      </c>
      <c r="E45" s="63">
        <v>0</v>
      </c>
      <c r="F45" s="63">
        <v>0</v>
      </c>
      <c r="G45" s="614">
        <v>0</v>
      </c>
      <c r="H45" s="63">
        <v>0</v>
      </c>
      <c r="I45" s="63">
        <v>0</v>
      </c>
      <c r="J45" s="615">
        <v>0</v>
      </c>
      <c r="K45" s="63">
        <v>0</v>
      </c>
      <c r="L45" s="62">
        <v>0</v>
      </c>
      <c r="M45" s="62">
        <v>-482.3</v>
      </c>
      <c r="N45" s="62">
        <v>-482.3</v>
      </c>
      <c r="O45" s="593">
        <v>0</v>
      </c>
      <c r="P45" s="62">
        <v>0</v>
      </c>
      <c r="Q45" s="62">
        <v>-118.7</v>
      </c>
      <c r="R45" s="594">
        <v>-118.7</v>
      </c>
      <c r="S45" s="62">
        <v>-147.69999999999999</v>
      </c>
      <c r="T45" s="62">
        <v>-147.69999999999999</v>
      </c>
      <c r="U45" s="62">
        <v>-268.5</v>
      </c>
      <c r="V45" s="62">
        <v>-268.5</v>
      </c>
      <c r="W45" s="593">
        <v>0</v>
      </c>
      <c r="X45" s="62">
        <v>0</v>
      </c>
      <c r="Y45" s="62">
        <v>-120.7</v>
      </c>
      <c r="Z45" s="594">
        <v>-120.7</v>
      </c>
      <c r="AA45" s="62">
        <v>0</v>
      </c>
      <c r="AB45" s="62">
        <v>0</v>
      </c>
      <c r="AC45" s="62">
        <v>-119.6</v>
      </c>
      <c r="AD45" s="62">
        <v>-119.6</v>
      </c>
      <c r="AE45" s="593">
        <v>0</v>
      </c>
      <c r="AF45" s="62"/>
      <c r="AG45" s="62">
        <v>-122.4</v>
      </c>
      <c r="AH45" s="594">
        <v>-122.4</v>
      </c>
      <c r="AI45" s="62">
        <v>0</v>
      </c>
      <c r="AJ45" s="62">
        <v>0</v>
      </c>
      <c r="AK45" s="62">
        <v>-122.4</v>
      </c>
      <c r="AL45" s="62">
        <v>-122.4</v>
      </c>
      <c r="AM45" s="593">
        <v>0</v>
      </c>
      <c r="AN45" s="62">
        <v>-4.2</v>
      </c>
      <c r="AO45" s="62">
        <v>-126.8</v>
      </c>
      <c r="AP45" s="594">
        <v>-126.8</v>
      </c>
      <c r="AQ45" s="62">
        <v>-21.6</v>
      </c>
      <c r="AR45" s="62">
        <v>-28.3</v>
      </c>
      <c r="AS45" s="62">
        <v>-159.4</v>
      </c>
      <c r="AT45" s="594">
        <v>-159.4</v>
      </c>
      <c r="AU45" s="62">
        <v>-6.4</v>
      </c>
      <c r="AV45" s="62">
        <v>-8.1</v>
      </c>
      <c r="AW45" s="62">
        <v>-162.6</v>
      </c>
      <c r="AX45" s="594">
        <v>-514</v>
      </c>
      <c r="AY45" s="62">
        <v>-852.2</v>
      </c>
      <c r="AZ45" s="62">
        <v>-853.8</v>
      </c>
      <c r="BA45" s="62">
        <v>-1159.4000000000001</v>
      </c>
      <c r="BB45" s="601">
        <v>-1345.9</v>
      </c>
      <c r="BC45" s="62">
        <v>-271.89999999999998</v>
      </c>
      <c r="BD45" s="62">
        <v>-273.5</v>
      </c>
      <c r="BE45" s="62">
        <v>-278.7</v>
      </c>
      <c r="BF45" s="601">
        <v>-564.6</v>
      </c>
      <c r="BG45" s="62">
        <v>-155.5</v>
      </c>
      <c r="BH45" s="62"/>
      <c r="BI45" s="62"/>
      <c r="BJ45" s="601"/>
    </row>
    <row r="46" spans="1:65" ht="20.149999999999999" customHeight="1">
      <c r="A46" s="64" t="s">
        <v>362</v>
      </c>
      <c r="B46" s="610" t="s">
        <v>363</v>
      </c>
      <c r="C46" s="63"/>
      <c r="D46" s="63"/>
      <c r="E46" s="63"/>
      <c r="F46" s="63"/>
      <c r="G46" s="614"/>
      <c r="H46" s="63"/>
      <c r="I46" s="63"/>
      <c r="J46" s="615"/>
      <c r="K46" s="63"/>
      <c r="L46" s="63"/>
      <c r="M46" s="63"/>
      <c r="N46" s="62"/>
      <c r="O46" s="593"/>
      <c r="P46" s="63"/>
      <c r="Q46" s="63"/>
      <c r="R46" s="594"/>
      <c r="S46" s="63">
        <v>0</v>
      </c>
      <c r="T46" s="63">
        <v>0</v>
      </c>
      <c r="U46" s="63">
        <v>0</v>
      </c>
      <c r="V46" s="62">
        <v>0</v>
      </c>
      <c r="W46" s="593">
        <v>0</v>
      </c>
      <c r="X46" s="62">
        <v>0</v>
      </c>
      <c r="Y46" s="62">
        <v>0</v>
      </c>
      <c r="Z46" s="594">
        <v>-662.5</v>
      </c>
      <c r="AA46" s="62">
        <v>-11.3</v>
      </c>
      <c r="AB46" s="62">
        <v>-15.7</v>
      </c>
      <c r="AC46" s="62">
        <v>-15.7</v>
      </c>
      <c r="AD46" s="62">
        <v>-16.100000000000001</v>
      </c>
      <c r="AE46" s="593">
        <v>0</v>
      </c>
      <c r="AF46" s="62">
        <v>-14.7</v>
      </c>
      <c r="AG46" s="62">
        <v>-14.7</v>
      </c>
      <c r="AH46" s="594">
        <v>-1232.5</v>
      </c>
      <c r="AI46" s="62">
        <v>0</v>
      </c>
      <c r="AJ46" s="62">
        <v>-14.7</v>
      </c>
      <c r="AK46" s="62">
        <v>-14.7</v>
      </c>
      <c r="AL46" s="62">
        <v>-1232.5</v>
      </c>
      <c r="AM46" s="593">
        <v>-7.4</v>
      </c>
      <c r="AN46" s="62">
        <v>-7.4</v>
      </c>
      <c r="AO46" s="62">
        <v>-18.8</v>
      </c>
      <c r="AP46" s="594">
        <v>-11.4</v>
      </c>
      <c r="AQ46" s="62">
        <v>0</v>
      </c>
      <c r="AR46" s="62">
        <v>-500</v>
      </c>
      <c r="AS46" s="62">
        <v>-500</v>
      </c>
      <c r="AT46" s="594">
        <v>-500</v>
      </c>
      <c r="AU46" s="62">
        <v>0</v>
      </c>
      <c r="AV46" s="62">
        <v>-4.9000000000000004</v>
      </c>
      <c r="AW46" s="62">
        <v>-4.9000000000000004</v>
      </c>
      <c r="AX46" s="594">
        <v>-4.9000000000000004</v>
      </c>
      <c r="AY46" s="62">
        <v>0</v>
      </c>
      <c r="AZ46" s="62">
        <v>0</v>
      </c>
      <c r="BA46" s="62">
        <v>0</v>
      </c>
      <c r="BB46" s="594">
        <v>0</v>
      </c>
      <c r="BC46" s="62">
        <v>0</v>
      </c>
      <c r="BD46" s="62">
        <v>0</v>
      </c>
      <c r="BE46" s="62">
        <v>0</v>
      </c>
      <c r="BF46" s="594">
        <v>0</v>
      </c>
      <c r="BG46" s="62">
        <v>0</v>
      </c>
      <c r="BH46" s="62"/>
      <c r="BI46" s="62"/>
      <c r="BJ46" s="594"/>
    </row>
    <row r="47" spans="1:65" ht="26">
      <c r="A47" s="64" t="s">
        <v>364</v>
      </c>
      <c r="B47" s="610" t="s">
        <v>365</v>
      </c>
      <c r="C47" s="62">
        <v>-2.3290000000000002</v>
      </c>
      <c r="D47" s="62">
        <v>-45.099000000000004</v>
      </c>
      <c r="E47" s="62">
        <v>-45.329000000000001</v>
      </c>
      <c r="F47" s="62">
        <v>-45.710999999999999</v>
      </c>
      <c r="G47" s="593">
        <v>-0.153</v>
      </c>
      <c r="H47" s="62">
        <v>-0.26800000000000002</v>
      </c>
      <c r="I47" s="62">
        <v>-64.186999999999998</v>
      </c>
      <c r="J47" s="594">
        <v>-64.266000000000005</v>
      </c>
      <c r="K47" s="63">
        <v>0</v>
      </c>
      <c r="L47" s="62">
        <v>1800.4</v>
      </c>
      <c r="M47" s="62">
        <v>1800.4</v>
      </c>
      <c r="N47" s="62">
        <v>1800.4</v>
      </c>
      <c r="O47" s="593">
        <v>-4.2</v>
      </c>
      <c r="P47" s="62">
        <v>-29.5</v>
      </c>
      <c r="Q47" s="62">
        <v>-29.5</v>
      </c>
      <c r="R47" s="594">
        <v>-29.5</v>
      </c>
      <c r="S47" s="62">
        <v>262.2</v>
      </c>
      <c r="T47" s="62">
        <v>-145.30000000000001</v>
      </c>
      <c r="U47" s="62">
        <v>-144.4</v>
      </c>
      <c r="V47" s="62">
        <v>-144.4</v>
      </c>
      <c r="W47" s="593">
        <v>0</v>
      </c>
      <c r="X47" s="62">
        <v>0</v>
      </c>
      <c r="Y47" s="62">
        <v>1.6</v>
      </c>
      <c r="Z47" s="594">
        <v>-66.8</v>
      </c>
      <c r="AA47" s="62">
        <v>-16.7</v>
      </c>
      <c r="AB47" s="62">
        <v>-276.8</v>
      </c>
      <c r="AC47" s="62">
        <v>-453.7</v>
      </c>
      <c r="AD47" s="62">
        <v>-792.4</v>
      </c>
      <c r="AE47" s="593">
        <v>0</v>
      </c>
      <c r="AF47" s="62">
        <v>-63.8</v>
      </c>
      <c r="AG47" s="62">
        <v>-74.599999999999994</v>
      </c>
      <c r="AH47" s="594">
        <v>-108.5</v>
      </c>
      <c r="AI47" s="62">
        <v>0</v>
      </c>
      <c r="AJ47" s="62">
        <v>-63.8</v>
      </c>
      <c r="AK47" s="62">
        <v>-74.599999999999994</v>
      </c>
      <c r="AL47" s="62">
        <v>-108.5</v>
      </c>
      <c r="AM47" s="593">
        <v>-48.8</v>
      </c>
      <c r="AN47" s="62">
        <v>-48.8</v>
      </c>
      <c r="AO47" s="62">
        <v>-474.6</v>
      </c>
      <c r="AP47" s="594">
        <v>-479.2</v>
      </c>
      <c r="AQ47" s="62">
        <v>-0.7</v>
      </c>
      <c r="AR47" s="62">
        <v>-181.2</v>
      </c>
      <c r="AS47" s="62">
        <v>-938.2</v>
      </c>
      <c r="AT47" s="594">
        <v>-946.4</v>
      </c>
      <c r="AU47" s="62">
        <v>-13</v>
      </c>
      <c r="AV47" s="62">
        <v>-251.1</v>
      </c>
      <c r="AW47" s="62">
        <v>-260.3</v>
      </c>
      <c r="AX47" s="594">
        <v>-266.5</v>
      </c>
      <c r="AY47" s="62">
        <v>-0.1</v>
      </c>
      <c r="AZ47" s="62">
        <v>-0.1</v>
      </c>
      <c r="BA47" s="62">
        <v>126.9</v>
      </c>
      <c r="BB47" s="601">
        <v>-84.9</v>
      </c>
      <c r="BC47" s="62">
        <v>-6.2</v>
      </c>
      <c r="BD47" s="62">
        <v>-108.4</v>
      </c>
      <c r="BE47" s="62">
        <v>-133.19999999999999</v>
      </c>
      <c r="BF47" s="601">
        <v>-237.4</v>
      </c>
      <c r="BG47" s="62">
        <v>-51.8</v>
      </c>
      <c r="BH47" s="62"/>
      <c r="BI47" s="62"/>
      <c r="BJ47" s="601"/>
    </row>
    <row r="48" spans="1:65" s="91" customFormat="1">
      <c r="A48" s="172" t="s">
        <v>366</v>
      </c>
      <c r="B48" s="611" t="s">
        <v>367</v>
      </c>
      <c r="C48" s="234"/>
      <c r="D48" s="234"/>
      <c r="E48" s="234"/>
      <c r="F48" s="234"/>
      <c r="G48" s="600"/>
      <c r="H48" s="234"/>
      <c r="I48" s="234"/>
      <c r="J48" s="601"/>
      <c r="K48" s="235"/>
      <c r="L48" s="234"/>
      <c r="M48" s="234"/>
      <c r="N48" s="234"/>
      <c r="O48" s="600"/>
      <c r="P48" s="234"/>
      <c r="Q48" s="234"/>
      <c r="R48" s="601"/>
      <c r="S48" s="234"/>
      <c r="T48" s="234"/>
      <c r="U48" s="234"/>
      <c r="V48" s="234"/>
      <c r="W48" s="600"/>
      <c r="X48" s="234"/>
      <c r="Y48" s="234"/>
      <c r="Z48" s="601"/>
      <c r="AA48" s="234"/>
      <c r="AB48" s="234"/>
      <c r="AC48" s="234"/>
      <c r="AD48" s="234"/>
      <c r="AE48" s="600"/>
      <c r="AF48" s="234">
        <v>-16.3</v>
      </c>
      <c r="AG48" s="234">
        <v>-16.3</v>
      </c>
      <c r="AH48" s="601">
        <v>-16.3</v>
      </c>
      <c r="AI48" s="234"/>
      <c r="AJ48" s="234">
        <v>-16.3</v>
      </c>
      <c r="AK48" s="234">
        <v>-16.3</v>
      </c>
      <c r="AL48" s="234">
        <v>-16.3</v>
      </c>
      <c r="AM48" s="600">
        <v>0</v>
      </c>
      <c r="AN48" s="234">
        <v>0</v>
      </c>
      <c r="AO48" s="234">
        <v>0</v>
      </c>
      <c r="AP48" s="601">
        <v>0</v>
      </c>
      <c r="AQ48" s="234">
        <v>0</v>
      </c>
      <c r="AR48" s="234">
        <v>0</v>
      </c>
      <c r="AS48" s="234">
        <v>0</v>
      </c>
      <c r="AT48" s="601">
        <v>0</v>
      </c>
      <c r="AU48" s="234">
        <v>0</v>
      </c>
      <c r="AV48" s="234">
        <v>-473.8</v>
      </c>
      <c r="AW48" s="234">
        <v>-473.8</v>
      </c>
      <c r="AX48" s="601">
        <v>-473.8</v>
      </c>
      <c r="AY48" s="234">
        <v>0</v>
      </c>
      <c r="AZ48" s="234">
        <v>0</v>
      </c>
      <c r="BA48" s="62">
        <v>0</v>
      </c>
      <c r="BB48" s="601">
        <v>0</v>
      </c>
      <c r="BC48" s="62">
        <v>0</v>
      </c>
      <c r="BD48" s="62">
        <v>0</v>
      </c>
      <c r="BE48" s="62">
        <v>0</v>
      </c>
      <c r="BF48" s="601">
        <v>0</v>
      </c>
      <c r="BG48" s="62">
        <v>0</v>
      </c>
      <c r="BH48" s="62"/>
      <c r="BI48" s="62"/>
      <c r="BJ48" s="601"/>
      <c r="BM48" s="4"/>
    </row>
    <row r="49" spans="1:65" ht="26">
      <c r="A49" s="64" t="s">
        <v>368</v>
      </c>
      <c r="B49" s="610" t="s">
        <v>369</v>
      </c>
      <c r="C49" s="63">
        <v>0</v>
      </c>
      <c r="D49" s="63">
        <v>0</v>
      </c>
      <c r="E49" s="63">
        <v>0</v>
      </c>
      <c r="F49" s="63">
        <v>0</v>
      </c>
      <c r="G49" s="614">
        <v>0</v>
      </c>
      <c r="H49" s="63">
        <v>0</v>
      </c>
      <c r="I49" s="62">
        <v>48.219000000000001</v>
      </c>
      <c r="J49" s="594">
        <v>48.736000000000004</v>
      </c>
      <c r="K49" s="63">
        <v>0</v>
      </c>
      <c r="L49" s="62">
        <v>0</v>
      </c>
      <c r="M49" s="62">
        <v>0</v>
      </c>
      <c r="N49" s="62">
        <v>0</v>
      </c>
      <c r="O49" s="593">
        <v>0</v>
      </c>
      <c r="P49" s="62">
        <v>0</v>
      </c>
      <c r="Q49" s="62">
        <v>0</v>
      </c>
      <c r="R49" s="594">
        <v>0</v>
      </c>
      <c r="S49" s="62">
        <v>0</v>
      </c>
      <c r="T49" s="62">
        <v>0.2</v>
      </c>
      <c r="U49" s="62">
        <v>0.2</v>
      </c>
      <c r="V49" s="62">
        <v>0</v>
      </c>
      <c r="W49" s="593">
        <v>0</v>
      </c>
      <c r="X49" s="62">
        <v>0</v>
      </c>
      <c r="Y49" s="62">
        <v>0</v>
      </c>
      <c r="Z49" s="594">
        <v>0</v>
      </c>
      <c r="AA49" s="62">
        <v>0</v>
      </c>
      <c r="AB49" s="62">
        <v>0</v>
      </c>
      <c r="AC49" s="62">
        <v>0</v>
      </c>
      <c r="AD49" s="62">
        <v>0</v>
      </c>
      <c r="AE49" s="593">
        <v>0</v>
      </c>
      <c r="AF49" s="62">
        <v>0</v>
      </c>
      <c r="AG49" s="62"/>
      <c r="AH49" s="594">
        <v>0</v>
      </c>
      <c r="AI49" s="62">
        <v>0</v>
      </c>
      <c r="AJ49" s="62">
        <v>0</v>
      </c>
      <c r="AK49" s="62">
        <v>0</v>
      </c>
      <c r="AL49" s="62">
        <v>0</v>
      </c>
      <c r="AM49" s="593">
        <v>0</v>
      </c>
      <c r="AN49" s="62">
        <v>0</v>
      </c>
      <c r="AO49" s="62">
        <v>0</v>
      </c>
      <c r="AP49" s="594">
        <v>0</v>
      </c>
      <c r="AQ49" s="62">
        <v>0</v>
      </c>
      <c r="AR49" s="62">
        <v>0</v>
      </c>
      <c r="AS49" s="62">
        <v>7111.9</v>
      </c>
      <c r="AT49" s="594">
        <v>7111.9</v>
      </c>
      <c r="AU49" s="62">
        <v>0</v>
      </c>
      <c r="AV49" s="62">
        <v>0</v>
      </c>
      <c r="AW49" s="62">
        <v>643.29999999999995</v>
      </c>
      <c r="AX49" s="594">
        <v>757.4</v>
      </c>
      <c r="AY49" s="62">
        <v>0</v>
      </c>
      <c r="AZ49" s="62"/>
      <c r="BA49" s="62">
        <v>913.8</v>
      </c>
      <c r="BB49" s="601">
        <v>913.8</v>
      </c>
      <c r="BC49" s="62">
        <v>12</v>
      </c>
      <c r="BD49" s="62">
        <v>12</v>
      </c>
      <c r="BE49" s="62">
        <v>12</v>
      </c>
      <c r="BF49" s="601">
        <v>13.3</v>
      </c>
      <c r="BG49" s="62">
        <v>0</v>
      </c>
      <c r="BH49" s="62"/>
      <c r="BI49" s="62"/>
      <c r="BJ49" s="601"/>
    </row>
    <row r="50" spans="1:65" ht="20.149999999999999" customHeight="1">
      <c r="A50" s="64" t="s">
        <v>800</v>
      </c>
      <c r="B50" s="610" t="s">
        <v>803</v>
      </c>
      <c r="C50" s="62"/>
      <c r="D50" s="62"/>
      <c r="E50" s="62"/>
      <c r="F50" s="62"/>
      <c r="G50" s="593"/>
      <c r="H50" s="62"/>
      <c r="I50" s="62"/>
      <c r="J50" s="594"/>
      <c r="K50" s="63"/>
      <c r="L50" s="62"/>
      <c r="M50" s="62"/>
      <c r="N50" s="62"/>
      <c r="O50" s="593"/>
      <c r="P50" s="62"/>
      <c r="Q50" s="62"/>
      <c r="R50" s="594"/>
      <c r="S50" s="62"/>
      <c r="T50" s="62"/>
      <c r="U50" s="62"/>
      <c r="V50" s="62"/>
      <c r="W50" s="593"/>
      <c r="X50" s="62"/>
      <c r="Y50" s="62"/>
      <c r="Z50" s="594"/>
      <c r="AA50" s="62"/>
      <c r="AB50" s="62"/>
      <c r="AC50" s="62"/>
      <c r="AD50" s="62"/>
      <c r="AE50" s="593"/>
      <c r="AF50" s="62"/>
      <c r="AG50" s="62"/>
      <c r="AH50" s="594"/>
      <c r="AI50" s="62"/>
      <c r="AJ50" s="62"/>
      <c r="AK50" s="62"/>
      <c r="AL50" s="62"/>
      <c r="AM50" s="593"/>
      <c r="AN50" s="62"/>
      <c r="AO50" s="62"/>
      <c r="AP50" s="594"/>
      <c r="AQ50" s="62"/>
      <c r="AR50" s="62"/>
      <c r="AS50" s="62"/>
      <c r="AT50" s="594"/>
      <c r="AU50" s="62"/>
      <c r="AV50" s="62"/>
      <c r="AW50" s="62"/>
      <c r="AX50" s="601"/>
      <c r="AY50" s="62"/>
      <c r="AZ50" s="62"/>
      <c r="BA50" s="62"/>
      <c r="BB50" s="601"/>
      <c r="BC50" s="62"/>
      <c r="BD50" s="62"/>
      <c r="BE50" s="62"/>
      <c r="BF50" s="601"/>
      <c r="BG50" s="62">
        <v>718</v>
      </c>
      <c r="BH50" s="62"/>
      <c r="BI50" s="62"/>
      <c r="BJ50" s="601"/>
    </row>
    <row r="51" spans="1:65" ht="20.149999999999999" customHeight="1">
      <c r="A51" s="64" t="s">
        <v>370</v>
      </c>
      <c r="B51" s="610" t="s">
        <v>371</v>
      </c>
      <c r="C51" s="62">
        <v>0.09</v>
      </c>
      <c r="D51" s="62">
        <v>0.121</v>
      </c>
      <c r="E51" s="62">
        <v>0.69000000000000006</v>
      </c>
      <c r="F51" s="62">
        <v>0.751</v>
      </c>
      <c r="G51" s="593">
        <v>0.35000000000000003</v>
      </c>
      <c r="H51" s="62">
        <v>0.41000000000000003</v>
      </c>
      <c r="I51" s="62">
        <v>1.756</v>
      </c>
      <c r="J51" s="594">
        <v>2.0640000000000001</v>
      </c>
      <c r="K51" s="63">
        <v>0.33700000000000002</v>
      </c>
      <c r="L51" s="62">
        <v>1.6</v>
      </c>
      <c r="M51" s="62">
        <v>4</v>
      </c>
      <c r="N51" s="62">
        <v>4.0999999999999996</v>
      </c>
      <c r="O51" s="593">
        <v>0.2</v>
      </c>
      <c r="P51" s="62">
        <v>13.3</v>
      </c>
      <c r="Q51" s="62">
        <v>15.1</v>
      </c>
      <c r="R51" s="594">
        <v>16.899999999999999</v>
      </c>
      <c r="S51" s="62">
        <v>3.5</v>
      </c>
      <c r="T51" s="62">
        <v>5</v>
      </c>
      <c r="U51" s="62">
        <v>6.3</v>
      </c>
      <c r="V51" s="62">
        <v>9.5</v>
      </c>
      <c r="W51" s="593">
        <v>12.8</v>
      </c>
      <c r="X51" s="62">
        <v>16</v>
      </c>
      <c r="Y51" s="62">
        <v>15.8</v>
      </c>
      <c r="Z51" s="594">
        <v>19.3</v>
      </c>
      <c r="AA51" s="62">
        <v>3.4</v>
      </c>
      <c r="AB51" s="62">
        <v>10.6</v>
      </c>
      <c r="AC51" s="62">
        <v>11.6</v>
      </c>
      <c r="AD51" s="62">
        <v>11.6</v>
      </c>
      <c r="AE51" s="593">
        <v>2.5</v>
      </c>
      <c r="AF51" s="62">
        <v>4.2</v>
      </c>
      <c r="AG51" s="62">
        <v>4.8</v>
      </c>
      <c r="AH51" s="594">
        <v>6.8</v>
      </c>
      <c r="AI51" s="62">
        <v>2.5</v>
      </c>
      <c r="AJ51" s="62">
        <v>4.2</v>
      </c>
      <c r="AK51" s="62">
        <v>4.8</v>
      </c>
      <c r="AL51" s="62">
        <v>6.8</v>
      </c>
      <c r="AM51" s="593">
        <v>1.7</v>
      </c>
      <c r="AN51" s="62">
        <v>4.4000000000000004</v>
      </c>
      <c r="AO51" s="62">
        <v>5.5</v>
      </c>
      <c r="AP51" s="594">
        <v>8.4</v>
      </c>
      <c r="AQ51" s="62">
        <v>3.4</v>
      </c>
      <c r="AR51" s="62">
        <v>4</v>
      </c>
      <c r="AS51" s="62">
        <v>4.8</v>
      </c>
      <c r="AT51" s="594">
        <v>5.7</v>
      </c>
      <c r="AU51" s="62">
        <v>0.6</v>
      </c>
      <c r="AV51" s="62">
        <v>2.2999999999999998</v>
      </c>
      <c r="AW51" s="62">
        <v>2.5</v>
      </c>
      <c r="AX51" s="601">
        <v>78.2</v>
      </c>
      <c r="AY51" s="62">
        <v>6.4</v>
      </c>
      <c r="AZ51" s="62">
        <v>8.6</v>
      </c>
      <c r="BA51" s="62">
        <v>12.9</v>
      </c>
      <c r="BB51" s="601">
        <v>26.2</v>
      </c>
      <c r="BC51" s="62">
        <v>6.5</v>
      </c>
      <c r="BD51" s="62">
        <v>214.1</v>
      </c>
      <c r="BE51" s="62">
        <v>223.5</v>
      </c>
      <c r="BF51" s="601">
        <v>258</v>
      </c>
      <c r="BG51" s="62">
        <v>4.8</v>
      </c>
      <c r="BH51" s="62"/>
      <c r="BI51" s="62"/>
      <c r="BJ51" s="601"/>
    </row>
    <row r="52" spans="1:65" ht="20.149999999999999" customHeight="1">
      <c r="A52" s="64" t="s">
        <v>372</v>
      </c>
      <c r="B52" s="610" t="s">
        <v>373</v>
      </c>
      <c r="C52" s="62"/>
      <c r="D52" s="62"/>
      <c r="E52" s="62"/>
      <c r="F52" s="62"/>
      <c r="G52" s="593"/>
      <c r="H52" s="62"/>
      <c r="I52" s="62"/>
      <c r="J52" s="594"/>
      <c r="K52" s="63"/>
      <c r="L52" s="62"/>
      <c r="M52" s="62"/>
      <c r="N52" s="62"/>
      <c r="O52" s="593"/>
      <c r="P52" s="62"/>
      <c r="Q52" s="62"/>
      <c r="R52" s="594"/>
      <c r="S52" s="62"/>
      <c r="T52" s="62"/>
      <c r="U52" s="62"/>
      <c r="V52" s="62"/>
      <c r="W52" s="593"/>
      <c r="X52" s="62"/>
      <c r="Y52" s="62"/>
      <c r="Z52" s="594"/>
      <c r="AA52" s="62">
        <v>-45</v>
      </c>
      <c r="AB52" s="62">
        <f>-50+50.3</f>
        <v>0.29999999999999716</v>
      </c>
      <c r="AC52" s="62">
        <f>-95+95.4</f>
        <v>0.40000000000000568</v>
      </c>
      <c r="AD52" s="62">
        <f>-130+130.5</f>
        <v>0.5</v>
      </c>
      <c r="AE52" s="593">
        <v>0.1</v>
      </c>
      <c r="AF52" s="62">
        <v>0.3</v>
      </c>
      <c r="AG52" s="62">
        <f>100.5-100</f>
        <v>0.5</v>
      </c>
      <c r="AH52" s="594">
        <v>0.69999999999998863</v>
      </c>
      <c r="AI52" s="62">
        <v>0.1</v>
      </c>
      <c r="AJ52" s="62">
        <v>0.3</v>
      </c>
      <c r="AK52" s="62">
        <v>0.5</v>
      </c>
      <c r="AL52" s="62">
        <v>0.69999999999998863</v>
      </c>
      <c r="AM52" s="593">
        <v>0</v>
      </c>
      <c r="AN52" s="62">
        <v>0</v>
      </c>
      <c r="AO52" s="62">
        <v>0</v>
      </c>
      <c r="AP52" s="594">
        <v>0</v>
      </c>
      <c r="AQ52" s="62">
        <v>0</v>
      </c>
      <c r="AR52" s="62">
        <v>0</v>
      </c>
      <c r="AS52" s="62">
        <v>0</v>
      </c>
      <c r="AT52" s="594">
        <v>0</v>
      </c>
      <c r="AU52" s="62">
        <v>0</v>
      </c>
      <c r="AV52" s="62">
        <v>0</v>
      </c>
      <c r="AW52" s="62">
        <v>0</v>
      </c>
      <c r="AX52" s="594">
        <v>0</v>
      </c>
      <c r="AY52" s="62">
        <v>0</v>
      </c>
      <c r="AZ52" s="62">
        <v>0</v>
      </c>
      <c r="BA52" s="62">
        <v>0</v>
      </c>
      <c r="BB52" s="594">
        <v>0</v>
      </c>
      <c r="BC52" s="62">
        <v>0</v>
      </c>
      <c r="BD52" s="62">
        <v>0</v>
      </c>
      <c r="BE52" s="62">
        <v>0</v>
      </c>
      <c r="BF52" s="594">
        <v>0</v>
      </c>
      <c r="BG52" s="62">
        <v>0</v>
      </c>
      <c r="BH52" s="62"/>
      <c r="BI52" s="62"/>
      <c r="BJ52" s="594"/>
    </row>
    <row r="53" spans="1:65" ht="20.149999999999999" customHeight="1">
      <c r="A53" s="64" t="s">
        <v>374</v>
      </c>
      <c r="B53" s="610" t="s">
        <v>178</v>
      </c>
      <c r="C53" s="63">
        <v>0</v>
      </c>
      <c r="D53" s="63">
        <v>0</v>
      </c>
      <c r="E53" s="63">
        <v>0</v>
      </c>
      <c r="F53" s="63">
        <v>0</v>
      </c>
      <c r="G53" s="614">
        <v>0</v>
      </c>
      <c r="H53" s="63">
        <v>0</v>
      </c>
      <c r="I53" s="63">
        <v>0</v>
      </c>
      <c r="J53" s="615">
        <v>0</v>
      </c>
      <c r="K53" s="63">
        <v>0</v>
      </c>
      <c r="L53" s="62">
        <v>-270</v>
      </c>
      <c r="M53" s="62">
        <v>-30</v>
      </c>
      <c r="N53" s="62">
        <v>0</v>
      </c>
      <c r="O53" s="593">
        <v>-42.7</v>
      </c>
      <c r="P53" s="62">
        <v>-42.7</v>
      </c>
      <c r="Q53" s="62">
        <v>0</v>
      </c>
      <c r="R53" s="594">
        <v>0</v>
      </c>
      <c r="S53" s="62">
        <v>-12.4</v>
      </c>
      <c r="T53" s="62">
        <v>0</v>
      </c>
      <c r="U53" s="62">
        <v>0</v>
      </c>
      <c r="V53" s="62">
        <v>0</v>
      </c>
      <c r="W53" s="593">
        <v>0</v>
      </c>
      <c r="X53" s="62">
        <v>0</v>
      </c>
      <c r="Y53" s="62">
        <v>0</v>
      </c>
      <c r="Z53" s="594">
        <v>0</v>
      </c>
      <c r="AA53" s="62">
        <v>0</v>
      </c>
      <c r="AB53" s="62">
        <v>0</v>
      </c>
      <c r="AC53" s="62">
        <v>0</v>
      </c>
      <c r="AD53" s="62">
        <v>0</v>
      </c>
      <c r="AE53" s="593">
        <v>0</v>
      </c>
      <c r="AF53" s="62">
        <v>0</v>
      </c>
      <c r="AG53" s="62">
        <v>0</v>
      </c>
      <c r="AH53" s="594">
        <v>0</v>
      </c>
      <c r="AI53" s="62">
        <v>0</v>
      </c>
      <c r="AJ53" s="62">
        <v>0</v>
      </c>
      <c r="AK53" s="62">
        <v>0</v>
      </c>
      <c r="AL53" s="62">
        <v>0</v>
      </c>
      <c r="AM53" s="593">
        <v>0</v>
      </c>
      <c r="AN53" s="62">
        <v>0</v>
      </c>
      <c r="AO53" s="62">
        <v>0</v>
      </c>
      <c r="AP53" s="594">
        <v>0</v>
      </c>
      <c r="AQ53" s="62">
        <v>0</v>
      </c>
      <c r="AR53" s="62">
        <v>0</v>
      </c>
      <c r="AS53" s="62">
        <v>0</v>
      </c>
      <c r="AT53" s="594">
        <v>0</v>
      </c>
      <c r="AU53" s="62">
        <v>0</v>
      </c>
      <c r="AV53" s="62">
        <v>0</v>
      </c>
      <c r="AW53" s="62">
        <v>0</v>
      </c>
      <c r="AX53" s="594">
        <v>0</v>
      </c>
      <c r="AY53" s="62">
        <v>0</v>
      </c>
      <c r="AZ53" s="62">
        <v>0</v>
      </c>
      <c r="BA53" s="62">
        <v>0</v>
      </c>
      <c r="BB53" s="594">
        <v>0</v>
      </c>
      <c r="BC53" s="62">
        <v>0</v>
      </c>
      <c r="BD53" s="62">
        <v>0</v>
      </c>
      <c r="BE53" s="62">
        <v>0</v>
      </c>
      <c r="BF53" s="594">
        <v>0</v>
      </c>
      <c r="BG53" s="62">
        <v>0</v>
      </c>
      <c r="BH53" s="62"/>
      <c r="BI53" s="62"/>
      <c r="BJ53" s="594"/>
    </row>
    <row r="54" spans="1:65" ht="20.149999999999999" customHeight="1">
      <c r="A54" s="64" t="s">
        <v>375</v>
      </c>
      <c r="B54" s="610" t="s">
        <v>376</v>
      </c>
      <c r="C54" s="62">
        <v>-1.1000000000000001</v>
      </c>
      <c r="D54" s="62">
        <v>-1.1000000000000001</v>
      </c>
      <c r="E54" s="62">
        <v>-1.1000000000000001</v>
      </c>
      <c r="F54" s="62">
        <v>-1.1000000000000001</v>
      </c>
      <c r="G54" s="614">
        <v>0</v>
      </c>
      <c r="H54" s="63">
        <v>0</v>
      </c>
      <c r="I54" s="63">
        <v>0</v>
      </c>
      <c r="J54" s="615">
        <v>0</v>
      </c>
      <c r="K54" s="63">
        <v>0</v>
      </c>
      <c r="L54" s="62">
        <v>-5.8</v>
      </c>
      <c r="M54" s="62">
        <v>-20.399999999999999</v>
      </c>
      <c r="N54" s="62">
        <v>-23.1</v>
      </c>
      <c r="O54" s="593">
        <v>-6</v>
      </c>
      <c r="P54" s="62">
        <v>-8.9</v>
      </c>
      <c r="Q54" s="62">
        <v>-12.1</v>
      </c>
      <c r="R54" s="594">
        <v>-16.100000000000001</v>
      </c>
      <c r="S54" s="62">
        <v>-6.8</v>
      </c>
      <c r="T54" s="62">
        <v>-9.5</v>
      </c>
      <c r="U54" s="62">
        <v>-10.5</v>
      </c>
      <c r="V54" s="62">
        <v>-11.6</v>
      </c>
      <c r="W54" s="593">
        <v>0</v>
      </c>
      <c r="X54" s="62">
        <v>0</v>
      </c>
      <c r="Y54" s="62">
        <v>-28.6</v>
      </c>
      <c r="Z54" s="594">
        <v>-31.1</v>
      </c>
      <c r="AA54" s="62">
        <v>-11</v>
      </c>
      <c r="AB54" s="62">
        <v>-11</v>
      </c>
      <c r="AC54" s="62">
        <v>-11</v>
      </c>
      <c r="AD54" s="62">
        <v>-12.4</v>
      </c>
      <c r="AE54" s="593">
        <v>-12.9</v>
      </c>
      <c r="AF54" s="62">
        <v>-14.6</v>
      </c>
      <c r="AG54" s="62">
        <v>-15.3</v>
      </c>
      <c r="AH54" s="594">
        <v>-21.4</v>
      </c>
      <c r="AI54" s="62">
        <v>-12.9</v>
      </c>
      <c r="AJ54" s="62">
        <v>-14.6</v>
      </c>
      <c r="AK54" s="62">
        <v>-15.3</v>
      </c>
      <c r="AL54" s="62">
        <v>-21.4</v>
      </c>
      <c r="AM54" s="593">
        <v>-5</v>
      </c>
      <c r="AN54" s="62">
        <v>-8.3000000000000007</v>
      </c>
      <c r="AO54" s="62">
        <v>-12.2</v>
      </c>
      <c r="AP54" s="594">
        <v>-13</v>
      </c>
      <c r="AQ54" s="62">
        <v>-2</v>
      </c>
      <c r="AR54" s="62">
        <v>-5.7</v>
      </c>
      <c r="AS54" s="62">
        <v>-13.8</v>
      </c>
      <c r="AT54" s="594">
        <v>-64.900000000000006</v>
      </c>
      <c r="AU54" s="62">
        <v>-192.7</v>
      </c>
      <c r="AV54" s="62">
        <v>-482.2</v>
      </c>
      <c r="AW54" s="62">
        <v>-551.4</v>
      </c>
      <c r="AX54" s="594">
        <v>-686.9</v>
      </c>
      <c r="AY54" s="62">
        <v>-144</v>
      </c>
      <c r="AZ54" s="62">
        <v>-342.5</v>
      </c>
      <c r="BA54" s="62">
        <v>-342.5</v>
      </c>
      <c r="BB54" s="601">
        <v>-343.4</v>
      </c>
      <c r="BC54" s="62">
        <v>-0.5</v>
      </c>
      <c r="BD54" s="62">
        <v>-1</v>
      </c>
      <c r="BE54" s="62">
        <v>-9.6</v>
      </c>
      <c r="BF54" s="601">
        <v>-11.3</v>
      </c>
      <c r="BG54" s="62">
        <v>-0.1</v>
      </c>
      <c r="BH54" s="62"/>
      <c r="BI54" s="62"/>
      <c r="BJ54" s="601"/>
    </row>
    <row r="55" spans="1:65" ht="20.149999999999999" customHeight="1">
      <c r="A55" s="64" t="s">
        <v>377</v>
      </c>
      <c r="B55" s="610" t="s">
        <v>378</v>
      </c>
      <c r="C55" s="62">
        <v>0</v>
      </c>
      <c r="D55" s="62">
        <v>1.1000000000000001</v>
      </c>
      <c r="E55" s="62">
        <v>1.1000000000000001</v>
      </c>
      <c r="F55" s="62">
        <v>1.1000000000000001</v>
      </c>
      <c r="G55" s="614">
        <v>0</v>
      </c>
      <c r="H55" s="63">
        <v>0</v>
      </c>
      <c r="I55" s="63">
        <v>0</v>
      </c>
      <c r="J55" s="615">
        <v>0</v>
      </c>
      <c r="K55" s="63">
        <v>0</v>
      </c>
      <c r="L55" s="62">
        <v>0</v>
      </c>
      <c r="M55" s="62">
        <v>0</v>
      </c>
      <c r="N55" s="62">
        <v>0</v>
      </c>
      <c r="O55" s="593">
        <v>0</v>
      </c>
      <c r="P55" s="62">
        <v>0</v>
      </c>
      <c r="Q55" s="62">
        <v>0</v>
      </c>
      <c r="R55" s="594">
        <v>0</v>
      </c>
      <c r="S55" s="62">
        <v>0</v>
      </c>
      <c r="T55" s="62">
        <v>0</v>
      </c>
      <c r="U55" s="62">
        <v>0</v>
      </c>
      <c r="V55" s="62">
        <v>0.1</v>
      </c>
      <c r="W55" s="593">
        <v>0</v>
      </c>
      <c r="X55" s="62">
        <v>0</v>
      </c>
      <c r="Y55" s="62">
        <v>25</v>
      </c>
      <c r="Z55" s="594">
        <v>30.5</v>
      </c>
      <c r="AA55" s="62">
        <v>0</v>
      </c>
      <c r="AB55" s="62">
        <v>6.4</v>
      </c>
      <c r="AC55" s="62">
        <v>30</v>
      </c>
      <c r="AD55" s="62">
        <v>29.3</v>
      </c>
      <c r="AE55" s="593">
        <v>0</v>
      </c>
      <c r="AF55" s="62">
        <v>0</v>
      </c>
      <c r="AG55" s="62">
        <v>0</v>
      </c>
      <c r="AH55" s="594">
        <v>0.7</v>
      </c>
      <c r="AI55" s="62">
        <v>0</v>
      </c>
      <c r="AJ55" s="62">
        <v>0</v>
      </c>
      <c r="AK55" s="62">
        <v>0</v>
      </c>
      <c r="AL55" s="62">
        <v>0.7</v>
      </c>
      <c r="AM55" s="593">
        <v>0</v>
      </c>
      <c r="AN55" s="62">
        <v>0</v>
      </c>
      <c r="AO55" s="62">
        <v>0</v>
      </c>
      <c r="AP55" s="594">
        <v>0</v>
      </c>
      <c r="AQ55" s="62">
        <v>0</v>
      </c>
      <c r="AR55" s="62">
        <v>0</v>
      </c>
      <c r="AS55" s="62">
        <v>0</v>
      </c>
      <c r="AT55" s="594">
        <v>0</v>
      </c>
      <c r="AU55" s="62">
        <v>0</v>
      </c>
      <c r="AV55" s="62">
        <v>56.2</v>
      </c>
      <c r="AW55" s="62">
        <v>146.1</v>
      </c>
      <c r="AX55" s="594">
        <v>272.5</v>
      </c>
      <c r="AY55" s="62">
        <v>60.5</v>
      </c>
      <c r="AZ55" s="62">
        <v>132.80000000000001</v>
      </c>
      <c r="BA55" s="62">
        <v>132.80000000000001</v>
      </c>
      <c r="BB55" s="601">
        <v>133</v>
      </c>
      <c r="BC55" s="62">
        <v>0.5</v>
      </c>
      <c r="BD55" s="62">
        <v>95.9</v>
      </c>
      <c r="BE55" s="62">
        <v>95.9</v>
      </c>
      <c r="BF55" s="601">
        <v>96</v>
      </c>
      <c r="BG55" s="62">
        <v>0.3</v>
      </c>
      <c r="BH55" s="62"/>
      <c r="BI55" s="62"/>
      <c r="BJ55" s="601"/>
    </row>
    <row r="56" spans="1:65" ht="20.149999999999999" customHeight="1">
      <c r="A56" s="64" t="s">
        <v>379</v>
      </c>
      <c r="B56" s="610" t="s">
        <v>380</v>
      </c>
      <c r="C56" s="63">
        <v>0</v>
      </c>
      <c r="D56" s="63">
        <v>0</v>
      </c>
      <c r="E56" s="63">
        <v>0</v>
      </c>
      <c r="F56" s="63">
        <v>0</v>
      </c>
      <c r="G56" s="614">
        <v>0</v>
      </c>
      <c r="H56" s="63">
        <v>0</v>
      </c>
      <c r="I56" s="63">
        <v>0</v>
      </c>
      <c r="J56" s="615">
        <v>0</v>
      </c>
      <c r="K56" s="63">
        <v>0</v>
      </c>
      <c r="L56" s="62">
        <v>5</v>
      </c>
      <c r="M56" s="62">
        <v>5.5</v>
      </c>
      <c r="N56" s="62">
        <v>6.6</v>
      </c>
      <c r="O56" s="593">
        <v>1.2</v>
      </c>
      <c r="P56" s="62">
        <v>-2.1</v>
      </c>
      <c r="Q56" s="62">
        <v>3.2</v>
      </c>
      <c r="R56" s="594">
        <v>3.9</v>
      </c>
      <c r="S56" s="62">
        <v>-5</v>
      </c>
      <c r="T56" s="62">
        <v>-4</v>
      </c>
      <c r="U56" s="62">
        <v>-3.5</v>
      </c>
      <c r="V56" s="62">
        <v>-1.6</v>
      </c>
      <c r="W56" s="593">
        <v>-1.1000000000000001</v>
      </c>
      <c r="X56" s="62">
        <v>0</v>
      </c>
      <c r="Y56" s="83" t="s">
        <v>381</v>
      </c>
      <c r="Z56" s="596" t="s">
        <v>381</v>
      </c>
      <c r="AA56" s="62">
        <v>-1.5</v>
      </c>
      <c r="AB56" s="62">
        <v>0</v>
      </c>
      <c r="AC56" s="62">
        <v>0</v>
      </c>
      <c r="AD56" s="83">
        <v>0</v>
      </c>
      <c r="AE56" s="593">
        <v>0</v>
      </c>
      <c r="AF56" s="62">
        <v>0</v>
      </c>
      <c r="AG56" s="62">
        <v>0</v>
      </c>
      <c r="AH56" s="596">
        <v>0</v>
      </c>
      <c r="AI56" s="62">
        <v>0</v>
      </c>
      <c r="AJ56" s="62">
        <v>0</v>
      </c>
      <c r="AK56" s="62">
        <v>0</v>
      </c>
      <c r="AL56" s="83">
        <v>0</v>
      </c>
      <c r="AM56" s="593">
        <v>0</v>
      </c>
      <c r="AN56" s="62">
        <v>0</v>
      </c>
      <c r="AO56" s="62">
        <v>0</v>
      </c>
      <c r="AP56" s="596">
        <v>0</v>
      </c>
      <c r="AQ56" s="62">
        <v>0</v>
      </c>
      <c r="AR56" s="62">
        <v>0</v>
      </c>
      <c r="AS56" s="62">
        <v>0</v>
      </c>
      <c r="AT56" s="596">
        <v>0</v>
      </c>
      <c r="AU56" s="62">
        <v>0</v>
      </c>
      <c r="AV56" s="62">
        <v>0</v>
      </c>
      <c r="AW56" s="62">
        <v>0</v>
      </c>
      <c r="AX56" s="596">
        <v>0</v>
      </c>
      <c r="AY56" s="62">
        <v>0</v>
      </c>
      <c r="AZ56" s="62">
        <v>0</v>
      </c>
      <c r="BA56" s="62">
        <v>0</v>
      </c>
      <c r="BB56" s="601">
        <v>0</v>
      </c>
      <c r="BC56" s="62">
        <v>0</v>
      </c>
      <c r="BD56" s="62">
        <v>0</v>
      </c>
      <c r="BE56" s="62">
        <v>0</v>
      </c>
      <c r="BF56" s="601">
        <v>0</v>
      </c>
      <c r="BG56" s="62">
        <v>0</v>
      </c>
      <c r="BH56" s="62"/>
      <c r="BI56" s="62"/>
      <c r="BJ56" s="601"/>
    </row>
    <row r="57" spans="1:65" ht="20.149999999999999" customHeight="1">
      <c r="A57" s="64" t="s">
        <v>382</v>
      </c>
      <c r="B57" s="610" t="s">
        <v>383</v>
      </c>
      <c r="C57" s="63">
        <v>0</v>
      </c>
      <c r="D57" s="62">
        <v>1.258</v>
      </c>
      <c r="E57" s="62">
        <v>1.258</v>
      </c>
      <c r="F57" s="62">
        <v>2.706</v>
      </c>
      <c r="G57" s="593">
        <v>0</v>
      </c>
      <c r="H57" s="62">
        <v>2.5150000000000001</v>
      </c>
      <c r="I57" s="62">
        <v>2.5150000000000001</v>
      </c>
      <c r="J57" s="594">
        <v>2.5150000000000001</v>
      </c>
      <c r="K57" s="62">
        <v>2.5300000000000002</v>
      </c>
      <c r="L57" s="62">
        <v>2.5</v>
      </c>
      <c r="M57" s="62">
        <v>2.5</v>
      </c>
      <c r="N57" s="62">
        <v>2.5</v>
      </c>
      <c r="O57" s="593">
        <v>0</v>
      </c>
      <c r="P57" s="62">
        <v>0</v>
      </c>
      <c r="Q57" s="62">
        <v>0</v>
      </c>
      <c r="R57" s="594">
        <v>0</v>
      </c>
      <c r="S57" s="62">
        <v>0</v>
      </c>
      <c r="T57" s="62">
        <v>0</v>
      </c>
      <c r="U57" s="62">
        <v>0</v>
      </c>
      <c r="V57" s="62">
        <v>0</v>
      </c>
      <c r="W57" s="593">
        <v>0</v>
      </c>
      <c r="X57" s="62">
        <v>0</v>
      </c>
      <c r="Y57" s="62">
        <v>0</v>
      </c>
      <c r="Z57" s="594">
        <v>0</v>
      </c>
      <c r="AA57" s="62">
        <v>0</v>
      </c>
      <c r="AB57" s="62">
        <v>0</v>
      </c>
      <c r="AC57" s="62">
        <v>0</v>
      </c>
      <c r="AD57" s="62">
        <v>0</v>
      </c>
      <c r="AE57" s="593">
        <v>0</v>
      </c>
      <c r="AF57" s="62">
        <v>0</v>
      </c>
      <c r="AG57" s="62">
        <v>0</v>
      </c>
      <c r="AH57" s="594">
        <v>0</v>
      </c>
      <c r="AI57" s="62">
        <v>0</v>
      </c>
      <c r="AJ57" s="62">
        <v>0</v>
      </c>
      <c r="AK57" s="62">
        <v>0</v>
      </c>
      <c r="AL57" s="62">
        <v>0</v>
      </c>
      <c r="AM57" s="593">
        <v>0</v>
      </c>
      <c r="AN57" s="62">
        <v>56.8</v>
      </c>
      <c r="AO57" s="62">
        <v>57.2</v>
      </c>
      <c r="AP57" s="594">
        <v>57.2</v>
      </c>
      <c r="AQ57" s="62">
        <v>0</v>
      </c>
      <c r="AR57" s="602">
        <v>59.2</v>
      </c>
      <c r="AS57" s="62">
        <v>59.2</v>
      </c>
      <c r="AT57" s="594">
        <v>59.2</v>
      </c>
      <c r="AU57" s="62">
        <v>0</v>
      </c>
      <c r="AV57" s="62">
        <v>64</v>
      </c>
      <c r="AW57" s="62">
        <v>64</v>
      </c>
      <c r="AX57" s="594">
        <v>64</v>
      </c>
      <c r="AY57" s="62">
        <v>7.1</v>
      </c>
      <c r="AZ57" s="685">
        <v>73.8</v>
      </c>
      <c r="BA57" s="62">
        <v>73.8</v>
      </c>
      <c r="BB57" s="601">
        <v>73.8</v>
      </c>
      <c r="BC57" s="62">
        <v>0</v>
      </c>
      <c r="BD57" s="685">
        <v>30.8</v>
      </c>
      <c r="BE57" s="62">
        <v>30.8</v>
      </c>
      <c r="BF57" s="601">
        <v>30.8</v>
      </c>
      <c r="BG57" s="62">
        <v>0</v>
      </c>
      <c r="BH57" s="685"/>
      <c r="BI57" s="62"/>
      <c r="BJ57" s="601"/>
    </row>
    <row r="58" spans="1:65" s="91" customFormat="1" ht="20.149999999999999" customHeight="1">
      <c r="A58" s="172" t="s">
        <v>384</v>
      </c>
      <c r="B58" s="611" t="s">
        <v>385</v>
      </c>
      <c r="C58" s="235"/>
      <c r="D58" s="234"/>
      <c r="E58" s="234"/>
      <c r="F58" s="234"/>
      <c r="G58" s="600"/>
      <c r="H58" s="234"/>
      <c r="I58" s="234"/>
      <c r="J58" s="601"/>
      <c r="K58" s="234"/>
      <c r="L58" s="234"/>
      <c r="M58" s="234"/>
      <c r="N58" s="234"/>
      <c r="O58" s="600"/>
      <c r="P58" s="234"/>
      <c r="Q58" s="234"/>
      <c r="R58" s="601"/>
      <c r="S58" s="234"/>
      <c r="T58" s="234"/>
      <c r="U58" s="234"/>
      <c r="V58" s="234"/>
      <c r="W58" s="600"/>
      <c r="X58" s="234"/>
      <c r="Y58" s="234"/>
      <c r="Z58" s="601"/>
      <c r="AA58" s="234"/>
      <c r="AB58" s="234"/>
      <c r="AC58" s="234"/>
      <c r="AD58" s="234"/>
      <c r="AE58" s="600"/>
      <c r="AF58" s="234">
        <v>8.6999999999999993</v>
      </c>
      <c r="AG58" s="234">
        <v>8.6999999999999993</v>
      </c>
      <c r="AH58" s="601">
        <v>8.6999999999999993</v>
      </c>
      <c r="AI58" s="234"/>
      <c r="AJ58" s="234">
        <v>8.6999999999999993</v>
      </c>
      <c r="AK58" s="234">
        <v>8.6999999999999993</v>
      </c>
      <c r="AL58" s="234">
        <v>8.6999999999999993</v>
      </c>
      <c r="AM58" s="600">
        <v>0</v>
      </c>
      <c r="AN58" s="234">
        <v>1.4</v>
      </c>
      <c r="AO58" s="234">
        <v>1.4</v>
      </c>
      <c r="AP58" s="601">
        <v>1.4</v>
      </c>
      <c r="AQ58" s="234">
        <v>8.6</v>
      </c>
      <c r="AR58" s="602">
        <v>8.6</v>
      </c>
      <c r="AS58" s="234">
        <v>8.6</v>
      </c>
      <c r="AT58" s="601">
        <v>8.6</v>
      </c>
      <c r="AU58" s="234">
        <v>0</v>
      </c>
      <c r="AV58" s="62">
        <v>0</v>
      </c>
      <c r="AW58" s="62">
        <v>0</v>
      </c>
      <c r="AX58" s="601">
        <v>0</v>
      </c>
      <c r="AY58" s="234">
        <v>0</v>
      </c>
      <c r="AZ58" s="62">
        <v>22</v>
      </c>
      <c r="BA58" s="62">
        <v>22</v>
      </c>
      <c r="BB58" s="601">
        <v>22</v>
      </c>
      <c r="BC58" s="62">
        <v>0</v>
      </c>
      <c r="BD58" s="62">
        <v>0</v>
      </c>
      <c r="BE58" s="62">
        <v>21.9</v>
      </c>
      <c r="BF58" s="601">
        <v>21.9</v>
      </c>
      <c r="BG58" s="62">
        <v>0</v>
      </c>
      <c r="BH58" s="62"/>
      <c r="BI58" s="62"/>
      <c r="BJ58" s="601"/>
      <c r="BM58" s="4"/>
    </row>
    <row r="59" spans="1:65" ht="20.149999999999999" customHeight="1">
      <c r="A59" s="64" t="s">
        <v>386</v>
      </c>
      <c r="B59" s="610" t="s">
        <v>387</v>
      </c>
      <c r="C59" s="63">
        <v>0</v>
      </c>
      <c r="D59" s="63">
        <v>0</v>
      </c>
      <c r="E59" s="63">
        <v>0</v>
      </c>
      <c r="F59" s="63">
        <v>0</v>
      </c>
      <c r="G59" s="614">
        <v>0</v>
      </c>
      <c r="H59" s="63">
        <v>0</v>
      </c>
      <c r="I59" s="63">
        <v>0</v>
      </c>
      <c r="J59" s="615">
        <v>0</v>
      </c>
      <c r="K59" s="63">
        <v>0</v>
      </c>
      <c r="L59" s="62">
        <v>0</v>
      </c>
      <c r="M59" s="62">
        <v>0</v>
      </c>
      <c r="N59" s="62">
        <v>0</v>
      </c>
      <c r="O59" s="593">
        <v>0</v>
      </c>
      <c r="P59" s="62">
        <v>0</v>
      </c>
      <c r="Q59" s="62">
        <v>0</v>
      </c>
      <c r="R59" s="594">
        <v>0</v>
      </c>
      <c r="S59" s="62">
        <v>0</v>
      </c>
      <c r="T59" s="62">
        <v>1</v>
      </c>
      <c r="U59" s="62">
        <v>1</v>
      </c>
      <c r="V59" s="62">
        <v>3.5</v>
      </c>
      <c r="W59" s="593">
        <v>1.2</v>
      </c>
      <c r="X59" s="62">
        <v>-0.5</v>
      </c>
      <c r="Y59" s="62">
        <v>5.9</v>
      </c>
      <c r="Z59" s="594">
        <v>6.4</v>
      </c>
      <c r="AA59" s="62">
        <v>1.1000000000000001</v>
      </c>
      <c r="AB59" s="62">
        <v>-0.9</v>
      </c>
      <c r="AC59" s="62">
        <v>-5.9</v>
      </c>
      <c r="AD59" s="62">
        <v>1.2</v>
      </c>
      <c r="AE59" s="593">
        <v>3</v>
      </c>
      <c r="AF59" s="62">
        <v>0.5</v>
      </c>
      <c r="AG59" s="62">
        <v>2.4</v>
      </c>
      <c r="AH59" s="594">
        <v>0.7</v>
      </c>
      <c r="AI59" s="62">
        <v>3</v>
      </c>
      <c r="AJ59" s="62">
        <v>0.5</v>
      </c>
      <c r="AK59" s="62">
        <v>2.4</v>
      </c>
      <c r="AL59" s="62">
        <v>0.7</v>
      </c>
      <c r="AM59" s="593">
        <v>2.9</v>
      </c>
      <c r="AN59" s="62">
        <v>1.8</v>
      </c>
      <c r="AO59" s="62">
        <v>3.3</v>
      </c>
      <c r="AP59" s="594">
        <v>3.3</v>
      </c>
      <c r="AQ59" s="62">
        <v>1.4</v>
      </c>
      <c r="AR59" s="603">
        <v>2</v>
      </c>
      <c r="AS59" s="62">
        <v>2.5</v>
      </c>
      <c r="AT59" s="594">
        <v>-0.2</v>
      </c>
      <c r="AU59" s="62">
        <v>1.6</v>
      </c>
      <c r="AV59" s="685">
        <v>1.9</v>
      </c>
      <c r="AW59" s="685">
        <v>6.8</v>
      </c>
      <c r="AX59" s="594">
        <v>11.8</v>
      </c>
      <c r="AY59" s="62">
        <v>6.4</v>
      </c>
      <c r="AZ59" s="6">
        <v>8.3000000000000007</v>
      </c>
      <c r="BA59" s="62">
        <v>9.5</v>
      </c>
      <c r="BB59" s="601">
        <v>11.6</v>
      </c>
      <c r="BC59" s="62">
        <v>-2</v>
      </c>
      <c r="BD59" s="6">
        <v>3.7</v>
      </c>
      <c r="BE59" s="62">
        <v>3.1</v>
      </c>
      <c r="BF59" s="601">
        <v>3.5</v>
      </c>
      <c r="BG59" s="62">
        <v>1.3</v>
      </c>
      <c r="BH59" s="6"/>
      <c r="BI59" s="62"/>
      <c r="BJ59" s="601"/>
    </row>
    <row r="60" spans="1:65" s="239" customFormat="1" ht="25.25" customHeight="1">
      <c r="A60" s="359" t="s">
        <v>388</v>
      </c>
      <c r="B60" s="612" t="s">
        <v>389</v>
      </c>
      <c r="C60" s="360">
        <f t="shared" ref="C60:AN60" si="17">SUM(C42:C59)</f>
        <v>-24.143000000000004</v>
      </c>
      <c r="D60" s="360">
        <f t="shared" si="17"/>
        <v>-83.230000000000018</v>
      </c>
      <c r="E60" s="360">
        <f t="shared" si="17"/>
        <v>-107.08400000000002</v>
      </c>
      <c r="F60" s="360">
        <f t="shared" si="17"/>
        <v>-133.43099999999998</v>
      </c>
      <c r="G60" s="598">
        <f t="shared" si="17"/>
        <v>-34.882999999999996</v>
      </c>
      <c r="H60" s="360">
        <f t="shared" si="17"/>
        <v>-58.354000000000006</v>
      </c>
      <c r="I60" s="360">
        <f t="shared" si="17"/>
        <v>-110.15100000000002</v>
      </c>
      <c r="J60" s="599">
        <f t="shared" si="17"/>
        <v>-133.83700000000002</v>
      </c>
      <c r="K60" s="360">
        <f t="shared" si="17"/>
        <v>-36.552999999999997</v>
      </c>
      <c r="L60" s="360">
        <f t="shared" si="17"/>
        <v>1394.1000000000001</v>
      </c>
      <c r="M60" s="360">
        <f t="shared" si="17"/>
        <v>1042.3</v>
      </c>
      <c r="N60" s="360">
        <f t="shared" si="17"/>
        <v>972.80000000000007</v>
      </c>
      <c r="O60" s="598">
        <f t="shared" si="17"/>
        <v>-208.2</v>
      </c>
      <c r="P60" s="360">
        <f t="shared" si="17"/>
        <v>-347.59999999999997</v>
      </c>
      <c r="Q60" s="360">
        <f t="shared" si="17"/>
        <v>-576.29999999999995</v>
      </c>
      <c r="R60" s="599">
        <f t="shared" si="17"/>
        <v>-726.60000000000014</v>
      </c>
      <c r="S60" s="360">
        <f t="shared" si="17"/>
        <v>-24.899999999999988</v>
      </c>
      <c r="T60" s="360">
        <f t="shared" si="17"/>
        <v>-541.09999999999991</v>
      </c>
      <c r="U60" s="360">
        <f t="shared" si="17"/>
        <v>-815.19999999999993</v>
      </c>
      <c r="V60" s="360">
        <f t="shared" si="17"/>
        <v>-1003.4</v>
      </c>
      <c r="W60" s="598">
        <f t="shared" si="17"/>
        <v>-159.20000000000002</v>
      </c>
      <c r="X60" s="360">
        <f t="shared" si="17"/>
        <v>-367.5</v>
      </c>
      <c r="Y60" s="360">
        <f t="shared" si="17"/>
        <v>-657.20000000000016</v>
      </c>
      <c r="Z60" s="599">
        <f t="shared" si="17"/>
        <v>-1573.2999999999997</v>
      </c>
      <c r="AA60" s="360">
        <f t="shared" si="17"/>
        <v>-255.4</v>
      </c>
      <c r="AB60" s="360">
        <f t="shared" si="17"/>
        <v>-637.70000000000005</v>
      </c>
      <c r="AC60" s="360">
        <f t="shared" si="17"/>
        <v>-1197.3000000000002</v>
      </c>
      <c r="AD60" s="360">
        <f t="shared" si="17"/>
        <v>-1835.5</v>
      </c>
      <c r="AE60" s="598">
        <f t="shared" si="17"/>
        <v>-367.19999999999993</v>
      </c>
      <c r="AF60" s="360">
        <f t="shared" si="17"/>
        <v>-731.99999999999989</v>
      </c>
      <c r="AG60" s="360">
        <f t="shared" si="17"/>
        <v>-1181.4999999999998</v>
      </c>
      <c r="AH60" s="599">
        <f t="shared" si="17"/>
        <v>-2715.1000000000008</v>
      </c>
      <c r="AI60" s="360">
        <f t="shared" si="17"/>
        <v>-367.19999999999993</v>
      </c>
      <c r="AJ60" s="360">
        <f t="shared" si="17"/>
        <v>-731.99999999999989</v>
      </c>
      <c r="AK60" s="360">
        <f t="shared" si="17"/>
        <v>-1181.4999999999998</v>
      </c>
      <c r="AL60" s="360">
        <f t="shared" si="17"/>
        <v>-2715.1000000000008</v>
      </c>
      <c r="AM60" s="598">
        <f t="shared" si="17"/>
        <v>-364</v>
      </c>
      <c r="AN60" s="360">
        <f t="shared" si="17"/>
        <v>-544.1</v>
      </c>
      <c r="AO60" s="360">
        <v>-1361</v>
      </c>
      <c r="AP60" s="599">
        <f t="shared" ref="AP60:AX60" si="18">SUM(AP42:AP59)</f>
        <v>-1786.3</v>
      </c>
      <c r="AQ60" s="360">
        <f t="shared" si="18"/>
        <v>-374.20000000000005</v>
      </c>
      <c r="AR60" s="360">
        <f t="shared" si="18"/>
        <v>-1339.2</v>
      </c>
      <c r="AS60" s="360">
        <f t="shared" si="18"/>
        <v>4646</v>
      </c>
      <c r="AT60" s="599">
        <f t="shared" si="18"/>
        <v>4327.9000000000005</v>
      </c>
      <c r="AU60" s="360">
        <f t="shared" si="18"/>
        <v>-534.79999999999984</v>
      </c>
      <c r="AV60" s="360">
        <f t="shared" si="18"/>
        <v>-1682.6</v>
      </c>
      <c r="AW60" s="360">
        <f t="shared" si="18"/>
        <v>-1402.5000000000002</v>
      </c>
      <c r="AX60" s="599">
        <f t="shared" si="18"/>
        <v>-1876.6000000000001</v>
      </c>
      <c r="AY60" s="360">
        <f>SUM(AY42:AY59)</f>
        <v>-1211.0999999999999</v>
      </c>
      <c r="AZ60" s="360">
        <f>SUM(AZ42:AZ59)</f>
        <v>-1481.9</v>
      </c>
      <c r="BA60" s="360">
        <f t="shared" ref="BA60:BB60" si="19">SUM(BA42:BA59)</f>
        <v>-1234.7</v>
      </c>
      <c r="BB60" s="360">
        <f t="shared" si="19"/>
        <v>-2215.7000000000007</v>
      </c>
      <c r="BC60" s="360">
        <f>SUM(BC42:BC59)</f>
        <v>-597.20000000000005</v>
      </c>
      <c r="BD60" s="360">
        <f>SUM(BD42:BD59)</f>
        <v>-720.10000000000014</v>
      </c>
      <c r="BE60" s="360">
        <f>SUM(BE42:BE59)</f>
        <v>-1208.5</v>
      </c>
      <c r="BF60" s="360">
        <f>SUM(BF42:BF59)</f>
        <v>-2174</v>
      </c>
      <c r="BG60" s="360">
        <f>SUM(BG42:BG59)</f>
        <v>27.400000000000023</v>
      </c>
      <c r="BH60" s="360"/>
      <c r="BI60" s="360"/>
      <c r="BJ60" s="360"/>
      <c r="BM60" s="4"/>
    </row>
    <row r="61" spans="1:65" ht="20.149999999999999" customHeight="1">
      <c r="A61" s="64" t="s">
        <v>390</v>
      </c>
      <c r="B61" s="610" t="s">
        <v>391</v>
      </c>
      <c r="C61" s="62">
        <v>-26.754999999999999</v>
      </c>
      <c r="D61" s="62">
        <v>-155.76300000000001</v>
      </c>
      <c r="E61" s="62">
        <v>-397.57499999999999</v>
      </c>
      <c r="F61" s="62">
        <v>-453.32400000000001</v>
      </c>
      <c r="G61" s="593">
        <v>-49.813000000000002</v>
      </c>
      <c r="H61" s="62">
        <v>-192.59</v>
      </c>
      <c r="I61" s="62">
        <v>-366.16200000000003</v>
      </c>
      <c r="J61" s="594">
        <v>-431.11700000000002</v>
      </c>
      <c r="K61" s="62">
        <v>-37.393999999999998</v>
      </c>
      <c r="L61" s="62">
        <v>-547.1</v>
      </c>
      <c r="M61" s="62">
        <v>-747.1</v>
      </c>
      <c r="N61" s="62">
        <v>-1087.0999999999999</v>
      </c>
      <c r="O61" s="593">
        <v>-157</v>
      </c>
      <c r="P61" s="62">
        <v>-954.2</v>
      </c>
      <c r="Q61" s="62">
        <v>-9222.2000000000007</v>
      </c>
      <c r="R61" s="594">
        <v>-9222.2000000000007</v>
      </c>
      <c r="S61" s="62">
        <v>-916.1</v>
      </c>
      <c r="T61" s="62">
        <v>-1498.9</v>
      </c>
      <c r="U61" s="62">
        <v>-1706.9</v>
      </c>
      <c r="V61" s="62">
        <v>-1940.9</v>
      </c>
      <c r="W61" s="593">
        <v>-234</v>
      </c>
      <c r="X61" s="62">
        <v>-568</v>
      </c>
      <c r="Y61" s="62">
        <v>-802</v>
      </c>
      <c r="Z61" s="594">
        <v>-1162.5</v>
      </c>
      <c r="AA61" s="62">
        <v>-550</v>
      </c>
      <c r="AB61" s="62">
        <v>-652</v>
      </c>
      <c r="AC61" s="62">
        <v>-1077.8</v>
      </c>
      <c r="AD61" s="62">
        <v>-1282.2</v>
      </c>
      <c r="AE61" s="593">
        <v>-584.4</v>
      </c>
      <c r="AF61" s="62">
        <v>-851.6</v>
      </c>
      <c r="AG61" s="62">
        <v>-1406</v>
      </c>
      <c r="AH61" s="594">
        <v>-1742.5</v>
      </c>
      <c r="AI61" s="62">
        <v>-584.4</v>
      </c>
      <c r="AJ61" s="62">
        <v>-851.6</v>
      </c>
      <c r="AK61" s="62">
        <v>-1406</v>
      </c>
      <c r="AL61" s="62">
        <v>-1742.5</v>
      </c>
      <c r="AM61" s="593">
        <v>-857.2</v>
      </c>
      <c r="AN61" s="62">
        <v>-857.9</v>
      </c>
      <c r="AO61" s="62">
        <v>-857.9</v>
      </c>
      <c r="AP61" s="594">
        <v>-857.9</v>
      </c>
      <c r="AQ61" s="62">
        <v>0</v>
      </c>
      <c r="AR61" s="62">
        <v>-200</v>
      </c>
      <c r="AS61" s="62">
        <v>-1472.4</v>
      </c>
      <c r="AT61" s="594">
        <v>-2682.8</v>
      </c>
      <c r="AU61" s="62">
        <v>-200</v>
      </c>
      <c r="AV61" s="62">
        <v>-645.1</v>
      </c>
      <c r="AW61" s="234">
        <v>-845.1</v>
      </c>
      <c r="AX61" s="594">
        <v>-1045.0999999999999</v>
      </c>
      <c r="AY61" s="62">
        <v>-200</v>
      </c>
      <c r="AZ61" s="234">
        <v>-752.5</v>
      </c>
      <c r="BA61" s="234">
        <v>-760.1</v>
      </c>
      <c r="BB61" s="601">
        <v>-2327</v>
      </c>
      <c r="BC61" s="62">
        <v>-22.1</v>
      </c>
      <c r="BD61" s="234">
        <v>-161.5</v>
      </c>
      <c r="BE61" s="234">
        <v>-332.2</v>
      </c>
      <c r="BF61" s="601">
        <v>-730.5</v>
      </c>
      <c r="BG61" s="62">
        <v>-695.7</v>
      </c>
      <c r="BH61" s="234"/>
      <c r="BI61" s="234"/>
      <c r="BJ61" s="601"/>
    </row>
    <row r="62" spans="1:65" ht="20.149999999999999" customHeight="1">
      <c r="A62" s="64" t="s">
        <v>392</v>
      </c>
      <c r="B62" s="610" t="s">
        <v>393</v>
      </c>
      <c r="C62" s="63">
        <v>0</v>
      </c>
      <c r="D62" s="63">
        <v>0</v>
      </c>
      <c r="E62" s="63">
        <v>0</v>
      </c>
      <c r="F62" s="63">
        <v>0</v>
      </c>
      <c r="G62" s="614">
        <v>0</v>
      </c>
      <c r="H62" s="63">
        <v>0</v>
      </c>
      <c r="I62" s="63">
        <v>0</v>
      </c>
      <c r="J62" s="615">
        <v>0</v>
      </c>
      <c r="K62" s="63">
        <v>0</v>
      </c>
      <c r="L62" s="62">
        <v>2800</v>
      </c>
      <c r="M62" s="62">
        <v>2800</v>
      </c>
      <c r="N62" s="62">
        <v>2800</v>
      </c>
      <c r="O62" s="593">
        <v>50</v>
      </c>
      <c r="P62" s="62">
        <v>120</v>
      </c>
      <c r="Q62" s="62">
        <v>6820</v>
      </c>
      <c r="R62" s="594">
        <v>6820</v>
      </c>
      <c r="S62" s="62">
        <v>5500</v>
      </c>
      <c r="T62" s="62">
        <v>5500</v>
      </c>
      <c r="U62" s="62">
        <v>5500</v>
      </c>
      <c r="V62" s="62">
        <v>5500</v>
      </c>
      <c r="W62" s="593">
        <v>0</v>
      </c>
      <c r="X62" s="62">
        <v>600</v>
      </c>
      <c r="Y62" s="62">
        <v>600</v>
      </c>
      <c r="Z62" s="594">
        <v>1200</v>
      </c>
      <c r="AA62" s="62">
        <v>0</v>
      </c>
      <c r="AB62" s="62">
        <v>18.100000000000001</v>
      </c>
      <c r="AC62" s="62">
        <v>635.29999999999995</v>
      </c>
      <c r="AD62" s="62">
        <v>635.29999999999995</v>
      </c>
      <c r="AE62" s="593">
        <v>0</v>
      </c>
      <c r="AF62" s="62">
        <v>0</v>
      </c>
      <c r="AG62" s="62">
        <v>780</v>
      </c>
      <c r="AH62" s="594">
        <v>2010</v>
      </c>
      <c r="AI62" s="62">
        <v>0</v>
      </c>
      <c r="AJ62" s="62">
        <v>0</v>
      </c>
      <c r="AK62" s="62">
        <v>780</v>
      </c>
      <c r="AL62" s="62">
        <v>2010</v>
      </c>
      <c r="AM62" s="593">
        <v>35</v>
      </c>
      <c r="AN62" s="62">
        <v>35</v>
      </c>
      <c r="AO62" s="62">
        <v>35</v>
      </c>
      <c r="AP62" s="594">
        <v>35</v>
      </c>
      <c r="AQ62" s="62">
        <v>0</v>
      </c>
      <c r="AR62" s="62">
        <v>110</v>
      </c>
      <c r="AS62" s="62">
        <v>1665</v>
      </c>
      <c r="AT62" s="594">
        <v>1665</v>
      </c>
      <c r="AU62" s="62">
        <v>0</v>
      </c>
      <c r="AV62" s="62">
        <v>7.1</v>
      </c>
      <c r="AW62" s="62">
        <v>7.1</v>
      </c>
      <c r="AX62" s="594">
        <v>141.19999999999999</v>
      </c>
      <c r="AY62" s="62">
        <v>865.9</v>
      </c>
      <c r="AZ62" s="62">
        <v>3147.7</v>
      </c>
      <c r="BA62" s="234">
        <v>3162.9</v>
      </c>
      <c r="BB62" s="601">
        <v>3885.1</v>
      </c>
      <c r="BC62" s="62">
        <v>39.4</v>
      </c>
      <c r="BD62" s="62">
        <v>222.9</v>
      </c>
      <c r="BE62" s="234">
        <v>295.39999999999998</v>
      </c>
      <c r="BF62" s="601">
        <v>565.79999999999995</v>
      </c>
      <c r="BG62" s="62">
        <v>0</v>
      </c>
      <c r="BH62" s="62"/>
      <c r="BI62" s="234"/>
      <c r="BJ62" s="601"/>
    </row>
    <row r="63" spans="1:65" s="91" customFormat="1" ht="20.149999999999999" customHeight="1">
      <c r="A63" s="172" t="s">
        <v>394</v>
      </c>
      <c r="B63" s="611" t="s">
        <v>395</v>
      </c>
      <c r="C63" s="235">
        <v>0</v>
      </c>
      <c r="D63" s="235">
        <v>0</v>
      </c>
      <c r="E63" s="235">
        <v>0</v>
      </c>
      <c r="F63" s="235">
        <v>0</v>
      </c>
      <c r="G63" s="616">
        <v>0</v>
      </c>
      <c r="H63" s="235">
        <v>0</v>
      </c>
      <c r="I63" s="235">
        <v>0</v>
      </c>
      <c r="J63" s="617">
        <v>0</v>
      </c>
      <c r="K63" s="235">
        <v>0</v>
      </c>
      <c r="L63" s="234">
        <v>-2275.9</v>
      </c>
      <c r="M63" s="234">
        <v>-2275.9</v>
      </c>
      <c r="N63" s="234">
        <v>-2275.9</v>
      </c>
      <c r="O63" s="600">
        <v>0</v>
      </c>
      <c r="P63" s="234">
        <v>0</v>
      </c>
      <c r="Q63" s="234">
        <v>1000</v>
      </c>
      <c r="R63" s="601">
        <v>1000</v>
      </c>
      <c r="S63" s="234">
        <v>-4483.8</v>
      </c>
      <c r="T63" s="234">
        <v>-4483.8</v>
      </c>
      <c r="U63" s="234">
        <v>-4483.8</v>
      </c>
      <c r="V63" s="234">
        <v>-4484</v>
      </c>
      <c r="W63" s="600">
        <v>0</v>
      </c>
      <c r="X63" s="234">
        <v>-886.7</v>
      </c>
      <c r="Y63" s="234">
        <v>-886.7</v>
      </c>
      <c r="Z63" s="601">
        <v>-886.7</v>
      </c>
      <c r="AA63" s="234">
        <v>0</v>
      </c>
      <c r="AB63" s="234">
        <v>0</v>
      </c>
      <c r="AC63" s="234">
        <v>0</v>
      </c>
      <c r="AD63" s="234">
        <v>0</v>
      </c>
      <c r="AE63" s="600">
        <v>0</v>
      </c>
      <c r="AF63" s="236" t="s">
        <v>125</v>
      </c>
      <c r="AG63" s="236" t="s">
        <v>125</v>
      </c>
      <c r="AH63" s="596" t="s">
        <v>125</v>
      </c>
      <c r="AI63" s="234">
        <v>0</v>
      </c>
      <c r="AJ63" s="236" t="s">
        <v>125</v>
      </c>
      <c r="AK63" s="236" t="s">
        <v>125</v>
      </c>
      <c r="AL63" s="83" t="s">
        <v>125</v>
      </c>
      <c r="AM63" s="600">
        <v>1000</v>
      </c>
      <c r="AN63" s="234">
        <v>1000</v>
      </c>
      <c r="AO63" s="234">
        <v>1000</v>
      </c>
      <c r="AP63" s="594">
        <v>1000</v>
      </c>
      <c r="AQ63" s="234">
        <v>0</v>
      </c>
      <c r="AR63" s="234">
        <v>0</v>
      </c>
      <c r="AS63" s="234">
        <v>0</v>
      </c>
      <c r="AT63" s="594">
        <v>0</v>
      </c>
      <c r="AU63" s="234">
        <v>0</v>
      </c>
      <c r="AV63" s="234">
        <v>0</v>
      </c>
      <c r="AW63" s="234">
        <v>0</v>
      </c>
      <c r="AX63" s="594">
        <v>0</v>
      </c>
      <c r="AY63" s="234">
        <v>1142.0999999999999</v>
      </c>
      <c r="AZ63" s="234">
        <v>1088</v>
      </c>
      <c r="BA63" s="234">
        <v>1745.3</v>
      </c>
      <c r="BB63" s="601">
        <v>2145.3000000000002</v>
      </c>
      <c r="BC63" s="62">
        <v>-311.89999999999998</v>
      </c>
      <c r="BD63" s="234">
        <v>-311.89999999999998</v>
      </c>
      <c r="BE63" s="234">
        <v>-311.89999999999998</v>
      </c>
      <c r="BF63" s="601">
        <v>-311.89999999999998</v>
      </c>
      <c r="BG63" s="62">
        <v>0</v>
      </c>
      <c r="BH63" s="234"/>
      <c r="BI63" s="234"/>
      <c r="BJ63" s="601"/>
    </row>
    <row r="64" spans="1:65" ht="20.149999999999999" customHeight="1">
      <c r="A64" s="64" t="s">
        <v>396</v>
      </c>
      <c r="B64" s="610" t="s">
        <v>397</v>
      </c>
      <c r="C64" s="63"/>
      <c r="D64" s="63"/>
      <c r="E64" s="63"/>
      <c r="F64" s="63"/>
      <c r="G64" s="614"/>
      <c r="H64" s="63"/>
      <c r="I64" s="63"/>
      <c r="J64" s="615"/>
      <c r="K64" s="63"/>
      <c r="L64" s="62"/>
      <c r="M64" s="62"/>
      <c r="N64" s="62"/>
      <c r="O64" s="593"/>
      <c r="P64" s="62"/>
      <c r="Q64" s="62"/>
      <c r="R64" s="594"/>
      <c r="S64" s="62">
        <v>-262.10000000000002</v>
      </c>
      <c r="T64" s="62">
        <v>-262.10000000000002</v>
      </c>
      <c r="U64" s="62">
        <v>-262.10000000000002</v>
      </c>
      <c r="V64" s="62">
        <v>-262.10000000000002</v>
      </c>
      <c r="W64" s="593">
        <v>0</v>
      </c>
      <c r="X64" s="62">
        <v>-58.7</v>
      </c>
      <c r="Y64" s="62">
        <v>-58.7</v>
      </c>
      <c r="Z64" s="594">
        <v>-58.7</v>
      </c>
      <c r="AA64" s="62">
        <v>0</v>
      </c>
      <c r="AB64" s="62">
        <v>0</v>
      </c>
      <c r="AC64" s="62">
        <v>0</v>
      </c>
      <c r="AD64" s="62">
        <v>0</v>
      </c>
      <c r="AE64" s="593">
        <v>0</v>
      </c>
      <c r="AF64" s="62">
        <v>0</v>
      </c>
      <c r="AG64" s="62">
        <v>0</v>
      </c>
      <c r="AH64" s="594">
        <v>0</v>
      </c>
      <c r="AI64" s="62">
        <v>0</v>
      </c>
      <c r="AJ64" s="62">
        <v>0</v>
      </c>
      <c r="AK64" s="62">
        <v>0</v>
      </c>
      <c r="AL64" s="62">
        <v>0</v>
      </c>
      <c r="AM64" s="593">
        <v>0</v>
      </c>
      <c r="AN64" s="62">
        <v>0</v>
      </c>
      <c r="AO64" s="62">
        <v>0</v>
      </c>
      <c r="AP64" s="594">
        <v>0</v>
      </c>
      <c r="AQ64" s="62">
        <v>0</v>
      </c>
      <c r="AR64" s="62">
        <v>0</v>
      </c>
      <c r="AS64" s="62">
        <v>0</v>
      </c>
      <c r="AT64" s="594">
        <v>0</v>
      </c>
      <c r="AU64" s="62">
        <v>0</v>
      </c>
      <c r="AV64" s="62">
        <v>0</v>
      </c>
      <c r="AW64" s="62">
        <v>0</v>
      </c>
      <c r="AX64" s="594">
        <v>0</v>
      </c>
      <c r="AY64" s="62">
        <v>0</v>
      </c>
      <c r="AZ64" s="62">
        <v>0</v>
      </c>
      <c r="BA64" s="62">
        <v>0</v>
      </c>
      <c r="BB64" s="594">
        <v>0</v>
      </c>
      <c r="BC64" s="62">
        <v>0</v>
      </c>
      <c r="BD64" s="62">
        <v>0</v>
      </c>
      <c r="BE64" s="62">
        <v>0</v>
      </c>
      <c r="BF64" s="594">
        <v>0</v>
      </c>
      <c r="BG64" s="62">
        <v>0</v>
      </c>
      <c r="BH64" s="62"/>
      <c r="BI64" s="62"/>
      <c r="BJ64" s="594"/>
    </row>
    <row r="65" spans="1:64" ht="25.5" customHeight="1">
      <c r="A65" s="64" t="s">
        <v>398</v>
      </c>
      <c r="B65" s="610" t="s">
        <v>399</v>
      </c>
      <c r="C65" s="63"/>
      <c r="D65" s="63"/>
      <c r="E65" s="63"/>
      <c r="F65" s="63"/>
      <c r="G65" s="614"/>
      <c r="H65" s="63"/>
      <c r="I65" s="63"/>
      <c r="J65" s="615"/>
      <c r="K65" s="63"/>
      <c r="L65" s="62"/>
      <c r="M65" s="62"/>
      <c r="N65" s="62"/>
      <c r="O65" s="593"/>
      <c r="P65" s="62"/>
      <c r="Q65" s="62"/>
      <c r="R65" s="594"/>
      <c r="S65" s="62">
        <v>175.4</v>
      </c>
      <c r="T65" s="62">
        <v>175.4</v>
      </c>
      <c r="U65" s="62">
        <v>175.4</v>
      </c>
      <c r="V65" s="62">
        <v>175.4</v>
      </c>
      <c r="W65" s="593">
        <v>0</v>
      </c>
      <c r="X65" s="62">
        <v>0</v>
      </c>
      <c r="Y65" s="62">
        <v>0</v>
      </c>
      <c r="Z65" s="594">
        <v>0</v>
      </c>
      <c r="AA65" s="62">
        <v>0</v>
      </c>
      <c r="AB65" s="62">
        <v>0</v>
      </c>
      <c r="AC65" s="62">
        <v>0</v>
      </c>
      <c r="AD65" s="62">
        <v>0</v>
      </c>
      <c r="AE65" s="593">
        <v>0</v>
      </c>
      <c r="AF65" s="62">
        <v>0</v>
      </c>
      <c r="AG65" s="62">
        <v>0</v>
      </c>
      <c r="AH65" s="594">
        <v>0</v>
      </c>
      <c r="AI65" s="62">
        <v>0</v>
      </c>
      <c r="AJ65" s="62">
        <v>0</v>
      </c>
      <c r="AK65" s="62">
        <v>0</v>
      </c>
      <c r="AL65" s="62">
        <v>0</v>
      </c>
      <c r="AM65" s="593">
        <v>0</v>
      </c>
      <c r="AN65" s="62">
        <v>0</v>
      </c>
      <c r="AO65" s="62">
        <v>0</v>
      </c>
      <c r="AP65" s="594">
        <v>0</v>
      </c>
      <c r="AQ65" s="62">
        <v>0</v>
      </c>
      <c r="AR65" s="62">
        <v>0</v>
      </c>
      <c r="AS65" s="62">
        <v>0</v>
      </c>
      <c r="AT65" s="594">
        <v>0</v>
      </c>
      <c r="AU65" s="62">
        <v>0</v>
      </c>
      <c r="AV65" s="62">
        <v>0</v>
      </c>
      <c r="AW65" s="62">
        <v>0</v>
      </c>
      <c r="AX65" s="594">
        <v>0</v>
      </c>
      <c r="AY65" s="62">
        <v>0</v>
      </c>
      <c r="AZ65" s="62">
        <v>0</v>
      </c>
      <c r="BA65" s="62">
        <v>0</v>
      </c>
      <c r="BB65" s="594">
        <v>0</v>
      </c>
      <c r="BC65" s="62">
        <v>0</v>
      </c>
      <c r="BD65" s="62">
        <v>0</v>
      </c>
      <c r="BE65" s="62">
        <v>0</v>
      </c>
      <c r="BF65" s="594">
        <v>0</v>
      </c>
      <c r="BG65" s="62">
        <v>0</v>
      </c>
      <c r="BH65" s="62"/>
      <c r="BI65" s="62"/>
      <c r="BJ65" s="594"/>
    </row>
    <row r="66" spans="1:64" s="91" customFormat="1" ht="27.5">
      <c r="A66" s="172" t="s">
        <v>400</v>
      </c>
      <c r="B66" s="611" t="s">
        <v>401</v>
      </c>
      <c r="C66" s="234">
        <v>-26.132999999999999</v>
      </c>
      <c r="D66" s="234">
        <f>(-103258-821)*0.001</f>
        <v>-104.07900000000001</v>
      </c>
      <c r="E66" s="234">
        <f>(-125824-2250)*0.001</f>
        <v>-128.07400000000001</v>
      </c>
      <c r="F66" s="234">
        <f>(-195934-3683)*0.001</f>
        <v>-199.61699999999999</v>
      </c>
      <c r="G66" s="600">
        <f>(-15811-1035)*0.001</f>
        <v>-16.846</v>
      </c>
      <c r="H66" s="234">
        <f>(-84439-1241)*0.001</f>
        <v>-85.68</v>
      </c>
      <c r="I66" s="234">
        <f>(-96215-1689)*0.001</f>
        <v>-97.903999999999996</v>
      </c>
      <c r="J66" s="601">
        <v>-165.017</v>
      </c>
      <c r="K66" s="234">
        <v>-9.0950000000000006</v>
      </c>
      <c r="L66" s="234">
        <v>-348.3</v>
      </c>
      <c r="M66" s="234">
        <v>-733.5</v>
      </c>
      <c r="N66" s="234">
        <v>-872.2</v>
      </c>
      <c r="O66" s="600">
        <v>-357.9</v>
      </c>
      <c r="P66" s="234">
        <v>-472.3</v>
      </c>
      <c r="Q66" s="234">
        <v>-804.1</v>
      </c>
      <c r="R66" s="601">
        <v>-978.9</v>
      </c>
      <c r="S66" s="234">
        <v>-383.2</v>
      </c>
      <c r="T66" s="234">
        <v>-507.9</v>
      </c>
      <c r="U66" s="234">
        <v>-631.70000000000005</v>
      </c>
      <c r="V66" s="234">
        <v>-729.6</v>
      </c>
      <c r="W66" s="600">
        <v>-112.5</v>
      </c>
      <c r="X66" s="234">
        <v>-206</v>
      </c>
      <c r="Y66" s="234">
        <v>-319.60000000000002</v>
      </c>
      <c r="Z66" s="601">
        <v>-409.9</v>
      </c>
      <c r="AA66" s="234">
        <v>-138</v>
      </c>
      <c r="AB66" s="234">
        <v>-230.9</v>
      </c>
      <c r="AC66" s="234">
        <v>-342.8</v>
      </c>
      <c r="AD66" s="234">
        <v>-419</v>
      </c>
      <c r="AE66" s="600">
        <v>-107.1</v>
      </c>
      <c r="AF66" s="234">
        <v>-205.5</v>
      </c>
      <c r="AG66" s="234">
        <v>-362</v>
      </c>
      <c r="AH66" s="601">
        <v>-465.4</v>
      </c>
      <c r="AI66" s="234">
        <v>-107.1</v>
      </c>
      <c r="AJ66" s="234">
        <v>-205.5</v>
      </c>
      <c r="AK66" s="234">
        <v>-362</v>
      </c>
      <c r="AL66" s="234">
        <v>-465.4</v>
      </c>
      <c r="AM66" s="600">
        <v>-84.6</v>
      </c>
      <c r="AN66" s="234">
        <f>-193.4</f>
        <v>-193.4</v>
      </c>
      <c r="AO66" s="234">
        <v>-256.2</v>
      </c>
      <c r="AP66" s="601">
        <v>-315.3</v>
      </c>
      <c r="AQ66" s="234">
        <v>-54.8</v>
      </c>
      <c r="AR66" s="234">
        <v>-111.3</v>
      </c>
      <c r="AS66" s="234">
        <v>-163.9</v>
      </c>
      <c r="AT66" s="601">
        <v>-213.3</v>
      </c>
      <c r="AU66" s="234">
        <v>-79.8</v>
      </c>
      <c r="AV66" s="234">
        <v>-217.6</v>
      </c>
      <c r="AW66" s="234">
        <v>-390.9</v>
      </c>
      <c r="AX66" s="601">
        <v>-616.9</v>
      </c>
      <c r="AY66" s="234">
        <v>-219.4</v>
      </c>
      <c r="AZ66" s="234">
        <v>-501.3</v>
      </c>
      <c r="BA66" s="234">
        <v>-942.3</v>
      </c>
      <c r="BB66" s="601">
        <v>-1203.3</v>
      </c>
      <c r="BC66" s="234">
        <v>-398.7</v>
      </c>
      <c r="BD66" s="234">
        <v>-607.29999999999995</v>
      </c>
      <c r="BE66" s="234">
        <v>-1000.9</v>
      </c>
      <c r="BF66" s="601">
        <v>-1200.4000000000001</v>
      </c>
      <c r="BG66" s="234">
        <v>-375.2</v>
      </c>
      <c r="BH66" s="234"/>
      <c r="BI66" s="234"/>
      <c r="BJ66" s="601"/>
      <c r="BL66" s="948"/>
    </row>
    <row r="67" spans="1:64" ht="20.149999999999999" customHeight="1">
      <c r="A67" s="64" t="s">
        <v>402</v>
      </c>
      <c r="B67" s="610" t="s">
        <v>403</v>
      </c>
      <c r="C67" s="62"/>
      <c r="D67" s="62"/>
      <c r="E67" s="62"/>
      <c r="F67" s="62"/>
      <c r="G67" s="593"/>
      <c r="H67" s="62"/>
      <c r="I67" s="62"/>
      <c r="J67" s="594"/>
      <c r="K67" s="62"/>
      <c r="L67" s="62"/>
      <c r="M67" s="62"/>
      <c r="N67" s="62"/>
      <c r="O67" s="593"/>
      <c r="P67" s="62"/>
      <c r="Q67" s="62"/>
      <c r="R67" s="594"/>
      <c r="S67" s="62"/>
      <c r="T67" s="62"/>
      <c r="U67" s="62"/>
      <c r="V67" s="62"/>
      <c r="W67" s="593"/>
      <c r="X67" s="62"/>
      <c r="Y67" s="62"/>
      <c r="Z67" s="594"/>
      <c r="AA67" s="62"/>
      <c r="AB67" s="62"/>
      <c r="AC67" s="62"/>
      <c r="AD67" s="62"/>
      <c r="AE67" s="593">
        <v>-0.2</v>
      </c>
      <c r="AF67" s="62">
        <v>-0.4</v>
      </c>
      <c r="AG67" s="62">
        <v>-0.6</v>
      </c>
      <c r="AH67" s="594">
        <v>-0.8</v>
      </c>
      <c r="AI67" s="62">
        <v>-7.8</v>
      </c>
      <c r="AJ67" s="62">
        <v>-18.8</v>
      </c>
      <c r="AK67" s="62">
        <v>-28.6</v>
      </c>
      <c r="AL67" s="62">
        <v>-47.6</v>
      </c>
      <c r="AM67" s="593">
        <v>-12.4</v>
      </c>
      <c r="AN67" s="62">
        <v>-21.1</v>
      </c>
      <c r="AO67" s="62">
        <v>-35.1</v>
      </c>
      <c r="AP67" s="594">
        <v>-46</v>
      </c>
      <c r="AQ67" s="62">
        <v>-11.4</v>
      </c>
      <c r="AR67" s="62">
        <v>-21</v>
      </c>
      <c r="AS67" s="62">
        <v>-27.6</v>
      </c>
      <c r="AT67" s="594">
        <v>-32.4</v>
      </c>
      <c r="AU67" s="62">
        <v>-5.4</v>
      </c>
      <c r="AV67" s="62">
        <v>-10.3</v>
      </c>
      <c r="AW67" s="62">
        <v>-15.1</v>
      </c>
      <c r="AX67" s="594">
        <v>-20.2</v>
      </c>
      <c r="AY67" s="62">
        <v>-6.3</v>
      </c>
      <c r="AZ67" s="62">
        <v>-12.9</v>
      </c>
      <c r="BA67" s="234">
        <v>-19.600000000000001</v>
      </c>
      <c r="BB67" s="601">
        <v>-27.4</v>
      </c>
      <c r="BC67" s="62">
        <v>-8.6999999999999993</v>
      </c>
      <c r="BD67" s="62">
        <v>-18.100000000000001</v>
      </c>
      <c r="BE67" s="234">
        <v>-26.6</v>
      </c>
      <c r="BF67" s="601">
        <v>-36</v>
      </c>
      <c r="BG67" s="62">
        <v>-10.3</v>
      </c>
      <c r="BH67" s="62"/>
      <c r="BI67" s="234"/>
      <c r="BJ67" s="601"/>
    </row>
    <row r="68" spans="1:64" ht="20.149999999999999" customHeight="1">
      <c r="A68" s="64" t="s">
        <v>404</v>
      </c>
      <c r="B68" s="610" t="s">
        <v>405</v>
      </c>
      <c r="C68" s="62"/>
      <c r="D68" s="62"/>
      <c r="E68" s="62"/>
      <c r="F68" s="62"/>
      <c r="G68" s="593"/>
      <c r="H68" s="62"/>
      <c r="I68" s="62"/>
      <c r="J68" s="594"/>
      <c r="K68" s="62"/>
      <c r="L68" s="62"/>
      <c r="M68" s="62"/>
      <c r="N68" s="62"/>
      <c r="O68" s="593"/>
      <c r="P68" s="62"/>
      <c r="Q68" s="62"/>
      <c r="R68" s="594"/>
      <c r="S68" s="62"/>
      <c r="T68" s="62"/>
      <c r="U68" s="62"/>
      <c r="V68" s="62"/>
      <c r="W68" s="593"/>
      <c r="X68" s="62"/>
      <c r="Y68" s="62"/>
      <c r="Z68" s="594"/>
      <c r="AA68" s="62"/>
      <c r="AB68" s="62"/>
      <c r="AC68" s="62"/>
      <c r="AD68" s="62"/>
      <c r="AE68" s="593">
        <v>-3.1</v>
      </c>
      <c r="AF68" s="62">
        <v>-6.1</v>
      </c>
      <c r="AG68" s="62">
        <v>-8.9</v>
      </c>
      <c r="AH68" s="594">
        <v>-4.4000000000000004</v>
      </c>
      <c r="AI68" s="62">
        <v>-54.5</v>
      </c>
      <c r="AJ68" s="62">
        <v>-142.69999999999999</v>
      </c>
      <c r="AK68" s="62">
        <v>-234</v>
      </c>
      <c r="AL68" s="62">
        <v>-343.7</v>
      </c>
      <c r="AM68" s="593">
        <v>-106.3</v>
      </c>
      <c r="AN68" s="62">
        <v>-185.7</v>
      </c>
      <c r="AO68" s="62">
        <v>-304.39999999999998</v>
      </c>
      <c r="AP68" s="594">
        <v>-399.2</v>
      </c>
      <c r="AQ68" s="62">
        <v>-119</v>
      </c>
      <c r="AR68" s="62">
        <v>-222</v>
      </c>
      <c r="AS68" s="62">
        <v>-280.89999999999998</v>
      </c>
      <c r="AT68" s="594">
        <v>-335.4</v>
      </c>
      <c r="AU68" s="62">
        <v>-52.9</v>
      </c>
      <c r="AV68" s="62">
        <v>-100.7</v>
      </c>
      <c r="AW68" s="62">
        <v>-151</v>
      </c>
      <c r="AX68" s="594">
        <v>-196.4</v>
      </c>
      <c r="AY68" s="62">
        <v>-57.6</v>
      </c>
      <c r="AZ68" s="62">
        <v>-104.7</v>
      </c>
      <c r="BA68" s="234">
        <v>-150.19999999999999</v>
      </c>
      <c r="BB68" s="601">
        <v>-195.5</v>
      </c>
      <c r="BC68" s="62">
        <v>-61.8</v>
      </c>
      <c r="BD68" s="62">
        <v>-112.8</v>
      </c>
      <c r="BE68" s="234">
        <v>-156.5</v>
      </c>
      <c r="BF68" s="601">
        <v>-210.3</v>
      </c>
      <c r="BG68" s="62">
        <v>-52.7</v>
      </c>
      <c r="BH68" s="62"/>
      <c r="BI68" s="234"/>
      <c r="BJ68" s="601"/>
    </row>
    <row r="69" spans="1:64" ht="20.149999999999999" customHeight="1">
      <c r="A69" s="64" t="s">
        <v>406</v>
      </c>
      <c r="B69" s="610" t="s">
        <v>407</v>
      </c>
      <c r="C69" s="63">
        <v>0</v>
      </c>
      <c r="D69" s="63">
        <v>0</v>
      </c>
      <c r="E69" s="63">
        <v>0</v>
      </c>
      <c r="F69" s="63">
        <v>0</v>
      </c>
      <c r="G69" s="614">
        <v>0</v>
      </c>
      <c r="H69" s="63">
        <v>0</v>
      </c>
      <c r="I69" s="63">
        <v>0</v>
      </c>
      <c r="J69" s="615">
        <v>0</v>
      </c>
      <c r="K69" s="63">
        <v>0</v>
      </c>
      <c r="L69" s="62">
        <v>-102.9</v>
      </c>
      <c r="M69" s="62">
        <v>-102.9</v>
      </c>
      <c r="N69" s="62">
        <v>-102.9</v>
      </c>
      <c r="O69" s="593">
        <v>0</v>
      </c>
      <c r="P69" s="62">
        <v>0</v>
      </c>
      <c r="Q69" s="62">
        <v>0</v>
      </c>
      <c r="R69" s="594">
        <v>0</v>
      </c>
      <c r="S69" s="62">
        <v>0</v>
      </c>
      <c r="T69" s="62">
        <v>0</v>
      </c>
      <c r="U69" s="62">
        <v>0</v>
      </c>
      <c r="V69" s="62">
        <v>0</v>
      </c>
      <c r="W69" s="593">
        <v>0</v>
      </c>
      <c r="X69" s="62">
        <v>0</v>
      </c>
      <c r="Y69" s="62">
        <v>-204.7</v>
      </c>
      <c r="Z69" s="594">
        <v>-204.7</v>
      </c>
      <c r="AA69" s="62">
        <v>0</v>
      </c>
      <c r="AB69" s="62">
        <v>0</v>
      </c>
      <c r="AC69" s="62">
        <v>0</v>
      </c>
      <c r="AD69" s="62">
        <v>0</v>
      </c>
      <c r="AE69" s="593">
        <v>0</v>
      </c>
      <c r="AF69" s="62">
        <v>0</v>
      </c>
      <c r="AG69" s="62">
        <v>-287.8</v>
      </c>
      <c r="AH69" s="594">
        <v>-594.79999999999995</v>
      </c>
      <c r="AI69" s="62">
        <v>0</v>
      </c>
      <c r="AJ69" s="62">
        <v>0</v>
      </c>
      <c r="AK69" s="62">
        <v>-287.8</v>
      </c>
      <c r="AL69" s="62">
        <v>-594.79999999999995</v>
      </c>
      <c r="AM69" s="593">
        <v>0</v>
      </c>
      <c r="AN69" s="62">
        <v>-7.4</v>
      </c>
      <c r="AO69" s="62">
        <v>-7.4</v>
      </c>
      <c r="AP69" s="594">
        <v>-232.5</v>
      </c>
      <c r="AQ69" s="62">
        <v>-415.7</v>
      </c>
      <c r="AR69" s="62">
        <v>-415.7</v>
      </c>
      <c r="AS69" s="62">
        <v>-674.5</v>
      </c>
      <c r="AT69" s="594">
        <v>-1186.2</v>
      </c>
      <c r="AU69" s="62">
        <v>0</v>
      </c>
      <c r="AV69" s="62">
        <v>0</v>
      </c>
      <c r="AW69" s="62">
        <v>0</v>
      </c>
      <c r="AX69" s="594">
        <v>-660.8</v>
      </c>
      <c r="AY69" s="62">
        <v>0</v>
      </c>
      <c r="AZ69" s="62">
        <v>0</v>
      </c>
      <c r="BA69" s="62">
        <v>0</v>
      </c>
      <c r="BB69" s="594">
        <v>0</v>
      </c>
      <c r="BC69" s="62">
        <v>0</v>
      </c>
      <c r="BD69" s="62">
        <v>0</v>
      </c>
      <c r="BE69" s="62">
        <v>0</v>
      </c>
      <c r="BF69" s="594">
        <v>0</v>
      </c>
      <c r="BG69" s="62">
        <v>0</v>
      </c>
      <c r="BH69" s="62"/>
      <c r="BI69" s="62"/>
      <c r="BJ69" s="594"/>
    </row>
    <row r="70" spans="1:64" ht="20.149999999999999" customHeight="1">
      <c r="A70" s="64" t="s">
        <v>408</v>
      </c>
      <c r="B70" s="610" t="s">
        <v>409</v>
      </c>
      <c r="C70" s="63"/>
      <c r="D70" s="63"/>
      <c r="E70" s="63"/>
      <c r="F70" s="63"/>
      <c r="G70" s="614"/>
      <c r="H70" s="63"/>
      <c r="I70" s="63"/>
      <c r="J70" s="615"/>
      <c r="K70" s="63"/>
      <c r="L70" s="62"/>
      <c r="M70" s="62"/>
      <c r="N70" s="62"/>
      <c r="O70" s="593"/>
      <c r="P70" s="62"/>
      <c r="Q70" s="62"/>
      <c r="R70" s="594"/>
      <c r="S70" s="62"/>
      <c r="T70" s="62"/>
      <c r="U70" s="62"/>
      <c r="V70" s="62"/>
      <c r="W70" s="593"/>
      <c r="X70" s="62"/>
      <c r="Y70" s="62"/>
      <c r="Z70" s="594"/>
      <c r="AA70" s="62"/>
      <c r="AB70" s="62"/>
      <c r="AC70" s="62"/>
      <c r="AD70" s="62"/>
      <c r="AE70" s="593"/>
      <c r="AF70" s="62"/>
      <c r="AG70" s="62"/>
      <c r="AH70" s="594"/>
      <c r="AI70" s="62"/>
      <c r="AJ70" s="62"/>
      <c r="AK70" s="62"/>
      <c r="AL70" s="62"/>
      <c r="AM70" s="593"/>
      <c r="AN70" s="62"/>
      <c r="AO70" s="62"/>
      <c r="AP70" s="594"/>
      <c r="AQ70" s="62"/>
      <c r="AR70" s="62"/>
      <c r="AS70" s="62"/>
      <c r="AT70" s="594">
        <v>-2464</v>
      </c>
      <c r="AU70" s="62">
        <v>0</v>
      </c>
      <c r="AV70" s="62">
        <v>-393.9</v>
      </c>
      <c r="AW70" s="62">
        <v>-393.9</v>
      </c>
      <c r="AX70" s="594">
        <v>-393.9</v>
      </c>
      <c r="AY70" s="62">
        <v>0</v>
      </c>
      <c r="AZ70" s="62">
        <v>0</v>
      </c>
      <c r="BA70" s="62">
        <v>0</v>
      </c>
      <c r="BB70" s="594">
        <v>0</v>
      </c>
      <c r="BC70" s="62">
        <v>0</v>
      </c>
      <c r="BD70" s="62">
        <v>0</v>
      </c>
      <c r="BE70" s="62">
        <v>0</v>
      </c>
      <c r="BF70" s="594">
        <v>0</v>
      </c>
      <c r="BG70" s="62">
        <v>0</v>
      </c>
      <c r="BH70" s="62"/>
      <c r="BI70" s="62"/>
      <c r="BJ70" s="594"/>
    </row>
    <row r="71" spans="1:64" ht="20.149999999999999" customHeight="1">
      <c r="A71" s="64" t="s">
        <v>410</v>
      </c>
      <c r="B71" s="610" t="s">
        <v>411</v>
      </c>
      <c r="C71" s="63"/>
      <c r="D71" s="63"/>
      <c r="E71" s="63"/>
      <c r="F71" s="63"/>
      <c r="G71" s="614"/>
      <c r="H71" s="63"/>
      <c r="I71" s="63"/>
      <c r="J71" s="615"/>
      <c r="K71" s="63"/>
      <c r="L71" s="62"/>
      <c r="M71" s="62"/>
      <c r="N71" s="62"/>
      <c r="O71" s="593"/>
      <c r="P71" s="62"/>
      <c r="Q71" s="62"/>
      <c r="R71" s="594"/>
      <c r="S71" s="62"/>
      <c r="T71" s="62">
        <v>-323.60000000000002</v>
      </c>
      <c r="U71" s="62">
        <v>-323.60000000000002</v>
      </c>
      <c r="V71" s="62">
        <v>-323.60000000000002</v>
      </c>
      <c r="W71" s="593">
        <v>0</v>
      </c>
      <c r="X71" s="62">
        <v>0</v>
      </c>
      <c r="Y71" s="62">
        <v>0</v>
      </c>
      <c r="Z71" s="594">
        <v>0</v>
      </c>
      <c r="AA71" s="62">
        <v>0</v>
      </c>
      <c r="AB71" s="62">
        <v>0</v>
      </c>
      <c r="AC71" s="62">
        <v>0</v>
      </c>
      <c r="AD71" s="62">
        <v>0</v>
      </c>
      <c r="AE71" s="593">
        <v>0</v>
      </c>
      <c r="AF71" s="62">
        <v>0</v>
      </c>
      <c r="AG71" s="62">
        <v>0</v>
      </c>
      <c r="AH71" s="594">
        <v>0</v>
      </c>
      <c r="AI71" s="62">
        <v>0</v>
      </c>
      <c r="AJ71" s="62">
        <v>0</v>
      </c>
      <c r="AK71" s="62">
        <v>0</v>
      </c>
      <c r="AL71" s="62">
        <v>0</v>
      </c>
      <c r="AM71" s="593">
        <v>0</v>
      </c>
      <c r="AN71" s="62">
        <v>0</v>
      </c>
      <c r="AO71" s="62">
        <v>0</v>
      </c>
      <c r="AP71" s="594">
        <v>0</v>
      </c>
      <c r="AQ71" s="62">
        <v>0</v>
      </c>
      <c r="AR71" s="62">
        <v>0</v>
      </c>
      <c r="AS71" s="62">
        <v>0</v>
      </c>
      <c r="AT71" s="594">
        <v>0</v>
      </c>
      <c r="AU71" s="62">
        <v>0</v>
      </c>
      <c r="AV71" s="62">
        <v>0</v>
      </c>
      <c r="AW71" s="62">
        <v>0</v>
      </c>
      <c r="AX71" s="594">
        <v>0</v>
      </c>
      <c r="AY71" s="62">
        <v>0</v>
      </c>
      <c r="AZ71" s="62">
        <v>0</v>
      </c>
      <c r="BA71" s="62">
        <v>0</v>
      </c>
      <c r="BB71" s="594">
        <v>0</v>
      </c>
      <c r="BC71" s="62">
        <v>0</v>
      </c>
      <c r="BD71" s="62">
        <v>0</v>
      </c>
      <c r="BE71" s="62">
        <v>0</v>
      </c>
      <c r="BF71" s="594">
        <v>0</v>
      </c>
      <c r="BG71" s="62">
        <v>0</v>
      </c>
      <c r="BH71" s="62"/>
      <c r="BI71" s="62"/>
      <c r="BJ71" s="594"/>
    </row>
    <row r="72" spans="1:64" ht="20.149999999999999" customHeight="1">
      <c r="A72" s="64" t="s">
        <v>791</v>
      </c>
      <c r="B72" s="610" t="s">
        <v>412</v>
      </c>
      <c r="C72" s="62">
        <v>-8.4000000000000005E-2</v>
      </c>
      <c r="D72" s="62">
        <v>-0.23899999999999999</v>
      </c>
      <c r="E72" s="62">
        <v>-0.315</v>
      </c>
      <c r="F72" s="62">
        <v>-0.40600000000000003</v>
      </c>
      <c r="G72" s="593">
        <v>-7.8E-2</v>
      </c>
      <c r="H72" s="62">
        <v>-0.16800000000000001</v>
      </c>
      <c r="I72" s="62">
        <v>-0.25600000000000001</v>
      </c>
      <c r="J72" s="594">
        <v>-0.33</v>
      </c>
      <c r="K72" s="62">
        <v>-6.2E-2</v>
      </c>
      <c r="L72" s="62">
        <v>-0.3</v>
      </c>
      <c r="M72" s="62">
        <v>-0.7</v>
      </c>
      <c r="N72" s="62">
        <v>-0.9</v>
      </c>
      <c r="O72" s="593">
        <v>-2.5</v>
      </c>
      <c r="P72" s="62">
        <v>-3.5</v>
      </c>
      <c r="Q72" s="62">
        <v>-4.5</v>
      </c>
      <c r="R72" s="594">
        <v>-5.6</v>
      </c>
      <c r="S72" s="62">
        <v>-2.1</v>
      </c>
      <c r="T72" s="62">
        <v>-2.7</v>
      </c>
      <c r="U72" s="62">
        <v>-4.4000000000000004</v>
      </c>
      <c r="V72" s="62">
        <v>-6</v>
      </c>
      <c r="W72" s="593">
        <f>-0.3-1.4</f>
        <v>-1.7</v>
      </c>
      <c r="X72" s="62">
        <v>-2.9</v>
      </c>
      <c r="Y72" s="62">
        <v>-4.3</v>
      </c>
      <c r="Z72" s="594">
        <v>-5.2</v>
      </c>
      <c r="AA72" s="62">
        <v>-1.6</v>
      </c>
      <c r="AB72" s="62">
        <v>-3.4</v>
      </c>
      <c r="AC72" s="62">
        <v>-4.8</v>
      </c>
      <c r="AD72" s="62">
        <v>-8.4</v>
      </c>
      <c r="AE72" s="593">
        <v>-0.6</v>
      </c>
      <c r="AF72" s="62">
        <v>-0.4</v>
      </c>
      <c r="AG72" s="62">
        <v>-0.6</v>
      </c>
      <c r="AH72" s="594">
        <v>-0.7</v>
      </c>
      <c r="AI72" s="62">
        <v>-0.6</v>
      </c>
      <c r="AJ72" s="62">
        <v>-0.4</v>
      </c>
      <c r="AK72" s="62">
        <v>-0.6</v>
      </c>
      <c r="AL72" s="62">
        <v>-0.7</v>
      </c>
      <c r="AM72" s="593">
        <v>-4.5</v>
      </c>
      <c r="AN72" s="62">
        <v>-12.7</v>
      </c>
      <c r="AO72" s="62">
        <v>-27.3</v>
      </c>
      <c r="AP72" s="594">
        <v>-40.1</v>
      </c>
      <c r="AQ72" s="62">
        <v>-11.1</v>
      </c>
      <c r="AR72" s="62">
        <v>-19.3</v>
      </c>
      <c r="AS72" s="62">
        <v>-27.2</v>
      </c>
      <c r="AT72" s="594">
        <v>-33.799999999999997</v>
      </c>
      <c r="AU72" s="62">
        <v>-1.5</v>
      </c>
      <c r="AV72" s="62">
        <v>-12.2</v>
      </c>
      <c r="AW72" s="62">
        <v>-16.5</v>
      </c>
      <c r="AX72" s="594">
        <v>-23</v>
      </c>
      <c r="AY72" s="62">
        <v>9.8000000000000007</v>
      </c>
      <c r="AZ72" s="62">
        <v>2.8</v>
      </c>
      <c r="BA72" s="234">
        <v>-1.5</v>
      </c>
      <c r="BB72" s="601">
        <v>-1.8</v>
      </c>
      <c r="BC72" s="62">
        <v>-3.6</v>
      </c>
      <c r="BD72" s="62">
        <v>-6.8</v>
      </c>
      <c r="BE72" s="234">
        <v>-19.600000000000001</v>
      </c>
      <c r="BF72" s="601">
        <v>16.100000000000001</v>
      </c>
      <c r="BG72" s="62">
        <v>-3.7</v>
      </c>
      <c r="BH72" s="62"/>
      <c r="BI72" s="234"/>
      <c r="BJ72" s="601"/>
    </row>
    <row r="73" spans="1:64" ht="27.5">
      <c r="A73" s="64" t="s">
        <v>413</v>
      </c>
      <c r="B73" s="610" t="s">
        <v>414</v>
      </c>
      <c r="C73" s="62"/>
      <c r="D73" s="62"/>
      <c r="E73" s="62"/>
      <c r="F73" s="62"/>
      <c r="G73" s="593"/>
      <c r="H73" s="62"/>
      <c r="I73" s="62"/>
      <c r="J73" s="594"/>
      <c r="K73" s="62"/>
      <c r="L73" s="62"/>
      <c r="M73" s="62"/>
      <c r="N73" s="62"/>
      <c r="O73" s="593"/>
      <c r="P73" s="62"/>
      <c r="Q73" s="62"/>
      <c r="R73" s="594"/>
      <c r="S73" s="62"/>
      <c r="T73" s="62"/>
      <c r="U73" s="62"/>
      <c r="V73" s="62"/>
      <c r="W73" s="593"/>
      <c r="X73" s="62"/>
      <c r="Y73" s="62"/>
      <c r="Z73" s="594"/>
      <c r="AA73" s="62"/>
      <c r="AB73" s="62"/>
      <c r="AC73" s="62"/>
      <c r="AD73" s="62"/>
      <c r="AE73" s="593"/>
      <c r="AF73" s="62"/>
      <c r="AG73" s="62"/>
      <c r="AH73" s="594"/>
      <c r="AI73" s="62"/>
      <c r="AJ73" s="62"/>
      <c r="AK73" s="62"/>
      <c r="AL73" s="62"/>
      <c r="AM73" s="593"/>
      <c r="AN73" s="62"/>
      <c r="AO73" s="62"/>
      <c r="AP73" s="594"/>
      <c r="AQ73" s="62"/>
      <c r="AR73" s="62"/>
      <c r="AS73" s="62"/>
      <c r="AT73" s="594"/>
      <c r="AU73" s="62">
        <v>7.4</v>
      </c>
      <c r="AV73" s="62">
        <v>31.9</v>
      </c>
      <c r="AW73" s="62">
        <v>75.7</v>
      </c>
      <c r="AX73" s="594">
        <v>109.4</v>
      </c>
      <c r="AY73" s="62">
        <v>32.799999999999997</v>
      </c>
      <c r="AZ73" s="62">
        <v>48.4</v>
      </c>
      <c r="BA73" s="234">
        <v>56.5</v>
      </c>
      <c r="BB73" s="601">
        <v>60.8</v>
      </c>
      <c r="BC73" s="62">
        <v>4.5999999999999996</v>
      </c>
      <c r="BD73" s="62">
        <v>8.1999999999999993</v>
      </c>
      <c r="BE73" s="234">
        <v>16</v>
      </c>
      <c r="BF73" s="601">
        <v>24.7</v>
      </c>
      <c r="BG73" s="62">
        <v>5.0999999999999996</v>
      </c>
      <c r="BH73" s="62"/>
      <c r="BI73" s="234"/>
      <c r="BJ73" s="601"/>
    </row>
    <row r="74" spans="1:64" ht="20.149999999999999" customHeight="1">
      <c r="A74" s="64" t="s">
        <v>415</v>
      </c>
      <c r="B74" s="610" t="s">
        <v>416</v>
      </c>
      <c r="C74" s="614">
        <v>0</v>
      </c>
      <c r="D74" s="63">
        <v>0</v>
      </c>
      <c r="E74" s="63">
        <v>0</v>
      </c>
      <c r="F74" s="615">
        <v>0</v>
      </c>
      <c r="G74" s="614">
        <v>0</v>
      </c>
      <c r="H74" s="63">
        <v>0</v>
      </c>
      <c r="I74" s="63">
        <v>0</v>
      </c>
      <c r="J74" s="615">
        <v>0</v>
      </c>
      <c r="K74" s="63">
        <v>0</v>
      </c>
      <c r="L74" s="62">
        <v>-3.8</v>
      </c>
      <c r="M74" s="62">
        <v>-3.9</v>
      </c>
      <c r="N74" s="62">
        <v>-3.9</v>
      </c>
      <c r="O74" s="593">
        <v>0</v>
      </c>
      <c r="P74" s="62">
        <v>0</v>
      </c>
      <c r="Q74" s="62">
        <v>0</v>
      </c>
      <c r="R74" s="594">
        <v>0</v>
      </c>
      <c r="S74" s="62">
        <v>0</v>
      </c>
      <c r="T74" s="62">
        <v>0</v>
      </c>
      <c r="U74" s="62">
        <v>0</v>
      </c>
      <c r="V74" s="62">
        <v>0</v>
      </c>
      <c r="W74" s="593">
        <v>0</v>
      </c>
      <c r="X74" s="62">
        <v>0</v>
      </c>
      <c r="Y74" s="62">
        <v>0</v>
      </c>
      <c r="Z74" s="594">
        <v>0</v>
      </c>
      <c r="AA74" s="62">
        <v>0</v>
      </c>
      <c r="AB74" s="62"/>
      <c r="AC74" s="62">
        <v>0</v>
      </c>
      <c r="AD74" s="62">
        <v>0</v>
      </c>
      <c r="AE74" s="593">
        <v>0</v>
      </c>
      <c r="AF74" s="62">
        <v>0</v>
      </c>
      <c r="AG74" s="62">
        <v>0</v>
      </c>
      <c r="AH74" s="594">
        <v>0</v>
      </c>
      <c r="AI74" s="62">
        <v>0</v>
      </c>
      <c r="AJ74" s="62">
        <v>0</v>
      </c>
      <c r="AK74" s="62">
        <v>0</v>
      </c>
      <c r="AL74" s="62">
        <v>0</v>
      </c>
      <c r="AM74" s="593">
        <v>0</v>
      </c>
      <c r="AN74" s="62">
        <v>0</v>
      </c>
      <c r="AO74" s="62">
        <v>0</v>
      </c>
      <c r="AP74" s="594">
        <v>0</v>
      </c>
      <c r="AQ74" s="62">
        <v>0</v>
      </c>
      <c r="AR74" s="62">
        <v>0</v>
      </c>
      <c r="AS74" s="62">
        <v>0</v>
      </c>
      <c r="AT74" s="594"/>
      <c r="AU74" s="62">
        <v>0</v>
      </c>
      <c r="AV74" s="62">
        <v>0</v>
      </c>
      <c r="AW74" s="62">
        <v>0</v>
      </c>
      <c r="AX74" s="594">
        <v>0</v>
      </c>
      <c r="AY74" s="62">
        <v>0</v>
      </c>
      <c r="AZ74" s="62">
        <v>0</v>
      </c>
      <c r="BA74" s="62">
        <v>0</v>
      </c>
      <c r="BB74" s="594">
        <v>0</v>
      </c>
      <c r="BC74" s="62">
        <v>0</v>
      </c>
      <c r="BD74" s="62">
        <v>0</v>
      </c>
      <c r="BE74" s="62">
        <v>0</v>
      </c>
      <c r="BF74" s="594">
        <v>0</v>
      </c>
      <c r="BG74" s="62"/>
      <c r="BH74" s="62"/>
      <c r="BI74" s="62"/>
      <c r="BJ74" s="594"/>
    </row>
    <row r="75" spans="1:64" s="239" customFormat="1" ht="25.25" customHeight="1" thickBot="1">
      <c r="A75" s="359" t="s">
        <v>417</v>
      </c>
      <c r="B75" s="612" t="s">
        <v>418</v>
      </c>
      <c r="C75" s="598">
        <f t="shared" ref="C75:X75" si="20">SUM(C61:C74)</f>
        <v>-52.972000000000001</v>
      </c>
      <c r="D75" s="360">
        <f t="shared" si="20"/>
        <v>-260.08099999999996</v>
      </c>
      <c r="E75" s="360">
        <f t="shared" si="20"/>
        <v>-525.96400000000006</v>
      </c>
      <c r="F75" s="599">
        <f t="shared" si="20"/>
        <v>-653.34699999999998</v>
      </c>
      <c r="G75" s="598">
        <f t="shared" si="20"/>
        <v>-66.737000000000009</v>
      </c>
      <c r="H75" s="360">
        <f t="shared" si="20"/>
        <v>-278.43799999999999</v>
      </c>
      <c r="I75" s="360">
        <f t="shared" si="20"/>
        <v>-464.322</v>
      </c>
      <c r="J75" s="599">
        <f t="shared" si="20"/>
        <v>-596.46400000000006</v>
      </c>
      <c r="K75" s="360">
        <f t="shared" si="20"/>
        <v>-46.550999999999995</v>
      </c>
      <c r="L75" s="360">
        <f t="shared" si="20"/>
        <v>-478.30000000000007</v>
      </c>
      <c r="M75" s="360">
        <f t="shared" si="20"/>
        <v>-1064.0000000000002</v>
      </c>
      <c r="N75" s="360">
        <f t="shared" si="20"/>
        <v>-1542.9000000000003</v>
      </c>
      <c r="O75" s="598">
        <f t="shared" si="20"/>
        <v>-467.4</v>
      </c>
      <c r="P75" s="360">
        <f t="shared" si="20"/>
        <v>-1310</v>
      </c>
      <c r="Q75" s="360">
        <f t="shared" si="20"/>
        <v>-2210.8000000000006</v>
      </c>
      <c r="R75" s="599">
        <f t="shared" si="20"/>
        <v>-2386.7000000000007</v>
      </c>
      <c r="S75" s="360">
        <f t="shared" si="20"/>
        <v>-371.90000000000055</v>
      </c>
      <c r="T75" s="360">
        <f t="shared" si="20"/>
        <v>-1403.6000000000001</v>
      </c>
      <c r="U75" s="360">
        <f t="shared" si="20"/>
        <v>-1737.1000000000004</v>
      </c>
      <c r="V75" s="360">
        <f t="shared" si="20"/>
        <v>-2070.8000000000002</v>
      </c>
      <c r="W75" s="598">
        <f t="shared" si="20"/>
        <v>-348.2</v>
      </c>
      <c r="X75" s="360">
        <f t="shared" si="20"/>
        <v>-1122.3000000000002</v>
      </c>
      <c r="Y75" s="360">
        <f>SUM(Y61:Y74)</f>
        <v>-1676</v>
      </c>
      <c r="Z75" s="599">
        <f>SUM(Z61:Z74)</f>
        <v>-1527.7000000000003</v>
      </c>
      <c r="AA75" s="360">
        <f t="shared" ref="AA75:AD75" si="21">SUM(AA61:AA74)</f>
        <v>-689.6</v>
      </c>
      <c r="AB75" s="360">
        <f t="shared" si="21"/>
        <v>-868.19999999999993</v>
      </c>
      <c r="AC75" s="360">
        <f t="shared" ref="AC75" si="22">SUM(AC61:AC74)</f>
        <v>-790.09999999999991</v>
      </c>
      <c r="AD75" s="360">
        <f t="shared" si="21"/>
        <v>-1074.3000000000002</v>
      </c>
      <c r="AE75" s="598">
        <f t="shared" ref="AE75:AH75" si="23">SUM(AE61:AE74)</f>
        <v>-695.40000000000009</v>
      </c>
      <c r="AF75" s="360">
        <f t="shared" si="23"/>
        <v>-1064</v>
      </c>
      <c r="AG75" s="360">
        <f>SUM(AG61:AG74)</f>
        <v>-1285.8999999999999</v>
      </c>
      <c r="AH75" s="599">
        <f t="shared" si="23"/>
        <v>-798.6</v>
      </c>
      <c r="AI75" s="360">
        <f t="shared" ref="AI75:AJ75" si="24">SUM(AI61:AI74)</f>
        <v>-754.4</v>
      </c>
      <c r="AJ75" s="360">
        <f t="shared" si="24"/>
        <v>-1219</v>
      </c>
      <c r="AK75" s="360">
        <f>SUM(AK61:AK74)</f>
        <v>-1538.9999999999998</v>
      </c>
      <c r="AL75" s="360">
        <f t="shared" ref="AL75" si="25">SUM(AL61:AL74)</f>
        <v>-1184.7</v>
      </c>
      <c r="AM75" s="598">
        <f t="shared" ref="AM75:AN75" si="26">SUM(AM61:AM74)</f>
        <v>-30.000000000000043</v>
      </c>
      <c r="AN75" s="360">
        <f t="shared" si="26"/>
        <v>-243.19999999999996</v>
      </c>
      <c r="AO75" s="360">
        <v>-453.3</v>
      </c>
      <c r="AP75" s="599">
        <f t="shared" ref="AP75:AR75" si="27">SUM(AP61:AP74)</f>
        <v>-856</v>
      </c>
      <c r="AQ75" s="360">
        <f t="shared" si="27"/>
        <v>-612</v>
      </c>
      <c r="AR75" s="360">
        <f t="shared" si="27"/>
        <v>-879.3</v>
      </c>
      <c r="AS75" s="360">
        <f t="shared" ref="AS75" si="28">SUM(AS61:AS74)</f>
        <v>-981.50000000000011</v>
      </c>
      <c r="AT75" s="599">
        <f t="shared" ref="AT75:AW75" si="29">SUM(AT61:AT74)</f>
        <v>-5282.9000000000005</v>
      </c>
      <c r="AU75" s="360">
        <f t="shared" si="29"/>
        <v>-332.2</v>
      </c>
      <c r="AV75" s="360">
        <f t="shared" si="29"/>
        <v>-1340.8</v>
      </c>
      <c r="AW75" s="360">
        <f t="shared" si="29"/>
        <v>-1729.7</v>
      </c>
      <c r="AX75" s="599">
        <f t="shared" ref="AX75:BG75" si="30">SUM(AX61:AX74)</f>
        <v>-2705.7</v>
      </c>
      <c r="AY75" s="360">
        <f t="shared" si="30"/>
        <v>1567.3</v>
      </c>
      <c r="AZ75" s="360">
        <f t="shared" si="30"/>
        <v>2915.5</v>
      </c>
      <c r="BA75" s="360">
        <f t="shared" si="30"/>
        <v>3091.0000000000005</v>
      </c>
      <c r="BB75" s="599">
        <f t="shared" ref="BB75" si="31">SUM(BB61:BB74)</f>
        <v>2336.2000000000003</v>
      </c>
      <c r="BC75" s="360">
        <f t="shared" si="30"/>
        <v>-762.8</v>
      </c>
      <c r="BD75" s="360">
        <f t="shared" si="30"/>
        <v>-987.29999999999984</v>
      </c>
      <c r="BE75" s="360">
        <f t="shared" si="30"/>
        <v>-1536.2999999999997</v>
      </c>
      <c r="BF75" s="599">
        <f t="shared" si="30"/>
        <v>-1882.5</v>
      </c>
      <c r="BG75" s="360">
        <f t="shared" si="30"/>
        <v>-1132.5000000000002</v>
      </c>
      <c r="BH75" s="360"/>
      <c r="BI75" s="360"/>
      <c r="BJ75" s="599"/>
    </row>
    <row r="76" spans="1:64" ht="20.149999999999999" customHeight="1" thickBot="1">
      <c r="A76" s="361" t="s">
        <v>419</v>
      </c>
      <c r="B76" s="609" t="s">
        <v>420</v>
      </c>
      <c r="C76" s="362">
        <f>C41+C60+C75</f>
        <v>146.86399999999998</v>
      </c>
      <c r="D76" s="362">
        <f t="shared" ref="D76:AN76" si="32">D75+D60+D41</f>
        <v>33.256000000000029</v>
      </c>
      <c r="E76" s="362">
        <f t="shared" si="32"/>
        <v>-51.083999999999946</v>
      </c>
      <c r="F76" s="363">
        <f t="shared" si="32"/>
        <v>-5.4109999999999445</v>
      </c>
      <c r="G76" s="591">
        <f t="shared" si="32"/>
        <v>53.822999999999979</v>
      </c>
      <c r="H76" s="363">
        <f t="shared" si="32"/>
        <v>-5.0790000000000077</v>
      </c>
      <c r="I76" s="363">
        <f t="shared" si="32"/>
        <v>-55.118000000000166</v>
      </c>
      <c r="J76" s="592">
        <f t="shared" si="32"/>
        <v>72.357999999999834</v>
      </c>
      <c r="K76" s="363">
        <f t="shared" si="32"/>
        <v>85.956000000000017</v>
      </c>
      <c r="L76" s="363">
        <f t="shared" si="32"/>
        <v>1565.3999999999999</v>
      </c>
      <c r="M76" s="363">
        <f t="shared" si="32"/>
        <v>1300.0999999999999</v>
      </c>
      <c r="N76" s="363">
        <f t="shared" si="32"/>
        <v>1403.7999999999997</v>
      </c>
      <c r="O76" s="591">
        <f t="shared" si="32"/>
        <v>-257.89999999999981</v>
      </c>
      <c r="P76" s="363">
        <f t="shared" si="32"/>
        <v>-353.30000000000041</v>
      </c>
      <c r="Q76" s="363">
        <f t="shared" si="32"/>
        <v>-677.30000000000109</v>
      </c>
      <c r="R76" s="592">
        <f t="shared" si="32"/>
        <v>-225.60000000000127</v>
      </c>
      <c r="S76" s="363">
        <f t="shared" si="32"/>
        <v>49.999999999999602</v>
      </c>
      <c r="T76" s="363">
        <f t="shared" si="32"/>
        <v>-568.70000000000005</v>
      </c>
      <c r="U76" s="363">
        <f t="shared" si="32"/>
        <v>-411.39999999999918</v>
      </c>
      <c r="V76" s="363">
        <f t="shared" si="32"/>
        <v>-189.5</v>
      </c>
      <c r="W76" s="591">
        <f t="shared" si="32"/>
        <v>244.3000000000003</v>
      </c>
      <c r="X76" s="363">
        <f t="shared" si="32"/>
        <v>29.599999999999909</v>
      </c>
      <c r="Y76" s="363">
        <f t="shared" si="32"/>
        <v>-245.50000000000045</v>
      </c>
      <c r="Z76" s="592">
        <f t="shared" si="32"/>
        <v>-159.59999999999945</v>
      </c>
      <c r="AA76" s="363">
        <f t="shared" si="32"/>
        <v>-374.99999999999989</v>
      </c>
      <c r="AB76" s="363">
        <f t="shared" si="32"/>
        <v>-285.70000000000005</v>
      </c>
      <c r="AC76" s="363">
        <f t="shared" si="32"/>
        <v>-11.199999999999818</v>
      </c>
      <c r="AD76" s="363">
        <f t="shared" si="32"/>
        <v>5.2999999999997272</v>
      </c>
      <c r="AE76" s="591">
        <f t="shared" si="32"/>
        <v>-420.69999999999993</v>
      </c>
      <c r="AF76" s="363">
        <f t="shared" si="32"/>
        <v>-392.89999999999986</v>
      </c>
      <c r="AG76" s="363">
        <f t="shared" si="32"/>
        <v>-294.79999999999927</v>
      </c>
      <c r="AH76" s="592">
        <f t="shared" si="32"/>
        <v>-426.40000000000055</v>
      </c>
      <c r="AI76" s="363">
        <f t="shared" si="32"/>
        <v>-420.69999999999993</v>
      </c>
      <c r="AJ76" s="363">
        <f t="shared" si="32"/>
        <v>-392.89999999999986</v>
      </c>
      <c r="AK76" s="363">
        <f t="shared" si="32"/>
        <v>-294.79999999999882</v>
      </c>
      <c r="AL76" s="363">
        <f t="shared" si="32"/>
        <v>-426.40000000000146</v>
      </c>
      <c r="AM76" s="591">
        <f t="shared" si="32"/>
        <v>384.78882651999987</v>
      </c>
      <c r="AN76" s="363">
        <f t="shared" si="32"/>
        <v>565.90000000000055</v>
      </c>
      <c r="AO76" s="363">
        <v>408.8</v>
      </c>
      <c r="AP76" s="592">
        <f t="shared" ref="AP76:AX76" si="33">AP75+AP60+AP41</f>
        <v>609.39999999999918</v>
      </c>
      <c r="AQ76" s="363">
        <f t="shared" si="33"/>
        <v>-97.199999999999932</v>
      </c>
      <c r="AR76" s="363">
        <f t="shared" si="33"/>
        <v>-599.79999999999995</v>
      </c>
      <c r="AS76" s="363">
        <f t="shared" si="33"/>
        <v>6107.2000000000007</v>
      </c>
      <c r="AT76" s="592">
        <f t="shared" si="33"/>
        <v>2279.2999999999979</v>
      </c>
      <c r="AU76" s="363">
        <f>AU75+AU60+AU41</f>
        <v>-288.1999999999997</v>
      </c>
      <c r="AV76" s="363">
        <f t="shared" si="33"/>
        <v>-2577.6</v>
      </c>
      <c r="AW76" s="363">
        <f t="shared" si="33"/>
        <v>-2041.9999999999998</v>
      </c>
      <c r="AX76" s="592">
        <f t="shared" si="33"/>
        <v>-2820.6000000000004</v>
      </c>
      <c r="AY76" s="363">
        <f>AY75+AY60+AY41</f>
        <v>655.80000000000064</v>
      </c>
      <c r="AZ76" s="363">
        <f t="shared" ref="AZ76:BF76" si="34">AZ75+AZ60+AZ41</f>
        <v>2673.2999999999993</v>
      </c>
      <c r="BA76" s="363">
        <f t="shared" si="34"/>
        <v>3324.6</v>
      </c>
      <c r="BB76" s="592">
        <f t="shared" si="34"/>
        <v>2512.8999999999992</v>
      </c>
      <c r="BC76" s="363">
        <f>BC75+BC60+BC41</f>
        <v>-596.79999999999995</v>
      </c>
      <c r="BD76" s="363">
        <f t="shared" si="34"/>
        <v>-243.5</v>
      </c>
      <c r="BE76" s="363">
        <f t="shared" si="34"/>
        <v>-215.60000000000036</v>
      </c>
      <c r="BF76" s="592">
        <f t="shared" si="34"/>
        <v>-629.33999999999969</v>
      </c>
      <c r="BG76" s="363">
        <f>BG75+BG60+BG41</f>
        <v>-421.5</v>
      </c>
      <c r="BH76" s="363"/>
      <c r="BI76" s="363"/>
      <c r="BJ76" s="592"/>
    </row>
    <row r="77" spans="1:64" ht="20.149999999999999" customHeight="1">
      <c r="A77" s="237" t="s">
        <v>421</v>
      </c>
      <c r="B77" s="613" t="s">
        <v>422</v>
      </c>
      <c r="C77" s="238">
        <v>277.53399999999999</v>
      </c>
      <c r="D77" s="238">
        <v>277.53399999999999</v>
      </c>
      <c r="E77" s="238">
        <v>277.53399999999999</v>
      </c>
      <c r="F77" s="238">
        <v>277.53399999999999</v>
      </c>
      <c r="G77" s="604">
        <v>270.35399999999998</v>
      </c>
      <c r="H77" s="238">
        <v>270.35399999999998</v>
      </c>
      <c r="I77" s="238">
        <v>270.35399999999998</v>
      </c>
      <c r="J77" s="605">
        <v>270.35399999999998</v>
      </c>
      <c r="K77" s="238">
        <v>342.25100000000003</v>
      </c>
      <c r="L77" s="238">
        <v>342.2</v>
      </c>
      <c r="M77" s="238">
        <v>342.2</v>
      </c>
      <c r="N77" s="238">
        <v>342.2</v>
      </c>
      <c r="O77" s="604">
        <v>1747.9</v>
      </c>
      <c r="P77" s="238">
        <v>1747.9</v>
      </c>
      <c r="Q77" s="238">
        <v>1747.9</v>
      </c>
      <c r="R77" s="605">
        <v>1747.9</v>
      </c>
      <c r="S77" s="238">
        <f>$R$80</f>
        <v>1523.6999999999989</v>
      </c>
      <c r="T77" s="238">
        <f t="shared" ref="T77:V77" si="35">$R$80</f>
        <v>1523.6999999999989</v>
      </c>
      <c r="U77" s="238">
        <f t="shared" si="35"/>
        <v>1523.6999999999989</v>
      </c>
      <c r="V77" s="238">
        <f t="shared" si="35"/>
        <v>1523.6999999999989</v>
      </c>
      <c r="W77" s="604">
        <f>V80</f>
        <v>1336.6999999999989</v>
      </c>
      <c r="X77" s="238">
        <f>V80</f>
        <v>1336.6999999999989</v>
      </c>
      <c r="Y77" s="238">
        <f>V80</f>
        <v>1336.6999999999989</v>
      </c>
      <c r="Z77" s="605">
        <f>Y77</f>
        <v>1336.6999999999989</v>
      </c>
      <c r="AA77" s="238">
        <f>Z80</f>
        <v>1171.9999999999995</v>
      </c>
      <c r="AB77" s="238">
        <f>Z80</f>
        <v>1171.9999999999995</v>
      </c>
      <c r="AC77" s="238">
        <f>Z80</f>
        <v>1171.9999999999995</v>
      </c>
      <c r="AD77" s="238">
        <f>AC77</f>
        <v>1171.9999999999995</v>
      </c>
      <c r="AE77" s="604">
        <v>1178.7</v>
      </c>
      <c r="AF77" s="238">
        <f>AD80</f>
        <v>1178.6999999999994</v>
      </c>
      <c r="AG77" s="238">
        <f>AD80</f>
        <v>1178.6999999999994</v>
      </c>
      <c r="AH77" s="605">
        <f>AD80</f>
        <v>1178.6999999999994</v>
      </c>
      <c r="AI77" s="238">
        <v>1178.7</v>
      </c>
      <c r="AJ77" s="238">
        <f>AD80</f>
        <v>1178.6999999999994</v>
      </c>
      <c r="AK77" s="238">
        <f>AD80</f>
        <v>1178.6999999999994</v>
      </c>
      <c r="AL77" s="238">
        <f>AD80</f>
        <v>1178.6999999999994</v>
      </c>
      <c r="AM77" s="604">
        <f>AL80</f>
        <v>753.09999999999786</v>
      </c>
      <c r="AN77" s="238">
        <v>753.1</v>
      </c>
      <c r="AO77" s="238">
        <v>753.1</v>
      </c>
      <c r="AP77" s="605">
        <v>753.1</v>
      </c>
      <c r="AQ77" s="238">
        <f>$AP$80</f>
        <v>1365.799999999999</v>
      </c>
      <c r="AR77" s="238">
        <f t="shared" ref="AR77:AT77" si="36">$AP$80</f>
        <v>1365.799999999999</v>
      </c>
      <c r="AS77" s="238">
        <f t="shared" si="36"/>
        <v>1365.799999999999</v>
      </c>
      <c r="AT77" s="605">
        <f t="shared" si="36"/>
        <v>1365.799999999999</v>
      </c>
      <c r="AU77" s="238">
        <f>$AT$80</f>
        <v>3644.2999999999965</v>
      </c>
      <c r="AV77" s="238">
        <f>$AT$80</f>
        <v>3644.2999999999965</v>
      </c>
      <c r="AW77" s="238">
        <f>$AT$80</f>
        <v>3644.2999999999965</v>
      </c>
      <c r="AX77" s="662">
        <f>$AT$80</f>
        <v>3644.2999999999965</v>
      </c>
      <c r="AY77" s="238">
        <f>$AX$80</f>
        <v>817.7999999999962</v>
      </c>
      <c r="AZ77" s="238">
        <f>$AX$80</f>
        <v>817.7999999999962</v>
      </c>
      <c r="BA77" s="238">
        <f>$AX$80</f>
        <v>817.7999999999962</v>
      </c>
      <c r="BB77" s="662">
        <v>817.8</v>
      </c>
      <c r="BC77" s="238">
        <f>$BB$80</f>
        <v>3325.6999999999989</v>
      </c>
      <c r="BD77" s="238">
        <f>$BB$80</f>
        <v>3325.6999999999989</v>
      </c>
      <c r="BE77" s="238">
        <f t="shared" ref="BE77:BF77" si="37">$BB$80</f>
        <v>3325.6999999999989</v>
      </c>
      <c r="BF77" s="662">
        <f t="shared" si="37"/>
        <v>3325.6999999999989</v>
      </c>
      <c r="BG77" s="238">
        <f>$BF$80</f>
        <v>2687.1038520594993</v>
      </c>
      <c r="BH77" s="238"/>
      <c r="BI77" s="238"/>
      <c r="BJ77" s="662"/>
    </row>
    <row r="78" spans="1:64">
      <c r="A78" s="64" t="s">
        <v>423</v>
      </c>
      <c r="B78" s="610" t="s">
        <v>424</v>
      </c>
      <c r="C78" s="62">
        <v>-2.5009999999999999</v>
      </c>
      <c r="D78" s="62">
        <v>-1.2710000000000001</v>
      </c>
      <c r="E78" s="62">
        <v>-1.339</v>
      </c>
      <c r="F78" s="62">
        <v>-1.7690000000000001</v>
      </c>
      <c r="G78" s="593">
        <v>0.161</v>
      </c>
      <c r="H78" s="62">
        <v>0.52800000000000002</v>
      </c>
      <c r="I78" s="62">
        <v>0.16</v>
      </c>
      <c r="J78" s="594">
        <v>-0.46100000000000002</v>
      </c>
      <c r="K78" s="62">
        <v>-1.7000000000000001E-2</v>
      </c>
      <c r="L78" s="62">
        <v>-0.7</v>
      </c>
      <c r="M78" s="62">
        <v>0.9</v>
      </c>
      <c r="N78" s="62">
        <v>1.9</v>
      </c>
      <c r="O78" s="593">
        <v>1.6</v>
      </c>
      <c r="P78" s="62">
        <v>2</v>
      </c>
      <c r="Q78" s="62">
        <v>1.4</v>
      </c>
      <c r="R78" s="594">
        <v>1.4</v>
      </c>
      <c r="S78" s="62">
        <v>-3.7</v>
      </c>
      <c r="T78" s="62">
        <v>0.4</v>
      </c>
      <c r="U78" s="62">
        <v>-2.1</v>
      </c>
      <c r="V78" s="62">
        <v>2.5</v>
      </c>
      <c r="W78" s="593">
        <v>-3.7</v>
      </c>
      <c r="X78" s="62">
        <v>-3.7</v>
      </c>
      <c r="Y78" s="62">
        <v>-2.8</v>
      </c>
      <c r="Z78" s="594">
        <v>-5.0999999999999996</v>
      </c>
      <c r="AA78" s="62">
        <v>0.5</v>
      </c>
      <c r="AB78" s="62">
        <v>1.5</v>
      </c>
      <c r="AC78" s="62">
        <v>2.2999999999999998</v>
      </c>
      <c r="AD78" s="62">
        <v>1.4</v>
      </c>
      <c r="AE78" s="593">
        <v>-1</v>
      </c>
      <c r="AF78" s="62">
        <v>-2</v>
      </c>
      <c r="AG78" s="62">
        <v>2.2999999999999998</v>
      </c>
      <c r="AH78" s="594">
        <v>0.8</v>
      </c>
      <c r="AI78" s="62">
        <v>-1</v>
      </c>
      <c r="AJ78" s="62">
        <v>-2</v>
      </c>
      <c r="AK78" s="62">
        <v>2.2999999999999998</v>
      </c>
      <c r="AL78" s="62">
        <v>0.8</v>
      </c>
      <c r="AM78" s="593">
        <v>2.9</v>
      </c>
      <c r="AN78" s="62">
        <v>1.5</v>
      </c>
      <c r="AO78" s="62">
        <v>2.2999999999999998</v>
      </c>
      <c r="AP78" s="594">
        <v>3.3</v>
      </c>
      <c r="AQ78" s="62">
        <v>-1.3</v>
      </c>
      <c r="AR78" s="62">
        <v>-2</v>
      </c>
      <c r="AS78" s="62">
        <v>-0.7</v>
      </c>
      <c r="AT78" s="594">
        <v>-0.8</v>
      </c>
      <c r="AU78" s="62">
        <v>-2.4</v>
      </c>
      <c r="AV78" s="62">
        <v>-4.7</v>
      </c>
      <c r="AW78" s="62">
        <v>-6.2</v>
      </c>
      <c r="AX78" s="594">
        <v>-5.9</v>
      </c>
      <c r="AY78" s="62">
        <v>-0.2</v>
      </c>
      <c r="AZ78" s="62">
        <v>-12.6</v>
      </c>
      <c r="BA78" s="62">
        <v>39.299999999999997</v>
      </c>
      <c r="BB78" s="594">
        <v>-3.8</v>
      </c>
      <c r="BC78" s="62">
        <v>-9.6999999999999993</v>
      </c>
      <c r="BD78" s="62">
        <v>-5.4</v>
      </c>
      <c r="BE78" s="62">
        <v>-12.5</v>
      </c>
      <c r="BF78" s="594">
        <v>-9.2561479405000018</v>
      </c>
      <c r="BG78" s="62">
        <v>-10.7</v>
      </c>
      <c r="BH78" s="62"/>
      <c r="BI78" s="62"/>
      <c r="BJ78" s="594"/>
    </row>
    <row r="79" spans="1:64" ht="20.149999999999999" customHeight="1">
      <c r="A79" s="64" t="s">
        <v>425</v>
      </c>
      <c r="B79" s="610" t="s">
        <v>426</v>
      </c>
      <c r="C79" s="62"/>
      <c r="D79" s="62"/>
      <c r="E79" s="62"/>
      <c r="F79" s="62"/>
      <c r="G79" s="593"/>
      <c r="H79" s="62"/>
      <c r="I79" s="62"/>
      <c r="J79" s="594"/>
      <c r="K79" s="62"/>
      <c r="L79" s="62"/>
      <c r="M79" s="62"/>
      <c r="N79" s="62"/>
      <c r="O79" s="593"/>
      <c r="P79" s="62"/>
      <c r="Q79" s="62"/>
      <c r="R79" s="594"/>
      <c r="S79" s="62"/>
      <c r="T79" s="62"/>
      <c r="U79" s="62"/>
      <c r="V79" s="62"/>
      <c r="W79" s="593"/>
      <c r="X79" s="62"/>
      <c r="Y79" s="62"/>
      <c r="Z79" s="594"/>
      <c r="AA79" s="62"/>
      <c r="AB79" s="62"/>
      <c r="AC79" s="62"/>
      <c r="AD79" s="62"/>
      <c r="AE79" s="593"/>
      <c r="AF79" s="62"/>
      <c r="AG79" s="62"/>
      <c r="AH79" s="594"/>
      <c r="AI79" s="62"/>
      <c r="AJ79" s="62"/>
      <c r="AK79" s="62"/>
      <c r="AL79" s="62"/>
      <c r="AM79" s="593"/>
      <c r="AN79" s="62"/>
      <c r="AO79" s="62"/>
      <c r="AP79" s="594"/>
      <c r="AQ79" s="62">
        <v>-108.5</v>
      </c>
      <c r="AR79" s="62">
        <v>-95.5</v>
      </c>
      <c r="AS79" s="62">
        <v>0</v>
      </c>
      <c r="AT79" s="594">
        <v>0</v>
      </c>
      <c r="AU79" s="62">
        <v>0</v>
      </c>
      <c r="AV79" s="62">
        <v>0</v>
      </c>
      <c r="AW79" s="62">
        <v>0</v>
      </c>
      <c r="AX79" s="594">
        <v>0</v>
      </c>
      <c r="AY79" s="62">
        <v>0</v>
      </c>
      <c r="AZ79" s="62">
        <v>0</v>
      </c>
      <c r="BA79" s="62">
        <v>0</v>
      </c>
      <c r="BB79" s="594">
        <v>-1.2</v>
      </c>
      <c r="BC79" s="62">
        <v>0</v>
      </c>
      <c r="BD79" s="62"/>
      <c r="BE79" s="62"/>
      <c r="BF79" s="594"/>
      <c r="BG79" s="62"/>
      <c r="BH79" s="62"/>
      <c r="BI79" s="62"/>
      <c r="BJ79" s="594"/>
    </row>
    <row r="80" spans="1:64" s="239" customFormat="1" ht="25.25" customHeight="1">
      <c r="A80" s="359" t="s">
        <v>427</v>
      </c>
      <c r="B80" s="612" t="s">
        <v>428</v>
      </c>
      <c r="C80" s="360">
        <f>C76+C77+C78</f>
        <v>421.89699999999999</v>
      </c>
      <c r="D80" s="360">
        <f t="shared" ref="D80:R80" si="38">D77+D76+D78</f>
        <v>309.51900000000001</v>
      </c>
      <c r="E80" s="360">
        <f t="shared" si="38"/>
        <v>225.11100000000005</v>
      </c>
      <c r="F80" s="360">
        <f t="shared" si="38"/>
        <v>270.35400000000004</v>
      </c>
      <c r="G80" s="598">
        <f t="shared" si="38"/>
        <v>324.33799999999997</v>
      </c>
      <c r="H80" s="360">
        <f t="shared" si="38"/>
        <v>265.803</v>
      </c>
      <c r="I80" s="360">
        <f t="shared" si="38"/>
        <v>215.39599999999982</v>
      </c>
      <c r="J80" s="599">
        <f t="shared" si="38"/>
        <v>342.25099999999981</v>
      </c>
      <c r="K80" s="360">
        <f t="shared" si="38"/>
        <v>428.19000000000005</v>
      </c>
      <c r="L80" s="360">
        <f t="shared" si="38"/>
        <v>1906.8999999999999</v>
      </c>
      <c r="M80" s="360">
        <f t="shared" si="38"/>
        <v>1643.2</v>
      </c>
      <c r="N80" s="360">
        <f t="shared" si="38"/>
        <v>1747.8999999999999</v>
      </c>
      <c r="O80" s="598">
        <f t="shared" si="38"/>
        <v>1491.6000000000001</v>
      </c>
      <c r="P80" s="360">
        <f t="shared" si="38"/>
        <v>1396.5999999999997</v>
      </c>
      <c r="Q80" s="360">
        <f t="shared" si="38"/>
        <v>1071.9999999999991</v>
      </c>
      <c r="R80" s="599">
        <f t="shared" si="38"/>
        <v>1523.6999999999989</v>
      </c>
      <c r="S80" s="360">
        <f t="shared" ref="S80:Z80" si="39">S77+S76+S78</f>
        <v>1569.9999999999984</v>
      </c>
      <c r="T80" s="360">
        <f t="shared" si="39"/>
        <v>955.39999999999884</v>
      </c>
      <c r="U80" s="360">
        <f t="shared" si="39"/>
        <v>1110.1999999999998</v>
      </c>
      <c r="V80" s="360">
        <f t="shared" si="39"/>
        <v>1336.6999999999989</v>
      </c>
      <c r="W80" s="598">
        <f t="shared" si="39"/>
        <v>1577.299999999999</v>
      </c>
      <c r="X80" s="360">
        <f t="shared" si="39"/>
        <v>1362.5999999999988</v>
      </c>
      <c r="Y80" s="360">
        <f t="shared" si="39"/>
        <v>1088.3999999999985</v>
      </c>
      <c r="Z80" s="599">
        <f t="shared" si="39"/>
        <v>1171.9999999999995</v>
      </c>
      <c r="AA80" s="360">
        <f t="shared" ref="AA80:AD80" si="40">AA77+AA76+AA78</f>
        <v>797.49999999999966</v>
      </c>
      <c r="AB80" s="360">
        <f t="shared" si="40"/>
        <v>887.7999999999995</v>
      </c>
      <c r="AC80" s="360">
        <f t="shared" si="40"/>
        <v>1163.0999999999997</v>
      </c>
      <c r="AD80" s="360">
        <f t="shared" si="40"/>
        <v>1178.6999999999994</v>
      </c>
      <c r="AE80" s="598">
        <f t="shared" ref="AE80:AH80" si="41">AE77+AE76+AE78</f>
        <v>757.00000000000011</v>
      </c>
      <c r="AF80" s="360">
        <f>AF77+AF76+AF78</f>
        <v>783.7999999999995</v>
      </c>
      <c r="AG80" s="360">
        <f t="shared" si="41"/>
        <v>886.2</v>
      </c>
      <c r="AH80" s="599">
        <f t="shared" si="41"/>
        <v>753.09999999999877</v>
      </c>
      <c r="AI80" s="360">
        <f t="shared" ref="AI80" si="42">AI77+AI76+AI78</f>
        <v>757.00000000000011</v>
      </c>
      <c r="AJ80" s="360">
        <f>AJ77+AJ76+AJ78</f>
        <v>783.7999999999995</v>
      </c>
      <c r="AK80" s="360">
        <f t="shared" ref="AK80:AL80" si="43">AK77+AK76+AK78</f>
        <v>886.2000000000005</v>
      </c>
      <c r="AL80" s="360">
        <f t="shared" si="43"/>
        <v>753.09999999999786</v>
      </c>
      <c r="AM80" s="598">
        <f t="shared" ref="AM80" si="44">AM77+AM76+AM78</f>
        <v>1140.7888265199979</v>
      </c>
      <c r="AN80" s="360">
        <f>AN77+AN76+AN78</f>
        <v>1320.5000000000005</v>
      </c>
      <c r="AO80" s="360">
        <f t="shared" ref="AO80:AP80" si="45">AO77+AO76+AO78</f>
        <v>1164.2</v>
      </c>
      <c r="AP80" s="599">
        <f t="shared" si="45"/>
        <v>1365.799999999999</v>
      </c>
      <c r="AQ80" s="360">
        <f>AQ77+AQ76+AQ78+AQ79</f>
        <v>1158.799999999999</v>
      </c>
      <c r="AR80" s="360">
        <f>AR77+AR76+AR78+AR79</f>
        <v>668.49999999999909</v>
      </c>
      <c r="AS80" s="360">
        <f t="shared" ref="AS80:AT80" si="46">AS77+AS76+AS78</f>
        <v>7472.3</v>
      </c>
      <c r="AT80" s="599">
        <f t="shared" si="46"/>
        <v>3644.2999999999965</v>
      </c>
      <c r="AU80" s="360">
        <f>AU77+AU76+AU78+AU79</f>
        <v>3353.6999999999966</v>
      </c>
      <c r="AV80" s="360">
        <f>AV77+AV76+AV78+AV79</f>
        <v>1061.9999999999966</v>
      </c>
      <c r="AW80" s="360">
        <f t="shared" ref="AW80:AX80" si="47">AW77+AW76+AW78</f>
        <v>1596.0999999999967</v>
      </c>
      <c r="AX80" s="599">
        <f t="shared" si="47"/>
        <v>817.7999999999962</v>
      </c>
      <c r="AY80" s="360">
        <f>AY77+AY76+AY78+AY79</f>
        <v>1473.3999999999967</v>
      </c>
      <c r="AZ80" s="360">
        <f>AZ77+AZ76+AZ78+AZ79</f>
        <v>3478.4999999999955</v>
      </c>
      <c r="BA80" s="360">
        <f t="shared" ref="BA80" si="48">BA77+BA76+BA78</f>
        <v>4181.6999999999962</v>
      </c>
      <c r="BB80" s="599">
        <f>BB77+BB76+BB78+BB79</f>
        <v>3325.6999999999989</v>
      </c>
      <c r="BC80" s="360">
        <f>BC77+BC76+BC78+BC79</f>
        <v>2719.1999999999989</v>
      </c>
      <c r="BD80" s="360">
        <f>BD77+BD76+BD78+BD79</f>
        <v>3076.7999999999988</v>
      </c>
      <c r="BE80" s="360">
        <f>BE77+BE76+BE78+BE79</f>
        <v>3097.5999999999985</v>
      </c>
      <c r="BF80" s="599">
        <f>BF77+BF76+BF78+BF79</f>
        <v>2687.1038520594993</v>
      </c>
      <c r="BG80" s="360">
        <f t="shared" ref="BG80" si="49">BG77+BG76+BG78+BG79</f>
        <v>2254.9038520594995</v>
      </c>
      <c r="BH80" s="360"/>
      <c r="BI80" s="360"/>
      <c r="BJ80" s="599"/>
    </row>
    <row r="81" spans="1:61">
      <c r="N81" s="208"/>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61" s="6" customFormat="1" ht="52">
      <c r="A82" s="97" t="s">
        <v>429</v>
      </c>
      <c r="B82" s="97" t="s">
        <v>430</v>
      </c>
      <c r="N82" s="16"/>
      <c r="AB82" s="65"/>
      <c r="BD82" s="4"/>
      <c r="BE82" s="4"/>
      <c r="BF82" s="4"/>
      <c r="BG82" s="4"/>
      <c r="BH82" s="4"/>
      <c r="BI82" s="927"/>
    </row>
    <row r="83" spans="1:61" s="6" customFormat="1" ht="19.5" customHeight="1">
      <c r="A83" s="97" t="s">
        <v>431</v>
      </c>
      <c r="B83" s="97" t="s">
        <v>432</v>
      </c>
      <c r="N83" s="16"/>
      <c r="AB83" s="65"/>
      <c r="BD83" s="773"/>
      <c r="BE83" s="4"/>
      <c r="BF83" s="4"/>
      <c r="BG83" s="4"/>
      <c r="BH83" s="4"/>
      <c r="BI83" s="927"/>
    </row>
    <row r="84" spans="1:61" s="6" customFormat="1" ht="44.25" customHeight="1">
      <c r="A84" s="97" t="s">
        <v>433</v>
      </c>
      <c r="B84" s="97" t="s">
        <v>434</v>
      </c>
      <c r="N84" s="16"/>
      <c r="AB84" s="81"/>
      <c r="BD84" s="4"/>
      <c r="BE84" s="4"/>
      <c r="BF84" s="4"/>
      <c r="BG84" s="4"/>
      <c r="BH84" s="4"/>
      <c r="BI84" s="927"/>
    </row>
    <row r="85" spans="1:61" s="6" customFormat="1" ht="29.25" customHeight="1">
      <c r="A85" s="97" t="s">
        <v>435</v>
      </c>
      <c r="B85" s="97" t="s">
        <v>436</v>
      </c>
      <c r="N85" s="16"/>
      <c r="AB85" s="81"/>
      <c r="BD85" s="4"/>
      <c r="BE85" s="4"/>
      <c r="BF85" s="4"/>
      <c r="BG85" s="4"/>
      <c r="BH85" s="4"/>
      <c r="BI85" s="927"/>
    </row>
    <row r="86" spans="1:61" s="6" customFormat="1" ht="51" customHeight="1">
      <c r="A86" s="97" t="s">
        <v>437</v>
      </c>
      <c r="B86" s="97" t="s">
        <v>438</v>
      </c>
      <c r="N86" s="16"/>
      <c r="AB86" s="81"/>
      <c r="BD86" s="4"/>
      <c r="BE86" s="4"/>
      <c r="BF86" s="4"/>
      <c r="BG86" s="4"/>
      <c r="BH86" s="4"/>
      <c r="BI86" s="927"/>
    </row>
    <row r="87" spans="1:61" s="6" customFormat="1" ht="24" customHeight="1">
      <c r="A87" s="97" t="s">
        <v>439</v>
      </c>
      <c r="B87" s="97" t="s">
        <v>440</v>
      </c>
      <c r="N87" s="16"/>
      <c r="AB87" s="82"/>
      <c r="BD87" s="4"/>
      <c r="BE87" s="4"/>
      <c r="BF87" s="4"/>
      <c r="BG87" s="4"/>
      <c r="BH87" s="4"/>
      <c r="BI87" s="927"/>
    </row>
    <row r="88" spans="1:61" s="6" customFormat="1" ht="68.25" customHeight="1">
      <c r="A88" s="97" t="s">
        <v>441</v>
      </c>
      <c r="B88" s="97" t="s">
        <v>442</v>
      </c>
      <c r="N88" s="16"/>
      <c r="AB88" s="82"/>
      <c r="AD88" s="6" t="s">
        <v>443</v>
      </c>
      <c r="BD88" s="4"/>
      <c r="BE88" s="4"/>
      <c r="BF88" s="4"/>
      <c r="BG88" s="4"/>
      <c r="BH88" s="4"/>
      <c r="BI88" s="927"/>
    </row>
    <row r="89" spans="1:61" s="6" customFormat="1" ht="21.75" customHeight="1">
      <c r="A89" s="97" t="s">
        <v>444</v>
      </c>
      <c r="B89" s="97" t="s">
        <v>445</v>
      </c>
      <c r="N89" s="16"/>
      <c r="AB89" s="81"/>
      <c r="BD89" s="4"/>
      <c r="BE89" s="4"/>
      <c r="BF89" s="4"/>
      <c r="BG89" s="4"/>
      <c r="BH89" s="4"/>
      <c r="BI89" s="927"/>
    </row>
    <row r="90" spans="1:61" s="6" customFormat="1">
      <c r="A90" s="97"/>
      <c r="B90" s="97"/>
      <c r="N90" s="16"/>
      <c r="AB90" s="81"/>
      <c r="BD90" s="4"/>
      <c r="BE90" s="4"/>
      <c r="BF90" s="4"/>
      <c r="BG90" s="4"/>
      <c r="BH90" s="4"/>
      <c r="BI90" s="927"/>
    </row>
    <row r="91" spans="1:61" s="6" customFormat="1">
      <c r="A91" s="97"/>
      <c r="B91" s="97"/>
      <c r="N91" s="16"/>
      <c r="AB91" s="81"/>
      <c r="BD91" s="4"/>
      <c r="BE91" s="4"/>
      <c r="BF91" s="4"/>
      <c r="BG91" s="4"/>
      <c r="BH91" s="4"/>
      <c r="BI91" s="927"/>
    </row>
    <row r="92" spans="1:61" s="6" customFormat="1">
      <c r="A92" s="97"/>
      <c r="B92" s="97"/>
      <c r="N92" s="16"/>
      <c r="AB92" s="81"/>
      <c r="BI92" s="68"/>
    </row>
    <row r="93" spans="1:61" s="6" customFormat="1">
      <c r="A93" s="97"/>
      <c r="B93" s="97"/>
      <c r="N93" s="16"/>
      <c r="AB93" s="81"/>
      <c r="BI93" s="68"/>
    </row>
    <row r="94" spans="1:61" s="6" customFormat="1">
      <c r="A94" s="97"/>
      <c r="B94" s="97"/>
      <c r="N94" s="16"/>
      <c r="AB94" s="81"/>
      <c r="BI94" s="68"/>
    </row>
    <row r="95" spans="1:61" s="6" customFormat="1">
      <c r="A95" s="97"/>
      <c r="B95" s="97"/>
      <c r="N95" s="16"/>
      <c r="AB95" s="81"/>
      <c r="BI95" s="68"/>
    </row>
    <row r="96" spans="1:61" s="6" customFormat="1" ht="14.5">
      <c r="A96" s="97"/>
      <c r="B96" s="97"/>
      <c r="N96" s="16"/>
      <c r="AB96" s="82"/>
      <c r="BI96" s="68"/>
    </row>
    <row r="97" spans="1:61" s="6" customFormat="1" ht="14.5">
      <c r="A97" s="97"/>
      <c r="B97" s="97"/>
      <c r="N97" s="16"/>
      <c r="AB97" s="83"/>
      <c r="BI97" s="68"/>
    </row>
    <row r="98" spans="1:61" s="6" customFormat="1">
      <c r="A98" s="97"/>
      <c r="B98" s="97"/>
      <c r="N98" s="16"/>
      <c r="AB98" s="81"/>
      <c r="BI98" s="68"/>
    </row>
    <row r="99" spans="1:61" s="6" customFormat="1">
      <c r="A99" s="97"/>
      <c r="B99" s="97"/>
      <c r="N99" s="16"/>
      <c r="AB99" s="81"/>
      <c r="BI99" s="68"/>
    </row>
    <row r="100" spans="1:61" s="6" customFormat="1">
      <c r="A100" s="97"/>
      <c r="B100" s="97"/>
      <c r="N100" s="16"/>
      <c r="AB100" s="81"/>
      <c r="BI100" s="68"/>
    </row>
    <row r="101" spans="1:61" s="6" customFormat="1">
      <c r="A101" s="97"/>
      <c r="B101" s="97"/>
      <c r="N101" s="16"/>
      <c r="AB101" s="81"/>
      <c r="BI101" s="68"/>
    </row>
    <row r="102" spans="1:61" s="6" customFormat="1">
      <c r="A102" s="97"/>
      <c r="B102" s="97"/>
      <c r="N102" s="16"/>
      <c r="AB102" s="81"/>
      <c r="BI102" s="68"/>
    </row>
    <row r="103" spans="1:61" s="6" customFormat="1">
      <c r="A103" s="97"/>
      <c r="B103" s="97"/>
      <c r="N103" s="16"/>
      <c r="AB103" s="81"/>
      <c r="BI103" s="68"/>
    </row>
    <row r="104" spans="1:61" s="6" customFormat="1">
      <c r="A104" s="97"/>
      <c r="B104" s="97"/>
      <c r="N104" s="16"/>
      <c r="AB104" s="81"/>
      <c r="BI104" s="68"/>
    </row>
    <row r="105" spans="1:61" s="6" customFormat="1">
      <c r="A105" s="97"/>
      <c r="B105" s="97"/>
      <c r="N105" s="16"/>
      <c r="AB105" s="62"/>
      <c r="BI105" s="68"/>
    </row>
    <row r="106" spans="1:61" s="6" customFormat="1">
      <c r="A106" s="97"/>
      <c r="B106" s="97"/>
      <c r="N106" s="16"/>
      <c r="AB106" s="84"/>
      <c r="BI106" s="68"/>
    </row>
    <row r="107" spans="1:61" s="6" customFormat="1">
      <c r="A107" s="97"/>
      <c r="B107" s="97"/>
      <c r="N107" s="16"/>
      <c r="AB107" s="62"/>
      <c r="BI107" s="68"/>
    </row>
    <row r="108" spans="1:61" s="6" customFormat="1">
      <c r="A108" s="97"/>
      <c r="B108" s="97"/>
      <c r="N108" s="16"/>
      <c r="AB108" s="62"/>
      <c r="BI108" s="68"/>
    </row>
    <row r="109" spans="1:61" s="6" customFormat="1">
      <c r="A109" s="97"/>
      <c r="B109" s="97"/>
      <c r="N109" s="16"/>
      <c r="AB109" s="84"/>
      <c r="BI109" s="68"/>
    </row>
    <row r="110" spans="1:61" s="6" customFormat="1">
      <c r="A110" s="97"/>
      <c r="B110" s="97"/>
      <c r="N110" s="16"/>
      <c r="AB110" s="62"/>
      <c r="BI110" s="68"/>
    </row>
    <row r="111" spans="1:61" s="6" customFormat="1">
      <c r="A111" s="97"/>
      <c r="B111" s="97"/>
      <c r="N111" s="16"/>
      <c r="AB111" s="62"/>
      <c r="BI111" s="68"/>
    </row>
    <row r="112" spans="1:61" s="6" customFormat="1">
      <c r="A112" s="97"/>
      <c r="B112" s="97"/>
      <c r="N112" s="16"/>
      <c r="AB112" s="62"/>
      <c r="BI112" s="68"/>
    </row>
    <row r="113" spans="1:61" s="6" customFormat="1">
      <c r="A113" s="97"/>
      <c r="B113" s="97"/>
      <c r="N113" s="16"/>
      <c r="AB113" s="62"/>
      <c r="BI113" s="68"/>
    </row>
    <row r="114" spans="1:61" s="6" customFormat="1">
      <c r="A114" s="97"/>
      <c r="B114" s="97"/>
      <c r="N114" s="16"/>
      <c r="AB114" s="62"/>
      <c r="BI114" s="68"/>
    </row>
    <row r="115" spans="1:61" s="6" customFormat="1">
      <c r="A115" s="97"/>
      <c r="B115" s="97"/>
      <c r="N115" s="16"/>
      <c r="AB115" s="62"/>
      <c r="BI115" s="68"/>
    </row>
    <row r="116" spans="1:61" s="6" customFormat="1">
      <c r="A116" s="97"/>
      <c r="B116" s="97"/>
      <c r="N116" s="16"/>
      <c r="AB116" s="62"/>
      <c r="BI116" s="68"/>
    </row>
    <row r="117" spans="1:61" s="6" customFormat="1">
      <c r="A117" s="97"/>
      <c r="B117" s="97"/>
      <c r="N117" s="16"/>
      <c r="AB117" s="62"/>
      <c r="BI117" s="68"/>
    </row>
    <row r="118" spans="1:61" s="6" customFormat="1">
      <c r="A118" s="97"/>
      <c r="B118" s="97"/>
      <c r="N118" s="16"/>
      <c r="AB118" s="62"/>
      <c r="BI118" s="68"/>
    </row>
    <row r="119" spans="1:61" s="6" customFormat="1">
      <c r="A119" s="97"/>
      <c r="B119" s="97"/>
      <c r="N119" s="16"/>
      <c r="AB119" s="62"/>
      <c r="BI119" s="68"/>
    </row>
    <row r="120" spans="1:61" s="6" customFormat="1">
      <c r="A120" s="97"/>
      <c r="B120" s="97"/>
      <c r="AB120" s="62"/>
      <c r="BI120" s="68"/>
    </row>
    <row r="121" spans="1:61" s="6" customFormat="1">
      <c r="A121" s="97"/>
      <c r="B121" s="97"/>
      <c r="AB121" s="62"/>
      <c r="BI121" s="68"/>
    </row>
    <row r="122" spans="1:61" s="6" customFormat="1" ht="14.5">
      <c r="A122" s="97"/>
      <c r="B122" s="97"/>
      <c r="AB122" s="83"/>
      <c r="BI122" s="68"/>
    </row>
    <row r="123" spans="1:61" s="6" customFormat="1">
      <c r="A123" s="97"/>
      <c r="B123" s="97"/>
      <c r="AB123" s="62"/>
      <c r="BI123" s="68"/>
    </row>
    <row r="124" spans="1:61" s="6" customFormat="1">
      <c r="A124" s="97"/>
      <c r="B124" s="97"/>
      <c r="AB124" s="62"/>
      <c r="BI124" s="68"/>
    </row>
    <row r="125" spans="1:61" s="6" customFormat="1">
      <c r="A125" s="97"/>
      <c r="B125" s="97"/>
      <c r="AB125" s="84"/>
      <c r="BI125" s="68"/>
    </row>
    <row r="126" spans="1:61" s="6" customFormat="1">
      <c r="A126" s="97"/>
      <c r="B126" s="97"/>
      <c r="AB126" s="62"/>
      <c r="BI126" s="68"/>
    </row>
    <row r="127" spans="1:61" s="6" customFormat="1">
      <c r="A127" s="97"/>
      <c r="B127" s="97"/>
      <c r="AB127" s="62"/>
      <c r="BI127" s="68"/>
    </row>
    <row r="128" spans="1:61" s="6" customFormat="1">
      <c r="A128" s="97"/>
      <c r="B128" s="97"/>
      <c r="AB128" s="62"/>
      <c r="BI128" s="68"/>
    </row>
    <row r="129" spans="1:61" s="6" customFormat="1">
      <c r="A129" s="97"/>
      <c r="B129" s="97"/>
      <c r="AB129" s="62"/>
      <c r="BI129" s="68"/>
    </row>
    <row r="130" spans="1:61" s="6" customFormat="1">
      <c r="A130" s="97"/>
      <c r="B130" s="97"/>
      <c r="AB130" s="62"/>
      <c r="BI130" s="68"/>
    </row>
    <row r="131" spans="1:61" s="6" customFormat="1">
      <c r="A131" s="97"/>
      <c r="B131" s="97"/>
      <c r="AB131" s="62"/>
      <c r="BI131" s="68"/>
    </row>
    <row r="132" spans="1:61" s="6" customFormat="1">
      <c r="A132" s="97"/>
      <c r="B132" s="97"/>
      <c r="AB132" s="62"/>
      <c r="BI132" s="68"/>
    </row>
    <row r="133" spans="1:61" s="6" customFormat="1">
      <c r="A133" s="97"/>
      <c r="B133" s="97"/>
      <c r="AB133" s="62"/>
      <c r="BI133" s="68"/>
    </row>
    <row r="134" spans="1:61" s="6" customFormat="1">
      <c r="A134" s="97"/>
      <c r="B134" s="97"/>
      <c r="AB134" s="62"/>
      <c r="BI134" s="68"/>
    </row>
    <row r="135" spans="1:61" s="6" customFormat="1">
      <c r="A135" s="97"/>
      <c r="B135" s="97"/>
      <c r="AB135" s="62"/>
      <c r="BI135" s="68"/>
    </row>
    <row r="136" spans="1:61" s="6" customFormat="1">
      <c r="A136" s="97"/>
      <c r="B136" s="97"/>
      <c r="AB136" s="84"/>
      <c r="BI136" s="68"/>
    </row>
    <row r="137" spans="1:61" s="6" customFormat="1">
      <c r="A137" s="97"/>
      <c r="B137" s="97"/>
      <c r="AB137" s="84"/>
      <c r="BI137" s="68"/>
    </row>
    <row r="138" spans="1:61" s="6" customFormat="1">
      <c r="A138" s="97"/>
      <c r="B138" s="97"/>
      <c r="AB138" s="84"/>
      <c r="BI138" s="68"/>
    </row>
    <row r="139" spans="1:61" s="6" customFormat="1">
      <c r="A139" s="97"/>
      <c r="B139" s="97"/>
      <c r="AB139" s="62"/>
      <c r="BI139" s="68"/>
    </row>
    <row r="140" spans="1:61" s="6" customFormat="1">
      <c r="A140" s="97"/>
      <c r="B140" s="97"/>
      <c r="AB140" s="84"/>
      <c r="BI140" s="68"/>
    </row>
    <row r="141" spans="1:61" s="6" customFormat="1">
      <c r="A141" s="97"/>
      <c r="B141" s="97"/>
      <c r="AB141" s="4"/>
      <c r="BI141" s="68"/>
    </row>
    <row r="142" spans="1:61" s="6" customFormat="1">
      <c r="A142" s="97"/>
      <c r="B142" s="97"/>
      <c r="AB142" s="4"/>
      <c r="BI142" s="68"/>
    </row>
    <row r="143" spans="1:61" s="6" customFormat="1">
      <c r="A143" s="97"/>
      <c r="B143" s="97"/>
      <c r="AB143" s="4"/>
      <c r="BI143" s="68"/>
    </row>
    <row r="144" spans="1:61" s="6" customFormat="1">
      <c r="A144" s="97"/>
      <c r="B144" s="97"/>
      <c r="AB144" s="4"/>
      <c r="BI144" s="68"/>
    </row>
    <row r="145" spans="1:61" s="6" customFormat="1">
      <c r="A145" s="97"/>
      <c r="B145" s="97"/>
      <c r="AB145" s="4"/>
      <c r="BI145" s="68"/>
    </row>
    <row r="146" spans="1:61" s="6" customFormat="1">
      <c r="A146" s="97"/>
      <c r="B146" s="97"/>
      <c r="AB146" s="4"/>
      <c r="BI146" s="68"/>
    </row>
    <row r="147" spans="1:61" s="6" customFormat="1">
      <c r="A147" s="97"/>
      <c r="B147" s="97"/>
      <c r="AB147" s="4"/>
      <c r="BI147" s="68"/>
    </row>
    <row r="148" spans="1:61" s="6" customFormat="1">
      <c r="A148" s="97"/>
      <c r="B148" s="97"/>
      <c r="AB148" s="4"/>
      <c r="BI148" s="68"/>
    </row>
    <row r="149" spans="1:61" s="6" customFormat="1">
      <c r="A149" s="97"/>
      <c r="B149" s="97"/>
      <c r="AB149" s="4"/>
      <c r="BI149" s="68"/>
    </row>
    <row r="150" spans="1:61" s="6" customFormat="1">
      <c r="A150" s="97"/>
      <c r="B150" s="97"/>
      <c r="AB150" s="4"/>
      <c r="BI150" s="68"/>
    </row>
    <row r="151" spans="1:61" s="6" customFormat="1">
      <c r="A151" s="97"/>
      <c r="B151" s="97"/>
      <c r="AB151" s="4"/>
      <c r="BI151" s="68"/>
    </row>
    <row r="152" spans="1:61" s="6" customFormat="1">
      <c r="A152" s="97"/>
      <c r="B152" s="97"/>
      <c r="AB152" s="4"/>
      <c r="BI152" s="68"/>
    </row>
    <row r="153" spans="1:61" s="6" customFormat="1">
      <c r="A153" s="97"/>
      <c r="B153" s="97"/>
      <c r="AB153" s="4"/>
      <c r="BI153" s="68"/>
    </row>
    <row r="154" spans="1:61" s="6" customFormat="1">
      <c r="A154" s="97"/>
      <c r="B154" s="97"/>
      <c r="AB154" s="4"/>
      <c r="BI154" s="68"/>
    </row>
    <row r="155" spans="1:61" s="6" customFormat="1">
      <c r="A155" s="97"/>
      <c r="B155" s="97"/>
      <c r="AB155" s="4"/>
      <c r="BI155" s="68"/>
    </row>
    <row r="156" spans="1:61" s="6" customFormat="1">
      <c r="A156" s="97"/>
      <c r="B156" s="97"/>
      <c r="AB156" s="4"/>
      <c r="BI156" s="68"/>
    </row>
    <row r="157" spans="1:61" s="6" customFormat="1">
      <c r="A157" s="97"/>
      <c r="B157" s="97"/>
      <c r="AB157" s="4"/>
      <c r="BI157" s="68"/>
    </row>
    <row r="158" spans="1:61" s="6" customFormat="1">
      <c r="A158" s="97"/>
      <c r="B158" s="97"/>
      <c r="AB158" s="4"/>
      <c r="BI158" s="68"/>
    </row>
    <row r="159" spans="1:61">
      <c r="A159" s="97"/>
      <c r="B159" s="97"/>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C159" s="6"/>
      <c r="AD159" s="6"/>
      <c r="BD159" s="6"/>
    </row>
    <row r="160" spans="1:61">
      <c r="BD160" s="6"/>
    </row>
    <row r="161" spans="56:56">
      <c r="BD161" s="6"/>
    </row>
  </sheetData>
  <customSheetViews>
    <customSheetView guid="{B87BD74C-18F3-4393-BF03-31B25889E08F}" showGridLines="0" fitToPage="1" hiddenColumns="1">
      <pane xSplit="1" ySplit="4" topLeftCell="AI26" activePane="bottomRight" state="frozen"/>
      <selection pane="bottomRight" activeCell="AQ30" sqref="AQ30"/>
      <pageMargins left="0" right="0" top="0" bottom="0" header="0" footer="0"/>
      <pageSetup paperSize="9" scale="30" orientation="landscape" horizontalDpi="1200" verticalDpi="1200" r:id="rId1"/>
    </customSheetView>
    <customSheetView guid="{0581D693-F741-454A-848A-FCD54BC91A66}" scale="80" showPageBreaks="1" showGridLines="0" fitToPage="1" printArea="1" hiddenColumns="1">
      <pane xSplit="1" ySplit="4" topLeftCell="AN62" activePane="bottomRight" state="frozen"/>
      <selection pane="bottomRight" activeCell="AR72" sqref="AR72"/>
      <pageMargins left="0" right="0" top="0" bottom="0" header="0" footer="0"/>
      <pageSetup paperSize="9" scale="29" orientation="landscape" horizontalDpi="1200" verticalDpi="1200" r:id="rId2"/>
    </customSheetView>
    <customSheetView guid="{634BFE77-A2AA-4FA6-8ED5-F02244B9F10C}" showPageBreaks="1" showGridLines="0" fitToPage="1" printArea="1" hiddenColumns="1">
      <pane xSplit="1" ySplit="4" topLeftCell="AI54" activePane="bottomRight" state="frozen"/>
      <selection pane="bottomRight" activeCell="AQ68" sqref="AQ68"/>
      <pageMargins left="0" right="0" top="0" bottom="0" header="0" footer="0"/>
      <pageSetup paperSize="9" scale="30" orientation="landscape" horizontalDpi="1200" verticalDpi="1200"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howPageBreaks="1" showGridLines="0" fitToPage="1" printArea="1">
      <pane xSplit="1" ySplit="4" topLeftCell="AP5" activePane="bottomRight" state="frozen"/>
      <selection pane="bottomRight" activeCell="AR24" sqref="AR24"/>
      <pageMargins left="0" right="0" top="0" bottom="0" header="0" footer="0"/>
      <pageSetup paperSize="9" scale="29" orientation="landscape" horizontalDpi="1200" verticalDpi="1200" r:id="rId4"/>
    </customSheetView>
  </customSheetViews>
  <mergeCells count="15">
    <mergeCell ref="C2:F2"/>
    <mergeCell ref="G2:J2"/>
    <mergeCell ref="K2:N2"/>
    <mergeCell ref="O2:R2"/>
    <mergeCell ref="S2:V2"/>
    <mergeCell ref="AY2:BB2"/>
    <mergeCell ref="AU2:AX2"/>
    <mergeCell ref="BC2:BF2"/>
    <mergeCell ref="BG2:BJ2"/>
    <mergeCell ref="W2:Z2"/>
    <mergeCell ref="AQ2:AT2"/>
    <mergeCell ref="AM2:AP2"/>
    <mergeCell ref="AI2:AL2"/>
    <mergeCell ref="AE2:AH2"/>
    <mergeCell ref="AA2:AD2"/>
  </mergeCells>
  <pageMargins left="0.70866141732283505" right="0.70866141732283505" top="0.74803149606299202" bottom="0.74803149606299202" header="0.31496062992126" footer="0.31496062992126"/>
  <pageSetup paperSize="9" scale="29" orientation="landscape" horizontalDpi="1200" verticalDpi="1200" r:id="rId5"/>
  <headerFooter>
    <oddFooter>&amp;L&amp;1#&amp;"Calibri"&amp;8&amp;K000000TAJEMNICA PRZEDSIĘBIORSTWA w rozumieniu art. 11 ust. 2 ustawy z dnia 16 kwietnia 1993 r. o zwalczaniu nieuczciwej konkurencji – DO UŻYTKU SŁUŻBOWEGO</oddFooter>
  </headerFooter>
  <ignoredErrors>
    <ignoredError sqref="AC41" formulaRange="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X752"/>
  <sheetViews>
    <sheetView showGridLines="0" zoomScale="80" zoomScaleNormal="80" zoomScaleSheetLayoutView="100" workbookViewId="0">
      <pane xSplit="68" ySplit="4" topLeftCell="BW5" activePane="bottomRight" state="frozen"/>
      <selection pane="topRight" activeCell="BQ1" sqref="BQ1"/>
      <selection pane="bottomLeft" activeCell="A5" sqref="A5"/>
      <selection pane="bottomRight" activeCell="BY14" sqref="BY14"/>
    </sheetView>
  </sheetViews>
  <sheetFormatPr defaultColWidth="9" defaultRowHeight="14.5"/>
  <cols>
    <col min="1" max="1" width="43.1640625" style="144" customWidth="1"/>
    <col min="2" max="2" width="42.33203125" style="144" customWidth="1"/>
    <col min="3" max="38" width="3.5" style="144" hidden="1" customWidth="1"/>
    <col min="39" max="43" width="0" style="143" hidden="1" customWidth="1"/>
    <col min="44" max="48" width="9" style="143" hidden="1" customWidth="1"/>
    <col min="49" max="53" width="0" style="143" hidden="1" customWidth="1"/>
    <col min="54" max="54" width="9.1640625" style="143" hidden="1" customWidth="1"/>
    <col min="55" max="58" width="0" style="143" hidden="1" customWidth="1"/>
    <col min="59" max="59" width="9.1640625" style="143" hidden="1" customWidth="1"/>
    <col min="60" max="63" width="0" style="143" hidden="1" customWidth="1"/>
    <col min="64" max="64" width="9.1640625" style="143" hidden="1" customWidth="1"/>
    <col min="65" max="68" width="0" style="143" hidden="1" customWidth="1"/>
    <col min="69" max="69" width="9.1640625" style="143" bestFit="1" customWidth="1"/>
    <col min="70" max="73" width="9" style="143"/>
    <col min="74" max="74" width="9.1640625" style="143" bestFit="1" customWidth="1"/>
    <col min="75" max="79" width="9" style="143"/>
    <col min="80" max="80" width="9.6640625" style="143" bestFit="1" customWidth="1"/>
    <col min="81" max="492" width="9" style="143"/>
    <col min="493" max="16384" width="9" style="144"/>
  </cols>
  <sheetData>
    <row r="1" spans="1:492" ht="89.25" customHeight="1">
      <c r="A1" s="2"/>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782"/>
      <c r="AN1" s="782"/>
      <c r="AO1" s="782"/>
      <c r="AP1" s="782"/>
      <c r="AQ1" s="782"/>
      <c r="AR1" s="782"/>
      <c r="AS1" s="782"/>
      <c r="AT1" s="782"/>
      <c r="AU1" s="782"/>
      <c r="AV1" s="782"/>
      <c r="AW1" s="782"/>
      <c r="AX1" s="782"/>
      <c r="AY1" s="782"/>
      <c r="AZ1" s="782"/>
      <c r="BA1" s="782"/>
      <c r="BB1" s="782"/>
      <c r="BC1" s="782"/>
      <c r="BD1" s="782"/>
      <c r="BE1" s="782"/>
      <c r="BF1" s="782"/>
      <c r="BG1" s="782"/>
      <c r="BH1" s="782"/>
      <c r="BI1" s="782"/>
      <c r="BJ1" s="782"/>
      <c r="BK1" s="782"/>
      <c r="BL1" s="782"/>
      <c r="BM1" s="782"/>
      <c r="BN1" s="782"/>
      <c r="BO1" s="782"/>
      <c r="BP1" s="782"/>
      <c r="BQ1" s="782"/>
      <c r="BR1" s="782"/>
      <c r="BS1" s="782"/>
      <c r="BT1" s="782"/>
      <c r="BU1" s="782"/>
      <c r="BV1" s="782"/>
      <c r="BW1" s="782"/>
      <c r="BX1" s="782"/>
      <c r="BY1" s="782"/>
      <c r="BZ1" s="782"/>
      <c r="CA1" s="782"/>
      <c r="CB1" s="782"/>
      <c r="CC1" s="782"/>
      <c r="CD1" s="782"/>
      <c r="CE1" s="782"/>
      <c r="CF1" s="782"/>
      <c r="CG1" s="782"/>
      <c r="CH1" s="782"/>
      <c r="CI1" s="782"/>
      <c r="CJ1" s="782"/>
      <c r="CK1" s="782"/>
      <c r="CL1" s="782"/>
      <c r="CM1" s="782"/>
      <c r="CN1" s="782"/>
      <c r="CO1" s="782"/>
      <c r="CP1" s="782"/>
      <c r="CQ1" s="782"/>
      <c r="CR1" s="782"/>
      <c r="CS1" s="782"/>
      <c r="CT1" s="782"/>
      <c r="CU1" s="782"/>
      <c r="CV1" s="782"/>
      <c r="CW1" s="782"/>
      <c r="CX1" s="782"/>
      <c r="CY1" s="782"/>
      <c r="CZ1" s="782"/>
      <c r="DA1" s="782"/>
      <c r="DB1" s="782"/>
      <c r="DC1" s="782"/>
      <c r="DD1" s="782"/>
      <c r="DE1" s="782"/>
      <c r="DF1" s="782"/>
      <c r="DG1" s="782"/>
      <c r="DH1" s="782"/>
      <c r="DI1" s="782"/>
      <c r="DJ1" s="782"/>
      <c r="DK1" s="782"/>
      <c r="DL1" s="782"/>
      <c r="DM1" s="782"/>
      <c r="DN1" s="782"/>
      <c r="DO1" s="782"/>
      <c r="DP1" s="782"/>
      <c r="DQ1" s="782"/>
      <c r="DR1" s="782"/>
      <c r="DS1" s="782"/>
      <c r="DT1" s="782"/>
      <c r="DU1" s="782"/>
      <c r="DV1" s="782"/>
      <c r="DW1" s="782"/>
      <c r="DX1" s="782"/>
      <c r="DY1" s="782"/>
      <c r="DZ1" s="782"/>
      <c r="EA1" s="782"/>
      <c r="EB1" s="782"/>
      <c r="EC1" s="782"/>
      <c r="ED1" s="782"/>
      <c r="EE1" s="782"/>
      <c r="EF1" s="782"/>
      <c r="EG1" s="782"/>
      <c r="EH1" s="782"/>
      <c r="EI1" s="782"/>
      <c r="EJ1" s="782"/>
      <c r="EK1" s="782"/>
      <c r="EL1" s="782"/>
      <c r="EM1" s="782"/>
      <c r="EN1" s="782"/>
      <c r="EO1" s="782"/>
      <c r="EP1" s="782"/>
      <c r="EQ1" s="782"/>
      <c r="ER1" s="782"/>
      <c r="ES1" s="782"/>
      <c r="ET1" s="782"/>
      <c r="EU1" s="782"/>
      <c r="EV1" s="782"/>
      <c r="EW1" s="782"/>
      <c r="EX1" s="782"/>
      <c r="EY1" s="782"/>
      <c r="EZ1" s="782"/>
      <c r="FA1" s="782"/>
      <c r="FB1" s="782"/>
      <c r="FC1" s="782"/>
      <c r="FD1" s="782"/>
      <c r="FE1" s="782"/>
      <c r="FF1" s="782"/>
      <c r="FG1" s="782"/>
      <c r="FH1" s="782"/>
      <c r="FI1" s="782"/>
      <c r="FJ1" s="782"/>
      <c r="FK1" s="782"/>
      <c r="FL1" s="782"/>
      <c r="FM1" s="782"/>
      <c r="FN1" s="782"/>
      <c r="FO1" s="782"/>
      <c r="FP1" s="782"/>
      <c r="FQ1" s="782"/>
      <c r="FR1" s="782"/>
      <c r="FS1" s="782"/>
      <c r="FT1" s="782"/>
      <c r="FU1" s="782"/>
      <c r="FV1" s="782"/>
      <c r="FW1" s="782"/>
      <c r="FX1" s="782"/>
      <c r="FY1" s="782"/>
      <c r="FZ1" s="782"/>
      <c r="GA1" s="782"/>
      <c r="GB1" s="782"/>
      <c r="GC1" s="782"/>
      <c r="GD1" s="782"/>
      <c r="GE1" s="782"/>
      <c r="GF1" s="782"/>
      <c r="GG1" s="782"/>
      <c r="GH1" s="782"/>
      <c r="GI1" s="782"/>
      <c r="GJ1" s="782"/>
      <c r="GK1" s="782"/>
      <c r="GL1" s="782"/>
      <c r="GM1" s="782"/>
      <c r="GN1" s="782"/>
      <c r="GO1" s="782"/>
      <c r="GP1" s="782"/>
      <c r="GQ1" s="782"/>
      <c r="GR1" s="782"/>
      <c r="GS1" s="782"/>
      <c r="GT1" s="782"/>
      <c r="GU1" s="782"/>
      <c r="GV1" s="782"/>
      <c r="GW1" s="782"/>
      <c r="GX1" s="782"/>
      <c r="GY1" s="782"/>
      <c r="GZ1" s="782"/>
      <c r="HA1" s="782"/>
      <c r="HB1" s="782"/>
      <c r="HC1" s="782"/>
      <c r="HD1" s="782"/>
      <c r="HE1" s="782"/>
      <c r="HF1" s="782"/>
      <c r="HG1" s="782"/>
      <c r="HH1" s="782"/>
      <c r="HI1" s="782"/>
      <c r="HJ1" s="782"/>
      <c r="HK1" s="782"/>
      <c r="HL1" s="782"/>
      <c r="HM1" s="782"/>
      <c r="HN1" s="782"/>
      <c r="HO1" s="782"/>
      <c r="HP1" s="782"/>
      <c r="HQ1" s="782"/>
      <c r="HR1" s="782"/>
      <c r="HS1" s="782"/>
      <c r="HT1" s="782"/>
      <c r="HU1" s="782"/>
      <c r="HV1" s="782"/>
      <c r="HW1" s="782"/>
      <c r="HX1" s="782"/>
      <c r="HY1" s="782"/>
      <c r="HZ1" s="782"/>
      <c r="IA1" s="782"/>
      <c r="IB1" s="782"/>
      <c r="IC1" s="782"/>
      <c r="ID1" s="782"/>
      <c r="IE1" s="782"/>
      <c r="IF1" s="782"/>
      <c r="IG1" s="782"/>
      <c r="IH1" s="782"/>
      <c r="II1" s="782"/>
      <c r="IJ1" s="782"/>
      <c r="IK1" s="782"/>
      <c r="IL1" s="782"/>
      <c r="IM1" s="782"/>
      <c r="IN1" s="782"/>
      <c r="IO1" s="782"/>
      <c r="IP1" s="782"/>
      <c r="IQ1" s="782"/>
      <c r="IR1" s="782"/>
      <c r="IS1" s="782"/>
      <c r="IT1" s="782"/>
      <c r="IU1" s="782"/>
      <c r="IV1" s="782"/>
      <c r="IW1" s="782"/>
      <c r="IX1" s="782"/>
      <c r="IY1" s="782"/>
      <c r="IZ1" s="782"/>
      <c r="JA1" s="782"/>
      <c r="JB1" s="782"/>
      <c r="JC1" s="782"/>
      <c r="JD1" s="782"/>
      <c r="JE1" s="782"/>
      <c r="JF1" s="782"/>
      <c r="JG1" s="782"/>
      <c r="JH1" s="782"/>
      <c r="JI1" s="782"/>
      <c r="JJ1" s="782"/>
      <c r="JK1" s="782"/>
      <c r="JL1" s="782"/>
      <c r="JM1" s="782"/>
      <c r="JN1" s="782"/>
      <c r="JO1" s="782"/>
      <c r="JP1" s="782"/>
      <c r="JQ1" s="782"/>
      <c r="JR1" s="782"/>
      <c r="JS1" s="782"/>
      <c r="JT1" s="782"/>
      <c r="JU1" s="782"/>
      <c r="JV1" s="782"/>
      <c r="JW1" s="782"/>
      <c r="JX1" s="782"/>
      <c r="JY1" s="782"/>
      <c r="JZ1" s="782"/>
      <c r="KA1" s="782"/>
      <c r="KB1" s="782"/>
      <c r="KC1" s="782"/>
      <c r="KD1" s="782"/>
      <c r="KE1" s="782"/>
      <c r="KF1" s="782"/>
      <c r="KG1" s="782"/>
      <c r="KH1" s="782"/>
      <c r="KI1" s="782"/>
      <c r="KJ1" s="782"/>
      <c r="KK1" s="782"/>
      <c r="KL1" s="782"/>
      <c r="KM1" s="782"/>
      <c r="KN1" s="782"/>
      <c r="KO1" s="782"/>
      <c r="KP1" s="782"/>
      <c r="KQ1" s="782"/>
      <c r="KR1" s="782"/>
      <c r="KS1" s="782"/>
      <c r="KT1" s="782"/>
      <c r="KU1" s="782"/>
      <c r="KV1" s="782"/>
      <c r="KW1" s="782"/>
      <c r="KX1" s="782"/>
      <c r="KY1" s="782"/>
      <c r="KZ1" s="782"/>
      <c r="LA1" s="782"/>
      <c r="LB1" s="782"/>
      <c r="LC1" s="782"/>
      <c r="LD1" s="782"/>
      <c r="LE1" s="782"/>
      <c r="LF1" s="782"/>
      <c r="LG1" s="782"/>
      <c r="LH1" s="782"/>
      <c r="LI1" s="782"/>
      <c r="LJ1" s="782"/>
      <c r="LK1" s="782"/>
      <c r="LL1" s="782"/>
      <c r="LM1" s="782"/>
      <c r="LN1" s="782"/>
      <c r="LO1" s="782"/>
      <c r="LP1" s="782"/>
      <c r="LQ1" s="782"/>
      <c r="LR1" s="782"/>
      <c r="LS1" s="782"/>
      <c r="LT1" s="782"/>
      <c r="LU1" s="782"/>
      <c r="LV1" s="782"/>
      <c r="LW1" s="782"/>
      <c r="LX1" s="782"/>
      <c r="LY1" s="782"/>
      <c r="LZ1" s="782"/>
      <c r="MA1" s="782"/>
      <c r="MB1" s="782"/>
      <c r="MC1" s="782"/>
      <c r="MD1" s="782"/>
      <c r="ME1" s="782"/>
      <c r="MF1" s="782"/>
      <c r="MG1" s="782"/>
      <c r="MH1" s="782"/>
      <c r="MI1" s="782"/>
      <c r="MJ1" s="782"/>
      <c r="MK1" s="782"/>
      <c r="ML1" s="782"/>
      <c r="MM1" s="782"/>
      <c r="MN1" s="782"/>
      <c r="MO1" s="782"/>
      <c r="MP1" s="782"/>
      <c r="MQ1" s="782"/>
      <c r="MR1" s="782"/>
      <c r="MS1" s="782"/>
      <c r="MT1" s="782"/>
      <c r="MU1" s="782"/>
      <c r="MV1" s="782"/>
      <c r="MW1" s="782"/>
      <c r="MX1" s="782"/>
      <c r="MY1" s="782"/>
      <c r="MZ1" s="782"/>
      <c r="NA1" s="782"/>
      <c r="NB1" s="782"/>
      <c r="NC1" s="782"/>
      <c r="ND1" s="782"/>
      <c r="NE1" s="782"/>
      <c r="NF1" s="782"/>
      <c r="NG1" s="782"/>
      <c r="NH1" s="782"/>
      <c r="NI1" s="782"/>
      <c r="NJ1" s="782"/>
      <c r="NK1" s="782"/>
      <c r="NL1" s="782"/>
      <c r="NM1" s="782"/>
      <c r="NN1" s="782"/>
      <c r="NO1" s="782"/>
      <c r="NP1" s="782"/>
      <c r="NQ1" s="782"/>
      <c r="NR1" s="782"/>
      <c r="NS1" s="782"/>
      <c r="NT1" s="782"/>
      <c r="NU1" s="782"/>
      <c r="NV1" s="782"/>
      <c r="NW1" s="782"/>
      <c r="NX1" s="782"/>
      <c r="NY1" s="782"/>
      <c r="NZ1" s="782"/>
      <c r="OA1" s="782"/>
      <c r="OB1" s="782"/>
      <c r="OC1" s="782"/>
      <c r="OD1" s="782"/>
      <c r="OE1" s="782"/>
      <c r="OF1" s="782"/>
      <c r="OG1" s="782"/>
      <c r="OH1" s="782"/>
      <c r="OI1" s="782"/>
      <c r="OJ1" s="782"/>
      <c r="OK1" s="782"/>
      <c r="OL1" s="782"/>
      <c r="OM1" s="782"/>
      <c r="ON1" s="782"/>
      <c r="OO1" s="782"/>
      <c r="OP1" s="782"/>
      <c r="OQ1" s="782"/>
      <c r="OR1" s="782"/>
      <c r="OS1" s="782"/>
      <c r="OT1" s="782"/>
      <c r="OU1" s="782"/>
      <c r="OV1" s="782"/>
      <c r="OW1" s="782"/>
      <c r="OX1" s="782"/>
      <c r="OY1" s="782"/>
      <c r="OZ1" s="782"/>
      <c r="PA1" s="782"/>
      <c r="PB1" s="782"/>
      <c r="PC1" s="782"/>
      <c r="PD1" s="782"/>
      <c r="PE1" s="782"/>
      <c r="PF1" s="782"/>
      <c r="PG1" s="782"/>
      <c r="PH1" s="782"/>
      <c r="PI1" s="782"/>
      <c r="PJ1" s="782"/>
      <c r="PK1" s="782"/>
      <c r="PL1" s="782"/>
      <c r="PM1" s="782"/>
      <c r="PN1" s="782"/>
      <c r="PO1" s="782"/>
      <c r="PP1" s="782"/>
      <c r="PQ1" s="782"/>
      <c r="PR1" s="782"/>
      <c r="PS1" s="782"/>
      <c r="PT1" s="782"/>
      <c r="PU1" s="782"/>
      <c r="PV1" s="782"/>
      <c r="PW1" s="782"/>
      <c r="PX1" s="782"/>
      <c r="PY1" s="782"/>
      <c r="PZ1" s="782"/>
      <c r="QA1" s="782"/>
      <c r="QB1" s="782"/>
      <c r="QC1" s="782"/>
      <c r="QD1" s="782"/>
      <c r="QE1" s="782"/>
      <c r="QF1" s="782"/>
      <c r="QG1" s="782"/>
      <c r="QH1" s="782"/>
      <c r="QI1" s="782"/>
      <c r="QJ1" s="782"/>
      <c r="QK1" s="782"/>
      <c r="QL1" s="782"/>
      <c r="QM1" s="782"/>
      <c r="QN1" s="782"/>
      <c r="QO1" s="782"/>
      <c r="QP1" s="782"/>
      <c r="QQ1" s="782"/>
      <c r="QR1" s="782"/>
      <c r="QS1" s="782"/>
      <c r="QT1" s="782"/>
      <c r="QU1" s="782"/>
      <c r="QV1" s="782"/>
      <c r="QW1" s="782"/>
      <c r="QX1" s="782"/>
      <c r="QY1" s="782"/>
      <c r="QZ1" s="782"/>
      <c r="RA1" s="782"/>
      <c r="RB1" s="782"/>
      <c r="RC1" s="782"/>
      <c r="RD1" s="782"/>
      <c r="RE1" s="782"/>
      <c r="RF1" s="782"/>
      <c r="RG1" s="782"/>
      <c r="RH1" s="782"/>
      <c r="RI1" s="782"/>
      <c r="RJ1" s="782"/>
      <c r="RK1" s="782"/>
      <c r="RL1" s="782"/>
      <c r="RM1" s="782"/>
      <c r="RN1" s="782"/>
      <c r="RO1" s="782"/>
      <c r="RP1" s="782"/>
      <c r="RQ1" s="782"/>
      <c r="RR1" s="782"/>
      <c r="RS1" s="782"/>
      <c r="RT1" s="782"/>
      <c r="RU1" s="782"/>
      <c r="RV1" s="782"/>
      <c r="RW1" s="782"/>
      <c r="RX1" s="782"/>
    </row>
    <row r="2" spans="1:492" s="5" customFormat="1" ht="32.15" customHeight="1">
      <c r="A2" s="380"/>
      <c r="B2" s="380"/>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967" t="s">
        <v>446</v>
      </c>
      <c r="AN2" s="967"/>
      <c r="AO2" s="967"/>
      <c r="AP2" s="967"/>
      <c r="AQ2" s="967"/>
      <c r="AR2" s="967"/>
      <c r="AS2" s="967"/>
      <c r="AT2" s="967"/>
      <c r="AU2" s="967"/>
      <c r="AV2" s="967"/>
      <c r="AW2" s="967" t="s">
        <v>447</v>
      </c>
      <c r="AX2" s="967"/>
      <c r="AY2" s="967"/>
      <c r="AZ2" s="967"/>
      <c r="BA2" s="967"/>
      <c r="BB2" s="967" t="s">
        <v>6</v>
      </c>
      <c r="BC2" s="967"/>
      <c r="BD2" s="967"/>
      <c r="BE2" s="967"/>
      <c r="BF2" s="967"/>
      <c r="BG2" s="967" t="s">
        <v>7</v>
      </c>
      <c r="BH2" s="967"/>
      <c r="BI2" s="967"/>
      <c r="BJ2" s="967"/>
      <c r="BK2" s="967"/>
      <c r="BL2" s="967" t="s">
        <v>8</v>
      </c>
      <c r="BM2" s="967"/>
      <c r="BN2" s="967"/>
      <c r="BO2" s="967"/>
      <c r="BP2" s="967"/>
      <c r="BQ2" s="967" t="s">
        <v>9</v>
      </c>
      <c r="BR2" s="967"/>
      <c r="BS2" s="967"/>
      <c r="BT2" s="967"/>
      <c r="BU2" s="967"/>
      <c r="BV2" s="967" t="s">
        <v>10</v>
      </c>
      <c r="BW2" s="967"/>
      <c r="BX2" s="967"/>
      <c r="BY2" s="967"/>
      <c r="BZ2" s="967"/>
      <c r="CA2" s="967" t="s">
        <v>796</v>
      </c>
      <c r="CB2" s="967"/>
      <c r="CC2" s="967"/>
      <c r="CD2" s="967"/>
      <c r="CE2" s="967"/>
    </row>
    <row r="3" spans="1:492" s="5" customFormat="1" ht="32.15" customHeight="1">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954" t="s">
        <v>448</v>
      </c>
      <c r="AN3" s="954"/>
      <c r="AO3" s="954"/>
      <c r="AP3" s="954"/>
      <c r="AQ3" s="954"/>
      <c r="AR3" s="954"/>
      <c r="AS3" s="954"/>
      <c r="AT3" s="954"/>
      <c r="AU3" s="954"/>
      <c r="AV3" s="954"/>
      <c r="AW3" s="954" t="s">
        <v>449</v>
      </c>
      <c r="AX3" s="954"/>
      <c r="AY3" s="954"/>
      <c r="AZ3" s="954"/>
      <c r="BA3" s="954"/>
      <c r="BB3" s="954" t="s">
        <v>15</v>
      </c>
      <c r="BC3" s="954"/>
      <c r="BD3" s="954"/>
      <c r="BE3" s="954"/>
      <c r="BF3" s="954"/>
      <c r="BG3" s="954" t="s">
        <v>16</v>
      </c>
      <c r="BH3" s="954"/>
      <c r="BI3" s="954"/>
      <c r="BJ3" s="954"/>
      <c r="BK3" s="954"/>
      <c r="BL3" s="954" t="s">
        <v>17</v>
      </c>
      <c r="BM3" s="954"/>
      <c r="BN3" s="954"/>
      <c r="BO3" s="954"/>
      <c r="BP3" s="954"/>
      <c r="BQ3" s="954" t="s">
        <v>18</v>
      </c>
      <c r="BR3" s="954"/>
      <c r="BS3" s="954"/>
      <c r="BT3" s="954"/>
      <c r="BU3" s="954"/>
      <c r="BV3" s="954" t="s">
        <v>19</v>
      </c>
      <c r="BW3" s="954"/>
      <c r="BX3" s="954"/>
      <c r="BY3" s="954"/>
      <c r="BZ3" s="954"/>
      <c r="CA3" s="954" t="s">
        <v>797</v>
      </c>
      <c r="CB3" s="954"/>
      <c r="CC3" s="954"/>
      <c r="CD3" s="954"/>
      <c r="CE3" s="954"/>
    </row>
    <row r="4" spans="1:492" s="5" customFormat="1" ht="16.5" customHeight="1">
      <c r="A4" s="487" t="s">
        <v>20</v>
      </c>
      <c r="B4" s="384" t="s">
        <v>20</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496" t="s">
        <v>21</v>
      </c>
      <c r="AN4" s="386" t="s">
        <v>22</v>
      </c>
      <c r="AO4" s="387" t="s">
        <v>23</v>
      </c>
      <c r="AP4" s="386" t="s">
        <v>24</v>
      </c>
      <c r="AQ4" s="514" t="s">
        <v>450</v>
      </c>
      <c r="AR4" s="386"/>
      <c r="AS4" s="386"/>
      <c r="AT4" s="387"/>
      <c r="AU4" s="386"/>
      <c r="AV4" s="388"/>
      <c r="AW4" s="389" t="s">
        <v>21</v>
      </c>
      <c r="AX4" s="389" t="s">
        <v>22</v>
      </c>
      <c r="AY4" s="390" t="s">
        <v>23</v>
      </c>
      <c r="AZ4" s="389" t="s">
        <v>24</v>
      </c>
      <c r="BA4" s="386" t="s">
        <v>451</v>
      </c>
      <c r="BB4" s="389" t="s">
        <v>21</v>
      </c>
      <c r="BC4" s="389" t="s">
        <v>22</v>
      </c>
      <c r="BD4" s="390" t="s">
        <v>23</v>
      </c>
      <c r="BE4" s="389" t="s">
        <v>24</v>
      </c>
      <c r="BF4" s="386" t="s">
        <v>452</v>
      </c>
      <c r="BG4" s="389" t="s">
        <v>21</v>
      </c>
      <c r="BH4" s="389" t="s">
        <v>22</v>
      </c>
      <c r="BI4" s="390" t="s">
        <v>23</v>
      </c>
      <c r="BJ4" s="389" t="s">
        <v>24</v>
      </c>
      <c r="BK4" s="386" t="s">
        <v>453</v>
      </c>
      <c r="BL4" s="389" t="s">
        <v>21</v>
      </c>
      <c r="BM4" s="389" t="s">
        <v>22</v>
      </c>
      <c r="BN4" s="390" t="s">
        <v>23</v>
      </c>
      <c r="BO4" s="389" t="s">
        <v>24</v>
      </c>
      <c r="BP4" s="386" t="s">
        <v>30</v>
      </c>
      <c r="BQ4" s="389" t="s">
        <v>21</v>
      </c>
      <c r="BR4" s="389" t="s">
        <v>22</v>
      </c>
      <c r="BS4" s="390" t="s">
        <v>23</v>
      </c>
      <c r="BT4" s="389" t="s">
        <v>24</v>
      </c>
      <c r="BU4" s="389">
        <v>2023</v>
      </c>
      <c r="BV4" s="389" t="s">
        <v>21</v>
      </c>
      <c r="BW4" s="389" t="s">
        <v>22</v>
      </c>
      <c r="BX4" s="390" t="s">
        <v>23</v>
      </c>
      <c r="BY4" s="389" t="s">
        <v>24</v>
      </c>
      <c r="BZ4" s="389">
        <v>2024</v>
      </c>
      <c r="CA4" s="389" t="s">
        <v>21</v>
      </c>
      <c r="CB4" s="389" t="s">
        <v>22</v>
      </c>
      <c r="CC4" s="390" t="s">
        <v>23</v>
      </c>
      <c r="CD4" s="389" t="s">
        <v>24</v>
      </c>
      <c r="CE4" s="389">
        <v>2025</v>
      </c>
    </row>
    <row r="5" spans="1:492" s="59" customFormat="1" ht="20.25" customHeight="1" thickBot="1">
      <c r="A5" s="488" t="s">
        <v>454</v>
      </c>
      <c r="B5" s="509" t="s">
        <v>455</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497">
        <f>SUM(AM6:AM10)</f>
        <v>2345.9</v>
      </c>
      <c r="AN5" s="395">
        <f>SUM(AN6:AN10)</f>
        <v>2603.1999999999994</v>
      </c>
      <c r="AO5" s="395">
        <f>SUM(AO6:AO10)</f>
        <v>2735</v>
      </c>
      <c r="AP5" s="395">
        <f>SUM(AP6:AP10)</f>
        <v>3002.0000000000014</v>
      </c>
      <c r="AQ5" s="498">
        <f>SUM(AQ6:AQ10)</f>
        <v>10686.1</v>
      </c>
      <c r="AR5" s="395"/>
      <c r="AS5" s="395"/>
      <c r="AT5" s="395"/>
      <c r="AU5" s="395"/>
      <c r="AV5" s="396"/>
      <c r="AW5" s="395">
        <f t="shared" ref="AW5:AZ5" si="0">SUM(AW6:AW10)</f>
        <v>2791.6</v>
      </c>
      <c r="AX5" s="395">
        <f t="shared" si="0"/>
        <v>2923</v>
      </c>
      <c r="AY5" s="395">
        <f t="shared" si="0"/>
        <v>2892.4</v>
      </c>
      <c r="AZ5" s="395">
        <f t="shared" si="0"/>
        <v>3069.0999999999995</v>
      </c>
      <c r="BA5" s="493">
        <f>SUM(BA6:BA10)</f>
        <v>11676.099999999999</v>
      </c>
      <c r="BB5" s="497">
        <f t="shared" ref="BB5:BI5" si="1">SUM(BB6:BB10)</f>
        <v>2848.5</v>
      </c>
      <c r="BC5" s="395">
        <f t="shared" si="1"/>
        <v>2862.6999999999994</v>
      </c>
      <c r="BD5" s="395">
        <f t="shared" si="1"/>
        <v>3003.5000000000005</v>
      </c>
      <c r="BE5" s="395">
        <f t="shared" si="1"/>
        <v>3248.2000000000003</v>
      </c>
      <c r="BF5" s="498">
        <f>SUM(BF6:BF10)</f>
        <v>11962.9</v>
      </c>
      <c r="BG5" s="395">
        <f t="shared" si="1"/>
        <v>2987.3999999999996</v>
      </c>
      <c r="BH5" s="395">
        <f t="shared" si="1"/>
        <v>3159.7</v>
      </c>
      <c r="BI5" s="395">
        <f t="shared" si="1"/>
        <v>3031.9</v>
      </c>
      <c r="BJ5" s="395">
        <f>SUM(BJ6:BJ10)</f>
        <v>3265.0000000000005</v>
      </c>
      <c r="BK5" s="498">
        <f>SUM(BK6:BK10)</f>
        <v>12444.000000000002</v>
      </c>
      <c r="BL5" s="395">
        <f>SUM(BL6:BL10)</f>
        <v>2986.7000000000003</v>
      </c>
      <c r="BM5" s="395">
        <f>SUM(BM6:BM10)</f>
        <v>3228.1000000000004</v>
      </c>
      <c r="BN5" s="395">
        <f t="shared" ref="BN5" si="2">SUM(BN6:BN10)</f>
        <v>3270.9000000000005</v>
      </c>
      <c r="BO5" s="395">
        <f>SUM(BO6:BO10)</f>
        <v>3429.6</v>
      </c>
      <c r="BP5" s="498">
        <f>SUM(BP6:BP10)</f>
        <v>12915.3</v>
      </c>
      <c r="BQ5" s="395">
        <f>SUM(BQ6:BQ10)</f>
        <v>3199.3</v>
      </c>
      <c r="BR5" s="395">
        <f>SUM(BR6:BR10)</f>
        <v>3289.8</v>
      </c>
      <c r="BS5" s="395">
        <f t="shared" ref="BS5" si="3">SUM(BS6:BS10)</f>
        <v>3455.7</v>
      </c>
      <c r="BT5" s="395">
        <f>SUM(BT6:BT10)</f>
        <v>3681.5000000000005</v>
      </c>
      <c r="BU5" s="822">
        <f>SUM(BU6:BU10)</f>
        <v>13626.300000000001</v>
      </c>
      <c r="BV5" s="395">
        <f>SUM(BV6:BV10)</f>
        <v>3405</v>
      </c>
      <c r="BW5" s="395">
        <f>SUM(BW6:BW10)</f>
        <v>3454.2999999999997</v>
      </c>
      <c r="BX5" s="395">
        <f t="shared" ref="BX5" si="4">SUM(BX6:BX10)</f>
        <v>3579.5</v>
      </c>
      <c r="BY5" s="395">
        <f>SUM(BY6:BY10)</f>
        <v>3827.1000000000013</v>
      </c>
      <c r="BZ5" s="822">
        <f>SUM(BZ6:BZ10)</f>
        <v>14265.900000000001</v>
      </c>
      <c r="CA5" s="395">
        <f>SUM(CA6:CA10)</f>
        <v>3530.2000000000003</v>
      </c>
      <c r="CB5" s="395"/>
      <c r="CC5" s="395"/>
      <c r="CD5" s="395"/>
      <c r="CE5" s="822">
        <f>SUM(CE6:CE10)</f>
        <v>3530.2000000000003</v>
      </c>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row>
    <row r="6" spans="1:492" s="480" customFormat="1" ht="20.149999999999999" customHeight="1">
      <c r="A6" s="489" t="s">
        <v>456</v>
      </c>
      <c r="B6" s="510" t="s">
        <v>457</v>
      </c>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99">
        <v>2049.4</v>
      </c>
      <c r="AN6" s="475">
        <v>2247.4999999999995</v>
      </c>
      <c r="AO6" s="475">
        <v>2429.5</v>
      </c>
      <c r="AP6" s="475">
        <v>2504.3000000000011</v>
      </c>
      <c r="AQ6" s="500">
        <f>SUM(AM6:AP6)</f>
        <v>9230.7000000000007</v>
      </c>
      <c r="AR6" s="475"/>
      <c r="AS6" s="475"/>
      <c r="AT6" s="475"/>
      <c r="AU6" s="475"/>
      <c r="AV6" s="470"/>
      <c r="AW6" s="475">
        <v>2398.1999999999998</v>
      </c>
      <c r="AX6" s="475">
        <v>2468.8000000000002</v>
      </c>
      <c r="AY6" s="475">
        <v>2515.3000000000002</v>
      </c>
      <c r="AZ6" s="475">
        <v>2553.0999999999995</v>
      </c>
      <c r="BA6" s="478">
        <f>SUM(AW6:AZ6)</f>
        <v>9935.4</v>
      </c>
      <c r="BB6" s="499">
        <v>2453.4</v>
      </c>
      <c r="BC6" s="475">
        <v>2518.4999999999995</v>
      </c>
      <c r="BD6" s="475">
        <v>2590.3000000000002</v>
      </c>
      <c r="BE6" s="469">
        <v>2668.6</v>
      </c>
      <c r="BF6" s="500">
        <f>SUM(BB6:BE6)</f>
        <v>10230.799999999999</v>
      </c>
      <c r="BG6" s="475">
        <v>2551</v>
      </c>
      <c r="BH6" s="475">
        <v>2660.7</v>
      </c>
      <c r="BI6" s="475">
        <v>2592.3000000000002</v>
      </c>
      <c r="BJ6" s="469">
        <f>10454.7-SUM(BG6:BI6)</f>
        <v>2650.7000000000007</v>
      </c>
      <c r="BK6" s="500">
        <f>SUM(BG6:BJ6)</f>
        <v>10454.700000000001</v>
      </c>
      <c r="BL6" s="475">
        <v>2525.9</v>
      </c>
      <c r="BM6" s="469">
        <f>5196.8-BL6</f>
        <v>2670.9</v>
      </c>
      <c r="BN6" s="475">
        <f>7940.5-BM6-BL6</f>
        <v>2743.7000000000003</v>
      </c>
      <c r="BO6" s="469">
        <f>10681.6-BN6-BM6-BL6</f>
        <v>2741.1</v>
      </c>
      <c r="BP6" s="500">
        <f>SUM(BL6:BO6)</f>
        <v>10681.6</v>
      </c>
      <c r="BQ6" s="475">
        <v>2674.5</v>
      </c>
      <c r="BR6" s="469">
        <f>5374-BQ6</f>
        <v>2699.5</v>
      </c>
      <c r="BS6" s="475">
        <v>2644.6</v>
      </c>
      <c r="BT6" s="469">
        <v>2693.6000000000004</v>
      </c>
      <c r="BU6" s="823">
        <f>SUM(BQ6:BT6)</f>
        <v>10712.2</v>
      </c>
      <c r="BV6" s="475">
        <v>2575.5</v>
      </c>
      <c r="BW6" s="469">
        <v>2609.1999999999998</v>
      </c>
      <c r="BX6" s="475">
        <f>40.6+2641.2</f>
        <v>2681.7999999999997</v>
      </c>
      <c r="BY6" s="469">
        <v>2710.2000000000007</v>
      </c>
      <c r="BZ6" s="823">
        <f>SUM(BV6:BY6)</f>
        <v>10576.7</v>
      </c>
      <c r="CA6" s="475">
        <v>2613.5</v>
      </c>
      <c r="CB6" s="469"/>
      <c r="CC6" s="475"/>
      <c r="CD6" s="469"/>
      <c r="CE6" s="823">
        <f>SUM(CA6:CD6)</f>
        <v>2613.5</v>
      </c>
      <c r="CF6" s="479"/>
      <c r="CG6" s="479"/>
      <c r="CH6" s="479"/>
      <c r="CI6" s="479"/>
      <c r="CJ6" s="479"/>
      <c r="CK6" s="479"/>
      <c r="CL6" s="479"/>
      <c r="CM6" s="479"/>
      <c r="CN6" s="479"/>
      <c r="CO6" s="479"/>
      <c r="CP6" s="479"/>
      <c r="CQ6" s="479"/>
      <c r="CR6" s="479"/>
      <c r="CS6" s="479"/>
      <c r="CT6" s="479"/>
      <c r="CU6" s="479"/>
      <c r="CV6" s="479"/>
      <c r="CW6" s="479"/>
      <c r="CX6" s="479"/>
      <c r="CY6" s="479"/>
      <c r="CZ6" s="479"/>
      <c r="DA6" s="479"/>
      <c r="DB6" s="479"/>
      <c r="DC6" s="479"/>
      <c r="DD6" s="479"/>
      <c r="DE6" s="479"/>
      <c r="DF6" s="479"/>
      <c r="DG6" s="479"/>
      <c r="DH6" s="479"/>
      <c r="DI6" s="479"/>
      <c r="DJ6" s="479"/>
      <c r="DK6" s="479"/>
      <c r="DL6" s="479"/>
      <c r="DM6" s="479"/>
      <c r="DN6" s="479"/>
      <c r="DO6" s="479"/>
      <c r="DP6" s="479"/>
      <c r="DQ6" s="479"/>
      <c r="DR6" s="479"/>
      <c r="DS6" s="479"/>
      <c r="DT6" s="479"/>
      <c r="DU6" s="479"/>
      <c r="DV6" s="479"/>
      <c r="DW6" s="479"/>
      <c r="DX6" s="479"/>
      <c r="DY6" s="479"/>
      <c r="DZ6" s="479"/>
      <c r="EA6" s="479"/>
      <c r="EB6" s="479"/>
      <c r="EC6" s="479"/>
      <c r="ED6" s="479"/>
      <c r="EE6" s="479"/>
      <c r="EF6" s="479"/>
      <c r="EG6" s="479"/>
      <c r="EH6" s="479"/>
      <c r="EI6" s="479"/>
      <c r="EJ6" s="479"/>
      <c r="EK6" s="479"/>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row>
    <row r="7" spans="1:492" s="480" customFormat="1" ht="20.149999999999999" customHeight="1">
      <c r="A7" s="489" t="s">
        <v>458</v>
      </c>
      <c r="B7" s="510" t="s">
        <v>459</v>
      </c>
      <c r="C7" s="474"/>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c r="AI7" s="474"/>
      <c r="AJ7" s="474"/>
      <c r="AK7" s="474"/>
      <c r="AL7" s="474"/>
      <c r="AM7" s="499">
        <v>349.6</v>
      </c>
      <c r="AN7" s="475">
        <v>412.69999999999993</v>
      </c>
      <c r="AO7" s="475">
        <v>375.20000000000005</v>
      </c>
      <c r="AP7" s="475">
        <v>558.40000000000009</v>
      </c>
      <c r="AQ7" s="500">
        <f t="shared" ref="AQ7:AQ10" si="5">SUM(AM7:AP7)</f>
        <v>1695.9</v>
      </c>
      <c r="AR7" s="475"/>
      <c r="AS7" s="475"/>
      <c r="AT7" s="475"/>
      <c r="AU7" s="475"/>
      <c r="AV7" s="470"/>
      <c r="AW7" s="475">
        <v>454.6</v>
      </c>
      <c r="AX7" s="475">
        <v>520.19999999999993</v>
      </c>
      <c r="AY7" s="475">
        <v>440.70000000000005</v>
      </c>
      <c r="AZ7" s="475">
        <v>582.40000000000009</v>
      </c>
      <c r="BA7" s="478">
        <f t="shared" ref="BA7:BA10" si="6">SUM(AW7:AZ7)</f>
        <v>1997.9</v>
      </c>
      <c r="BB7" s="499">
        <v>460.6</v>
      </c>
      <c r="BC7" s="475">
        <v>412.19999999999993</v>
      </c>
      <c r="BD7" s="475">
        <v>481.90000000000009</v>
      </c>
      <c r="BE7" s="469">
        <v>652.20000000000005</v>
      </c>
      <c r="BF7" s="500">
        <f t="shared" ref="BF7:BF10" si="7">SUM(BB7:BE7)</f>
        <v>2006.9</v>
      </c>
      <c r="BG7" s="475">
        <v>507.2</v>
      </c>
      <c r="BH7" s="475">
        <v>570</v>
      </c>
      <c r="BI7" s="475">
        <v>499.50000000000006</v>
      </c>
      <c r="BJ7" s="469">
        <f>2264.1-SUM(BG7:BI7)</f>
        <v>687.39999999999986</v>
      </c>
      <c r="BK7" s="500">
        <f t="shared" ref="BK7:BK10" si="8">SUM(BG7:BJ7)</f>
        <v>2264.1</v>
      </c>
      <c r="BL7" s="475">
        <v>533.5</v>
      </c>
      <c r="BM7" s="469">
        <f>1140-BL7</f>
        <v>606.5</v>
      </c>
      <c r="BN7" s="475">
        <f>1693.5-BM7-BL7</f>
        <v>553.5</v>
      </c>
      <c r="BO7" s="469">
        <f>2424.2-BN7-BM7-BL7</f>
        <v>730.69999999999982</v>
      </c>
      <c r="BP7" s="500">
        <f t="shared" ref="BP7:BP10" si="9">SUM(BL7:BO7)</f>
        <v>2424.1999999999998</v>
      </c>
      <c r="BQ7" s="475">
        <v>567.9</v>
      </c>
      <c r="BR7" s="469">
        <f>1206.7-BQ7</f>
        <v>638.80000000000007</v>
      </c>
      <c r="BS7" s="475">
        <v>559.69999999999993</v>
      </c>
      <c r="BT7" s="469">
        <v>703.59999999999991</v>
      </c>
      <c r="BU7" s="823">
        <f t="shared" ref="BU7:BU10" si="10">SUM(BQ7:BT7)</f>
        <v>2470</v>
      </c>
      <c r="BV7" s="475">
        <v>585.29999999999995</v>
      </c>
      <c r="BW7" s="469">
        <v>663</v>
      </c>
      <c r="BX7" s="475">
        <f>224.7+320.8</f>
        <v>545.5</v>
      </c>
      <c r="BY7" s="469">
        <v>697.8</v>
      </c>
      <c r="BZ7" s="823">
        <f t="shared" ref="BZ7:BZ10" si="11">SUM(BV7:BY7)</f>
        <v>2491.6</v>
      </c>
      <c r="CA7" s="475">
        <v>578.4</v>
      </c>
      <c r="CB7" s="469"/>
      <c r="CC7" s="475"/>
      <c r="CD7" s="469"/>
      <c r="CE7" s="823">
        <f t="shared" ref="CE7:CE10" si="12">SUM(CA7:CD7)</f>
        <v>578.4</v>
      </c>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79"/>
      <c r="DF7" s="479"/>
      <c r="DG7" s="479"/>
      <c r="DH7" s="479"/>
      <c r="DI7" s="479"/>
      <c r="DJ7" s="479"/>
      <c r="DK7" s="479"/>
      <c r="DL7" s="479"/>
      <c r="DM7" s="479"/>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row>
    <row r="8" spans="1:492" s="480" customFormat="1" ht="20.149999999999999" customHeight="1">
      <c r="A8" s="489" t="s">
        <v>460</v>
      </c>
      <c r="B8" s="510" t="s">
        <v>461</v>
      </c>
      <c r="C8" s="474"/>
      <c r="D8" s="474"/>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c r="AI8" s="474"/>
      <c r="AJ8" s="474"/>
      <c r="AK8" s="474"/>
      <c r="AL8" s="474"/>
      <c r="AM8" s="499"/>
      <c r="AN8" s="475"/>
      <c r="AO8" s="475"/>
      <c r="AP8" s="475"/>
      <c r="AQ8" s="500"/>
      <c r="AR8" s="475"/>
      <c r="AS8" s="475"/>
      <c r="AT8" s="475"/>
      <c r="AU8" s="475"/>
      <c r="AV8" s="470"/>
      <c r="AW8" s="475"/>
      <c r="AX8" s="475"/>
      <c r="AY8" s="475"/>
      <c r="AZ8" s="475"/>
      <c r="BA8" s="478"/>
      <c r="BB8" s="499"/>
      <c r="BC8" s="475"/>
      <c r="BD8" s="475"/>
      <c r="BE8" s="469"/>
      <c r="BF8" s="500"/>
      <c r="BG8" s="475"/>
      <c r="BH8" s="475"/>
      <c r="BI8" s="475"/>
      <c r="BJ8" s="469"/>
      <c r="BK8" s="500"/>
      <c r="BL8" s="475"/>
      <c r="BM8" s="469">
        <v>44.3</v>
      </c>
      <c r="BN8" s="475">
        <f>118.1-BM8-BL8</f>
        <v>73.8</v>
      </c>
      <c r="BO8" s="469">
        <f>183.4-BN8-BM8</f>
        <v>65.300000000000011</v>
      </c>
      <c r="BP8" s="500">
        <f t="shared" si="9"/>
        <v>183.4</v>
      </c>
      <c r="BQ8" s="475">
        <v>44.8</v>
      </c>
      <c r="BR8" s="469">
        <f>83.8-BQ8</f>
        <v>39</v>
      </c>
      <c r="BS8" s="475">
        <v>40.1</v>
      </c>
      <c r="BT8" s="469">
        <v>58.299999999999983</v>
      </c>
      <c r="BU8" s="823">
        <f t="shared" si="10"/>
        <v>182.2</v>
      </c>
      <c r="BV8" s="475">
        <v>40.200000000000003</v>
      </c>
      <c r="BW8" s="469">
        <v>33.899999999999991</v>
      </c>
      <c r="BX8" s="475">
        <f>29.5+9.30000000000001</f>
        <v>38.800000000000011</v>
      </c>
      <c r="BY8" s="469">
        <v>145.29999999999998</v>
      </c>
      <c r="BZ8" s="823">
        <f t="shared" si="11"/>
        <v>258.2</v>
      </c>
      <c r="CA8" s="475">
        <v>59.5</v>
      </c>
      <c r="CB8" s="469"/>
      <c r="CC8" s="475"/>
      <c r="CD8" s="469"/>
      <c r="CE8" s="823">
        <f t="shared" si="12"/>
        <v>59.5</v>
      </c>
      <c r="CF8" s="479"/>
      <c r="CG8" s="479"/>
      <c r="CH8" s="479"/>
      <c r="CI8" s="479"/>
      <c r="CJ8" s="479"/>
      <c r="CK8" s="479"/>
      <c r="CL8" s="479"/>
      <c r="CM8" s="479"/>
      <c r="CN8" s="479"/>
      <c r="CO8" s="479"/>
      <c r="CP8" s="479"/>
      <c r="CQ8" s="479"/>
      <c r="CR8" s="479"/>
      <c r="CS8" s="479"/>
      <c r="CT8" s="479"/>
      <c r="CU8" s="479"/>
      <c r="CV8" s="479"/>
      <c r="CW8" s="479"/>
      <c r="CX8" s="479"/>
      <c r="CY8" s="479"/>
      <c r="CZ8" s="479"/>
      <c r="DA8" s="479"/>
      <c r="DB8" s="479"/>
      <c r="DC8" s="479"/>
      <c r="DD8" s="479"/>
      <c r="DE8" s="479"/>
      <c r="DF8" s="479"/>
      <c r="DG8" s="479"/>
      <c r="DH8" s="479"/>
      <c r="DI8" s="479"/>
      <c r="DJ8" s="479"/>
      <c r="DK8" s="479"/>
      <c r="DL8" s="479"/>
      <c r="DM8" s="479"/>
      <c r="DN8" s="479"/>
      <c r="DO8" s="479"/>
      <c r="DP8" s="479"/>
      <c r="DQ8" s="479"/>
      <c r="DR8" s="479"/>
      <c r="DS8" s="479"/>
      <c r="DT8" s="479"/>
      <c r="DU8" s="479"/>
      <c r="DV8" s="479"/>
      <c r="DW8" s="479"/>
      <c r="DX8" s="479"/>
      <c r="DY8" s="479"/>
      <c r="DZ8" s="479"/>
      <c r="EA8" s="479"/>
      <c r="EB8" s="479"/>
      <c r="EC8" s="479"/>
      <c r="ED8" s="479"/>
      <c r="EE8" s="479"/>
      <c r="EF8" s="479"/>
      <c r="EG8" s="479"/>
      <c r="EH8" s="479"/>
      <c r="EI8" s="479"/>
      <c r="EJ8" s="479"/>
      <c r="EK8" s="479"/>
      <c r="EL8" s="479"/>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row>
    <row r="9" spans="1:492" s="480" customFormat="1" ht="20.149999999999999" customHeight="1">
      <c r="A9" s="489" t="s">
        <v>462</v>
      </c>
      <c r="B9" s="510" t="s">
        <v>463</v>
      </c>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99"/>
      <c r="AN9" s="475"/>
      <c r="AO9" s="475"/>
      <c r="AP9" s="475"/>
      <c r="AQ9" s="500"/>
      <c r="AR9" s="475"/>
      <c r="AS9" s="475"/>
      <c r="AT9" s="475"/>
      <c r="AU9" s="475"/>
      <c r="AV9" s="470"/>
      <c r="AW9" s="475"/>
      <c r="AX9" s="475"/>
      <c r="AY9" s="475"/>
      <c r="AZ9" s="475"/>
      <c r="BA9" s="478"/>
      <c r="BB9" s="499"/>
      <c r="BC9" s="475"/>
      <c r="BD9" s="475"/>
      <c r="BE9" s="469"/>
      <c r="BF9" s="500"/>
      <c r="BG9" s="475"/>
      <c r="BH9" s="475"/>
      <c r="BI9" s="475"/>
      <c r="BJ9" s="469"/>
      <c r="BK9" s="500"/>
      <c r="BL9" s="475"/>
      <c r="BM9" s="469"/>
      <c r="BN9" s="475"/>
      <c r="BO9" s="469"/>
      <c r="BP9" s="500"/>
      <c r="BQ9" s="475"/>
      <c r="BR9" s="469"/>
      <c r="BS9" s="475">
        <v>376.5</v>
      </c>
      <c r="BT9" s="469">
        <v>395.1</v>
      </c>
      <c r="BU9" s="823">
        <f t="shared" si="10"/>
        <v>771.6</v>
      </c>
      <c r="BV9" s="475">
        <v>354.3</v>
      </c>
      <c r="BW9" s="469">
        <v>324.2</v>
      </c>
      <c r="BX9" s="475">
        <f>133.8+232.7</f>
        <v>366.5</v>
      </c>
      <c r="BY9" s="469">
        <v>403.29999999999995</v>
      </c>
      <c r="BZ9" s="823">
        <f t="shared" si="11"/>
        <v>1448.3</v>
      </c>
      <c r="CA9" s="475">
        <v>387.9</v>
      </c>
      <c r="CB9" s="469"/>
      <c r="CC9" s="475"/>
      <c r="CD9" s="469"/>
      <c r="CE9" s="823">
        <f t="shared" si="12"/>
        <v>387.9</v>
      </c>
      <c r="CF9" s="479"/>
      <c r="CG9" s="479"/>
      <c r="CH9" s="479"/>
      <c r="CI9" s="479"/>
      <c r="CJ9" s="479"/>
      <c r="CK9" s="479"/>
      <c r="CL9" s="479"/>
      <c r="CM9" s="479"/>
      <c r="CN9" s="479"/>
      <c r="CO9" s="479"/>
      <c r="CP9" s="479"/>
      <c r="CQ9" s="479"/>
      <c r="CR9" s="479"/>
      <c r="CS9" s="479"/>
      <c r="CT9" s="479"/>
      <c r="CU9" s="479"/>
      <c r="CV9" s="479"/>
      <c r="CW9" s="479"/>
      <c r="CX9" s="479"/>
      <c r="CY9" s="479"/>
      <c r="CZ9" s="479"/>
      <c r="DA9" s="479"/>
      <c r="DB9" s="479"/>
      <c r="DC9" s="479"/>
      <c r="DD9" s="479"/>
      <c r="DE9" s="479"/>
      <c r="DF9" s="479"/>
      <c r="DG9" s="479"/>
      <c r="DH9" s="479"/>
      <c r="DI9" s="479"/>
      <c r="DJ9" s="479"/>
      <c r="DK9" s="479"/>
      <c r="DL9" s="479"/>
      <c r="DM9" s="479"/>
      <c r="DN9" s="479"/>
      <c r="DO9" s="479"/>
      <c r="DP9" s="479"/>
      <c r="DQ9" s="479"/>
      <c r="DR9" s="479"/>
      <c r="DS9" s="479"/>
      <c r="DT9" s="479"/>
      <c r="DU9" s="479"/>
      <c r="DV9" s="479"/>
      <c r="DW9" s="479"/>
      <c r="DX9" s="479"/>
      <c r="DY9" s="479"/>
      <c r="DZ9" s="479"/>
      <c r="EA9" s="479"/>
      <c r="EB9" s="479"/>
      <c r="EC9" s="479"/>
      <c r="ED9" s="479"/>
      <c r="EE9" s="479"/>
      <c r="EF9" s="479"/>
      <c r="EG9" s="479"/>
      <c r="EH9" s="479"/>
      <c r="EI9" s="479"/>
      <c r="EJ9" s="479"/>
      <c r="EK9" s="479"/>
      <c r="EL9" s="479"/>
      <c r="EM9" s="479"/>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row>
    <row r="10" spans="1:492" s="480" customFormat="1" ht="20.149999999999999" customHeight="1" thickBot="1">
      <c r="A10" s="489" t="s">
        <v>464</v>
      </c>
      <c r="B10" s="510" t="s">
        <v>465</v>
      </c>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501">
        <v>-53.1</v>
      </c>
      <c r="AN10" s="481">
        <v>-56.999999999999993</v>
      </c>
      <c r="AO10" s="481">
        <v>-69.700000000000017</v>
      </c>
      <c r="AP10" s="481">
        <v>-60.699999999999989</v>
      </c>
      <c r="AQ10" s="500">
        <f t="shared" si="5"/>
        <v>-240.5</v>
      </c>
      <c r="AR10" s="481"/>
      <c r="AS10" s="481"/>
      <c r="AT10" s="481"/>
      <c r="AU10" s="481"/>
      <c r="AV10" s="482"/>
      <c r="AW10" s="481">
        <v>-61.2</v>
      </c>
      <c r="AX10" s="481">
        <v>-66</v>
      </c>
      <c r="AY10" s="481">
        <v>-63.600000000000009</v>
      </c>
      <c r="AZ10" s="481">
        <v>-66.399999999999977</v>
      </c>
      <c r="BA10" s="478">
        <f t="shared" si="6"/>
        <v>-257.2</v>
      </c>
      <c r="BB10" s="501">
        <v>-65.5</v>
      </c>
      <c r="BC10" s="481">
        <v>-68</v>
      </c>
      <c r="BD10" s="481">
        <v>-68.699999999999989</v>
      </c>
      <c r="BE10" s="481">
        <v>-72.599999999999994</v>
      </c>
      <c r="BF10" s="508">
        <f t="shared" si="7"/>
        <v>-274.79999999999995</v>
      </c>
      <c r="BG10" s="481">
        <v>-70.8</v>
      </c>
      <c r="BH10" s="481">
        <v>-71.000000000000014</v>
      </c>
      <c r="BI10" s="481">
        <v>-59.899999999999991</v>
      </c>
      <c r="BJ10" s="481">
        <f>-274.8-SUM(BG10:BI10)</f>
        <v>-73.100000000000023</v>
      </c>
      <c r="BK10" s="508">
        <f t="shared" si="8"/>
        <v>-274.8</v>
      </c>
      <c r="BL10" s="481">
        <v>-72.7</v>
      </c>
      <c r="BM10" s="671">
        <f>-166.3-BL10</f>
        <v>-93.600000000000009</v>
      </c>
      <c r="BN10" s="481">
        <f>-266.4-BM10-BL10</f>
        <v>-100.09999999999995</v>
      </c>
      <c r="BO10" s="481">
        <f>-373.9-BN10-BM10-BL10</f>
        <v>-107.49999999999999</v>
      </c>
      <c r="BP10" s="508">
        <f t="shared" si="9"/>
        <v>-373.9</v>
      </c>
      <c r="BQ10" s="481">
        <v>-87.9</v>
      </c>
      <c r="BR10" s="722">
        <f>-175.4-BQ10</f>
        <v>-87.5</v>
      </c>
      <c r="BS10" s="481">
        <v>-165.20000000000002</v>
      </c>
      <c r="BT10" s="481">
        <v>-169.09999999999997</v>
      </c>
      <c r="BU10" s="824">
        <f t="shared" si="10"/>
        <v>-509.7</v>
      </c>
      <c r="BV10" s="481">
        <v>-150.30000000000001</v>
      </c>
      <c r="BW10" s="722">
        <v>-176</v>
      </c>
      <c r="BX10" s="481">
        <v>-53.099999999999966</v>
      </c>
      <c r="BY10" s="481">
        <v>-129.5</v>
      </c>
      <c r="BZ10" s="824">
        <f t="shared" si="11"/>
        <v>-508.9</v>
      </c>
      <c r="CA10" s="481">
        <v>-109.1</v>
      </c>
      <c r="CB10" s="722"/>
      <c r="CC10" s="481"/>
      <c r="CD10" s="481"/>
      <c r="CE10" s="824">
        <f t="shared" si="12"/>
        <v>-109.1</v>
      </c>
      <c r="CF10" s="479"/>
      <c r="CG10" s="479"/>
      <c r="CH10" s="479"/>
      <c r="CI10" s="479"/>
      <c r="CJ10" s="479"/>
      <c r="CK10" s="479"/>
      <c r="CL10" s="479"/>
      <c r="CM10" s="479"/>
      <c r="CN10" s="479"/>
      <c r="CO10" s="479"/>
      <c r="CP10" s="479"/>
      <c r="CQ10" s="479"/>
      <c r="CR10" s="479"/>
      <c r="CS10" s="479"/>
      <c r="CT10" s="479"/>
      <c r="CU10" s="479"/>
      <c r="CV10" s="479"/>
      <c r="CW10" s="479"/>
      <c r="CX10" s="479"/>
      <c r="CY10" s="479"/>
      <c r="CZ10" s="479"/>
      <c r="DA10" s="479"/>
      <c r="DB10" s="479"/>
      <c r="DC10" s="479"/>
      <c r="DD10" s="479"/>
      <c r="DE10" s="479"/>
      <c r="DF10" s="479"/>
      <c r="DG10" s="479"/>
      <c r="DH10" s="479"/>
      <c r="DI10" s="479"/>
      <c r="DJ10" s="479"/>
      <c r="DK10" s="479"/>
      <c r="DL10" s="479"/>
      <c r="DM10" s="479"/>
      <c r="DN10" s="479"/>
      <c r="DO10" s="479"/>
      <c r="DP10" s="479"/>
      <c r="DQ10" s="479"/>
      <c r="DR10" s="479"/>
      <c r="DS10" s="479"/>
      <c r="DT10" s="479"/>
      <c r="DU10" s="479"/>
      <c r="DV10" s="479"/>
      <c r="DW10" s="479"/>
      <c r="DX10" s="479"/>
      <c r="DY10" s="479"/>
      <c r="DZ10" s="479"/>
      <c r="EA10" s="479"/>
      <c r="EB10" s="479"/>
      <c r="EC10" s="479"/>
      <c r="ED10" s="479"/>
      <c r="EE10" s="479"/>
      <c r="EF10" s="479"/>
      <c r="EG10" s="479"/>
      <c r="EH10" s="479"/>
      <c r="EI10" s="479"/>
      <c r="EJ10" s="479"/>
      <c r="EK10" s="479"/>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row>
    <row r="11" spans="1:492" s="59" customFormat="1" ht="20.25" customHeight="1" thickBot="1">
      <c r="A11" s="490" t="s">
        <v>466</v>
      </c>
      <c r="B11" s="511" t="s">
        <v>467</v>
      </c>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502"/>
      <c r="AN11" s="392"/>
      <c r="AO11" s="392"/>
      <c r="AP11" s="392"/>
      <c r="AQ11" s="503"/>
      <c r="AR11" s="392"/>
      <c r="AS11" s="392"/>
      <c r="AT11" s="392"/>
      <c r="AU11" s="392"/>
      <c r="AV11" s="393"/>
      <c r="AW11" s="392"/>
      <c r="AX11" s="392"/>
      <c r="AY11" s="392"/>
      <c r="AZ11" s="392"/>
      <c r="BA11" s="494"/>
      <c r="BB11" s="502">
        <f>BB20</f>
        <v>1026.7</v>
      </c>
      <c r="BC11" s="392">
        <f>SUM(BC12:BC13)</f>
        <v>1001.4999999999999</v>
      </c>
      <c r="BD11" s="392">
        <f t="shared" ref="BD11:BF11" si="13">SUM(BD12:BD13)</f>
        <v>1082.0999999999999</v>
      </c>
      <c r="BE11" s="392">
        <f t="shared" si="13"/>
        <v>1127.5</v>
      </c>
      <c r="BF11" s="503">
        <f t="shared" si="13"/>
        <v>4237.8</v>
      </c>
      <c r="BG11" s="392">
        <f t="shared" ref="BG11:BH11" si="14">SUM(BG12:BG13)</f>
        <v>1082.7</v>
      </c>
      <c r="BH11" s="392">
        <f t="shared" si="14"/>
        <v>1140.9000000000001</v>
      </c>
      <c r="BI11" s="392">
        <f>SUM(BI12:BI13)</f>
        <v>904.19999999999993</v>
      </c>
      <c r="BJ11" s="392">
        <f>SUM(BJ12:BJ13)</f>
        <v>891.19999999999993</v>
      </c>
      <c r="BK11" s="503">
        <f>SUM(BK12:BK13)</f>
        <v>4019</v>
      </c>
      <c r="BL11" s="392">
        <f>SUM(BL12:BL16)</f>
        <v>800.7</v>
      </c>
      <c r="BM11" s="672">
        <f>SUM(BM12:BM16)</f>
        <v>893.3</v>
      </c>
      <c r="BN11" s="392">
        <f t="shared" ref="BN11" si="15">SUM(BN12:BN16)</f>
        <v>839.59999999999968</v>
      </c>
      <c r="BO11" s="392">
        <f>SUM(BO12:BO16)</f>
        <v>818.5</v>
      </c>
      <c r="BP11" s="503">
        <f>SUM(BP12:BP16)</f>
        <v>3352.1</v>
      </c>
      <c r="BQ11" s="392">
        <f>SUM(BQ12:BQ16)</f>
        <v>761.2</v>
      </c>
      <c r="BR11" s="672">
        <f>SUM(BR12:BR16)</f>
        <v>798.5</v>
      </c>
      <c r="BS11" s="392">
        <f t="shared" ref="BS11:BT11" si="16">SUM(BS12:BS16)</f>
        <v>774.7</v>
      </c>
      <c r="BT11" s="392">
        <f t="shared" si="16"/>
        <v>677.09999999999991</v>
      </c>
      <c r="BU11" s="825">
        <f>SUM(BU12:BU16)</f>
        <v>3011.5</v>
      </c>
      <c r="BV11" s="392">
        <f>SUM(BV12:BV16)</f>
        <v>936.3</v>
      </c>
      <c r="BW11" s="672">
        <f>SUM(BW12:BW16)</f>
        <v>865</v>
      </c>
      <c r="BX11" s="392">
        <f t="shared" ref="BX11:BY11" si="17">SUM(BX12:BX16)</f>
        <v>886.4000000000002</v>
      </c>
      <c r="BY11" s="392">
        <f t="shared" si="17"/>
        <v>739.9</v>
      </c>
      <c r="BZ11" s="825">
        <f>SUM(BZ12:BZ16)</f>
        <v>3427.6</v>
      </c>
      <c r="CA11" s="392">
        <f>SUM(CA12:CA16)</f>
        <v>809.3</v>
      </c>
      <c r="CB11" s="672"/>
      <c r="CC11" s="392"/>
      <c r="CD11" s="392"/>
      <c r="CE11" s="825">
        <f>SUM(CE12:CE16)</f>
        <v>809.3</v>
      </c>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row>
    <row r="12" spans="1:492" s="815" customFormat="1" ht="20.149999999999999" customHeight="1">
      <c r="A12" s="802" t="s">
        <v>456</v>
      </c>
      <c r="B12" s="803" t="s">
        <v>457</v>
      </c>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5"/>
      <c r="AN12" s="806"/>
      <c r="AO12" s="806"/>
      <c r="AP12" s="806"/>
      <c r="AQ12" s="807"/>
      <c r="AR12" s="808"/>
      <c r="AS12" s="808"/>
      <c r="AT12" s="808"/>
      <c r="AU12" s="808"/>
      <c r="AV12" s="808"/>
      <c r="AW12" s="806"/>
      <c r="AX12" s="806"/>
      <c r="AY12" s="806"/>
      <c r="AZ12" s="806"/>
      <c r="BA12" s="806"/>
      <c r="BB12" s="809">
        <v>879.6</v>
      </c>
      <c r="BC12" s="810">
        <v>879.19999999999993</v>
      </c>
      <c r="BD12" s="810">
        <v>946.89999999999986</v>
      </c>
      <c r="BE12" s="810">
        <v>925.9</v>
      </c>
      <c r="BF12" s="811">
        <f>SUM(BB12:BE12)</f>
        <v>3631.6</v>
      </c>
      <c r="BG12" s="810">
        <v>936.6</v>
      </c>
      <c r="BH12" s="810">
        <v>951.80000000000007</v>
      </c>
      <c r="BI12" s="810">
        <v>786.3</v>
      </c>
      <c r="BJ12" s="810">
        <f>3389.7-SUM(BG12:BI12)</f>
        <v>715</v>
      </c>
      <c r="BK12" s="812">
        <f>SUM(BG12:BJ12)</f>
        <v>3389.7</v>
      </c>
      <c r="BL12" s="810">
        <v>704.1</v>
      </c>
      <c r="BM12" s="813">
        <f>1453.5-BL12</f>
        <v>749.4</v>
      </c>
      <c r="BN12" s="810">
        <f>2211.7-BM12-BL12</f>
        <v>758.1999999999997</v>
      </c>
      <c r="BO12" s="810">
        <f>2834-BN12-BM12-BL12</f>
        <v>622.30000000000007</v>
      </c>
      <c r="BP12" s="812">
        <f>SUM(BL12:BO12)</f>
        <v>2834</v>
      </c>
      <c r="BQ12" s="810">
        <f>BQ21</f>
        <v>663.2</v>
      </c>
      <c r="BR12" s="810">
        <f>BR21</f>
        <v>635</v>
      </c>
      <c r="BS12" s="810">
        <v>658.3</v>
      </c>
      <c r="BT12" s="810">
        <v>536.6</v>
      </c>
      <c r="BU12" s="824">
        <f>SUM(BQ12:BT12)</f>
        <v>2493.1</v>
      </c>
      <c r="BV12" s="810">
        <v>777.8</v>
      </c>
      <c r="BW12" s="810">
        <v>646.29999999999995</v>
      </c>
      <c r="BX12" s="810">
        <v>649.80000000000018</v>
      </c>
      <c r="BY12" s="810">
        <v>486.09999999999991</v>
      </c>
      <c r="BZ12" s="824">
        <f>SUM(BV12:BY12)</f>
        <v>2560</v>
      </c>
      <c r="CA12" s="810">
        <v>607.9</v>
      </c>
      <c r="CB12" s="810"/>
      <c r="CC12" s="810"/>
      <c r="CD12" s="810"/>
      <c r="CE12" s="824">
        <f>SUM(CA12:CD12)</f>
        <v>607.9</v>
      </c>
      <c r="CF12" s="814"/>
      <c r="CG12" s="945"/>
      <c r="CH12" s="814"/>
      <c r="CI12" s="814"/>
      <c r="CJ12" s="814"/>
      <c r="CK12" s="814"/>
      <c r="CL12" s="814"/>
      <c r="CM12" s="814"/>
      <c r="CN12" s="814"/>
      <c r="CO12" s="814"/>
      <c r="CP12" s="814"/>
      <c r="CQ12" s="814"/>
      <c r="CR12" s="814"/>
      <c r="CS12" s="814"/>
      <c r="CT12" s="814"/>
      <c r="CU12" s="814"/>
      <c r="CV12" s="814"/>
      <c r="CW12" s="814"/>
      <c r="CX12" s="814"/>
      <c r="CY12" s="814"/>
      <c r="CZ12" s="814"/>
      <c r="DA12" s="814"/>
      <c r="DB12" s="814"/>
      <c r="DC12" s="814"/>
      <c r="DD12" s="814"/>
      <c r="DE12" s="814"/>
      <c r="DF12" s="814"/>
      <c r="DG12" s="814"/>
      <c r="DH12" s="814"/>
      <c r="DI12" s="814"/>
      <c r="DJ12" s="814"/>
      <c r="DK12" s="814"/>
      <c r="DL12" s="814"/>
      <c r="DM12" s="814"/>
      <c r="DN12" s="814"/>
      <c r="DO12" s="814"/>
      <c r="DP12" s="814"/>
      <c r="DQ12" s="814"/>
      <c r="DR12" s="814"/>
      <c r="DS12" s="814"/>
      <c r="DT12" s="814"/>
      <c r="DU12" s="814"/>
      <c r="DV12" s="814"/>
      <c r="DW12" s="814"/>
      <c r="DX12" s="814"/>
      <c r="DY12" s="814"/>
      <c r="DZ12" s="814"/>
      <c r="EA12" s="814"/>
      <c r="EB12" s="814"/>
      <c r="EC12" s="814"/>
      <c r="ED12" s="814"/>
      <c r="EE12" s="814"/>
      <c r="EF12" s="814"/>
      <c r="EG12" s="814"/>
      <c r="EH12" s="814"/>
      <c r="EI12" s="814"/>
      <c r="EJ12" s="814"/>
      <c r="EK12" s="814"/>
      <c r="EL12" s="814"/>
      <c r="EM12" s="814"/>
      <c r="EN12" s="814"/>
      <c r="EO12" s="814"/>
      <c r="EP12" s="814"/>
      <c r="EQ12" s="814"/>
      <c r="ER12" s="814"/>
      <c r="ES12" s="814"/>
      <c r="ET12" s="814"/>
      <c r="EU12" s="814"/>
      <c r="EV12" s="814"/>
      <c r="EW12" s="814"/>
      <c r="EX12" s="814"/>
      <c r="EY12" s="814"/>
      <c r="EZ12" s="814"/>
      <c r="FA12" s="814"/>
      <c r="FB12" s="814"/>
      <c r="FC12" s="814"/>
      <c r="FD12" s="814"/>
      <c r="FE12" s="814"/>
      <c r="FF12" s="814"/>
      <c r="FG12" s="814"/>
      <c r="FH12" s="814"/>
      <c r="FI12" s="814"/>
      <c r="FJ12" s="814"/>
      <c r="FK12" s="814"/>
      <c r="FL12" s="814"/>
      <c r="FM12" s="814"/>
      <c r="FN12" s="814"/>
      <c r="FO12" s="814"/>
      <c r="FP12" s="814"/>
      <c r="FQ12" s="814"/>
      <c r="FR12" s="814"/>
      <c r="FS12" s="814"/>
      <c r="FT12" s="814"/>
      <c r="FU12" s="814"/>
      <c r="FV12" s="814"/>
      <c r="FW12" s="814"/>
      <c r="FX12" s="814"/>
      <c r="FY12" s="814"/>
      <c r="FZ12" s="814"/>
      <c r="GA12" s="814"/>
      <c r="GB12" s="814"/>
      <c r="GC12" s="814"/>
      <c r="GD12" s="814"/>
      <c r="GE12" s="814"/>
      <c r="GF12" s="814"/>
      <c r="GG12" s="814"/>
      <c r="GH12" s="814"/>
      <c r="GI12" s="814"/>
      <c r="GJ12" s="814"/>
      <c r="GK12" s="814"/>
      <c r="GL12" s="814"/>
      <c r="GM12" s="814"/>
      <c r="GN12" s="814"/>
      <c r="GO12" s="814"/>
      <c r="GP12" s="814"/>
      <c r="GQ12" s="814"/>
      <c r="GR12" s="814"/>
      <c r="GS12" s="814"/>
      <c r="GT12" s="814"/>
      <c r="GU12" s="814"/>
      <c r="GV12" s="814"/>
      <c r="GW12" s="814"/>
      <c r="GX12" s="814"/>
      <c r="GY12" s="814"/>
      <c r="GZ12" s="814"/>
      <c r="HA12" s="814"/>
      <c r="HB12" s="814"/>
      <c r="HC12" s="814"/>
      <c r="HD12" s="814"/>
      <c r="HE12" s="814"/>
      <c r="HF12" s="814"/>
      <c r="HG12" s="814"/>
      <c r="HH12" s="814"/>
      <c r="HI12" s="814"/>
      <c r="HJ12" s="814"/>
      <c r="HK12" s="814"/>
      <c r="HL12" s="814"/>
      <c r="HM12" s="814"/>
      <c r="HN12" s="814"/>
      <c r="HO12" s="814"/>
      <c r="HP12" s="814"/>
      <c r="HQ12" s="814"/>
      <c r="HR12" s="814"/>
      <c r="HS12" s="814"/>
      <c r="HT12" s="814"/>
      <c r="HU12" s="814"/>
      <c r="HV12" s="814"/>
      <c r="HW12" s="814"/>
      <c r="HX12" s="814"/>
      <c r="HY12" s="814"/>
      <c r="HZ12" s="814"/>
      <c r="IA12" s="814"/>
      <c r="IB12" s="814"/>
      <c r="IC12" s="814"/>
      <c r="ID12" s="814"/>
      <c r="IE12" s="814"/>
      <c r="IF12" s="814"/>
      <c r="IG12" s="814"/>
      <c r="IH12" s="814"/>
      <c r="II12" s="814"/>
      <c r="IJ12" s="814"/>
      <c r="IK12" s="814"/>
      <c r="IL12" s="814"/>
      <c r="IM12" s="814"/>
      <c r="IN12" s="814"/>
      <c r="IO12" s="814"/>
      <c r="IP12" s="814"/>
      <c r="IQ12" s="814"/>
      <c r="IR12" s="814"/>
      <c r="IS12" s="814"/>
      <c r="IT12" s="814"/>
      <c r="IU12" s="814"/>
      <c r="IV12" s="814"/>
      <c r="IW12" s="814"/>
      <c r="IX12" s="814"/>
      <c r="IY12" s="814"/>
      <c r="IZ12" s="814"/>
      <c r="JA12" s="814"/>
      <c r="JB12" s="814"/>
      <c r="JC12" s="814"/>
      <c r="JD12" s="814"/>
      <c r="JE12" s="814"/>
      <c r="JF12" s="814"/>
      <c r="JG12" s="814"/>
      <c r="JH12" s="814"/>
      <c r="JI12" s="814"/>
      <c r="JJ12" s="814"/>
      <c r="JK12" s="814"/>
      <c r="JL12" s="814"/>
      <c r="JM12" s="814"/>
      <c r="JN12" s="814"/>
      <c r="JO12" s="814"/>
      <c r="JP12" s="814"/>
      <c r="JQ12" s="814"/>
      <c r="JR12" s="814"/>
      <c r="JS12" s="814"/>
      <c r="JT12" s="814"/>
      <c r="JU12" s="814"/>
      <c r="JV12" s="814"/>
      <c r="JW12" s="814"/>
      <c r="JX12" s="814"/>
      <c r="JY12" s="814"/>
      <c r="JZ12" s="814"/>
      <c r="KA12" s="814"/>
      <c r="KB12" s="814"/>
      <c r="KC12" s="814"/>
      <c r="KD12" s="814"/>
      <c r="KE12" s="814"/>
      <c r="KF12" s="814"/>
      <c r="KG12" s="814"/>
      <c r="KH12" s="814"/>
      <c r="KI12" s="814"/>
      <c r="KJ12" s="814"/>
      <c r="KK12" s="814"/>
      <c r="KL12" s="814"/>
      <c r="KM12" s="814"/>
      <c r="KN12" s="814"/>
      <c r="KO12" s="814"/>
      <c r="KP12" s="814"/>
      <c r="KQ12" s="814"/>
      <c r="KR12" s="814"/>
      <c r="KS12" s="814"/>
      <c r="KT12" s="814"/>
      <c r="KU12" s="814"/>
      <c r="KV12" s="814"/>
      <c r="KW12" s="814"/>
      <c r="KX12" s="814"/>
      <c r="KY12" s="814"/>
      <c r="KZ12" s="814"/>
      <c r="LA12" s="814"/>
      <c r="LB12" s="814"/>
      <c r="LC12" s="814"/>
      <c r="LD12" s="814"/>
      <c r="LE12" s="814"/>
      <c r="LF12" s="814"/>
      <c r="LG12" s="814"/>
      <c r="LH12" s="814"/>
      <c r="LI12" s="814"/>
      <c r="LJ12" s="814"/>
      <c r="LK12" s="814"/>
      <c r="LL12" s="814"/>
      <c r="LM12" s="814"/>
      <c r="LN12" s="814"/>
      <c r="LO12" s="814"/>
      <c r="LP12" s="814"/>
      <c r="LQ12" s="814"/>
      <c r="LR12" s="814"/>
      <c r="LS12" s="814"/>
      <c r="LT12" s="814"/>
      <c r="LU12" s="814"/>
      <c r="LV12" s="814"/>
      <c r="LW12" s="814"/>
      <c r="LX12" s="814"/>
      <c r="LY12" s="814"/>
      <c r="LZ12" s="814"/>
      <c r="MA12" s="814"/>
      <c r="MB12" s="814"/>
      <c r="MC12" s="814"/>
      <c r="MD12" s="814"/>
      <c r="ME12" s="814"/>
      <c r="MF12" s="814"/>
      <c r="MG12" s="814"/>
      <c r="MH12" s="814"/>
      <c r="MI12" s="814"/>
      <c r="MJ12" s="814"/>
      <c r="MK12" s="814"/>
      <c r="ML12" s="814"/>
      <c r="MM12" s="814"/>
      <c r="MN12" s="814"/>
      <c r="MO12" s="814"/>
      <c r="MP12" s="814"/>
      <c r="MQ12" s="814"/>
      <c r="MR12" s="814"/>
      <c r="MS12" s="814"/>
      <c r="MT12" s="814"/>
      <c r="MU12" s="814"/>
      <c r="MV12" s="814"/>
      <c r="MW12" s="814"/>
      <c r="MX12" s="814"/>
      <c r="MY12" s="814"/>
      <c r="MZ12" s="814"/>
      <c r="NA12" s="814"/>
      <c r="NB12" s="814"/>
      <c r="NC12" s="814"/>
      <c r="ND12" s="814"/>
      <c r="NE12" s="814"/>
      <c r="NF12" s="814"/>
      <c r="NG12" s="814"/>
      <c r="NH12" s="814"/>
      <c r="NI12" s="814"/>
      <c r="NJ12" s="814"/>
      <c r="NK12" s="814"/>
      <c r="NL12" s="814"/>
      <c r="NM12" s="814"/>
      <c r="NN12" s="814"/>
      <c r="NO12" s="814"/>
      <c r="NP12" s="814"/>
      <c r="NQ12" s="814"/>
      <c r="NR12" s="814"/>
      <c r="NS12" s="814"/>
      <c r="NT12" s="814"/>
      <c r="NU12" s="814"/>
      <c r="NV12" s="814"/>
      <c r="NW12" s="814"/>
      <c r="NX12" s="814"/>
      <c r="NY12" s="814"/>
      <c r="NZ12" s="814"/>
      <c r="OA12" s="814"/>
      <c r="OB12" s="814"/>
      <c r="OC12" s="814"/>
      <c r="OD12" s="814"/>
      <c r="OE12" s="814"/>
      <c r="OF12" s="814"/>
      <c r="OG12" s="814"/>
      <c r="OH12" s="814"/>
      <c r="OI12" s="814"/>
      <c r="OJ12" s="814"/>
      <c r="OK12" s="814"/>
      <c r="OL12" s="814"/>
      <c r="OM12" s="814"/>
      <c r="ON12" s="814"/>
      <c r="OO12" s="814"/>
      <c r="OP12" s="814"/>
      <c r="OQ12" s="814"/>
      <c r="OR12" s="814"/>
      <c r="OS12" s="814"/>
      <c r="OT12" s="814"/>
      <c r="OU12" s="814"/>
      <c r="OV12" s="814"/>
      <c r="OW12" s="814"/>
      <c r="OX12" s="814"/>
      <c r="OY12" s="814"/>
      <c r="OZ12" s="814"/>
      <c r="PA12" s="814"/>
      <c r="PB12" s="814"/>
      <c r="PC12" s="814"/>
      <c r="PD12" s="814"/>
      <c r="PE12" s="814"/>
      <c r="PF12" s="814"/>
      <c r="PG12" s="814"/>
      <c r="PH12" s="814"/>
      <c r="PI12" s="814"/>
      <c r="PJ12" s="814"/>
      <c r="PK12" s="814"/>
      <c r="PL12" s="814"/>
      <c r="PM12" s="814"/>
      <c r="PN12" s="814"/>
      <c r="PO12" s="814"/>
      <c r="PP12" s="814"/>
      <c r="PQ12" s="814"/>
      <c r="PR12" s="814"/>
      <c r="PS12" s="814"/>
      <c r="PT12" s="814"/>
      <c r="PU12" s="814"/>
      <c r="PV12" s="814"/>
      <c r="PW12" s="814"/>
      <c r="PX12" s="814"/>
      <c r="PY12" s="814"/>
      <c r="PZ12" s="814"/>
      <c r="QA12" s="814"/>
      <c r="QB12" s="814"/>
      <c r="QC12" s="814"/>
      <c r="QD12" s="814"/>
      <c r="QE12" s="814"/>
      <c r="QF12" s="814"/>
      <c r="QG12" s="814"/>
      <c r="QH12" s="814"/>
      <c r="QI12" s="814"/>
      <c r="QJ12" s="814"/>
      <c r="QK12" s="814"/>
      <c r="QL12" s="814"/>
      <c r="QM12" s="814"/>
      <c r="QN12" s="814"/>
      <c r="QO12" s="814"/>
      <c r="QP12" s="814"/>
      <c r="QQ12" s="814"/>
      <c r="QR12" s="814"/>
      <c r="QS12" s="814"/>
      <c r="QT12" s="814"/>
      <c r="QU12" s="814"/>
      <c r="QV12" s="814"/>
      <c r="QW12" s="814"/>
      <c r="QX12" s="814"/>
      <c r="QY12" s="814"/>
      <c r="QZ12" s="814"/>
      <c r="RA12" s="814"/>
      <c r="RB12" s="814"/>
      <c r="RC12" s="814"/>
      <c r="RD12" s="814"/>
      <c r="RE12" s="814"/>
      <c r="RF12" s="814"/>
      <c r="RG12" s="814"/>
      <c r="RH12" s="814"/>
      <c r="RI12" s="814"/>
      <c r="RJ12" s="814"/>
      <c r="RK12" s="814"/>
      <c r="RL12" s="814"/>
      <c r="RM12" s="814"/>
      <c r="RN12" s="814"/>
      <c r="RO12" s="814"/>
      <c r="RP12" s="814"/>
      <c r="RQ12" s="814"/>
      <c r="RR12" s="814"/>
      <c r="RS12" s="814"/>
      <c r="RT12" s="814"/>
      <c r="RU12" s="814"/>
      <c r="RV12" s="814"/>
      <c r="RW12" s="814"/>
      <c r="RX12" s="814"/>
    </row>
    <row r="13" spans="1:492" s="815" customFormat="1" ht="20.149999999999999" customHeight="1">
      <c r="A13" s="802" t="s">
        <v>458</v>
      </c>
      <c r="B13" s="803" t="s">
        <v>459</v>
      </c>
      <c r="C13" s="804"/>
      <c r="D13" s="804"/>
      <c r="E13" s="804"/>
      <c r="F13" s="804"/>
      <c r="G13" s="804"/>
      <c r="H13" s="804"/>
      <c r="I13" s="804"/>
      <c r="J13" s="804"/>
      <c r="K13" s="804"/>
      <c r="L13" s="804"/>
      <c r="M13" s="804"/>
      <c r="N13" s="804"/>
      <c r="O13" s="804"/>
      <c r="P13" s="804"/>
      <c r="Q13" s="804"/>
      <c r="R13" s="804"/>
      <c r="S13" s="804"/>
      <c r="T13" s="804"/>
      <c r="U13" s="804"/>
      <c r="V13" s="804"/>
      <c r="W13" s="804"/>
      <c r="X13" s="804"/>
      <c r="Y13" s="804"/>
      <c r="Z13" s="804"/>
      <c r="AA13" s="804"/>
      <c r="AB13" s="804"/>
      <c r="AC13" s="804"/>
      <c r="AD13" s="804"/>
      <c r="AE13" s="804"/>
      <c r="AF13" s="804"/>
      <c r="AG13" s="804"/>
      <c r="AH13" s="804"/>
      <c r="AI13" s="804"/>
      <c r="AJ13" s="804"/>
      <c r="AK13" s="804"/>
      <c r="AL13" s="804"/>
      <c r="AM13" s="805"/>
      <c r="AN13" s="806"/>
      <c r="AO13" s="806"/>
      <c r="AP13" s="806"/>
      <c r="AQ13" s="807"/>
      <c r="AR13" s="808"/>
      <c r="AS13" s="808"/>
      <c r="AT13" s="808"/>
      <c r="AU13" s="808"/>
      <c r="AV13" s="808"/>
      <c r="AW13" s="806"/>
      <c r="AX13" s="806"/>
      <c r="AY13" s="806"/>
      <c r="AZ13" s="806"/>
      <c r="BA13" s="806"/>
      <c r="BB13" s="809">
        <v>147.1</v>
      </c>
      <c r="BC13" s="810">
        <v>122.29999999999998</v>
      </c>
      <c r="BD13" s="810">
        <v>135.20000000000005</v>
      </c>
      <c r="BE13" s="810">
        <v>201.6</v>
      </c>
      <c r="BF13" s="811">
        <f t="shared" ref="BF13" si="18">SUM(BB13:BE13)</f>
        <v>606.20000000000005</v>
      </c>
      <c r="BG13" s="810">
        <v>146.1</v>
      </c>
      <c r="BH13" s="810">
        <v>189.1</v>
      </c>
      <c r="BI13" s="810">
        <v>117.9</v>
      </c>
      <c r="BJ13" s="810">
        <f>629.3-SUM(BG13:BI13)</f>
        <v>176.19999999999993</v>
      </c>
      <c r="BK13" s="812">
        <f t="shared" ref="BK13:BK18" si="19">SUM(BG13:BJ13)</f>
        <v>629.29999999999995</v>
      </c>
      <c r="BL13" s="810">
        <v>96.6</v>
      </c>
      <c r="BM13" s="813">
        <f>239-BL13</f>
        <v>142.4</v>
      </c>
      <c r="BN13" s="810">
        <f>315.8-BM13-BL13</f>
        <v>76.800000000000011</v>
      </c>
      <c r="BO13" s="810">
        <f>506-BN13-BM13-BL13</f>
        <v>190.19999999999996</v>
      </c>
      <c r="BP13" s="812">
        <f t="shared" ref="BP13:BP19" si="20">SUM(BL13:BO13)</f>
        <v>506</v>
      </c>
      <c r="BQ13" s="810">
        <f t="shared" ref="BQ13:BR13" si="21">BQ22</f>
        <v>92.5</v>
      </c>
      <c r="BR13" s="810">
        <f t="shared" si="21"/>
        <v>156.69999999999999</v>
      </c>
      <c r="BS13" s="810">
        <v>83.100000000000023</v>
      </c>
      <c r="BT13" s="810">
        <v>139.69999999999999</v>
      </c>
      <c r="BU13" s="824">
        <f t="shared" ref="BU13:BU19" si="22">SUM(BQ13:BT13)</f>
        <v>472</v>
      </c>
      <c r="BV13" s="810">
        <v>100.19999999999999</v>
      </c>
      <c r="BW13" s="810">
        <v>145.19999999999999</v>
      </c>
      <c r="BX13" s="810">
        <v>144.5</v>
      </c>
      <c r="BY13" s="810">
        <v>96.5</v>
      </c>
      <c r="BZ13" s="824">
        <f t="shared" ref="BZ13:BZ19" si="23">SUM(BV13:BY13)</f>
        <v>486.4</v>
      </c>
      <c r="CA13" s="810">
        <v>124.5</v>
      </c>
      <c r="CB13" s="810"/>
      <c r="CC13" s="810"/>
      <c r="CD13" s="810"/>
      <c r="CE13" s="824">
        <f t="shared" ref="CE13:CE19" si="24">SUM(CA13:CD13)</f>
        <v>124.5</v>
      </c>
      <c r="CF13" s="814"/>
      <c r="CG13" s="814"/>
      <c r="CH13" s="814"/>
      <c r="CI13" s="814"/>
      <c r="CJ13" s="814"/>
      <c r="CK13" s="814"/>
      <c r="CL13" s="814"/>
      <c r="CM13" s="814"/>
      <c r="CN13" s="814"/>
      <c r="CO13" s="814"/>
      <c r="CP13" s="814"/>
      <c r="CQ13" s="814"/>
      <c r="CR13" s="814"/>
      <c r="CS13" s="814"/>
      <c r="CT13" s="814"/>
      <c r="CU13" s="814"/>
      <c r="CV13" s="814"/>
      <c r="CW13" s="814"/>
      <c r="CX13" s="814"/>
      <c r="CY13" s="814"/>
      <c r="CZ13" s="814"/>
      <c r="DA13" s="814"/>
      <c r="DB13" s="814"/>
      <c r="DC13" s="814"/>
      <c r="DD13" s="814"/>
      <c r="DE13" s="814"/>
      <c r="DF13" s="814"/>
      <c r="DG13" s="814"/>
      <c r="DH13" s="814"/>
      <c r="DI13" s="814"/>
      <c r="DJ13" s="814"/>
      <c r="DK13" s="814"/>
      <c r="DL13" s="814"/>
      <c r="DM13" s="814"/>
      <c r="DN13" s="814"/>
      <c r="DO13" s="814"/>
      <c r="DP13" s="814"/>
      <c r="DQ13" s="814"/>
      <c r="DR13" s="814"/>
      <c r="DS13" s="814"/>
      <c r="DT13" s="814"/>
      <c r="DU13" s="814"/>
      <c r="DV13" s="814"/>
      <c r="DW13" s="814"/>
      <c r="DX13" s="814"/>
      <c r="DY13" s="814"/>
      <c r="DZ13" s="814"/>
      <c r="EA13" s="814"/>
      <c r="EB13" s="814"/>
      <c r="EC13" s="814"/>
      <c r="ED13" s="814"/>
      <c r="EE13" s="814"/>
      <c r="EF13" s="814"/>
      <c r="EG13" s="814"/>
      <c r="EH13" s="814"/>
      <c r="EI13" s="814"/>
      <c r="EJ13" s="814"/>
      <c r="EK13" s="814"/>
      <c r="EL13" s="814"/>
      <c r="EM13" s="814"/>
      <c r="EN13" s="814"/>
      <c r="EO13" s="814"/>
      <c r="EP13" s="814"/>
      <c r="EQ13" s="814"/>
      <c r="ER13" s="814"/>
      <c r="ES13" s="814"/>
      <c r="ET13" s="814"/>
      <c r="EU13" s="814"/>
      <c r="EV13" s="814"/>
      <c r="EW13" s="814"/>
      <c r="EX13" s="814"/>
      <c r="EY13" s="814"/>
      <c r="EZ13" s="814"/>
      <c r="FA13" s="814"/>
      <c r="FB13" s="814"/>
      <c r="FC13" s="814"/>
      <c r="FD13" s="814"/>
      <c r="FE13" s="814"/>
      <c r="FF13" s="814"/>
      <c r="FG13" s="814"/>
      <c r="FH13" s="814"/>
      <c r="FI13" s="814"/>
      <c r="FJ13" s="814"/>
      <c r="FK13" s="814"/>
      <c r="FL13" s="814"/>
      <c r="FM13" s="814"/>
      <c r="FN13" s="814"/>
      <c r="FO13" s="814"/>
      <c r="FP13" s="814"/>
      <c r="FQ13" s="814"/>
      <c r="FR13" s="814"/>
      <c r="FS13" s="814"/>
      <c r="FT13" s="814"/>
      <c r="FU13" s="814"/>
      <c r="FV13" s="814"/>
      <c r="FW13" s="814"/>
      <c r="FX13" s="814"/>
      <c r="FY13" s="814"/>
      <c r="FZ13" s="814"/>
      <c r="GA13" s="814"/>
      <c r="GB13" s="814"/>
      <c r="GC13" s="814"/>
      <c r="GD13" s="814"/>
      <c r="GE13" s="814"/>
      <c r="GF13" s="814"/>
      <c r="GG13" s="814"/>
      <c r="GH13" s="814"/>
      <c r="GI13" s="814"/>
      <c r="GJ13" s="814"/>
      <c r="GK13" s="814"/>
      <c r="GL13" s="814"/>
      <c r="GM13" s="814"/>
      <c r="GN13" s="814"/>
      <c r="GO13" s="814"/>
      <c r="GP13" s="814"/>
      <c r="GQ13" s="814"/>
      <c r="GR13" s="814"/>
      <c r="GS13" s="814"/>
      <c r="GT13" s="814"/>
      <c r="GU13" s="814"/>
      <c r="GV13" s="814"/>
      <c r="GW13" s="814"/>
      <c r="GX13" s="814"/>
      <c r="GY13" s="814"/>
      <c r="GZ13" s="814"/>
      <c r="HA13" s="814"/>
      <c r="HB13" s="814"/>
      <c r="HC13" s="814"/>
      <c r="HD13" s="814"/>
      <c r="HE13" s="814"/>
      <c r="HF13" s="814"/>
      <c r="HG13" s="814"/>
      <c r="HH13" s="814"/>
      <c r="HI13" s="814"/>
      <c r="HJ13" s="814"/>
      <c r="HK13" s="814"/>
      <c r="HL13" s="814"/>
      <c r="HM13" s="814"/>
      <c r="HN13" s="814"/>
      <c r="HO13" s="814"/>
      <c r="HP13" s="814"/>
      <c r="HQ13" s="814"/>
      <c r="HR13" s="814"/>
      <c r="HS13" s="814"/>
      <c r="HT13" s="814"/>
      <c r="HU13" s="814"/>
      <c r="HV13" s="814"/>
      <c r="HW13" s="814"/>
      <c r="HX13" s="814"/>
      <c r="HY13" s="814"/>
      <c r="HZ13" s="814"/>
      <c r="IA13" s="814"/>
      <c r="IB13" s="814"/>
      <c r="IC13" s="814"/>
      <c r="ID13" s="814"/>
      <c r="IE13" s="814"/>
      <c r="IF13" s="814"/>
      <c r="IG13" s="814"/>
      <c r="IH13" s="814"/>
      <c r="II13" s="814"/>
      <c r="IJ13" s="814"/>
      <c r="IK13" s="814"/>
      <c r="IL13" s="814"/>
      <c r="IM13" s="814"/>
      <c r="IN13" s="814"/>
      <c r="IO13" s="814"/>
      <c r="IP13" s="814"/>
      <c r="IQ13" s="814"/>
      <c r="IR13" s="814"/>
      <c r="IS13" s="814"/>
      <c r="IT13" s="814"/>
      <c r="IU13" s="814"/>
      <c r="IV13" s="814"/>
      <c r="IW13" s="814"/>
      <c r="IX13" s="814"/>
      <c r="IY13" s="814"/>
      <c r="IZ13" s="814"/>
      <c r="JA13" s="814"/>
      <c r="JB13" s="814"/>
      <c r="JC13" s="814"/>
      <c r="JD13" s="814"/>
      <c r="JE13" s="814"/>
      <c r="JF13" s="814"/>
      <c r="JG13" s="814"/>
      <c r="JH13" s="814"/>
      <c r="JI13" s="814"/>
      <c r="JJ13" s="814"/>
      <c r="JK13" s="814"/>
      <c r="JL13" s="814"/>
      <c r="JM13" s="814"/>
      <c r="JN13" s="814"/>
      <c r="JO13" s="814"/>
      <c r="JP13" s="814"/>
      <c r="JQ13" s="814"/>
      <c r="JR13" s="814"/>
      <c r="JS13" s="814"/>
      <c r="JT13" s="814"/>
      <c r="JU13" s="814"/>
      <c r="JV13" s="814"/>
      <c r="JW13" s="814"/>
      <c r="JX13" s="814"/>
      <c r="JY13" s="814"/>
      <c r="JZ13" s="814"/>
      <c r="KA13" s="814"/>
      <c r="KB13" s="814"/>
      <c r="KC13" s="814"/>
      <c r="KD13" s="814"/>
      <c r="KE13" s="814"/>
      <c r="KF13" s="814"/>
      <c r="KG13" s="814"/>
      <c r="KH13" s="814"/>
      <c r="KI13" s="814"/>
      <c r="KJ13" s="814"/>
      <c r="KK13" s="814"/>
      <c r="KL13" s="814"/>
      <c r="KM13" s="814"/>
      <c r="KN13" s="814"/>
      <c r="KO13" s="814"/>
      <c r="KP13" s="814"/>
      <c r="KQ13" s="814"/>
      <c r="KR13" s="814"/>
      <c r="KS13" s="814"/>
      <c r="KT13" s="814"/>
      <c r="KU13" s="814"/>
      <c r="KV13" s="814"/>
      <c r="KW13" s="814"/>
      <c r="KX13" s="814"/>
      <c r="KY13" s="814"/>
      <c r="KZ13" s="814"/>
      <c r="LA13" s="814"/>
      <c r="LB13" s="814"/>
      <c r="LC13" s="814"/>
      <c r="LD13" s="814"/>
      <c r="LE13" s="814"/>
      <c r="LF13" s="814"/>
      <c r="LG13" s="814"/>
      <c r="LH13" s="814"/>
      <c r="LI13" s="814"/>
      <c r="LJ13" s="814"/>
      <c r="LK13" s="814"/>
      <c r="LL13" s="814"/>
      <c r="LM13" s="814"/>
      <c r="LN13" s="814"/>
      <c r="LO13" s="814"/>
      <c r="LP13" s="814"/>
      <c r="LQ13" s="814"/>
      <c r="LR13" s="814"/>
      <c r="LS13" s="814"/>
      <c r="LT13" s="814"/>
      <c r="LU13" s="814"/>
      <c r="LV13" s="814"/>
      <c r="LW13" s="814"/>
      <c r="LX13" s="814"/>
      <c r="LY13" s="814"/>
      <c r="LZ13" s="814"/>
      <c r="MA13" s="814"/>
      <c r="MB13" s="814"/>
      <c r="MC13" s="814"/>
      <c r="MD13" s="814"/>
      <c r="ME13" s="814"/>
      <c r="MF13" s="814"/>
      <c r="MG13" s="814"/>
      <c r="MH13" s="814"/>
      <c r="MI13" s="814"/>
      <c r="MJ13" s="814"/>
      <c r="MK13" s="814"/>
      <c r="ML13" s="814"/>
      <c r="MM13" s="814"/>
      <c r="MN13" s="814"/>
      <c r="MO13" s="814"/>
      <c r="MP13" s="814"/>
      <c r="MQ13" s="814"/>
      <c r="MR13" s="814"/>
      <c r="MS13" s="814"/>
      <c r="MT13" s="814"/>
      <c r="MU13" s="814"/>
      <c r="MV13" s="814"/>
      <c r="MW13" s="814"/>
      <c r="MX13" s="814"/>
      <c r="MY13" s="814"/>
      <c r="MZ13" s="814"/>
      <c r="NA13" s="814"/>
      <c r="NB13" s="814"/>
      <c r="NC13" s="814"/>
      <c r="ND13" s="814"/>
      <c r="NE13" s="814"/>
      <c r="NF13" s="814"/>
      <c r="NG13" s="814"/>
      <c r="NH13" s="814"/>
      <c r="NI13" s="814"/>
      <c r="NJ13" s="814"/>
      <c r="NK13" s="814"/>
      <c r="NL13" s="814"/>
      <c r="NM13" s="814"/>
      <c r="NN13" s="814"/>
      <c r="NO13" s="814"/>
      <c r="NP13" s="814"/>
      <c r="NQ13" s="814"/>
      <c r="NR13" s="814"/>
      <c r="NS13" s="814"/>
      <c r="NT13" s="814"/>
      <c r="NU13" s="814"/>
      <c r="NV13" s="814"/>
      <c r="NW13" s="814"/>
      <c r="NX13" s="814"/>
      <c r="NY13" s="814"/>
      <c r="NZ13" s="814"/>
      <c r="OA13" s="814"/>
      <c r="OB13" s="814"/>
      <c r="OC13" s="814"/>
      <c r="OD13" s="814"/>
      <c r="OE13" s="814"/>
      <c r="OF13" s="814"/>
      <c r="OG13" s="814"/>
      <c r="OH13" s="814"/>
      <c r="OI13" s="814"/>
      <c r="OJ13" s="814"/>
      <c r="OK13" s="814"/>
      <c r="OL13" s="814"/>
      <c r="OM13" s="814"/>
      <c r="ON13" s="814"/>
      <c r="OO13" s="814"/>
      <c r="OP13" s="814"/>
      <c r="OQ13" s="814"/>
      <c r="OR13" s="814"/>
      <c r="OS13" s="814"/>
      <c r="OT13" s="814"/>
      <c r="OU13" s="814"/>
      <c r="OV13" s="814"/>
      <c r="OW13" s="814"/>
      <c r="OX13" s="814"/>
      <c r="OY13" s="814"/>
      <c r="OZ13" s="814"/>
      <c r="PA13" s="814"/>
      <c r="PB13" s="814"/>
      <c r="PC13" s="814"/>
      <c r="PD13" s="814"/>
      <c r="PE13" s="814"/>
      <c r="PF13" s="814"/>
      <c r="PG13" s="814"/>
      <c r="PH13" s="814"/>
      <c r="PI13" s="814"/>
      <c r="PJ13" s="814"/>
      <c r="PK13" s="814"/>
      <c r="PL13" s="814"/>
      <c r="PM13" s="814"/>
      <c r="PN13" s="814"/>
      <c r="PO13" s="814"/>
      <c r="PP13" s="814"/>
      <c r="PQ13" s="814"/>
      <c r="PR13" s="814"/>
      <c r="PS13" s="814"/>
      <c r="PT13" s="814"/>
      <c r="PU13" s="814"/>
      <c r="PV13" s="814"/>
      <c r="PW13" s="814"/>
      <c r="PX13" s="814"/>
      <c r="PY13" s="814"/>
      <c r="PZ13" s="814"/>
      <c r="QA13" s="814"/>
      <c r="QB13" s="814"/>
      <c r="QC13" s="814"/>
      <c r="QD13" s="814"/>
      <c r="QE13" s="814"/>
      <c r="QF13" s="814"/>
      <c r="QG13" s="814"/>
      <c r="QH13" s="814"/>
      <c r="QI13" s="814"/>
      <c r="QJ13" s="814"/>
      <c r="QK13" s="814"/>
      <c r="QL13" s="814"/>
      <c r="QM13" s="814"/>
      <c r="QN13" s="814"/>
      <c r="QO13" s="814"/>
      <c r="QP13" s="814"/>
      <c r="QQ13" s="814"/>
      <c r="QR13" s="814"/>
      <c r="QS13" s="814"/>
      <c r="QT13" s="814"/>
      <c r="QU13" s="814"/>
      <c r="QV13" s="814"/>
      <c r="QW13" s="814"/>
      <c r="QX13" s="814"/>
      <c r="QY13" s="814"/>
      <c r="QZ13" s="814"/>
      <c r="RA13" s="814"/>
      <c r="RB13" s="814"/>
      <c r="RC13" s="814"/>
      <c r="RD13" s="814"/>
      <c r="RE13" s="814"/>
      <c r="RF13" s="814"/>
      <c r="RG13" s="814"/>
      <c r="RH13" s="814"/>
      <c r="RI13" s="814"/>
      <c r="RJ13" s="814"/>
      <c r="RK13" s="814"/>
      <c r="RL13" s="814"/>
      <c r="RM13" s="814"/>
      <c r="RN13" s="814"/>
      <c r="RO13" s="814"/>
      <c r="RP13" s="814"/>
      <c r="RQ13" s="814"/>
      <c r="RR13" s="814"/>
      <c r="RS13" s="814"/>
      <c r="RT13" s="814"/>
      <c r="RU13" s="814"/>
      <c r="RV13" s="814"/>
      <c r="RW13" s="814"/>
      <c r="RX13" s="814"/>
    </row>
    <row r="14" spans="1:492" s="815" customFormat="1" ht="20.149999999999999" customHeight="1">
      <c r="A14" s="802" t="s">
        <v>468</v>
      </c>
      <c r="B14" s="803" t="s">
        <v>461</v>
      </c>
      <c r="C14" s="804"/>
      <c r="D14" s="804"/>
      <c r="E14" s="804"/>
      <c r="F14" s="804"/>
      <c r="G14" s="804"/>
      <c r="H14" s="804"/>
      <c r="I14" s="804"/>
      <c r="J14" s="804"/>
      <c r="K14" s="804"/>
      <c r="L14" s="804"/>
      <c r="M14" s="804"/>
      <c r="N14" s="804"/>
      <c r="O14" s="804"/>
      <c r="P14" s="804"/>
      <c r="Q14" s="804"/>
      <c r="R14" s="804"/>
      <c r="S14" s="804"/>
      <c r="T14" s="804"/>
      <c r="U14" s="804"/>
      <c r="V14" s="804"/>
      <c r="W14" s="804"/>
      <c r="X14" s="804"/>
      <c r="Y14" s="804"/>
      <c r="Z14" s="804"/>
      <c r="AA14" s="804"/>
      <c r="AB14" s="804"/>
      <c r="AC14" s="804"/>
      <c r="AD14" s="804"/>
      <c r="AE14" s="804"/>
      <c r="AF14" s="804"/>
      <c r="AG14" s="804"/>
      <c r="AH14" s="804"/>
      <c r="AI14" s="804"/>
      <c r="AJ14" s="804"/>
      <c r="AK14" s="804"/>
      <c r="AL14" s="804"/>
      <c r="AM14" s="805"/>
      <c r="AN14" s="806"/>
      <c r="AO14" s="806"/>
      <c r="AP14" s="806"/>
      <c r="AQ14" s="807"/>
      <c r="AR14" s="808"/>
      <c r="AS14" s="808"/>
      <c r="AT14" s="808"/>
      <c r="AU14" s="808"/>
      <c r="AV14" s="808"/>
      <c r="AW14" s="806"/>
      <c r="AX14" s="806"/>
      <c r="AY14" s="806"/>
      <c r="AZ14" s="806"/>
      <c r="BA14" s="806"/>
      <c r="BB14" s="809"/>
      <c r="BC14" s="810"/>
      <c r="BD14" s="810"/>
      <c r="BE14" s="810"/>
      <c r="BF14" s="811"/>
      <c r="BG14" s="810"/>
      <c r="BH14" s="810"/>
      <c r="BI14" s="810"/>
      <c r="BJ14" s="810"/>
      <c r="BK14" s="812"/>
      <c r="BL14" s="816">
        <v>0</v>
      </c>
      <c r="BM14" s="813">
        <v>3.7</v>
      </c>
      <c r="BN14" s="810">
        <f>14-BM14-BL14</f>
        <v>10.3</v>
      </c>
      <c r="BO14" s="810">
        <f>17.2-BN14-BM14</f>
        <v>3.1999999999999984</v>
      </c>
      <c r="BP14" s="812">
        <f t="shared" si="20"/>
        <v>17.2</v>
      </c>
      <c r="BQ14" s="810">
        <f t="shared" ref="BQ14:BR14" si="25">BQ23</f>
        <v>7</v>
      </c>
      <c r="BR14" s="810">
        <f t="shared" si="25"/>
        <v>6</v>
      </c>
      <c r="BS14" s="810">
        <v>8.6999999999999993</v>
      </c>
      <c r="BT14" s="810">
        <v>5.3</v>
      </c>
      <c r="BU14" s="824">
        <f t="shared" si="22"/>
        <v>27</v>
      </c>
      <c r="BV14" s="810">
        <v>9</v>
      </c>
      <c r="BW14" s="810">
        <v>2.0999999999999996</v>
      </c>
      <c r="BX14" s="810">
        <v>9.9</v>
      </c>
      <c r="BY14" s="810">
        <v>78.2</v>
      </c>
      <c r="BZ14" s="824">
        <f t="shared" si="23"/>
        <v>99.2</v>
      </c>
      <c r="CA14" s="810">
        <v>19.8</v>
      </c>
      <c r="CB14" s="810"/>
      <c r="CC14" s="810"/>
      <c r="CD14" s="810"/>
      <c r="CE14" s="824">
        <f t="shared" si="24"/>
        <v>19.8</v>
      </c>
      <c r="CF14" s="814"/>
      <c r="CG14" s="814"/>
      <c r="CH14" s="814"/>
      <c r="CI14" s="814"/>
      <c r="CJ14" s="814"/>
      <c r="CK14" s="814"/>
      <c r="CL14" s="814"/>
      <c r="CM14" s="814"/>
      <c r="CN14" s="814"/>
      <c r="CO14" s="814"/>
      <c r="CP14" s="814"/>
      <c r="CQ14" s="814"/>
      <c r="CR14" s="814"/>
      <c r="CS14" s="814"/>
      <c r="CT14" s="814"/>
      <c r="CU14" s="814"/>
      <c r="CV14" s="814"/>
      <c r="CW14" s="814"/>
      <c r="CX14" s="814"/>
      <c r="CY14" s="814"/>
      <c r="CZ14" s="814"/>
      <c r="DA14" s="814"/>
      <c r="DB14" s="814"/>
      <c r="DC14" s="814"/>
      <c r="DD14" s="814"/>
      <c r="DE14" s="814"/>
      <c r="DF14" s="814"/>
      <c r="DG14" s="814"/>
      <c r="DH14" s="814"/>
      <c r="DI14" s="814"/>
      <c r="DJ14" s="814"/>
      <c r="DK14" s="814"/>
      <c r="DL14" s="814"/>
      <c r="DM14" s="814"/>
      <c r="DN14" s="814"/>
      <c r="DO14" s="814"/>
      <c r="DP14" s="814"/>
      <c r="DQ14" s="814"/>
      <c r="DR14" s="814"/>
      <c r="DS14" s="814"/>
      <c r="DT14" s="814"/>
      <c r="DU14" s="814"/>
      <c r="DV14" s="814"/>
      <c r="DW14" s="814"/>
      <c r="DX14" s="814"/>
      <c r="DY14" s="814"/>
      <c r="DZ14" s="814"/>
      <c r="EA14" s="814"/>
      <c r="EB14" s="814"/>
      <c r="EC14" s="814"/>
      <c r="ED14" s="814"/>
      <c r="EE14" s="814"/>
      <c r="EF14" s="814"/>
      <c r="EG14" s="814"/>
      <c r="EH14" s="814"/>
      <c r="EI14" s="814"/>
      <c r="EJ14" s="814"/>
      <c r="EK14" s="814"/>
      <c r="EL14" s="814"/>
      <c r="EM14" s="814"/>
      <c r="EN14" s="814"/>
      <c r="EO14" s="814"/>
      <c r="EP14" s="814"/>
      <c r="EQ14" s="814"/>
      <c r="ER14" s="814"/>
      <c r="ES14" s="814"/>
      <c r="ET14" s="814"/>
      <c r="EU14" s="814"/>
      <c r="EV14" s="814"/>
      <c r="EW14" s="814"/>
      <c r="EX14" s="814"/>
      <c r="EY14" s="814"/>
      <c r="EZ14" s="814"/>
      <c r="FA14" s="814"/>
      <c r="FB14" s="814"/>
      <c r="FC14" s="814"/>
      <c r="FD14" s="814"/>
      <c r="FE14" s="814"/>
      <c r="FF14" s="814"/>
      <c r="FG14" s="814"/>
      <c r="FH14" s="814"/>
      <c r="FI14" s="814"/>
      <c r="FJ14" s="814"/>
      <c r="FK14" s="814"/>
      <c r="FL14" s="814"/>
      <c r="FM14" s="814"/>
      <c r="FN14" s="814"/>
      <c r="FO14" s="814"/>
      <c r="FP14" s="814"/>
      <c r="FQ14" s="814"/>
      <c r="FR14" s="814"/>
      <c r="FS14" s="814"/>
      <c r="FT14" s="814"/>
      <c r="FU14" s="814"/>
      <c r="FV14" s="814"/>
      <c r="FW14" s="814"/>
      <c r="FX14" s="814"/>
      <c r="FY14" s="814"/>
      <c r="FZ14" s="814"/>
      <c r="GA14" s="814"/>
      <c r="GB14" s="814"/>
      <c r="GC14" s="814"/>
      <c r="GD14" s="814"/>
      <c r="GE14" s="814"/>
      <c r="GF14" s="814"/>
      <c r="GG14" s="814"/>
      <c r="GH14" s="814"/>
      <c r="GI14" s="814"/>
      <c r="GJ14" s="814"/>
      <c r="GK14" s="814"/>
      <c r="GL14" s="814"/>
      <c r="GM14" s="814"/>
      <c r="GN14" s="814"/>
      <c r="GO14" s="814"/>
      <c r="GP14" s="814"/>
      <c r="GQ14" s="814"/>
      <c r="GR14" s="814"/>
      <c r="GS14" s="814"/>
      <c r="GT14" s="814"/>
      <c r="GU14" s="814"/>
      <c r="GV14" s="814"/>
      <c r="GW14" s="814"/>
      <c r="GX14" s="814"/>
      <c r="GY14" s="814"/>
      <c r="GZ14" s="814"/>
      <c r="HA14" s="814"/>
      <c r="HB14" s="814"/>
      <c r="HC14" s="814"/>
      <c r="HD14" s="814"/>
      <c r="HE14" s="814"/>
      <c r="HF14" s="814"/>
      <c r="HG14" s="814"/>
      <c r="HH14" s="814"/>
      <c r="HI14" s="814"/>
      <c r="HJ14" s="814"/>
      <c r="HK14" s="814"/>
      <c r="HL14" s="814"/>
      <c r="HM14" s="814"/>
      <c r="HN14" s="814"/>
      <c r="HO14" s="814"/>
      <c r="HP14" s="814"/>
      <c r="HQ14" s="814"/>
      <c r="HR14" s="814"/>
      <c r="HS14" s="814"/>
      <c r="HT14" s="814"/>
      <c r="HU14" s="814"/>
      <c r="HV14" s="814"/>
      <c r="HW14" s="814"/>
      <c r="HX14" s="814"/>
      <c r="HY14" s="814"/>
      <c r="HZ14" s="814"/>
      <c r="IA14" s="814"/>
      <c r="IB14" s="814"/>
      <c r="IC14" s="814"/>
      <c r="ID14" s="814"/>
      <c r="IE14" s="814"/>
      <c r="IF14" s="814"/>
      <c r="IG14" s="814"/>
      <c r="IH14" s="814"/>
      <c r="II14" s="814"/>
      <c r="IJ14" s="814"/>
      <c r="IK14" s="814"/>
      <c r="IL14" s="814"/>
      <c r="IM14" s="814"/>
      <c r="IN14" s="814"/>
      <c r="IO14" s="814"/>
      <c r="IP14" s="814"/>
      <c r="IQ14" s="814"/>
      <c r="IR14" s="814"/>
      <c r="IS14" s="814"/>
      <c r="IT14" s="814"/>
      <c r="IU14" s="814"/>
      <c r="IV14" s="814"/>
      <c r="IW14" s="814"/>
      <c r="IX14" s="814"/>
      <c r="IY14" s="814"/>
      <c r="IZ14" s="814"/>
      <c r="JA14" s="814"/>
      <c r="JB14" s="814"/>
      <c r="JC14" s="814"/>
      <c r="JD14" s="814"/>
      <c r="JE14" s="814"/>
      <c r="JF14" s="814"/>
      <c r="JG14" s="814"/>
      <c r="JH14" s="814"/>
      <c r="JI14" s="814"/>
      <c r="JJ14" s="814"/>
      <c r="JK14" s="814"/>
      <c r="JL14" s="814"/>
      <c r="JM14" s="814"/>
      <c r="JN14" s="814"/>
      <c r="JO14" s="814"/>
      <c r="JP14" s="814"/>
      <c r="JQ14" s="814"/>
      <c r="JR14" s="814"/>
      <c r="JS14" s="814"/>
      <c r="JT14" s="814"/>
      <c r="JU14" s="814"/>
      <c r="JV14" s="814"/>
      <c r="JW14" s="814"/>
      <c r="JX14" s="814"/>
      <c r="JY14" s="814"/>
      <c r="JZ14" s="814"/>
      <c r="KA14" s="814"/>
      <c r="KB14" s="814"/>
      <c r="KC14" s="814"/>
      <c r="KD14" s="814"/>
      <c r="KE14" s="814"/>
      <c r="KF14" s="814"/>
      <c r="KG14" s="814"/>
      <c r="KH14" s="814"/>
      <c r="KI14" s="814"/>
      <c r="KJ14" s="814"/>
      <c r="KK14" s="814"/>
      <c r="KL14" s="814"/>
      <c r="KM14" s="814"/>
      <c r="KN14" s="814"/>
      <c r="KO14" s="814"/>
      <c r="KP14" s="814"/>
      <c r="KQ14" s="814"/>
      <c r="KR14" s="814"/>
      <c r="KS14" s="814"/>
      <c r="KT14" s="814"/>
      <c r="KU14" s="814"/>
      <c r="KV14" s="814"/>
      <c r="KW14" s="814"/>
      <c r="KX14" s="814"/>
      <c r="KY14" s="814"/>
      <c r="KZ14" s="814"/>
      <c r="LA14" s="814"/>
      <c r="LB14" s="814"/>
      <c r="LC14" s="814"/>
      <c r="LD14" s="814"/>
      <c r="LE14" s="814"/>
      <c r="LF14" s="814"/>
      <c r="LG14" s="814"/>
      <c r="LH14" s="814"/>
      <c r="LI14" s="814"/>
      <c r="LJ14" s="814"/>
      <c r="LK14" s="814"/>
      <c r="LL14" s="814"/>
      <c r="LM14" s="814"/>
      <c r="LN14" s="814"/>
      <c r="LO14" s="814"/>
      <c r="LP14" s="814"/>
      <c r="LQ14" s="814"/>
      <c r="LR14" s="814"/>
      <c r="LS14" s="814"/>
      <c r="LT14" s="814"/>
      <c r="LU14" s="814"/>
      <c r="LV14" s="814"/>
      <c r="LW14" s="814"/>
      <c r="LX14" s="814"/>
      <c r="LY14" s="814"/>
      <c r="LZ14" s="814"/>
      <c r="MA14" s="814"/>
      <c r="MB14" s="814"/>
      <c r="MC14" s="814"/>
      <c r="MD14" s="814"/>
      <c r="ME14" s="814"/>
      <c r="MF14" s="814"/>
      <c r="MG14" s="814"/>
      <c r="MH14" s="814"/>
      <c r="MI14" s="814"/>
      <c r="MJ14" s="814"/>
      <c r="MK14" s="814"/>
      <c r="ML14" s="814"/>
      <c r="MM14" s="814"/>
      <c r="MN14" s="814"/>
      <c r="MO14" s="814"/>
      <c r="MP14" s="814"/>
      <c r="MQ14" s="814"/>
      <c r="MR14" s="814"/>
      <c r="MS14" s="814"/>
      <c r="MT14" s="814"/>
      <c r="MU14" s="814"/>
      <c r="MV14" s="814"/>
      <c r="MW14" s="814"/>
      <c r="MX14" s="814"/>
      <c r="MY14" s="814"/>
      <c r="MZ14" s="814"/>
      <c r="NA14" s="814"/>
      <c r="NB14" s="814"/>
      <c r="NC14" s="814"/>
      <c r="ND14" s="814"/>
      <c r="NE14" s="814"/>
      <c r="NF14" s="814"/>
      <c r="NG14" s="814"/>
      <c r="NH14" s="814"/>
      <c r="NI14" s="814"/>
      <c r="NJ14" s="814"/>
      <c r="NK14" s="814"/>
      <c r="NL14" s="814"/>
      <c r="NM14" s="814"/>
      <c r="NN14" s="814"/>
      <c r="NO14" s="814"/>
      <c r="NP14" s="814"/>
      <c r="NQ14" s="814"/>
      <c r="NR14" s="814"/>
      <c r="NS14" s="814"/>
      <c r="NT14" s="814"/>
      <c r="NU14" s="814"/>
      <c r="NV14" s="814"/>
      <c r="NW14" s="814"/>
      <c r="NX14" s="814"/>
      <c r="NY14" s="814"/>
      <c r="NZ14" s="814"/>
      <c r="OA14" s="814"/>
      <c r="OB14" s="814"/>
      <c r="OC14" s="814"/>
      <c r="OD14" s="814"/>
      <c r="OE14" s="814"/>
      <c r="OF14" s="814"/>
      <c r="OG14" s="814"/>
      <c r="OH14" s="814"/>
      <c r="OI14" s="814"/>
      <c r="OJ14" s="814"/>
      <c r="OK14" s="814"/>
      <c r="OL14" s="814"/>
      <c r="OM14" s="814"/>
      <c r="ON14" s="814"/>
      <c r="OO14" s="814"/>
      <c r="OP14" s="814"/>
      <c r="OQ14" s="814"/>
      <c r="OR14" s="814"/>
      <c r="OS14" s="814"/>
      <c r="OT14" s="814"/>
      <c r="OU14" s="814"/>
      <c r="OV14" s="814"/>
      <c r="OW14" s="814"/>
      <c r="OX14" s="814"/>
      <c r="OY14" s="814"/>
      <c r="OZ14" s="814"/>
      <c r="PA14" s="814"/>
      <c r="PB14" s="814"/>
      <c r="PC14" s="814"/>
      <c r="PD14" s="814"/>
      <c r="PE14" s="814"/>
      <c r="PF14" s="814"/>
      <c r="PG14" s="814"/>
      <c r="PH14" s="814"/>
      <c r="PI14" s="814"/>
      <c r="PJ14" s="814"/>
      <c r="PK14" s="814"/>
      <c r="PL14" s="814"/>
      <c r="PM14" s="814"/>
      <c r="PN14" s="814"/>
      <c r="PO14" s="814"/>
      <c r="PP14" s="814"/>
      <c r="PQ14" s="814"/>
      <c r="PR14" s="814"/>
      <c r="PS14" s="814"/>
      <c r="PT14" s="814"/>
      <c r="PU14" s="814"/>
      <c r="PV14" s="814"/>
      <c r="PW14" s="814"/>
      <c r="PX14" s="814"/>
      <c r="PY14" s="814"/>
      <c r="PZ14" s="814"/>
      <c r="QA14" s="814"/>
      <c r="QB14" s="814"/>
      <c r="QC14" s="814"/>
      <c r="QD14" s="814"/>
      <c r="QE14" s="814"/>
      <c r="QF14" s="814"/>
      <c r="QG14" s="814"/>
      <c r="QH14" s="814"/>
      <c r="QI14" s="814"/>
      <c r="QJ14" s="814"/>
      <c r="QK14" s="814"/>
      <c r="QL14" s="814"/>
      <c r="QM14" s="814"/>
      <c r="QN14" s="814"/>
      <c r="QO14" s="814"/>
      <c r="QP14" s="814"/>
      <c r="QQ14" s="814"/>
      <c r="QR14" s="814"/>
      <c r="QS14" s="814"/>
      <c r="QT14" s="814"/>
      <c r="QU14" s="814"/>
      <c r="QV14" s="814"/>
      <c r="QW14" s="814"/>
      <c r="QX14" s="814"/>
      <c r="QY14" s="814"/>
      <c r="QZ14" s="814"/>
      <c r="RA14" s="814"/>
      <c r="RB14" s="814"/>
      <c r="RC14" s="814"/>
      <c r="RD14" s="814"/>
      <c r="RE14" s="814"/>
      <c r="RF14" s="814"/>
      <c r="RG14" s="814"/>
      <c r="RH14" s="814"/>
      <c r="RI14" s="814"/>
      <c r="RJ14" s="814"/>
      <c r="RK14" s="814"/>
      <c r="RL14" s="814"/>
      <c r="RM14" s="814"/>
      <c r="RN14" s="814"/>
      <c r="RO14" s="814"/>
      <c r="RP14" s="814"/>
      <c r="RQ14" s="814"/>
      <c r="RR14" s="814"/>
      <c r="RS14" s="814"/>
      <c r="RT14" s="814"/>
      <c r="RU14" s="814"/>
      <c r="RV14" s="814"/>
      <c r="RW14" s="814"/>
      <c r="RX14" s="814"/>
    </row>
    <row r="15" spans="1:492" s="815" customFormat="1" ht="20.149999999999999" customHeight="1">
      <c r="A15" s="802" t="s">
        <v>462</v>
      </c>
      <c r="B15" s="803" t="s">
        <v>463</v>
      </c>
      <c r="C15" s="804"/>
      <c r="D15" s="804"/>
      <c r="E15" s="804"/>
      <c r="F15" s="804"/>
      <c r="G15" s="804"/>
      <c r="H15" s="804"/>
      <c r="I15" s="804"/>
      <c r="J15" s="804"/>
      <c r="K15" s="804"/>
      <c r="L15" s="804"/>
      <c r="M15" s="804"/>
      <c r="N15" s="804"/>
      <c r="O15" s="804"/>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5"/>
      <c r="AN15" s="806"/>
      <c r="AO15" s="806"/>
      <c r="AP15" s="806"/>
      <c r="AQ15" s="807"/>
      <c r="AR15" s="808"/>
      <c r="AS15" s="808"/>
      <c r="AT15" s="808"/>
      <c r="AU15" s="808"/>
      <c r="AV15" s="808"/>
      <c r="AW15" s="806"/>
      <c r="AX15" s="806"/>
      <c r="AY15" s="806"/>
      <c r="AZ15" s="806"/>
      <c r="BA15" s="806"/>
      <c r="BB15" s="809"/>
      <c r="BC15" s="810"/>
      <c r="BD15" s="810"/>
      <c r="BE15" s="810"/>
      <c r="BF15" s="811"/>
      <c r="BG15" s="810"/>
      <c r="BH15" s="810"/>
      <c r="BI15" s="810"/>
      <c r="BJ15" s="810"/>
      <c r="BK15" s="812"/>
      <c r="BL15" s="816"/>
      <c r="BM15" s="813"/>
      <c r="BN15" s="810"/>
      <c r="BO15" s="810"/>
      <c r="BP15" s="812"/>
      <c r="BQ15" s="810">
        <f t="shared" ref="BQ15:BR15" si="26">BQ24</f>
        <v>0</v>
      </c>
      <c r="BR15" s="810">
        <f t="shared" si="26"/>
        <v>0</v>
      </c>
      <c r="BS15" s="810">
        <v>25.9</v>
      </c>
      <c r="BT15" s="817">
        <v>-1.4</v>
      </c>
      <c r="BU15" s="824">
        <f t="shared" si="22"/>
        <v>24.5</v>
      </c>
      <c r="BV15" s="810">
        <v>49.3</v>
      </c>
      <c r="BW15" s="810">
        <v>71.399999999999991</v>
      </c>
      <c r="BX15" s="810">
        <v>82.200000000000017</v>
      </c>
      <c r="BY15" s="810">
        <v>79.099999999999994</v>
      </c>
      <c r="BZ15" s="824">
        <f t="shared" si="23"/>
        <v>282</v>
      </c>
      <c r="CA15" s="810">
        <v>57.1</v>
      </c>
      <c r="CB15" s="810"/>
      <c r="CC15" s="810"/>
      <c r="CD15" s="810"/>
      <c r="CE15" s="824">
        <f t="shared" si="24"/>
        <v>57.1</v>
      </c>
      <c r="CF15" s="814"/>
      <c r="CG15" s="814"/>
      <c r="CH15" s="814"/>
      <c r="CI15" s="814"/>
      <c r="CJ15" s="814"/>
      <c r="CK15" s="814"/>
      <c r="CL15" s="814"/>
      <c r="CM15" s="814"/>
      <c r="CN15" s="814"/>
      <c r="CO15" s="814"/>
      <c r="CP15" s="814"/>
      <c r="CQ15" s="814"/>
      <c r="CR15" s="814"/>
      <c r="CS15" s="814"/>
      <c r="CT15" s="814"/>
      <c r="CU15" s="814"/>
      <c r="CV15" s="814"/>
      <c r="CW15" s="814"/>
      <c r="CX15" s="814"/>
      <c r="CY15" s="814"/>
      <c r="CZ15" s="814"/>
      <c r="DA15" s="814"/>
      <c r="DB15" s="814"/>
      <c r="DC15" s="814"/>
      <c r="DD15" s="814"/>
      <c r="DE15" s="814"/>
      <c r="DF15" s="814"/>
      <c r="DG15" s="814"/>
      <c r="DH15" s="814"/>
      <c r="DI15" s="814"/>
      <c r="DJ15" s="814"/>
      <c r="DK15" s="814"/>
      <c r="DL15" s="814"/>
      <c r="DM15" s="814"/>
      <c r="DN15" s="814"/>
      <c r="DO15" s="814"/>
      <c r="DP15" s="814"/>
      <c r="DQ15" s="814"/>
      <c r="DR15" s="814"/>
      <c r="DS15" s="814"/>
      <c r="DT15" s="814"/>
      <c r="DU15" s="814"/>
      <c r="DV15" s="814"/>
      <c r="DW15" s="814"/>
      <c r="DX15" s="814"/>
      <c r="DY15" s="814"/>
      <c r="DZ15" s="814"/>
      <c r="EA15" s="814"/>
      <c r="EB15" s="814"/>
      <c r="EC15" s="814"/>
      <c r="ED15" s="814"/>
      <c r="EE15" s="814"/>
      <c r="EF15" s="814"/>
      <c r="EG15" s="814"/>
      <c r="EH15" s="814"/>
      <c r="EI15" s="814"/>
      <c r="EJ15" s="814"/>
      <c r="EK15" s="814"/>
      <c r="EL15" s="814"/>
      <c r="EM15" s="814"/>
      <c r="EN15" s="814"/>
      <c r="EO15" s="814"/>
      <c r="EP15" s="814"/>
      <c r="EQ15" s="814"/>
      <c r="ER15" s="814"/>
      <c r="ES15" s="814"/>
      <c r="ET15" s="814"/>
      <c r="EU15" s="814"/>
      <c r="EV15" s="814"/>
      <c r="EW15" s="814"/>
      <c r="EX15" s="814"/>
      <c r="EY15" s="814"/>
      <c r="EZ15" s="814"/>
      <c r="FA15" s="814"/>
      <c r="FB15" s="814"/>
      <c r="FC15" s="814"/>
      <c r="FD15" s="814"/>
      <c r="FE15" s="814"/>
      <c r="FF15" s="814"/>
      <c r="FG15" s="814"/>
      <c r="FH15" s="814"/>
      <c r="FI15" s="814"/>
      <c r="FJ15" s="814"/>
      <c r="FK15" s="814"/>
      <c r="FL15" s="814"/>
      <c r="FM15" s="814"/>
      <c r="FN15" s="814"/>
      <c r="FO15" s="814"/>
      <c r="FP15" s="814"/>
      <c r="FQ15" s="814"/>
      <c r="FR15" s="814"/>
      <c r="FS15" s="814"/>
      <c r="FT15" s="814"/>
      <c r="FU15" s="814"/>
      <c r="FV15" s="814"/>
      <c r="FW15" s="814"/>
      <c r="FX15" s="814"/>
      <c r="FY15" s="814"/>
      <c r="FZ15" s="814"/>
      <c r="GA15" s="814"/>
      <c r="GB15" s="814"/>
      <c r="GC15" s="814"/>
      <c r="GD15" s="814"/>
      <c r="GE15" s="814"/>
      <c r="GF15" s="814"/>
      <c r="GG15" s="814"/>
      <c r="GH15" s="814"/>
      <c r="GI15" s="814"/>
      <c r="GJ15" s="814"/>
      <c r="GK15" s="814"/>
      <c r="GL15" s="814"/>
      <c r="GM15" s="814"/>
      <c r="GN15" s="814"/>
      <c r="GO15" s="814"/>
      <c r="GP15" s="814"/>
      <c r="GQ15" s="814"/>
      <c r="GR15" s="814"/>
      <c r="GS15" s="814"/>
      <c r="GT15" s="814"/>
      <c r="GU15" s="814"/>
      <c r="GV15" s="814"/>
      <c r="GW15" s="814"/>
      <c r="GX15" s="814"/>
      <c r="GY15" s="814"/>
      <c r="GZ15" s="814"/>
      <c r="HA15" s="814"/>
      <c r="HB15" s="814"/>
      <c r="HC15" s="814"/>
      <c r="HD15" s="814"/>
      <c r="HE15" s="814"/>
      <c r="HF15" s="814"/>
      <c r="HG15" s="814"/>
      <c r="HH15" s="814"/>
      <c r="HI15" s="814"/>
      <c r="HJ15" s="814"/>
      <c r="HK15" s="814"/>
      <c r="HL15" s="814"/>
      <c r="HM15" s="814"/>
      <c r="HN15" s="814"/>
      <c r="HO15" s="814"/>
      <c r="HP15" s="814"/>
      <c r="HQ15" s="814"/>
      <c r="HR15" s="814"/>
      <c r="HS15" s="814"/>
      <c r="HT15" s="814"/>
      <c r="HU15" s="814"/>
      <c r="HV15" s="814"/>
      <c r="HW15" s="814"/>
      <c r="HX15" s="814"/>
      <c r="HY15" s="814"/>
      <c r="HZ15" s="814"/>
      <c r="IA15" s="814"/>
      <c r="IB15" s="814"/>
      <c r="IC15" s="814"/>
      <c r="ID15" s="814"/>
      <c r="IE15" s="814"/>
      <c r="IF15" s="814"/>
      <c r="IG15" s="814"/>
      <c r="IH15" s="814"/>
      <c r="II15" s="814"/>
      <c r="IJ15" s="814"/>
      <c r="IK15" s="814"/>
      <c r="IL15" s="814"/>
      <c r="IM15" s="814"/>
      <c r="IN15" s="814"/>
      <c r="IO15" s="814"/>
      <c r="IP15" s="814"/>
      <c r="IQ15" s="814"/>
      <c r="IR15" s="814"/>
      <c r="IS15" s="814"/>
      <c r="IT15" s="814"/>
      <c r="IU15" s="814"/>
      <c r="IV15" s="814"/>
      <c r="IW15" s="814"/>
      <c r="IX15" s="814"/>
      <c r="IY15" s="814"/>
      <c r="IZ15" s="814"/>
      <c r="JA15" s="814"/>
      <c r="JB15" s="814"/>
      <c r="JC15" s="814"/>
      <c r="JD15" s="814"/>
      <c r="JE15" s="814"/>
      <c r="JF15" s="814"/>
      <c r="JG15" s="814"/>
      <c r="JH15" s="814"/>
      <c r="JI15" s="814"/>
      <c r="JJ15" s="814"/>
      <c r="JK15" s="814"/>
      <c r="JL15" s="814"/>
      <c r="JM15" s="814"/>
      <c r="JN15" s="814"/>
      <c r="JO15" s="814"/>
      <c r="JP15" s="814"/>
      <c r="JQ15" s="814"/>
      <c r="JR15" s="814"/>
      <c r="JS15" s="814"/>
      <c r="JT15" s="814"/>
      <c r="JU15" s="814"/>
      <c r="JV15" s="814"/>
      <c r="JW15" s="814"/>
      <c r="JX15" s="814"/>
      <c r="JY15" s="814"/>
      <c r="JZ15" s="814"/>
      <c r="KA15" s="814"/>
      <c r="KB15" s="814"/>
      <c r="KC15" s="814"/>
      <c r="KD15" s="814"/>
      <c r="KE15" s="814"/>
      <c r="KF15" s="814"/>
      <c r="KG15" s="814"/>
      <c r="KH15" s="814"/>
      <c r="KI15" s="814"/>
      <c r="KJ15" s="814"/>
      <c r="KK15" s="814"/>
      <c r="KL15" s="814"/>
      <c r="KM15" s="814"/>
      <c r="KN15" s="814"/>
      <c r="KO15" s="814"/>
      <c r="KP15" s="814"/>
      <c r="KQ15" s="814"/>
      <c r="KR15" s="814"/>
      <c r="KS15" s="814"/>
      <c r="KT15" s="814"/>
      <c r="KU15" s="814"/>
      <c r="KV15" s="814"/>
      <c r="KW15" s="814"/>
      <c r="KX15" s="814"/>
      <c r="KY15" s="814"/>
      <c r="KZ15" s="814"/>
      <c r="LA15" s="814"/>
      <c r="LB15" s="814"/>
      <c r="LC15" s="814"/>
      <c r="LD15" s="814"/>
      <c r="LE15" s="814"/>
      <c r="LF15" s="814"/>
      <c r="LG15" s="814"/>
      <c r="LH15" s="814"/>
      <c r="LI15" s="814"/>
      <c r="LJ15" s="814"/>
      <c r="LK15" s="814"/>
      <c r="LL15" s="814"/>
      <c r="LM15" s="814"/>
      <c r="LN15" s="814"/>
      <c r="LO15" s="814"/>
      <c r="LP15" s="814"/>
      <c r="LQ15" s="814"/>
      <c r="LR15" s="814"/>
      <c r="LS15" s="814"/>
      <c r="LT15" s="814"/>
      <c r="LU15" s="814"/>
      <c r="LV15" s="814"/>
      <c r="LW15" s="814"/>
      <c r="LX15" s="814"/>
      <c r="LY15" s="814"/>
      <c r="LZ15" s="814"/>
      <c r="MA15" s="814"/>
      <c r="MB15" s="814"/>
      <c r="MC15" s="814"/>
      <c r="MD15" s="814"/>
      <c r="ME15" s="814"/>
      <c r="MF15" s="814"/>
      <c r="MG15" s="814"/>
      <c r="MH15" s="814"/>
      <c r="MI15" s="814"/>
      <c r="MJ15" s="814"/>
      <c r="MK15" s="814"/>
      <c r="ML15" s="814"/>
      <c r="MM15" s="814"/>
      <c r="MN15" s="814"/>
      <c r="MO15" s="814"/>
      <c r="MP15" s="814"/>
      <c r="MQ15" s="814"/>
      <c r="MR15" s="814"/>
      <c r="MS15" s="814"/>
      <c r="MT15" s="814"/>
      <c r="MU15" s="814"/>
      <c r="MV15" s="814"/>
      <c r="MW15" s="814"/>
      <c r="MX15" s="814"/>
      <c r="MY15" s="814"/>
      <c r="MZ15" s="814"/>
      <c r="NA15" s="814"/>
      <c r="NB15" s="814"/>
      <c r="NC15" s="814"/>
      <c r="ND15" s="814"/>
      <c r="NE15" s="814"/>
      <c r="NF15" s="814"/>
      <c r="NG15" s="814"/>
      <c r="NH15" s="814"/>
      <c r="NI15" s="814"/>
      <c r="NJ15" s="814"/>
      <c r="NK15" s="814"/>
      <c r="NL15" s="814"/>
      <c r="NM15" s="814"/>
      <c r="NN15" s="814"/>
      <c r="NO15" s="814"/>
      <c r="NP15" s="814"/>
      <c r="NQ15" s="814"/>
      <c r="NR15" s="814"/>
      <c r="NS15" s="814"/>
      <c r="NT15" s="814"/>
      <c r="NU15" s="814"/>
      <c r="NV15" s="814"/>
      <c r="NW15" s="814"/>
      <c r="NX15" s="814"/>
      <c r="NY15" s="814"/>
      <c r="NZ15" s="814"/>
      <c r="OA15" s="814"/>
      <c r="OB15" s="814"/>
      <c r="OC15" s="814"/>
      <c r="OD15" s="814"/>
      <c r="OE15" s="814"/>
      <c r="OF15" s="814"/>
      <c r="OG15" s="814"/>
      <c r="OH15" s="814"/>
      <c r="OI15" s="814"/>
      <c r="OJ15" s="814"/>
      <c r="OK15" s="814"/>
      <c r="OL15" s="814"/>
      <c r="OM15" s="814"/>
      <c r="ON15" s="814"/>
      <c r="OO15" s="814"/>
      <c r="OP15" s="814"/>
      <c r="OQ15" s="814"/>
      <c r="OR15" s="814"/>
      <c r="OS15" s="814"/>
      <c r="OT15" s="814"/>
      <c r="OU15" s="814"/>
      <c r="OV15" s="814"/>
      <c r="OW15" s="814"/>
      <c r="OX15" s="814"/>
      <c r="OY15" s="814"/>
      <c r="OZ15" s="814"/>
      <c r="PA15" s="814"/>
      <c r="PB15" s="814"/>
      <c r="PC15" s="814"/>
      <c r="PD15" s="814"/>
      <c r="PE15" s="814"/>
      <c r="PF15" s="814"/>
      <c r="PG15" s="814"/>
      <c r="PH15" s="814"/>
      <c r="PI15" s="814"/>
      <c r="PJ15" s="814"/>
      <c r="PK15" s="814"/>
      <c r="PL15" s="814"/>
      <c r="PM15" s="814"/>
      <c r="PN15" s="814"/>
      <c r="PO15" s="814"/>
      <c r="PP15" s="814"/>
      <c r="PQ15" s="814"/>
      <c r="PR15" s="814"/>
      <c r="PS15" s="814"/>
      <c r="PT15" s="814"/>
      <c r="PU15" s="814"/>
      <c r="PV15" s="814"/>
      <c r="PW15" s="814"/>
      <c r="PX15" s="814"/>
      <c r="PY15" s="814"/>
      <c r="PZ15" s="814"/>
      <c r="QA15" s="814"/>
      <c r="QB15" s="814"/>
      <c r="QC15" s="814"/>
      <c r="QD15" s="814"/>
      <c r="QE15" s="814"/>
      <c r="QF15" s="814"/>
      <c r="QG15" s="814"/>
      <c r="QH15" s="814"/>
      <c r="QI15" s="814"/>
      <c r="QJ15" s="814"/>
      <c r="QK15" s="814"/>
      <c r="QL15" s="814"/>
      <c r="QM15" s="814"/>
      <c r="QN15" s="814"/>
      <c r="QO15" s="814"/>
      <c r="QP15" s="814"/>
      <c r="QQ15" s="814"/>
      <c r="QR15" s="814"/>
      <c r="QS15" s="814"/>
      <c r="QT15" s="814"/>
      <c r="QU15" s="814"/>
      <c r="QV15" s="814"/>
      <c r="QW15" s="814"/>
      <c r="QX15" s="814"/>
      <c r="QY15" s="814"/>
      <c r="QZ15" s="814"/>
      <c r="RA15" s="814"/>
      <c r="RB15" s="814"/>
      <c r="RC15" s="814"/>
      <c r="RD15" s="814"/>
      <c r="RE15" s="814"/>
      <c r="RF15" s="814"/>
      <c r="RG15" s="814"/>
      <c r="RH15" s="814"/>
      <c r="RI15" s="814"/>
      <c r="RJ15" s="814"/>
      <c r="RK15" s="814"/>
      <c r="RL15" s="814"/>
      <c r="RM15" s="814"/>
      <c r="RN15" s="814"/>
      <c r="RO15" s="814"/>
      <c r="RP15" s="814"/>
      <c r="RQ15" s="814"/>
      <c r="RR15" s="814"/>
      <c r="RS15" s="814"/>
      <c r="RT15" s="814"/>
      <c r="RU15" s="814"/>
      <c r="RV15" s="814"/>
      <c r="RW15" s="814"/>
      <c r="RX15" s="814"/>
    </row>
    <row r="16" spans="1:492" s="815" customFormat="1" ht="20.149999999999999" customHeight="1">
      <c r="A16" s="802" t="s">
        <v>464</v>
      </c>
      <c r="B16" s="803" t="s">
        <v>465</v>
      </c>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c r="AM16" s="805"/>
      <c r="AN16" s="806"/>
      <c r="AO16" s="806"/>
      <c r="AP16" s="806"/>
      <c r="AQ16" s="807"/>
      <c r="AR16" s="808"/>
      <c r="AS16" s="808"/>
      <c r="AT16" s="808"/>
      <c r="AU16" s="808"/>
      <c r="AV16" s="808"/>
      <c r="AW16" s="806"/>
      <c r="AX16" s="806"/>
      <c r="AY16" s="806"/>
      <c r="AZ16" s="806"/>
      <c r="BA16" s="806"/>
      <c r="BB16" s="809"/>
      <c r="BC16" s="810"/>
      <c r="BD16" s="810"/>
      <c r="BE16" s="810"/>
      <c r="BF16" s="811"/>
      <c r="BG16" s="810"/>
      <c r="BH16" s="810"/>
      <c r="BI16" s="810"/>
      <c r="BJ16" s="810"/>
      <c r="BK16" s="812"/>
      <c r="BL16" s="816"/>
      <c r="BM16" s="817">
        <v>-2.2000000000000002</v>
      </c>
      <c r="BN16" s="817">
        <f>-7.9-BM16-BL16</f>
        <v>-5.7</v>
      </c>
      <c r="BO16" s="810">
        <f>-5.1-BN16-BM16</f>
        <v>2.8000000000000007</v>
      </c>
      <c r="BP16" s="812">
        <f t="shared" si="20"/>
        <v>-5.0999999999999996</v>
      </c>
      <c r="BQ16" s="817">
        <f t="shared" ref="BQ16:BR16" si="27">BQ25</f>
        <v>-1.5</v>
      </c>
      <c r="BR16" s="817">
        <f t="shared" si="27"/>
        <v>0.8</v>
      </c>
      <c r="BS16" s="817">
        <v>-1.2999999999999998</v>
      </c>
      <c r="BT16" s="817">
        <v>-3.1</v>
      </c>
      <c r="BU16" s="824">
        <f t="shared" si="22"/>
        <v>-5.0999999999999996</v>
      </c>
      <c r="BV16" s="817">
        <v>0</v>
      </c>
      <c r="BW16" s="817">
        <v>0</v>
      </c>
      <c r="BX16" s="817">
        <v>0</v>
      </c>
      <c r="BY16" s="817"/>
      <c r="BZ16" s="826">
        <f t="shared" si="23"/>
        <v>0</v>
      </c>
      <c r="CA16" s="817">
        <v>0</v>
      </c>
      <c r="CB16" s="817"/>
      <c r="CC16" s="817"/>
      <c r="CD16" s="817"/>
      <c r="CE16" s="826">
        <f t="shared" si="24"/>
        <v>0</v>
      </c>
      <c r="CF16" s="814"/>
      <c r="CG16" s="814"/>
      <c r="CH16" s="814"/>
      <c r="CI16" s="814"/>
      <c r="CJ16" s="814"/>
      <c r="CK16" s="814"/>
      <c r="CL16" s="814"/>
      <c r="CM16" s="814"/>
      <c r="CN16" s="814"/>
      <c r="CO16" s="814"/>
      <c r="CP16" s="814"/>
      <c r="CQ16" s="814"/>
      <c r="CR16" s="814"/>
      <c r="CS16" s="814"/>
      <c r="CT16" s="814"/>
      <c r="CU16" s="814"/>
      <c r="CV16" s="814"/>
      <c r="CW16" s="814"/>
      <c r="CX16" s="814"/>
      <c r="CY16" s="814"/>
      <c r="CZ16" s="814"/>
      <c r="DA16" s="814"/>
      <c r="DB16" s="814"/>
      <c r="DC16" s="814"/>
      <c r="DD16" s="814"/>
      <c r="DE16" s="814"/>
      <c r="DF16" s="814"/>
      <c r="DG16" s="814"/>
      <c r="DH16" s="814"/>
      <c r="DI16" s="814"/>
      <c r="DJ16" s="814"/>
      <c r="DK16" s="814"/>
      <c r="DL16" s="814"/>
      <c r="DM16" s="814"/>
      <c r="DN16" s="814"/>
      <c r="DO16" s="814"/>
      <c r="DP16" s="814"/>
      <c r="DQ16" s="814"/>
      <c r="DR16" s="814"/>
      <c r="DS16" s="814"/>
      <c r="DT16" s="814"/>
      <c r="DU16" s="814"/>
      <c r="DV16" s="814"/>
      <c r="DW16" s="814"/>
      <c r="DX16" s="814"/>
      <c r="DY16" s="814"/>
      <c r="DZ16" s="814"/>
      <c r="EA16" s="814"/>
      <c r="EB16" s="814"/>
      <c r="EC16" s="814"/>
      <c r="ED16" s="814"/>
      <c r="EE16" s="814"/>
      <c r="EF16" s="814"/>
      <c r="EG16" s="814"/>
      <c r="EH16" s="814"/>
      <c r="EI16" s="814"/>
      <c r="EJ16" s="814"/>
      <c r="EK16" s="814"/>
      <c r="EL16" s="814"/>
      <c r="EM16" s="814"/>
      <c r="EN16" s="814"/>
      <c r="EO16" s="814"/>
      <c r="EP16" s="814"/>
      <c r="EQ16" s="814"/>
      <c r="ER16" s="814"/>
      <c r="ES16" s="814"/>
      <c r="ET16" s="814"/>
      <c r="EU16" s="814"/>
      <c r="EV16" s="814"/>
      <c r="EW16" s="814"/>
      <c r="EX16" s="814"/>
      <c r="EY16" s="814"/>
      <c r="EZ16" s="814"/>
      <c r="FA16" s="814"/>
      <c r="FB16" s="814"/>
      <c r="FC16" s="814"/>
      <c r="FD16" s="814"/>
      <c r="FE16" s="814"/>
      <c r="FF16" s="814"/>
      <c r="FG16" s="814"/>
      <c r="FH16" s="814"/>
      <c r="FI16" s="814"/>
      <c r="FJ16" s="814"/>
      <c r="FK16" s="814"/>
      <c r="FL16" s="814"/>
      <c r="FM16" s="814"/>
      <c r="FN16" s="814"/>
      <c r="FO16" s="814"/>
      <c r="FP16" s="814"/>
      <c r="FQ16" s="814"/>
      <c r="FR16" s="814"/>
      <c r="FS16" s="814"/>
      <c r="FT16" s="814"/>
      <c r="FU16" s="814"/>
      <c r="FV16" s="814"/>
      <c r="FW16" s="814"/>
      <c r="FX16" s="814"/>
      <c r="FY16" s="814"/>
      <c r="FZ16" s="814"/>
      <c r="GA16" s="814"/>
      <c r="GB16" s="814"/>
      <c r="GC16" s="814"/>
      <c r="GD16" s="814"/>
      <c r="GE16" s="814"/>
      <c r="GF16" s="814"/>
      <c r="GG16" s="814"/>
      <c r="GH16" s="814"/>
      <c r="GI16" s="814"/>
      <c r="GJ16" s="814"/>
      <c r="GK16" s="814"/>
      <c r="GL16" s="814"/>
      <c r="GM16" s="814"/>
      <c r="GN16" s="814"/>
      <c r="GO16" s="814"/>
      <c r="GP16" s="814"/>
      <c r="GQ16" s="814"/>
      <c r="GR16" s="814"/>
      <c r="GS16" s="814"/>
      <c r="GT16" s="814"/>
      <c r="GU16" s="814"/>
      <c r="GV16" s="814"/>
      <c r="GW16" s="814"/>
      <c r="GX16" s="814"/>
      <c r="GY16" s="814"/>
      <c r="GZ16" s="814"/>
      <c r="HA16" s="814"/>
      <c r="HB16" s="814"/>
      <c r="HC16" s="814"/>
      <c r="HD16" s="814"/>
      <c r="HE16" s="814"/>
      <c r="HF16" s="814"/>
      <c r="HG16" s="814"/>
      <c r="HH16" s="814"/>
      <c r="HI16" s="814"/>
      <c r="HJ16" s="814"/>
      <c r="HK16" s="814"/>
      <c r="HL16" s="814"/>
      <c r="HM16" s="814"/>
      <c r="HN16" s="814"/>
      <c r="HO16" s="814"/>
      <c r="HP16" s="814"/>
      <c r="HQ16" s="814"/>
      <c r="HR16" s="814"/>
      <c r="HS16" s="814"/>
      <c r="HT16" s="814"/>
      <c r="HU16" s="814"/>
      <c r="HV16" s="814"/>
      <c r="HW16" s="814"/>
      <c r="HX16" s="814"/>
      <c r="HY16" s="814"/>
      <c r="HZ16" s="814"/>
      <c r="IA16" s="814"/>
      <c r="IB16" s="814"/>
      <c r="IC16" s="814"/>
      <c r="ID16" s="814"/>
      <c r="IE16" s="814"/>
      <c r="IF16" s="814"/>
      <c r="IG16" s="814"/>
      <c r="IH16" s="814"/>
      <c r="II16" s="814"/>
      <c r="IJ16" s="814"/>
      <c r="IK16" s="814"/>
      <c r="IL16" s="814"/>
      <c r="IM16" s="814"/>
      <c r="IN16" s="814"/>
      <c r="IO16" s="814"/>
      <c r="IP16" s="814"/>
      <c r="IQ16" s="814"/>
      <c r="IR16" s="814"/>
      <c r="IS16" s="814"/>
      <c r="IT16" s="814"/>
      <c r="IU16" s="814"/>
      <c r="IV16" s="814"/>
      <c r="IW16" s="814"/>
      <c r="IX16" s="814"/>
      <c r="IY16" s="814"/>
      <c r="IZ16" s="814"/>
      <c r="JA16" s="814"/>
      <c r="JB16" s="814"/>
      <c r="JC16" s="814"/>
      <c r="JD16" s="814"/>
      <c r="JE16" s="814"/>
      <c r="JF16" s="814"/>
      <c r="JG16" s="814"/>
      <c r="JH16" s="814"/>
      <c r="JI16" s="814"/>
      <c r="JJ16" s="814"/>
      <c r="JK16" s="814"/>
      <c r="JL16" s="814"/>
      <c r="JM16" s="814"/>
      <c r="JN16" s="814"/>
      <c r="JO16" s="814"/>
      <c r="JP16" s="814"/>
      <c r="JQ16" s="814"/>
      <c r="JR16" s="814"/>
      <c r="JS16" s="814"/>
      <c r="JT16" s="814"/>
      <c r="JU16" s="814"/>
      <c r="JV16" s="814"/>
      <c r="JW16" s="814"/>
      <c r="JX16" s="814"/>
      <c r="JY16" s="814"/>
      <c r="JZ16" s="814"/>
      <c r="KA16" s="814"/>
      <c r="KB16" s="814"/>
      <c r="KC16" s="814"/>
      <c r="KD16" s="814"/>
      <c r="KE16" s="814"/>
      <c r="KF16" s="814"/>
      <c r="KG16" s="814"/>
      <c r="KH16" s="814"/>
      <c r="KI16" s="814"/>
      <c r="KJ16" s="814"/>
      <c r="KK16" s="814"/>
      <c r="KL16" s="814"/>
      <c r="KM16" s="814"/>
      <c r="KN16" s="814"/>
      <c r="KO16" s="814"/>
      <c r="KP16" s="814"/>
      <c r="KQ16" s="814"/>
      <c r="KR16" s="814"/>
      <c r="KS16" s="814"/>
      <c r="KT16" s="814"/>
      <c r="KU16" s="814"/>
      <c r="KV16" s="814"/>
      <c r="KW16" s="814"/>
      <c r="KX16" s="814"/>
      <c r="KY16" s="814"/>
      <c r="KZ16" s="814"/>
      <c r="LA16" s="814"/>
      <c r="LB16" s="814"/>
      <c r="LC16" s="814"/>
      <c r="LD16" s="814"/>
      <c r="LE16" s="814"/>
      <c r="LF16" s="814"/>
      <c r="LG16" s="814"/>
      <c r="LH16" s="814"/>
      <c r="LI16" s="814"/>
      <c r="LJ16" s="814"/>
      <c r="LK16" s="814"/>
      <c r="LL16" s="814"/>
      <c r="LM16" s="814"/>
      <c r="LN16" s="814"/>
      <c r="LO16" s="814"/>
      <c r="LP16" s="814"/>
      <c r="LQ16" s="814"/>
      <c r="LR16" s="814"/>
      <c r="LS16" s="814"/>
      <c r="LT16" s="814"/>
      <c r="LU16" s="814"/>
      <c r="LV16" s="814"/>
      <c r="LW16" s="814"/>
      <c r="LX16" s="814"/>
      <c r="LY16" s="814"/>
      <c r="LZ16" s="814"/>
      <c r="MA16" s="814"/>
      <c r="MB16" s="814"/>
      <c r="MC16" s="814"/>
      <c r="MD16" s="814"/>
      <c r="ME16" s="814"/>
      <c r="MF16" s="814"/>
      <c r="MG16" s="814"/>
      <c r="MH16" s="814"/>
      <c r="MI16" s="814"/>
      <c r="MJ16" s="814"/>
      <c r="MK16" s="814"/>
      <c r="ML16" s="814"/>
      <c r="MM16" s="814"/>
      <c r="MN16" s="814"/>
      <c r="MO16" s="814"/>
      <c r="MP16" s="814"/>
      <c r="MQ16" s="814"/>
      <c r="MR16" s="814"/>
      <c r="MS16" s="814"/>
      <c r="MT16" s="814"/>
      <c r="MU16" s="814"/>
      <c r="MV16" s="814"/>
      <c r="MW16" s="814"/>
      <c r="MX16" s="814"/>
      <c r="MY16" s="814"/>
      <c r="MZ16" s="814"/>
      <c r="NA16" s="814"/>
      <c r="NB16" s="814"/>
      <c r="NC16" s="814"/>
      <c r="ND16" s="814"/>
      <c r="NE16" s="814"/>
      <c r="NF16" s="814"/>
      <c r="NG16" s="814"/>
      <c r="NH16" s="814"/>
      <c r="NI16" s="814"/>
      <c r="NJ16" s="814"/>
      <c r="NK16" s="814"/>
      <c r="NL16" s="814"/>
      <c r="NM16" s="814"/>
      <c r="NN16" s="814"/>
      <c r="NO16" s="814"/>
      <c r="NP16" s="814"/>
      <c r="NQ16" s="814"/>
      <c r="NR16" s="814"/>
      <c r="NS16" s="814"/>
      <c r="NT16" s="814"/>
      <c r="NU16" s="814"/>
      <c r="NV16" s="814"/>
      <c r="NW16" s="814"/>
      <c r="NX16" s="814"/>
      <c r="NY16" s="814"/>
      <c r="NZ16" s="814"/>
      <c r="OA16" s="814"/>
      <c r="OB16" s="814"/>
      <c r="OC16" s="814"/>
      <c r="OD16" s="814"/>
      <c r="OE16" s="814"/>
      <c r="OF16" s="814"/>
      <c r="OG16" s="814"/>
      <c r="OH16" s="814"/>
      <c r="OI16" s="814"/>
      <c r="OJ16" s="814"/>
      <c r="OK16" s="814"/>
      <c r="OL16" s="814"/>
      <c r="OM16" s="814"/>
      <c r="ON16" s="814"/>
      <c r="OO16" s="814"/>
      <c r="OP16" s="814"/>
      <c r="OQ16" s="814"/>
      <c r="OR16" s="814"/>
      <c r="OS16" s="814"/>
      <c r="OT16" s="814"/>
      <c r="OU16" s="814"/>
      <c r="OV16" s="814"/>
      <c r="OW16" s="814"/>
      <c r="OX16" s="814"/>
      <c r="OY16" s="814"/>
      <c r="OZ16" s="814"/>
      <c r="PA16" s="814"/>
      <c r="PB16" s="814"/>
      <c r="PC16" s="814"/>
      <c r="PD16" s="814"/>
      <c r="PE16" s="814"/>
      <c r="PF16" s="814"/>
      <c r="PG16" s="814"/>
      <c r="PH16" s="814"/>
      <c r="PI16" s="814"/>
      <c r="PJ16" s="814"/>
      <c r="PK16" s="814"/>
      <c r="PL16" s="814"/>
      <c r="PM16" s="814"/>
      <c r="PN16" s="814"/>
      <c r="PO16" s="814"/>
      <c r="PP16" s="814"/>
      <c r="PQ16" s="814"/>
      <c r="PR16" s="814"/>
      <c r="PS16" s="814"/>
      <c r="PT16" s="814"/>
      <c r="PU16" s="814"/>
      <c r="PV16" s="814"/>
      <c r="PW16" s="814"/>
      <c r="PX16" s="814"/>
      <c r="PY16" s="814"/>
      <c r="PZ16" s="814"/>
      <c r="QA16" s="814"/>
      <c r="QB16" s="814"/>
      <c r="QC16" s="814"/>
      <c r="QD16" s="814"/>
      <c r="QE16" s="814"/>
      <c r="QF16" s="814"/>
      <c r="QG16" s="814"/>
      <c r="QH16" s="814"/>
      <c r="QI16" s="814"/>
      <c r="QJ16" s="814"/>
      <c r="QK16" s="814"/>
      <c r="QL16" s="814"/>
      <c r="QM16" s="814"/>
      <c r="QN16" s="814"/>
      <c r="QO16" s="814"/>
      <c r="QP16" s="814"/>
      <c r="QQ16" s="814"/>
      <c r="QR16" s="814"/>
      <c r="QS16" s="814"/>
      <c r="QT16" s="814"/>
      <c r="QU16" s="814"/>
      <c r="QV16" s="814"/>
      <c r="QW16" s="814"/>
      <c r="QX16" s="814"/>
      <c r="QY16" s="814"/>
      <c r="QZ16" s="814"/>
      <c r="RA16" s="814"/>
      <c r="RB16" s="814"/>
      <c r="RC16" s="814"/>
      <c r="RD16" s="814"/>
      <c r="RE16" s="814"/>
      <c r="RF16" s="814"/>
      <c r="RG16" s="814"/>
      <c r="RH16" s="814"/>
      <c r="RI16" s="814"/>
      <c r="RJ16" s="814"/>
      <c r="RK16" s="814"/>
      <c r="RL16" s="814"/>
      <c r="RM16" s="814"/>
      <c r="RN16" s="814"/>
      <c r="RO16" s="814"/>
      <c r="RP16" s="814"/>
      <c r="RQ16" s="814"/>
      <c r="RR16" s="814"/>
      <c r="RS16" s="814"/>
      <c r="RT16" s="814"/>
      <c r="RU16" s="814"/>
      <c r="RV16" s="814"/>
      <c r="RW16" s="814"/>
      <c r="RX16" s="814"/>
    </row>
    <row r="17" spans="1:492" s="815" customFormat="1" ht="20.25" customHeight="1">
      <c r="A17" s="802" t="s">
        <v>469</v>
      </c>
      <c r="B17" s="803" t="s">
        <v>470</v>
      </c>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8"/>
      <c r="AE17" s="818"/>
      <c r="AF17" s="818"/>
      <c r="AG17" s="818"/>
      <c r="AH17" s="818"/>
      <c r="AI17" s="818"/>
      <c r="AJ17" s="818"/>
      <c r="AK17" s="818"/>
      <c r="AL17" s="818"/>
      <c r="AM17" s="805"/>
      <c r="AN17" s="806"/>
      <c r="AO17" s="806"/>
      <c r="AP17" s="806"/>
      <c r="AQ17" s="807"/>
      <c r="AR17" s="808"/>
      <c r="AS17" s="808"/>
      <c r="AT17" s="808"/>
      <c r="AU17" s="808"/>
      <c r="AV17" s="808"/>
      <c r="AW17" s="806"/>
      <c r="AX17" s="806"/>
      <c r="AY17" s="806"/>
      <c r="AZ17" s="806"/>
      <c r="BA17" s="806"/>
      <c r="BB17" s="809">
        <v>0</v>
      </c>
      <c r="BC17" s="810">
        <v>-41.5</v>
      </c>
      <c r="BD17" s="810">
        <v>-3.3</v>
      </c>
      <c r="BE17" s="810">
        <v>-1.1000000000000001</v>
      </c>
      <c r="BF17" s="819">
        <f t="shared" ref="BF17" si="28">SUM(BB17:BE17)</f>
        <v>-45.9</v>
      </c>
      <c r="BG17" s="806"/>
      <c r="BH17" s="806"/>
      <c r="BI17" s="820">
        <v>0</v>
      </c>
      <c r="BJ17" s="820">
        <v>0</v>
      </c>
      <c r="BK17" s="812">
        <f t="shared" ref="BK17" si="29">SUM(BG17:BJ17)</f>
        <v>0</v>
      </c>
      <c r="BL17" s="816">
        <v>0</v>
      </c>
      <c r="BM17" s="821">
        <v>0</v>
      </c>
      <c r="BN17" s="820">
        <v>0</v>
      </c>
      <c r="BO17" s="820"/>
      <c r="BP17" s="812">
        <f t="shared" si="20"/>
        <v>0</v>
      </c>
      <c r="BQ17" s="816">
        <v>0</v>
      </c>
      <c r="BR17" s="821">
        <v>0</v>
      </c>
      <c r="BS17" s="820">
        <v>0</v>
      </c>
      <c r="BT17" s="820"/>
      <c r="BU17" s="826">
        <f t="shared" si="22"/>
        <v>0</v>
      </c>
      <c r="BV17" s="816">
        <v>0</v>
      </c>
      <c r="BW17" s="821">
        <v>0</v>
      </c>
      <c r="BX17" s="820">
        <v>0</v>
      </c>
      <c r="BY17" s="820"/>
      <c r="BZ17" s="826">
        <f t="shared" si="23"/>
        <v>0</v>
      </c>
      <c r="CA17" s="816">
        <v>0</v>
      </c>
      <c r="CB17" s="821"/>
      <c r="CC17" s="820"/>
      <c r="CD17" s="820"/>
      <c r="CE17" s="826">
        <f t="shared" si="24"/>
        <v>0</v>
      </c>
      <c r="CF17" s="814"/>
      <c r="CG17" s="814"/>
      <c r="CH17" s="814"/>
      <c r="CI17" s="814"/>
      <c r="CJ17" s="814"/>
      <c r="CK17" s="814"/>
      <c r="CL17" s="814"/>
      <c r="CM17" s="814"/>
      <c r="CN17" s="814"/>
      <c r="CO17" s="814"/>
      <c r="CP17" s="814"/>
      <c r="CQ17" s="814"/>
      <c r="CR17" s="814"/>
      <c r="CS17" s="814"/>
      <c r="CT17" s="814"/>
      <c r="CU17" s="814"/>
      <c r="CV17" s="814"/>
      <c r="CW17" s="814"/>
      <c r="CX17" s="814"/>
      <c r="CY17" s="814"/>
      <c r="CZ17" s="814"/>
      <c r="DA17" s="814"/>
      <c r="DB17" s="814"/>
      <c r="DC17" s="814"/>
      <c r="DD17" s="814"/>
      <c r="DE17" s="814"/>
      <c r="DF17" s="814"/>
      <c r="DG17" s="814"/>
      <c r="DH17" s="814"/>
      <c r="DI17" s="814"/>
      <c r="DJ17" s="814"/>
      <c r="DK17" s="814"/>
      <c r="DL17" s="814"/>
      <c r="DM17" s="814"/>
      <c r="DN17" s="814"/>
      <c r="DO17" s="814"/>
      <c r="DP17" s="814"/>
      <c r="DQ17" s="814"/>
      <c r="DR17" s="814"/>
      <c r="DS17" s="814"/>
      <c r="DT17" s="814"/>
      <c r="DU17" s="814"/>
      <c r="DV17" s="814"/>
      <c r="DW17" s="814"/>
      <c r="DX17" s="814"/>
      <c r="DY17" s="814"/>
      <c r="DZ17" s="814"/>
      <c r="EA17" s="814"/>
      <c r="EB17" s="814"/>
      <c r="EC17" s="814"/>
      <c r="ED17" s="814"/>
      <c r="EE17" s="814"/>
      <c r="EF17" s="814"/>
      <c r="EG17" s="814"/>
      <c r="EH17" s="814"/>
      <c r="EI17" s="814"/>
      <c r="EJ17" s="814"/>
      <c r="EK17" s="814"/>
      <c r="EL17" s="814"/>
      <c r="EM17" s="814"/>
      <c r="EN17" s="814"/>
      <c r="EO17" s="814"/>
      <c r="EP17" s="814"/>
      <c r="EQ17" s="814"/>
      <c r="ER17" s="814"/>
      <c r="ES17" s="814"/>
      <c r="ET17" s="814"/>
      <c r="EU17" s="814"/>
      <c r="EV17" s="814"/>
      <c r="EW17" s="814"/>
      <c r="EX17" s="814"/>
      <c r="EY17" s="814"/>
      <c r="EZ17" s="814"/>
      <c r="FA17" s="814"/>
      <c r="FB17" s="814"/>
      <c r="FC17" s="814"/>
      <c r="FD17" s="814"/>
      <c r="FE17" s="814"/>
      <c r="FF17" s="814"/>
      <c r="FG17" s="814"/>
      <c r="FH17" s="814"/>
      <c r="FI17" s="814"/>
      <c r="FJ17" s="814"/>
      <c r="FK17" s="814"/>
      <c r="FL17" s="814"/>
      <c r="FM17" s="814"/>
      <c r="FN17" s="814"/>
      <c r="FO17" s="814"/>
      <c r="FP17" s="814"/>
      <c r="FQ17" s="814"/>
      <c r="FR17" s="814"/>
      <c r="FS17" s="814"/>
      <c r="FT17" s="814"/>
      <c r="FU17" s="814"/>
      <c r="FV17" s="814"/>
      <c r="FW17" s="814"/>
      <c r="FX17" s="814"/>
      <c r="FY17" s="814"/>
      <c r="FZ17" s="814"/>
      <c r="GA17" s="814"/>
      <c r="GB17" s="814"/>
      <c r="GC17" s="814"/>
      <c r="GD17" s="814"/>
      <c r="GE17" s="814"/>
      <c r="GF17" s="814"/>
      <c r="GG17" s="814"/>
      <c r="GH17" s="814"/>
      <c r="GI17" s="814"/>
      <c r="GJ17" s="814"/>
      <c r="GK17" s="814"/>
      <c r="GL17" s="814"/>
      <c r="GM17" s="814"/>
      <c r="GN17" s="814"/>
      <c r="GO17" s="814"/>
      <c r="GP17" s="814"/>
      <c r="GQ17" s="814"/>
      <c r="GR17" s="814"/>
      <c r="GS17" s="814"/>
      <c r="GT17" s="814"/>
      <c r="GU17" s="814"/>
      <c r="GV17" s="814"/>
      <c r="GW17" s="814"/>
      <c r="GX17" s="814"/>
      <c r="GY17" s="814"/>
      <c r="GZ17" s="814"/>
      <c r="HA17" s="814"/>
      <c r="HB17" s="814"/>
      <c r="HC17" s="814"/>
      <c r="HD17" s="814"/>
      <c r="HE17" s="814"/>
      <c r="HF17" s="814"/>
      <c r="HG17" s="814"/>
      <c r="HH17" s="814"/>
      <c r="HI17" s="814"/>
      <c r="HJ17" s="814"/>
      <c r="HK17" s="814"/>
      <c r="HL17" s="814"/>
      <c r="HM17" s="814"/>
      <c r="HN17" s="814"/>
      <c r="HO17" s="814"/>
      <c r="HP17" s="814"/>
      <c r="HQ17" s="814"/>
      <c r="HR17" s="814"/>
      <c r="HS17" s="814"/>
      <c r="HT17" s="814"/>
      <c r="HU17" s="814"/>
      <c r="HV17" s="814"/>
      <c r="HW17" s="814"/>
      <c r="HX17" s="814"/>
      <c r="HY17" s="814"/>
      <c r="HZ17" s="814"/>
      <c r="IA17" s="814"/>
      <c r="IB17" s="814"/>
      <c r="IC17" s="814"/>
      <c r="ID17" s="814"/>
      <c r="IE17" s="814"/>
      <c r="IF17" s="814"/>
      <c r="IG17" s="814"/>
      <c r="IH17" s="814"/>
      <c r="II17" s="814"/>
      <c r="IJ17" s="814"/>
      <c r="IK17" s="814"/>
      <c r="IL17" s="814"/>
      <c r="IM17" s="814"/>
      <c r="IN17" s="814"/>
      <c r="IO17" s="814"/>
      <c r="IP17" s="814"/>
      <c r="IQ17" s="814"/>
      <c r="IR17" s="814"/>
      <c r="IS17" s="814"/>
      <c r="IT17" s="814"/>
      <c r="IU17" s="814"/>
      <c r="IV17" s="814"/>
      <c r="IW17" s="814"/>
      <c r="IX17" s="814"/>
      <c r="IY17" s="814"/>
      <c r="IZ17" s="814"/>
      <c r="JA17" s="814"/>
      <c r="JB17" s="814"/>
      <c r="JC17" s="814"/>
      <c r="JD17" s="814"/>
      <c r="JE17" s="814"/>
      <c r="JF17" s="814"/>
      <c r="JG17" s="814"/>
      <c r="JH17" s="814"/>
      <c r="JI17" s="814"/>
      <c r="JJ17" s="814"/>
      <c r="JK17" s="814"/>
      <c r="JL17" s="814"/>
      <c r="JM17" s="814"/>
      <c r="JN17" s="814"/>
      <c r="JO17" s="814"/>
      <c r="JP17" s="814"/>
      <c r="JQ17" s="814"/>
      <c r="JR17" s="814"/>
      <c r="JS17" s="814"/>
      <c r="JT17" s="814"/>
      <c r="JU17" s="814"/>
      <c r="JV17" s="814"/>
      <c r="JW17" s="814"/>
      <c r="JX17" s="814"/>
      <c r="JY17" s="814"/>
      <c r="JZ17" s="814"/>
      <c r="KA17" s="814"/>
      <c r="KB17" s="814"/>
      <c r="KC17" s="814"/>
      <c r="KD17" s="814"/>
      <c r="KE17" s="814"/>
      <c r="KF17" s="814"/>
      <c r="KG17" s="814"/>
      <c r="KH17" s="814"/>
      <c r="KI17" s="814"/>
      <c r="KJ17" s="814"/>
      <c r="KK17" s="814"/>
      <c r="KL17" s="814"/>
      <c r="KM17" s="814"/>
      <c r="KN17" s="814"/>
      <c r="KO17" s="814"/>
      <c r="KP17" s="814"/>
      <c r="KQ17" s="814"/>
      <c r="KR17" s="814"/>
      <c r="KS17" s="814"/>
      <c r="KT17" s="814"/>
      <c r="KU17" s="814"/>
      <c r="KV17" s="814"/>
      <c r="KW17" s="814"/>
      <c r="KX17" s="814"/>
      <c r="KY17" s="814"/>
      <c r="KZ17" s="814"/>
      <c r="LA17" s="814"/>
      <c r="LB17" s="814"/>
      <c r="LC17" s="814"/>
      <c r="LD17" s="814"/>
      <c r="LE17" s="814"/>
      <c r="LF17" s="814"/>
      <c r="LG17" s="814"/>
      <c r="LH17" s="814"/>
      <c r="LI17" s="814"/>
      <c r="LJ17" s="814"/>
      <c r="LK17" s="814"/>
      <c r="LL17" s="814"/>
      <c r="LM17" s="814"/>
      <c r="LN17" s="814"/>
      <c r="LO17" s="814"/>
      <c r="LP17" s="814"/>
      <c r="LQ17" s="814"/>
      <c r="LR17" s="814"/>
      <c r="LS17" s="814"/>
      <c r="LT17" s="814"/>
      <c r="LU17" s="814"/>
      <c r="LV17" s="814"/>
      <c r="LW17" s="814"/>
      <c r="LX17" s="814"/>
      <c r="LY17" s="814"/>
      <c r="LZ17" s="814"/>
      <c r="MA17" s="814"/>
      <c r="MB17" s="814"/>
      <c r="MC17" s="814"/>
      <c r="MD17" s="814"/>
      <c r="ME17" s="814"/>
      <c r="MF17" s="814"/>
      <c r="MG17" s="814"/>
      <c r="MH17" s="814"/>
      <c r="MI17" s="814"/>
      <c r="MJ17" s="814"/>
      <c r="MK17" s="814"/>
      <c r="ML17" s="814"/>
      <c r="MM17" s="814"/>
      <c r="MN17" s="814"/>
      <c r="MO17" s="814"/>
      <c r="MP17" s="814"/>
      <c r="MQ17" s="814"/>
      <c r="MR17" s="814"/>
      <c r="MS17" s="814"/>
      <c r="MT17" s="814"/>
      <c r="MU17" s="814"/>
      <c r="MV17" s="814"/>
      <c r="MW17" s="814"/>
      <c r="MX17" s="814"/>
      <c r="MY17" s="814"/>
      <c r="MZ17" s="814"/>
      <c r="NA17" s="814"/>
      <c r="NB17" s="814"/>
      <c r="NC17" s="814"/>
      <c r="ND17" s="814"/>
      <c r="NE17" s="814"/>
      <c r="NF17" s="814"/>
      <c r="NG17" s="814"/>
      <c r="NH17" s="814"/>
      <c r="NI17" s="814"/>
      <c r="NJ17" s="814"/>
      <c r="NK17" s="814"/>
      <c r="NL17" s="814"/>
      <c r="NM17" s="814"/>
      <c r="NN17" s="814"/>
      <c r="NO17" s="814"/>
      <c r="NP17" s="814"/>
      <c r="NQ17" s="814"/>
      <c r="NR17" s="814"/>
      <c r="NS17" s="814"/>
      <c r="NT17" s="814"/>
      <c r="NU17" s="814"/>
      <c r="NV17" s="814"/>
      <c r="NW17" s="814"/>
      <c r="NX17" s="814"/>
      <c r="NY17" s="814"/>
      <c r="NZ17" s="814"/>
      <c r="OA17" s="814"/>
      <c r="OB17" s="814"/>
      <c r="OC17" s="814"/>
      <c r="OD17" s="814"/>
      <c r="OE17" s="814"/>
      <c r="OF17" s="814"/>
      <c r="OG17" s="814"/>
      <c r="OH17" s="814"/>
      <c r="OI17" s="814"/>
      <c r="OJ17" s="814"/>
      <c r="OK17" s="814"/>
      <c r="OL17" s="814"/>
      <c r="OM17" s="814"/>
      <c r="ON17" s="814"/>
      <c r="OO17" s="814"/>
      <c r="OP17" s="814"/>
      <c r="OQ17" s="814"/>
      <c r="OR17" s="814"/>
      <c r="OS17" s="814"/>
      <c r="OT17" s="814"/>
      <c r="OU17" s="814"/>
      <c r="OV17" s="814"/>
      <c r="OW17" s="814"/>
      <c r="OX17" s="814"/>
      <c r="OY17" s="814"/>
      <c r="OZ17" s="814"/>
      <c r="PA17" s="814"/>
      <c r="PB17" s="814"/>
      <c r="PC17" s="814"/>
      <c r="PD17" s="814"/>
      <c r="PE17" s="814"/>
      <c r="PF17" s="814"/>
      <c r="PG17" s="814"/>
      <c r="PH17" s="814"/>
      <c r="PI17" s="814"/>
      <c r="PJ17" s="814"/>
      <c r="PK17" s="814"/>
      <c r="PL17" s="814"/>
      <c r="PM17" s="814"/>
      <c r="PN17" s="814"/>
      <c r="PO17" s="814"/>
      <c r="PP17" s="814"/>
      <c r="PQ17" s="814"/>
      <c r="PR17" s="814"/>
      <c r="PS17" s="814"/>
      <c r="PT17" s="814"/>
      <c r="PU17" s="814"/>
      <c r="PV17" s="814"/>
      <c r="PW17" s="814"/>
      <c r="PX17" s="814"/>
      <c r="PY17" s="814"/>
      <c r="PZ17" s="814"/>
      <c r="QA17" s="814"/>
      <c r="QB17" s="814"/>
      <c r="QC17" s="814"/>
      <c r="QD17" s="814"/>
      <c r="QE17" s="814"/>
      <c r="QF17" s="814"/>
      <c r="QG17" s="814"/>
      <c r="QH17" s="814"/>
      <c r="QI17" s="814"/>
      <c r="QJ17" s="814"/>
      <c r="QK17" s="814"/>
      <c r="QL17" s="814"/>
      <c r="QM17" s="814"/>
      <c r="QN17" s="814"/>
      <c r="QO17" s="814"/>
      <c r="QP17" s="814"/>
      <c r="QQ17" s="814"/>
      <c r="QR17" s="814"/>
      <c r="QS17" s="814"/>
      <c r="QT17" s="814"/>
      <c r="QU17" s="814"/>
      <c r="QV17" s="814"/>
      <c r="QW17" s="814"/>
      <c r="QX17" s="814"/>
      <c r="QY17" s="814"/>
      <c r="QZ17" s="814"/>
      <c r="RA17" s="814"/>
      <c r="RB17" s="814"/>
      <c r="RC17" s="814"/>
      <c r="RD17" s="814"/>
      <c r="RE17" s="814"/>
      <c r="RF17" s="814"/>
      <c r="RG17" s="814"/>
      <c r="RH17" s="814"/>
      <c r="RI17" s="814"/>
      <c r="RJ17" s="814"/>
      <c r="RK17" s="814"/>
      <c r="RL17" s="814"/>
      <c r="RM17" s="814"/>
      <c r="RN17" s="814"/>
      <c r="RO17" s="814"/>
      <c r="RP17" s="814"/>
      <c r="RQ17" s="814"/>
      <c r="RR17" s="814"/>
      <c r="RS17" s="814"/>
      <c r="RT17" s="814"/>
      <c r="RU17" s="814"/>
      <c r="RV17" s="814"/>
      <c r="RW17" s="814"/>
      <c r="RX17" s="814"/>
    </row>
    <row r="18" spans="1:492" s="815" customFormat="1" ht="27.5">
      <c r="A18" s="802" t="s">
        <v>471</v>
      </c>
      <c r="B18" s="803" t="s">
        <v>472</v>
      </c>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05"/>
      <c r="AN18" s="806"/>
      <c r="AO18" s="806"/>
      <c r="AP18" s="806"/>
      <c r="AQ18" s="807"/>
      <c r="AR18" s="808"/>
      <c r="AS18" s="808"/>
      <c r="AT18" s="808"/>
      <c r="AU18" s="808"/>
      <c r="AV18" s="808"/>
      <c r="AW18" s="806"/>
      <c r="AX18" s="806"/>
      <c r="AY18" s="806"/>
      <c r="AZ18" s="806"/>
      <c r="BA18" s="806"/>
      <c r="BB18" s="809"/>
      <c r="BC18" s="810"/>
      <c r="BD18" s="810"/>
      <c r="BE18" s="810"/>
      <c r="BF18" s="819"/>
      <c r="BG18" s="806"/>
      <c r="BH18" s="806"/>
      <c r="BI18" s="820">
        <v>3690.8</v>
      </c>
      <c r="BJ18" s="820">
        <f>3680.6-SUM(BG18:BI18)</f>
        <v>-10.200000000000273</v>
      </c>
      <c r="BK18" s="812">
        <f t="shared" si="19"/>
        <v>3680.6</v>
      </c>
      <c r="BL18" s="816">
        <v>0</v>
      </c>
      <c r="BM18" s="821">
        <v>0</v>
      </c>
      <c r="BN18" s="820">
        <v>113.4</v>
      </c>
      <c r="BO18" s="820">
        <v>39.799999999999997</v>
      </c>
      <c r="BP18" s="812">
        <f t="shared" si="20"/>
        <v>153.19999999999999</v>
      </c>
      <c r="BQ18" s="816">
        <v>0</v>
      </c>
      <c r="BR18" s="821">
        <v>0</v>
      </c>
      <c r="BS18" s="820">
        <v>220.1</v>
      </c>
      <c r="BT18" s="817">
        <v>-0.4</v>
      </c>
      <c r="BU18" s="824">
        <f t="shared" si="22"/>
        <v>219.7</v>
      </c>
      <c r="BV18" s="816">
        <v>10</v>
      </c>
      <c r="BW18" s="821">
        <v>0</v>
      </c>
      <c r="BX18" s="820">
        <v>0</v>
      </c>
      <c r="BY18" s="817"/>
      <c r="BZ18" s="824">
        <f t="shared" si="23"/>
        <v>10</v>
      </c>
      <c r="CA18" s="816">
        <v>-0.2</v>
      </c>
      <c r="CB18" s="821"/>
      <c r="CC18" s="820"/>
      <c r="CD18" s="817"/>
      <c r="CE18" s="824">
        <f t="shared" si="24"/>
        <v>-0.2</v>
      </c>
    </row>
    <row r="19" spans="1:492" s="815" customFormat="1" ht="20.149999999999999" customHeight="1" thickBot="1">
      <c r="A19" s="802" t="s">
        <v>94</v>
      </c>
      <c r="B19" s="803" t="s">
        <v>473</v>
      </c>
      <c r="C19" s="818"/>
      <c r="D19" s="818"/>
      <c r="E19" s="818"/>
      <c r="F19" s="818"/>
      <c r="G19" s="818"/>
      <c r="H19" s="818"/>
      <c r="I19" s="818"/>
      <c r="J19" s="818"/>
      <c r="K19" s="818"/>
      <c r="L19" s="818"/>
      <c r="M19" s="818"/>
      <c r="N19" s="818"/>
      <c r="O19" s="818"/>
      <c r="P19" s="818"/>
      <c r="Q19" s="818"/>
      <c r="R19" s="818"/>
      <c r="S19" s="818"/>
      <c r="T19" s="818"/>
      <c r="U19" s="818"/>
      <c r="V19" s="818"/>
      <c r="W19" s="818"/>
      <c r="X19" s="818"/>
      <c r="Y19" s="818"/>
      <c r="Z19" s="818"/>
      <c r="AA19" s="818"/>
      <c r="AB19" s="818"/>
      <c r="AC19" s="818"/>
      <c r="AD19" s="818"/>
      <c r="AE19" s="818"/>
      <c r="AF19" s="818"/>
      <c r="AG19" s="818"/>
      <c r="AH19" s="818"/>
      <c r="AI19" s="818"/>
      <c r="AJ19" s="818"/>
      <c r="AK19" s="818"/>
      <c r="AL19" s="818"/>
      <c r="AM19" s="805"/>
      <c r="AN19" s="806"/>
      <c r="AO19" s="806"/>
      <c r="AP19" s="806"/>
      <c r="AQ19" s="807"/>
      <c r="AR19" s="806"/>
      <c r="AS19" s="806"/>
      <c r="AT19" s="806"/>
      <c r="AU19" s="806"/>
      <c r="AV19" s="808"/>
      <c r="AW19" s="806"/>
      <c r="AX19" s="806"/>
      <c r="AY19" s="806"/>
      <c r="AZ19" s="806"/>
      <c r="BA19" s="806"/>
      <c r="BB19" s="809"/>
      <c r="BC19" s="810"/>
      <c r="BD19" s="810"/>
      <c r="BE19" s="810"/>
      <c r="BF19" s="819"/>
      <c r="BG19" s="806"/>
      <c r="BH19" s="806"/>
      <c r="BI19" s="820"/>
      <c r="BJ19" s="820"/>
      <c r="BK19" s="812"/>
      <c r="BL19" s="820">
        <v>-34.1</v>
      </c>
      <c r="BM19" s="817">
        <v>0</v>
      </c>
      <c r="BN19" s="820">
        <v>0</v>
      </c>
      <c r="BO19" s="820"/>
      <c r="BP19" s="812">
        <f t="shared" si="20"/>
        <v>-34.1</v>
      </c>
      <c r="BQ19" s="816">
        <v>0</v>
      </c>
      <c r="BR19" s="821">
        <v>0</v>
      </c>
      <c r="BS19" s="821">
        <v>0</v>
      </c>
      <c r="BT19" s="817"/>
      <c r="BU19" s="826">
        <f t="shared" si="22"/>
        <v>0</v>
      </c>
      <c r="BV19" s="816">
        <v>0</v>
      </c>
      <c r="BW19" s="821">
        <v>0</v>
      </c>
      <c r="BX19" s="821">
        <v>0</v>
      </c>
      <c r="BY19" s="817"/>
      <c r="BZ19" s="826">
        <f t="shared" si="23"/>
        <v>0</v>
      </c>
      <c r="CA19" s="816">
        <v>0</v>
      </c>
      <c r="CB19" s="821"/>
      <c r="CC19" s="821"/>
      <c r="CD19" s="817"/>
      <c r="CE19" s="826">
        <f t="shared" si="24"/>
        <v>0</v>
      </c>
    </row>
    <row r="20" spans="1:492" s="59" customFormat="1" ht="20.25" customHeight="1" thickBot="1">
      <c r="A20" s="490" t="s">
        <v>474</v>
      </c>
      <c r="B20" s="511" t="s">
        <v>475</v>
      </c>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502">
        <f>SUM(AM21:AM22)</f>
        <v>890</v>
      </c>
      <c r="AN20" s="392">
        <f t="shared" ref="AN20:AQ20" si="30">SUM(AN21:AN22)</f>
        <v>946.40000000000009</v>
      </c>
      <c r="AO20" s="392">
        <f t="shared" si="30"/>
        <v>920</v>
      </c>
      <c r="AP20" s="392">
        <f t="shared" si="30"/>
        <v>941.3</v>
      </c>
      <c r="AQ20" s="503">
        <f t="shared" si="30"/>
        <v>3697.7</v>
      </c>
      <c r="AR20" s="392"/>
      <c r="AS20" s="392"/>
      <c r="AT20" s="392"/>
      <c r="AU20" s="392"/>
      <c r="AV20" s="393"/>
      <c r="AW20" s="392">
        <f t="shared" ref="AW20:BE20" si="31">SUM(AW21:AW22)</f>
        <v>1038.3</v>
      </c>
      <c r="AX20" s="392">
        <f t="shared" si="31"/>
        <v>1076.0999999999999</v>
      </c>
      <c r="AY20" s="392">
        <f t="shared" si="31"/>
        <v>1020.4999999999999</v>
      </c>
      <c r="AZ20" s="392">
        <f t="shared" si="31"/>
        <v>1061.8000000000004</v>
      </c>
      <c r="BA20" s="494">
        <f t="shared" si="31"/>
        <v>4196.7</v>
      </c>
      <c r="BB20" s="502">
        <f t="shared" si="31"/>
        <v>1026.7</v>
      </c>
      <c r="BC20" s="392">
        <f t="shared" si="31"/>
        <v>960</v>
      </c>
      <c r="BD20" s="392">
        <f t="shared" si="31"/>
        <v>1078.9000000000001</v>
      </c>
      <c r="BE20" s="392">
        <f t="shared" si="31"/>
        <v>1126.3</v>
      </c>
      <c r="BF20" s="503">
        <f>SUM(BF21:BF22)</f>
        <v>4191.9000000000005</v>
      </c>
      <c r="BG20" s="392">
        <f>SUM(BG21:BG22)</f>
        <v>1082.7</v>
      </c>
      <c r="BH20" s="392">
        <f t="shared" ref="BH20:BJ20" si="32">SUM(BH21:BH22)</f>
        <v>1140.9000000000001</v>
      </c>
      <c r="BI20" s="392">
        <f t="shared" si="32"/>
        <v>4594.9999999999991</v>
      </c>
      <c r="BJ20" s="392">
        <f t="shared" si="32"/>
        <v>881.00000000000011</v>
      </c>
      <c r="BK20" s="503">
        <f>SUM(BK21:BK22)</f>
        <v>7699.6</v>
      </c>
      <c r="BL20" s="392">
        <f>SUM(BL21:BL23)</f>
        <v>766.6</v>
      </c>
      <c r="BM20" s="672">
        <f>SUM(BM21:BM25)</f>
        <v>893.3</v>
      </c>
      <c r="BN20" s="392">
        <f>SUM(BN21:BN25)</f>
        <v>952.99999999999966</v>
      </c>
      <c r="BO20" s="392">
        <f>SUM(BO21:BO25)</f>
        <v>858.30000000000007</v>
      </c>
      <c r="BP20" s="503">
        <f>SUM(BP21:BP25)</f>
        <v>3471.2000000000003</v>
      </c>
      <c r="BQ20" s="392">
        <f>SUM(BQ21:BQ25)</f>
        <v>761.2</v>
      </c>
      <c r="BR20" s="392">
        <f t="shared" ref="BR20:BT20" si="33">SUM(BR21:BR25)</f>
        <v>798.5</v>
      </c>
      <c r="BS20" s="392">
        <f t="shared" si="33"/>
        <v>994.8</v>
      </c>
      <c r="BT20" s="392">
        <f t="shared" si="33"/>
        <v>676.7</v>
      </c>
      <c r="BU20" s="825">
        <f>SUM(BU21:BU25)</f>
        <v>3231.2000000000003</v>
      </c>
      <c r="BV20" s="392">
        <f>SUM(BV21:BV25)</f>
        <v>946.3</v>
      </c>
      <c r="BW20" s="392">
        <f t="shared" ref="BW20:BY20" si="34">SUM(BW21:BW25)</f>
        <v>865</v>
      </c>
      <c r="BX20" s="392">
        <f t="shared" si="34"/>
        <v>886.4000000000002</v>
      </c>
      <c r="BY20" s="392">
        <f t="shared" si="34"/>
        <v>739.9</v>
      </c>
      <c r="BZ20" s="825">
        <f>SUM(BZ21:BZ25)</f>
        <v>3437.6</v>
      </c>
      <c r="CA20" s="392">
        <f>SUM(CA21:CA25)</f>
        <v>809.1</v>
      </c>
      <c r="CB20" s="392"/>
      <c r="CC20" s="392"/>
      <c r="CD20" s="392"/>
      <c r="CE20" s="825">
        <f>SUM(CE21:CE25)</f>
        <v>809.1</v>
      </c>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row>
    <row r="21" spans="1:492" s="477" customFormat="1" ht="20.149999999999999" customHeight="1">
      <c r="A21" s="489" t="s">
        <v>456</v>
      </c>
      <c r="B21" s="510" t="s">
        <v>457</v>
      </c>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99">
        <v>755</v>
      </c>
      <c r="AN21" s="475">
        <v>795.2</v>
      </c>
      <c r="AO21" s="475">
        <v>825.7</v>
      </c>
      <c r="AP21" s="475">
        <v>769</v>
      </c>
      <c r="AQ21" s="500">
        <f>SUM(AM21:AP21)</f>
        <v>3144.9</v>
      </c>
      <c r="AR21" s="475"/>
      <c r="AS21" s="475"/>
      <c r="AT21" s="475"/>
      <c r="AU21" s="475"/>
      <c r="AV21" s="470"/>
      <c r="AW21" s="475">
        <v>892.6</v>
      </c>
      <c r="AX21" s="475">
        <v>914.49999999999989</v>
      </c>
      <c r="AY21" s="475">
        <v>925.59999999999991</v>
      </c>
      <c r="AZ21" s="475">
        <v>867.10000000000036</v>
      </c>
      <c r="BA21" s="478">
        <f>SUM(AW21:AZ21)</f>
        <v>3599.8</v>
      </c>
      <c r="BB21" s="499">
        <v>879.6</v>
      </c>
      <c r="BC21" s="475">
        <v>841.4</v>
      </c>
      <c r="BD21" s="475">
        <v>943.80000000000018</v>
      </c>
      <c r="BE21" s="475">
        <v>925</v>
      </c>
      <c r="BF21" s="500">
        <f>SUM(BB21:BE21)</f>
        <v>3589.8</v>
      </c>
      <c r="BG21" s="475">
        <v>936.6</v>
      </c>
      <c r="BH21" s="475">
        <v>951.80000000000007</v>
      </c>
      <c r="BI21" s="475">
        <v>4477.0999999999995</v>
      </c>
      <c r="BJ21" s="475">
        <f>7070.3-SUM(BG21:BI21)</f>
        <v>704.80000000000018</v>
      </c>
      <c r="BK21" s="500">
        <f>SUM(BG21:BJ21)</f>
        <v>7070.3</v>
      </c>
      <c r="BL21" s="475">
        <v>671.1</v>
      </c>
      <c r="BM21" s="469">
        <f>1420.5-BL21</f>
        <v>749.4</v>
      </c>
      <c r="BN21" s="475">
        <f>2292.1-BM21-BL21</f>
        <v>871.5999999999998</v>
      </c>
      <c r="BO21" s="475">
        <f>2914.4-BN21-BM21-BL21</f>
        <v>622.30000000000007</v>
      </c>
      <c r="BP21" s="500">
        <f>SUM(BL21:BO21)</f>
        <v>2914.4</v>
      </c>
      <c r="BQ21" s="475">
        <v>663.2</v>
      </c>
      <c r="BR21" s="469">
        <v>635</v>
      </c>
      <c r="BS21" s="475">
        <v>878.39999999999986</v>
      </c>
      <c r="BT21" s="475">
        <v>536.20000000000005</v>
      </c>
      <c r="BU21" s="823">
        <f>SUM(BQ21:BT21)</f>
        <v>2712.8</v>
      </c>
      <c r="BV21" s="775">
        <v>777.8</v>
      </c>
      <c r="BW21" s="469">
        <v>646.29999999999995</v>
      </c>
      <c r="BX21" s="475">
        <v>649.80000000000018</v>
      </c>
      <c r="BY21" s="475">
        <v>486.09999999999991</v>
      </c>
      <c r="BZ21" s="823">
        <f>SUM(BV21:BY21)</f>
        <v>2560</v>
      </c>
      <c r="CA21" s="775">
        <v>607.70000000000005</v>
      </c>
      <c r="CB21" s="469"/>
      <c r="CC21" s="475"/>
      <c r="CD21" s="475"/>
      <c r="CE21" s="823">
        <f>SUM(CA21:CD21)</f>
        <v>607.70000000000005</v>
      </c>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6"/>
      <c r="EW21" s="476"/>
      <c r="EX21" s="476"/>
      <c r="EY21" s="476"/>
      <c r="EZ21" s="476"/>
      <c r="FA21" s="476"/>
      <c r="FB21" s="476"/>
      <c r="FC21" s="476"/>
      <c r="FD21" s="476"/>
      <c r="FE21" s="476"/>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row>
    <row r="22" spans="1:492" s="477" customFormat="1" ht="20.149999999999999" customHeight="1">
      <c r="A22" s="489" t="s">
        <v>458</v>
      </c>
      <c r="B22" s="510" t="s">
        <v>459</v>
      </c>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99">
        <v>135</v>
      </c>
      <c r="AN22" s="475">
        <v>151.19999999999999</v>
      </c>
      <c r="AO22" s="475">
        <v>94.300000000000011</v>
      </c>
      <c r="AP22" s="475">
        <v>172.29999999999995</v>
      </c>
      <c r="AQ22" s="500">
        <f>SUM(AM22:AP22)</f>
        <v>552.79999999999995</v>
      </c>
      <c r="AR22" s="475"/>
      <c r="AS22" s="475"/>
      <c r="AT22" s="475"/>
      <c r="AU22" s="475"/>
      <c r="AV22" s="470"/>
      <c r="AW22" s="475">
        <v>145.69999999999999</v>
      </c>
      <c r="AX22" s="475">
        <v>161.60000000000002</v>
      </c>
      <c r="AY22" s="475">
        <v>94.899999999999977</v>
      </c>
      <c r="AZ22" s="475">
        <v>194.7</v>
      </c>
      <c r="BA22" s="478">
        <f>SUM(AW22:AZ22)</f>
        <v>596.9</v>
      </c>
      <c r="BB22" s="499">
        <v>147.1</v>
      </c>
      <c r="BC22" s="475">
        <v>118.6</v>
      </c>
      <c r="BD22" s="475">
        <v>135.10000000000002</v>
      </c>
      <c r="BE22" s="475">
        <v>201.3</v>
      </c>
      <c r="BF22" s="500">
        <f>SUM(BB22:BE22)</f>
        <v>602.1</v>
      </c>
      <c r="BG22" s="475">
        <v>146.1</v>
      </c>
      <c r="BH22" s="475">
        <v>189.1</v>
      </c>
      <c r="BI22" s="475">
        <v>117.9</v>
      </c>
      <c r="BJ22" s="475">
        <f>629.3-SUM(BG22:BI22)</f>
        <v>176.19999999999993</v>
      </c>
      <c r="BK22" s="500">
        <f>SUM(BG22:BJ22)</f>
        <v>629.29999999999995</v>
      </c>
      <c r="BL22" s="475">
        <v>95.5</v>
      </c>
      <c r="BM22" s="469">
        <f>237.9-BL22</f>
        <v>142.4</v>
      </c>
      <c r="BN22" s="475">
        <f>314.7-BM22-BL22</f>
        <v>76.799999999999983</v>
      </c>
      <c r="BO22" s="475">
        <f>504.9-BN22-BM22-BL22</f>
        <v>190.20000000000005</v>
      </c>
      <c r="BP22" s="500">
        <f>SUM(BL22:BO22)</f>
        <v>504.90000000000003</v>
      </c>
      <c r="BQ22" s="475">
        <v>92.5</v>
      </c>
      <c r="BR22" s="469">
        <v>156.69999999999999</v>
      </c>
      <c r="BS22" s="475">
        <v>83.100000000000023</v>
      </c>
      <c r="BT22" s="475">
        <v>139.69999999999999</v>
      </c>
      <c r="BU22" s="823">
        <f>SUM(BQ22:BT22)</f>
        <v>472</v>
      </c>
      <c r="BV22" s="475">
        <v>110.19999999999999</v>
      </c>
      <c r="BW22" s="469">
        <v>145.19999999999999</v>
      </c>
      <c r="BX22" s="475">
        <v>144.5</v>
      </c>
      <c r="BY22" s="475">
        <v>96.5</v>
      </c>
      <c r="BZ22" s="823">
        <f>SUM(BV22:BY22)</f>
        <v>496.4</v>
      </c>
      <c r="CA22" s="475">
        <v>124.5</v>
      </c>
      <c r="CB22" s="469"/>
      <c r="CC22" s="475"/>
      <c r="CD22" s="475"/>
      <c r="CE22" s="823">
        <f>SUM(CA22:CD22)</f>
        <v>124.5</v>
      </c>
      <c r="CF22" s="476"/>
      <c r="CG22" s="476"/>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6"/>
      <c r="DI22" s="476"/>
      <c r="DJ22" s="476"/>
      <c r="DK22" s="476"/>
      <c r="DL22" s="476"/>
      <c r="DM22" s="476"/>
      <c r="DN22" s="476"/>
      <c r="DO22" s="476"/>
      <c r="DP22" s="476"/>
      <c r="DQ22" s="476"/>
      <c r="DR22" s="476"/>
      <c r="DS22" s="476"/>
      <c r="DT22" s="476"/>
      <c r="DU22" s="476"/>
      <c r="DV22" s="476"/>
      <c r="DW22" s="476"/>
      <c r="DX22" s="476"/>
      <c r="DY22" s="476"/>
      <c r="DZ22" s="476"/>
      <c r="EA22" s="476"/>
      <c r="EB22" s="476"/>
      <c r="EC22" s="476"/>
      <c r="ED22" s="476"/>
      <c r="EE22" s="476"/>
      <c r="EF22" s="476"/>
      <c r="EG22" s="476"/>
      <c r="EH22" s="476"/>
      <c r="EI22" s="476"/>
      <c r="EJ22" s="476"/>
      <c r="EK22" s="476"/>
      <c r="EL22" s="476"/>
      <c r="EM22" s="476"/>
      <c r="EN22" s="476"/>
      <c r="EO22" s="476"/>
      <c r="EP22" s="476"/>
      <c r="EQ22" s="476"/>
      <c r="ER22" s="476"/>
      <c r="ES22" s="476"/>
      <c r="ET22" s="476"/>
      <c r="EU22" s="476"/>
      <c r="EV22" s="476"/>
      <c r="EW22" s="476"/>
      <c r="EX22" s="476"/>
      <c r="EY22" s="476"/>
      <c r="EZ22" s="476"/>
      <c r="FA22" s="476"/>
      <c r="FB22" s="476"/>
      <c r="FC22" s="476"/>
      <c r="FD22" s="476"/>
      <c r="FE22" s="476"/>
      <c r="FF22" s="476"/>
      <c r="FG22" s="476"/>
      <c r="FH22" s="476"/>
      <c r="FI22" s="476"/>
      <c r="FJ22" s="476"/>
      <c r="FK22" s="476"/>
      <c r="FL22" s="476"/>
      <c r="FM22" s="476"/>
      <c r="FN22" s="476"/>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row>
    <row r="23" spans="1:492" s="477" customFormat="1" ht="20.149999999999999" customHeight="1">
      <c r="A23" s="489" t="s">
        <v>468</v>
      </c>
      <c r="B23" s="510" t="s">
        <v>461</v>
      </c>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99"/>
      <c r="AN23" s="475"/>
      <c r="AO23" s="475"/>
      <c r="AP23" s="475"/>
      <c r="AQ23" s="500"/>
      <c r="AR23" s="475"/>
      <c r="AS23" s="475"/>
      <c r="AT23" s="475"/>
      <c r="AU23" s="475"/>
      <c r="AV23" s="470"/>
      <c r="AW23" s="475"/>
      <c r="AX23" s="475"/>
      <c r="AY23" s="475"/>
      <c r="AZ23" s="475"/>
      <c r="BA23" s="478"/>
      <c r="BB23" s="499"/>
      <c r="BC23" s="475"/>
      <c r="BD23" s="475"/>
      <c r="BE23" s="475"/>
      <c r="BF23" s="500"/>
      <c r="BG23" s="475"/>
      <c r="BH23" s="475"/>
      <c r="BI23" s="475"/>
      <c r="BJ23" s="475"/>
      <c r="BK23" s="500"/>
      <c r="BL23" s="475"/>
      <c r="BM23" s="469">
        <v>3.7</v>
      </c>
      <c r="BN23" s="475">
        <f>14-BM23-BL23</f>
        <v>10.3</v>
      </c>
      <c r="BO23" s="475">
        <f>57-BN23-BM23</f>
        <v>43</v>
      </c>
      <c r="BP23" s="500">
        <f>SUM(BL23:BO23)</f>
        <v>57</v>
      </c>
      <c r="BQ23" s="475">
        <v>7</v>
      </c>
      <c r="BR23" s="469">
        <v>6</v>
      </c>
      <c r="BS23" s="475">
        <v>8.6999999999999993</v>
      </c>
      <c r="BT23" s="475">
        <v>5.3</v>
      </c>
      <c r="BU23" s="823">
        <f>SUM(BQ23:BT23)</f>
        <v>27</v>
      </c>
      <c r="BV23" s="475">
        <v>9</v>
      </c>
      <c r="BW23" s="469">
        <v>2.0999999999999996</v>
      </c>
      <c r="BX23" s="475">
        <v>9.9</v>
      </c>
      <c r="BY23" s="475">
        <v>78.2</v>
      </c>
      <c r="BZ23" s="823">
        <f>SUM(BV23:BY23)</f>
        <v>99.2</v>
      </c>
      <c r="CA23" s="475">
        <v>19.8</v>
      </c>
      <c r="CB23" s="469"/>
      <c r="CC23" s="475"/>
      <c r="CD23" s="475"/>
      <c r="CE23" s="823">
        <f>SUM(CA23:CD23)</f>
        <v>19.8</v>
      </c>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6"/>
      <c r="EW23" s="476"/>
      <c r="EX23" s="476"/>
      <c r="EY23" s="476"/>
      <c r="EZ23" s="476"/>
      <c r="FA23" s="476"/>
      <c r="FB23" s="476"/>
      <c r="FC23" s="476"/>
      <c r="FD23" s="476"/>
      <c r="FE23" s="476"/>
      <c r="FF23" s="476"/>
      <c r="FG23" s="476"/>
      <c r="FH23" s="476"/>
      <c r="FI23" s="476"/>
      <c r="FJ23" s="476"/>
      <c r="FK23" s="476"/>
      <c r="FL23" s="476"/>
      <c r="FM23" s="476"/>
      <c r="FN23" s="476"/>
      <c r="FO23" s="476"/>
      <c r="FP23" s="476"/>
      <c r="FQ23" s="476"/>
      <c r="FR23" s="476"/>
      <c r="FS23" s="476"/>
      <c r="FT23" s="476"/>
      <c r="FU23" s="476"/>
      <c r="FV23" s="476"/>
      <c r="FW23" s="476"/>
      <c r="FX23" s="476"/>
      <c r="FY23" s="476"/>
      <c r="FZ23" s="476"/>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row>
    <row r="24" spans="1:492" s="477" customFormat="1" ht="20.149999999999999" customHeight="1">
      <c r="A24" s="489" t="s">
        <v>462</v>
      </c>
      <c r="B24" s="510" t="s">
        <v>463</v>
      </c>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99"/>
      <c r="AN24" s="475"/>
      <c r="AO24" s="475"/>
      <c r="AP24" s="475"/>
      <c r="AQ24" s="500"/>
      <c r="AR24" s="475"/>
      <c r="AS24" s="475"/>
      <c r="AT24" s="475"/>
      <c r="AU24" s="475"/>
      <c r="AV24" s="470"/>
      <c r="AW24" s="475"/>
      <c r="AX24" s="475"/>
      <c r="AY24" s="475"/>
      <c r="AZ24" s="475"/>
      <c r="BA24" s="478"/>
      <c r="BB24" s="499"/>
      <c r="BC24" s="475"/>
      <c r="BD24" s="475"/>
      <c r="BE24" s="475"/>
      <c r="BF24" s="500"/>
      <c r="BG24" s="475"/>
      <c r="BH24" s="475"/>
      <c r="BI24" s="475"/>
      <c r="BJ24" s="475"/>
      <c r="BK24" s="500"/>
      <c r="BL24" s="475"/>
      <c r="BM24" s="469"/>
      <c r="BN24" s="475"/>
      <c r="BO24" s="475"/>
      <c r="BP24" s="500"/>
      <c r="BQ24" s="475"/>
      <c r="BR24" s="469"/>
      <c r="BS24" s="475">
        <v>25.9</v>
      </c>
      <c r="BT24" s="671">
        <v>-1.4</v>
      </c>
      <c r="BU24" s="823">
        <f>SUM(BQ24:BT24)</f>
        <v>24.5</v>
      </c>
      <c r="BV24" s="475">
        <v>49.3</v>
      </c>
      <c r="BW24" s="469">
        <v>71.399999999999991</v>
      </c>
      <c r="BX24" s="475">
        <v>82.200000000000017</v>
      </c>
      <c r="BY24" s="810">
        <v>79.099999999999994</v>
      </c>
      <c r="BZ24" s="823">
        <f>SUM(BV24:BY24)</f>
        <v>282</v>
      </c>
      <c r="CA24" s="475">
        <v>57.1</v>
      </c>
      <c r="CB24" s="469"/>
      <c r="CC24" s="475"/>
      <c r="CD24" s="810"/>
      <c r="CE24" s="823">
        <f>SUM(CA24:CD24)</f>
        <v>57.1</v>
      </c>
      <c r="CF24" s="476"/>
      <c r="CG24" s="476"/>
      <c r="CH24" s="476"/>
      <c r="CI24" s="476"/>
      <c r="CJ24" s="476"/>
      <c r="CK24" s="476"/>
      <c r="CL24" s="476"/>
      <c r="CM24" s="476"/>
      <c r="CN24" s="476"/>
      <c r="CO24" s="476"/>
      <c r="CP24" s="476"/>
      <c r="CQ24" s="476"/>
      <c r="CR24" s="476"/>
      <c r="CS24" s="476"/>
      <c r="CT24" s="476"/>
      <c r="CU24" s="476"/>
      <c r="CV24" s="476"/>
      <c r="CW24" s="476"/>
      <c r="CX24" s="476"/>
      <c r="CY24" s="476"/>
      <c r="CZ24" s="476"/>
      <c r="DA24" s="476"/>
      <c r="DB24" s="476"/>
      <c r="DC24" s="476"/>
      <c r="DD24" s="476"/>
      <c r="DE24" s="476"/>
      <c r="DF24" s="476"/>
      <c r="DG24" s="476"/>
      <c r="DH24" s="476"/>
      <c r="DI24" s="476"/>
      <c r="DJ24" s="476"/>
      <c r="DK24" s="476"/>
      <c r="DL24" s="476"/>
      <c r="DM24" s="476"/>
      <c r="DN24" s="476"/>
      <c r="DO24" s="476"/>
      <c r="DP24" s="476"/>
      <c r="DQ24" s="476"/>
      <c r="DR24" s="476"/>
      <c r="DS24" s="476"/>
      <c r="DT24" s="476"/>
      <c r="DU24" s="476"/>
      <c r="DV24" s="476"/>
      <c r="DW24" s="476"/>
      <c r="DX24" s="476"/>
      <c r="DY24" s="476"/>
      <c r="DZ24" s="476"/>
      <c r="EA24" s="476"/>
      <c r="EB24" s="476"/>
      <c r="EC24" s="476"/>
      <c r="ED24" s="476"/>
      <c r="EE24" s="476"/>
      <c r="EF24" s="476"/>
      <c r="EG24" s="476"/>
      <c r="EH24" s="476"/>
      <c r="EI24" s="476"/>
      <c r="EJ24" s="476"/>
      <c r="EK24" s="476"/>
      <c r="EL24" s="476"/>
      <c r="EM24" s="476"/>
      <c r="EN24" s="476"/>
      <c r="EO24" s="476"/>
      <c r="EP24" s="476"/>
      <c r="EQ24" s="476"/>
      <c r="ER24" s="476"/>
      <c r="ES24" s="476"/>
      <c r="ET24" s="476"/>
      <c r="EU24" s="476"/>
      <c r="EV24" s="476"/>
      <c r="EW24" s="476"/>
      <c r="EX24" s="476"/>
      <c r="EY24" s="476"/>
      <c r="EZ24" s="476"/>
      <c r="FA24" s="476"/>
      <c r="FB24" s="476"/>
      <c r="FC24" s="476"/>
      <c r="FD24" s="476"/>
      <c r="FE24" s="476"/>
      <c r="FF24" s="476"/>
      <c r="FG24" s="476"/>
      <c r="FH24" s="476"/>
      <c r="FI24" s="476"/>
      <c r="FJ24" s="476"/>
      <c r="FK24" s="476"/>
      <c r="FL24" s="476"/>
      <c r="FM24" s="476"/>
      <c r="FN24" s="476"/>
      <c r="FO24" s="476"/>
      <c r="FP24" s="476"/>
      <c r="FQ24" s="476"/>
      <c r="FR24" s="476"/>
      <c r="FS24" s="476"/>
      <c r="FT24" s="476"/>
      <c r="FU24" s="476"/>
      <c r="FV24" s="476"/>
      <c r="FW24" s="476"/>
      <c r="FX24" s="476"/>
      <c r="FY24" s="476"/>
      <c r="FZ24" s="476"/>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row>
    <row r="25" spans="1:492" s="477" customFormat="1" ht="20.149999999999999" customHeight="1" thickBot="1">
      <c r="A25" s="489" t="s">
        <v>464</v>
      </c>
      <c r="B25" s="510" t="s">
        <v>465</v>
      </c>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99"/>
      <c r="AN25" s="475"/>
      <c r="AO25" s="475"/>
      <c r="AP25" s="475"/>
      <c r="AQ25" s="500"/>
      <c r="AR25" s="475"/>
      <c r="AS25" s="475"/>
      <c r="AT25" s="475"/>
      <c r="AU25" s="475"/>
      <c r="AV25" s="470"/>
      <c r="AW25" s="475"/>
      <c r="AX25" s="475"/>
      <c r="AY25" s="475"/>
      <c r="AZ25" s="475"/>
      <c r="BA25" s="478"/>
      <c r="BB25" s="499"/>
      <c r="BC25" s="475"/>
      <c r="BD25" s="475"/>
      <c r="BE25" s="475"/>
      <c r="BF25" s="500"/>
      <c r="BG25" s="475"/>
      <c r="BH25" s="475"/>
      <c r="BI25" s="475"/>
      <c r="BJ25" s="475"/>
      <c r="BK25" s="500"/>
      <c r="BL25" s="475"/>
      <c r="BM25" s="671">
        <v>-2.2000000000000002</v>
      </c>
      <c r="BN25" s="671">
        <f>-7.9-BM25-BL25</f>
        <v>-5.7</v>
      </c>
      <c r="BO25" s="475">
        <f>-5.1-BN25-BM25</f>
        <v>2.8000000000000007</v>
      </c>
      <c r="BP25" s="515">
        <f>SUM(BL25:BO25)</f>
        <v>-5.0999999999999996</v>
      </c>
      <c r="BQ25" s="671">
        <v>-1.5</v>
      </c>
      <c r="BR25" s="671">
        <v>0.8</v>
      </c>
      <c r="BS25" s="671">
        <v>-1.2999999999999998</v>
      </c>
      <c r="BT25" s="671">
        <v>-3.1</v>
      </c>
      <c r="BU25" s="826">
        <f>SUM(BQ25:BT25)</f>
        <v>-5.0999999999999996</v>
      </c>
      <c r="BV25" s="671"/>
      <c r="BW25" s="671"/>
      <c r="BX25" s="671"/>
      <c r="BY25" s="671"/>
      <c r="BZ25" s="826">
        <f>SUM(BV25:BY25)</f>
        <v>0</v>
      </c>
      <c r="CA25" s="671"/>
      <c r="CB25" s="671"/>
      <c r="CC25" s="671"/>
      <c r="CD25" s="671"/>
      <c r="CE25" s="826">
        <f>SUM(CA25:CD25)</f>
        <v>0</v>
      </c>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476"/>
      <c r="FT25" s="476"/>
      <c r="FU25" s="476"/>
      <c r="FV25" s="476"/>
      <c r="FW25" s="476"/>
      <c r="FX25" s="476"/>
      <c r="FY25" s="476"/>
      <c r="FZ25" s="476"/>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row>
    <row r="26" spans="1:492" s="59" customFormat="1" ht="20.25" customHeight="1" thickBot="1">
      <c r="A26" s="490" t="s">
        <v>476</v>
      </c>
      <c r="B26" s="511" t="s">
        <v>477</v>
      </c>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502">
        <f>SUM(AM27:AM28)</f>
        <v>435.5</v>
      </c>
      <c r="AN26" s="392">
        <f t="shared" ref="AN26:BF26" si="35">SUM(AN27:AN28)</f>
        <v>475.59999999999997</v>
      </c>
      <c r="AO26" s="392">
        <f t="shared" si="35"/>
        <v>396.5</v>
      </c>
      <c r="AP26" s="392">
        <f t="shared" si="35"/>
        <v>419.40000000000015</v>
      </c>
      <c r="AQ26" s="503">
        <f t="shared" si="35"/>
        <v>1727</v>
      </c>
      <c r="AR26" s="392">
        <f t="shared" si="35"/>
        <v>0</v>
      </c>
      <c r="AS26" s="392">
        <f t="shared" si="35"/>
        <v>0</v>
      </c>
      <c r="AT26" s="392">
        <f t="shared" si="35"/>
        <v>0</v>
      </c>
      <c r="AU26" s="392">
        <f t="shared" si="35"/>
        <v>0</v>
      </c>
      <c r="AV26" s="393">
        <f t="shared" si="35"/>
        <v>0</v>
      </c>
      <c r="AW26" s="392">
        <f t="shared" si="35"/>
        <v>491.2</v>
      </c>
      <c r="AX26" s="392">
        <f t="shared" si="35"/>
        <v>522.5</v>
      </c>
      <c r="AY26" s="392">
        <f t="shared" si="35"/>
        <v>459.00000000000006</v>
      </c>
      <c r="AZ26" s="392">
        <f t="shared" si="35"/>
        <v>494.30000000000013</v>
      </c>
      <c r="BA26" s="494">
        <f t="shared" si="35"/>
        <v>1967</v>
      </c>
      <c r="BB26" s="502">
        <f t="shared" si="35"/>
        <v>462.2</v>
      </c>
      <c r="BC26" s="392">
        <f t="shared" si="35"/>
        <v>394.1</v>
      </c>
      <c r="BD26" s="392">
        <f t="shared" si="35"/>
        <v>505.9</v>
      </c>
      <c r="BE26" s="392">
        <f t="shared" si="35"/>
        <v>524</v>
      </c>
      <c r="BF26" s="503">
        <f t="shared" si="35"/>
        <v>1886.2</v>
      </c>
      <c r="BG26" s="392">
        <f t="shared" ref="BG26:BK26" si="36">SUM(BG27:BG28)</f>
        <v>561.5</v>
      </c>
      <c r="BH26" s="392">
        <f t="shared" si="36"/>
        <v>683.7</v>
      </c>
      <c r="BI26" s="392">
        <f t="shared" si="36"/>
        <v>4131.4000000000005</v>
      </c>
      <c r="BJ26" s="392">
        <f t="shared" si="36"/>
        <v>419.80000000000018</v>
      </c>
      <c r="BK26" s="503">
        <f t="shared" si="36"/>
        <v>5796.4000000000005</v>
      </c>
      <c r="BL26" s="392">
        <f>SUM(BL27:BL29)</f>
        <v>320.3</v>
      </c>
      <c r="BM26" s="672">
        <f>SUM(BM27:BM31)</f>
        <v>425.8</v>
      </c>
      <c r="BN26" s="392">
        <f>SUM(BN27:BN31)</f>
        <v>500.90000000000003</v>
      </c>
      <c r="BO26" s="392">
        <f>SUM(BO27:BO31)</f>
        <v>395.19999999999993</v>
      </c>
      <c r="BP26" s="503">
        <f>SUM(BP27:BP31)</f>
        <v>1642.2</v>
      </c>
      <c r="BQ26" s="392">
        <f>SUM(BQ27:BQ31)</f>
        <v>298.7</v>
      </c>
      <c r="BR26" s="392">
        <f t="shared" ref="BR26:BT26" si="37">SUM(BR27:BR31)</f>
        <v>329.79999999999995</v>
      </c>
      <c r="BS26" s="392">
        <f t="shared" si="37"/>
        <v>510.90000000000003</v>
      </c>
      <c r="BT26" s="392">
        <f t="shared" si="37"/>
        <v>172.2</v>
      </c>
      <c r="BU26" s="825">
        <f>SUM(BU27:BU31)</f>
        <v>1311.6000000000001</v>
      </c>
      <c r="BV26" s="392">
        <f>SUM(BV27:BV31)</f>
        <v>452.7</v>
      </c>
      <c r="BW26" s="392">
        <f t="shared" ref="BW26:BY26" si="38">SUM(BW27:BW31)</f>
        <v>396.00000000000011</v>
      </c>
      <c r="BX26" s="392">
        <f t="shared" si="38"/>
        <v>569.5</v>
      </c>
      <c r="BY26" s="392">
        <f t="shared" si="38"/>
        <v>347.99999999999994</v>
      </c>
      <c r="BZ26" s="825">
        <f>SUM(BZ27:BZ31)</f>
        <v>1766.2</v>
      </c>
      <c r="CA26" s="392">
        <f>SUM(CA27:CA31)</f>
        <v>410.29999999999995</v>
      </c>
      <c r="CB26" s="392"/>
      <c r="CC26" s="392"/>
      <c r="CD26" s="392"/>
      <c r="CE26" s="825">
        <f>SUM(CE27:CE31)</f>
        <v>410.29999999999995</v>
      </c>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row>
    <row r="27" spans="1:492" s="477" customFormat="1" ht="20.149999999999999" customHeight="1">
      <c r="A27" s="489" t="s">
        <v>456</v>
      </c>
      <c r="B27" s="510" t="s">
        <v>457</v>
      </c>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99">
        <v>310.7</v>
      </c>
      <c r="AN27" s="475">
        <v>334.7</v>
      </c>
      <c r="AO27" s="475">
        <v>312.39999999999998</v>
      </c>
      <c r="AP27" s="475">
        <v>257.10000000000014</v>
      </c>
      <c r="AQ27" s="500">
        <f t="shared" ref="AQ27:AQ34" si="39">SUM(AM27:AP27)</f>
        <v>1214.9000000000001</v>
      </c>
      <c r="AR27" s="475"/>
      <c r="AS27" s="475"/>
      <c r="AT27" s="475"/>
      <c r="AU27" s="475"/>
      <c r="AV27" s="470"/>
      <c r="AW27" s="475">
        <v>360.4</v>
      </c>
      <c r="AX27" s="475">
        <v>376.4</v>
      </c>
      <c r="AY27" s="475">
        <v>377.20000000000005</v>
      </c>
      <c r="AZ27" s="475">
        <v>314.40000000000009</v>
      </c>
      <c r="BA27" s="478">
        <f>SUM(AW27:AZ27)</f>
        <v>1428.4</v>
      </c>
      <c r="BB27" s="499">
        <v>330.2</v>
      </c>
      <c r="BC27" s="475">
        <v>290.7</v>
      </c>
      <c r="BD27" s="475">
        <v>388.1</v>
      </c>
      <c r="BE27" s="475">
        <v>342.5</v>
      </c>
      <c r="BF27" s="500">
        <f>SUM(BB27:BE27)</f>
        <v>1351.5</v>
      </c>
      <c r="BG27" s="475">
        <v>435.8</v>
      </c>
      <c r="BH27" s="475">
        <v>535.90000000000009</v>
      </c>
      <c r="BI27" s="475">
        <v>4040.3</v>
      </c>
      <c r="BJ27" s="475">
        <f>5282.8-SUM(BG27:BI27)</f>
        <v>270.80000000000018</v>
      </c>
      <c r="BK27" s="500">
        <f>SUM(BG27:BJ27)</f>
        <v>5282.8</v>
      </c>
      <c r="BL27" s="475">
        <v>252.4</v>
      </c>
      <c r="BM27" s="469">
        <f>565.5-BL27</f>
        <v>313.10000000000002</v>
      </c>
      <c r="BN27" s="475">
        <f>1018-BM27-BL27</f>
        <v>452.5</v>
      </c>
      <c r="BO27" s="475">
        <f>1210.8-BN27-BM27-BL27</f>
        <v>192.79999999999993</v>
      </c>
      <c r="BP27" s="500">
        <f>SUM(BL27:BO27)</f>
        <v>1210.8</v>
      </c>
      <c r="BQ27" s="475">
        <v>244.6</v>
      </c>
      <c r="BR27" s="469">
        <v>209.79999999999998</v>
      </c>
      <c r="BS27" s="475">
        <v>449.5</v>
      </c>
      <c r="BT27" s="475">
        <v>95.7</v>
      </c>
      <c r="BU27" s="823">
        <f>SUM(BQ27:BT27)</f>
        <v>999.6</v>
      </c>
      <c r="BV27" s="475">
        <v>347.4</v>
      </c>
      <c r="BW27" s="475">
        <v>240.60000000000002</v>
      </c>
      <c r="BX27" s="475">
        <v>395.70000000000005</v>
      </c>
      <c r="BY27" s="475">
        <v>166.59999999999991</v>
      </c>
      <c r="BZ27" s="823">
        <f>SUM(BV27:BY27)</f>
        <v>1150.3</v>
      </c>
      <c r="CA27" s="475">
        <v>289.5</v>
      </c>
      <c r="CB27" s="475"/>
      <c r="CC27" s="475"/>
      <c r="CD27" s="475"/>
      <c r="CE27" s="823">
        <f>SUM(CA27:CD27)</f>
        <v>289.5</v>
      </c>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row>
    <row r="28" spans="1:492" s="477" customFormat="1" ht="20.149999999999999" customHeight="1">
      <c r="A28" s="489" t="s">
        <v>458</v>
      </c>
      <c r="B28" s="510" t="s">
        <v>459</v>
      </c>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99">
        <v>124.8</v>
      </c>
      <c r="AN28" s="475">
        <v>140.89999999999998</v>
      </c>
      <c r="AO28" s="475">
        <v>84.100000000000023</v>
      </c>
      <c r="AP28" s="475">
        <v>162.30000000000001</v>
      </c>
      <c r="AQ28" s="500">
        <f t="shared" si="39"/>
        <v>512.1</v>
      </c>
      <c r="AR28" s="475"/>
      <c r="AS28" s="475"/>
      <c r="AT28" s="475"/>
      <c r="AU28" s="475"/>
      <c r="AV28" s="470"/>
      <c r="AW28" s="475">
        <v>130.80000000000001</v>
      </c>
      <c r="AX28" s="475">
        <v>146.09999999999997</v>
      </c>
      <c r="AY28" s="475">
        <v>81.800000000000011</v>
      </c>
      <c r="AZ28" s="475">
        <v>179.90000000000003</v>
      </c>
      <c r="BA28" s="478">
        <f>SUM(AW28:AZ28)</f>
        <v>538.6</v>
      </c>
      <c r="BB28" s="499">
        <v>132</v>
      </c>
      <c r="BC28" s="475">
        <v>103.4</v>
      </c>
      <c r="BD28" s="475">
        <v>117.79999999999998</v>
      </c>
      <c r="BE28" s="475">
        <v>181.50000000000006</v>
      </c>
      <c r="BF28" s="500">
        <f>SUM(BB28:BE28)</f>
        <v>534.70000000000005</v>
      </c>
      <c r="BG28" s="475">
        <v>125.7</v>
      </c>
      <c r="BH28" s="475">
        <v>147.80000000000001</v>
      </c>
      <c r="BI28" s="475">
        <v>91.100000000000009</v>
      </c>
      <c r="BJ28" s="475">
        <f>513.6-SUM(BG28:BI28)</f>
        <v>149</v>
      </c>
      <c r="BK28" s="500">
        <f>SUM(BG28:BJ28)</f>
        <v>513.6</v>
      </c>
      <c r="BL28" s="475">
        <v>67.900000000000006</v>
      </c>
      <c r="BM28" s="469">
        <f>182.7-BL28</f>
        <v>114.79999999999998</v>
      </c>
      <c r="BN28" s="475">
        <f>232.4-BM28-BL28</f>
        <v>49.700000000000017</v>
      </c>
      <c r="BO28" s="475">
        <f>395.2-BN28-BM28-BL28</f>
        <v>162.80000000000001</v>
      </c>
      <c r="BP28" s="500">
        <f>SUM(BL28:BO28)</f>
        <v>395.20000000000005</v>
      </c>
      <c r="BQ28" s="475">
        <v>53.9</v>
      </c>
      <c r="BR28" s="469">
        <v>118.5</v>
      </c>
      <c r="BS28" s="475">
        <v>43.500000000000007</v>
      </c>
      <c r="BT28" s="475">
        <v>100.8</v>
      </c>
      <c r="BU28" s="823">
        <f>SUM(BQ28:BT28)</f>
        <v>316.7</v>
      </c>
      <c r="BV28" s="475">
        <v>72.599999999999994</v>
      </c>
      <c r="BW28" s="475">
        <v>106.20000000000002</v>
      </c>
      <c r="BX28" s="475">
        <v>105.89999999999998</v>
      </c>
      <c r="BY28" s="475">
        <v>57.900000000000034</v>
      </c>
      <c r="BZ28" s="823">
        <f>SUM(BV28:BY28)</f>
        <v>342.6</v>
      </c>
      <c r="CA28" s="475">
        <v>85.9</v>
      </c>
      <c r="CB28" s="475"/>
      <c r="CC28" s="475"/>
      <c r="CD28" s="475"/>
      <c r="CE28" s="823">
        <f>SUM(CA28:CD28)</f>
        <v>85.9</v>
      </c>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c r="DD28" s="476"/>
      <c r="DE28" s="476"/>
      <c r="DF28" s="476"/>
      <c r="DG28" s="476"/>
      <c r="DH28" s="476"/>
      <c r="DI28" s="476"/>
      <c r="DJ28" s="476"/>
      <c r="DK28" s="476"/>
      <c r="DL28" s="476"/>
      <c r="DM28" s="476"/>
      <c r="DN28" s="476"/>
      <c r="DO28" s="476"/>
      <c r="DP28" s="476"/>
      <c r="DQ28" s="476"/>
      <c r="DR28" s="476"/>
      <c r="DS28" s="476"/>
      <c r="DT28" s="476"/>
      <c r="DU28" s="476"/>
      <c r="DV28" s="476"/>
      <c r="DW28" s="476"/>
      <c r="DX28" s="476"/>
      <c r="DY28" s="476"/>
      <c r="DZ28" s="476"/>
      <c r="EA28" s="476"/>
      <c r="EB28" s="476"/>
      <c r="EC28" s="476"/>
      <c r="ED28" s="476"/>
      <c r="EE28" s="476"/>
      <c r="EF28" s="476"/>
      <c r="EG28" s="476"/>
      <c r="EH28" s="476"/>
      <c r="EI28" s="476"/>
      <c r="EJ28" s="476"/>
      <c r="EK28" s="476"/>
      <c r="EL28" s="476"/>
      <c r="EM28" s="476"/>
      <c r="EN28" s="476"/>
      <c r="EO28" s="476"/>
      <c r="EP28" s="476"/>
      <c r="EQ28" s="476"/>
      <c r="ER28" s="476"/>
      <c r="ES28" s="476"/>
      <c r="ET28" s="476"/>
      <c r="EU28" s="476"/>
      <c r="EV28" s="476"/>
      <c r="EW28" s="476"/>
      <c r="EX28" s="476"/>
      <c r="EY28" s="476"/>
      <c r="EZ28" s="476"/>
      <c r="FA28" s="476"/>
      <c r="FB28" s="476"/>
      <c r="FC28" s="476"/>
      <c r="FD28" s="476"/>
      <c r="FE28" s="476"/>
      <c r="FF28" s="476"/>
      <c r="FG28" s="476"/>
      <c r="FH28" s="476"/>
      <c r="FI28" s="476"/>
      <c r="FJ28" s="476"/>
      <c r="FK28" s="476"/>
      <c r="FL28" s="476"/>
      <c r="FM28" s="476"/>
      <c r="FN28" s="476"/>
      <c r="FO28" s="476"/>
      <c r="FP28" s="476"/>
      <c r="FQ28" s="476"/>
      <c r="FR28" s="476"/>
      <c r="FS28" s="476"/>
      <c r="FT28" s="476"/>
      <c r="FU28" s="476"/>
      <c r="FV28" s="476"/>
      <c r="FW28" s="476"/>
      <c r="FX28" s="476"/>
      <c r="FY28" s="476"/>
      <c r="FZ28" s="476"/>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row>
    <row r="29" spans="1:492" s="477" customFormat="1" ht="20.149999999999999" customHeight="1">
      <c r="A29" s="489" t="s">
        <v>468</v>
      </c>
      <c r="B29" s="510" t="s">
        <v>461</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99"/>
      <c r="AN29" s="475"/>
      <c r="AO29" s="475"/>
      <c r="AP29" s="475"/>
      <c r="AQ29" s="500"/>
      <c r="AR29" s="475"/>
      <c r="AS29" s="475"/>
      <c r="AT29" s="475"/>
      <c r="AU29" s="475"/>
      <c r="AV29" s="470"/>
      <c r="AW29" s="475"/>
      <c r="AX29" s="475"/>
      <c r="AY29" s="475"/>
      <c r="AZ29" s="475"/>
      <c r="BA29" s="478"/>
      <c r="BB29" s="499"/>
      <c r="BC29" s="475"/>
      <c r="BD29" s="475"/>
      <c r="BE29" s="475"/>
      <c r="BF29" s="500"/>
      <c r="BG29" s="475"/>
      <c r="BH29" s="475"/>
      <c r="BI29" s="475"/>
      <c r="BJ29" s="475"/>
      <c r="BK29" s="500"/>
      <c r="BL29" s="475"/>
      <c r="BM29" s="469">
        <v>0.1</v>
      </c>
      <c r="BN29" s="475">
        <f>4.5-BM29-BL29</f>
        <v>4.4000000000000004</v>
      </c>
      <c r="BO29" s="475">
        <f>41.3-BN29-BM29</f>
        <v>36.799999999999997</v>
      </c>
      <c r="BP29" s="500">
        <f t="shared" ref="BP29:BP31" si="40">SUM(BL29:BO29)</f>
        <v>41.3</v>
      </c>
      <c r="BQ29" s="475">
        <v>1.7</v>
      </c>
      <c r="BR29" s="469">
        <v>0.7</v>
      </c>
      <c r="BS29" s="475">
        <v>3.5</v>
      </c>
      <c r="BT29" s="671">
        <v>-1.4</v>
      </c>
      <c r="BU29" s="823">
        <f t="shared" ref="BU29:BU31" si="41">SUM(BQ29:BT29)</f>
        <v>4.5</v>
      </c>
      <c r="BV29" s="475">
        <v>2.4</v>
      </c>
      <c r="BW29" s="671">
        <v>-2.1999999999999997</v>
      </c>
      <c r="BX29" s="475">
        <v>7.1</v>
      </c>
      <c r="BY29" s="475">
        <v>74</v>
      </c>
      <c r="BZ29" s="823">
        <f t="shared" ref="BZ29:BZ31" si="42">SUM(BV29:BY29)</f>
        <v>81.3</v>
      </c>
      <c r="CA29" s="475">
        <v>15.5</v>
      </c>
      <c r="CB29" s="671"/>
      <c r="CC29" s="475"/>
      <c r="CD29" s="475"/>
      <c r="CE29" s="823">
        <f t="shared" ref="CE29:CE31" si="43">SUM(CA29:CD29)</f>
        <v>15.5</v>
      </c>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6"/>
      <c r="EW29" s="476"/>
      <c r="EX29" s="476"/>
      <c r="EY29" s="476"/>
      <c r="EZ29" s="476"/>
      <c r="FA29" s="476"/>
      <c r="FB29" s="476"/>
      <c r="FC29" s="476"/>
      <c r="FD29" s="476"/>
      <c r="FE29" s="476"/>
      <c r="FF29" s="476"/>
      <c r="FG29" s="476"/>
      <c r="FH29" s="476"/>
      <c r="FI29" s="476"/>
      <c r="FJ29" s="476"/>
      <c r="FK29" s="476"/>
      <c r="FL29" s="476"/>
      <c r="FM29" s="476"/>
      <c r="FN29" s="476"/>
      <c r="FO29" s="476"/>
      <c r="FP29" s="476"/>
      <c r="FQ29" s="476"/>
      <c r="FR29" s="476"/>
      <c r="FS29" s="476"/>
      <c r="FT29" s="476"/>
      <c r="FU29" s="476"/>
      <c r="FV29" s="476"/>
      <c r="FW29" s="476"/>
      <c r="FX29" s="476"/>
      <c r="FY29" s="476"/>
      <c r="FZ29" s="476"/>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row>
    <row r="30" spans="1:492" s="477" customFormat="1" ht="20.149999999999999" customHeight="1">
      <c r="A30" s="489" t="s">
        <v>462</v>
      </c>
      <c r="B30" s="510" t="s">
        <v>463</v>
      </c>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99"/>
      <c r="AN30" s="475"/>
      <c r="AO30" s="475"/>
      <c r="AP30" s="475"/>
      <c r="AQ30" s="500"/>
      <c r="AR30" s="475"/>
      <c r="AS30" s="475"/>
      <c r="AT30" s="475"/>
      <c r="AU30" s="475"/>
      <c r="AV30" s="470"/>
      <c r="AW30" s="475"/>
      <c r="AX30" s="475"/>
      <c r="AY30" s="475"/>
      <c r="AZ30" s="475"/>
      <c r="BA30" s="478"/>
      <c r="BB30" s="499"/>
      <c r="BC30" s="475"/>
      <c r="BD30" s="475"/>
      <c r="BE30" s="475"/>
      <c r="BF30" s="500"/>
      <c r="BG30" s="475"/>
      <c r="BH30" s="475"/>
      <c r="BI30" s="475"/>
      <c r="BJ30" s="475"/>
      <c r="BK30" s="500"/>
      <c r="BL30" s="475"/>
      <c r="BM30" s="469"/>
      <c r="BN30" s="475"/>
      <c r="BO30" s="475"/>
      <c r="BP30" s="500"/>
      <c r="BQ30" s="475"/>
      <c r="BR30" s="469"/>
      <c r="BS30" s="475">
        <v>15.7</v>
      </c>
      <c r="BT30" s="671">
        <v>-19.8</v>
      </c>
      <c r="BU30" s="826">
        <f t="shared" si="41"/>
        <v>-4.1000000000000014</v>
      </c>
      <c r="BV30" s="475">
        <v>30.3</v>
      </c>
      <c r="BW30" s="475">
        <v>51.400000000000006</v>
      </c>
      <c r="BX30" s="475">
        <v>60.8</v>
      </c>
      <c r="BY30" s="475">
        <v>49.5</v>
      </c>
      <c r="BZ30" s="823">
        <f t="shared" si="42"/>
        <v>192</v>
      </c>
      <c r="CA30" s="475">
        <v>19.399999999999999</v>
      </c>
      <c r="CB30" s="475"/>
      <c r="CC30" s="475"/>
      <c r="CD30" s="475"/>
      <c r="CE30" s="823">
        <f t="shared" si="43"/>
        <v>19.399999999999999</v>
      </c>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476"/>
      <c r="DR30" s="476"/>
      <c r="DS30" s="476"/>
      <c r="DT30" s="476"/>
      <c r="DU30" s="476"/>
      <c r="DV30" s="476"/>
      <c r="DW30" s="476"/>
      <c r="DX30" s="476"/>
      <c r="DY30" s="476"/>
      <c r="DZ30" s="476"/>
      <c r="EA30" s="476"/>
      <c r="EB30" s="476"/>
      <c r="EC30" s="476"/>
      <c r="ED30" s="476"/>
      <c r="EE30" s="476"/>
      <c r="EF30" s="476"/>
      <c r="EG30" s="476"/>
      <c r="EH30" s="476"/>
      <c r="EI30" s="476"/>
      <c r="EJ30" s="476"/>
      <c r="EK30" s="476"/>
      <c r="EL30" s="476"/>
      <c r="EM30" s="476"/>
      <c r="EN30" s="476"/>
      <c r="EO30" s="476"/>
      <c r="EP30" s="476"/>
      <c r="EQ30" s="476"/>
      <c r="ER30" s="476"/>
      <c r="ES30" s="476"/>
      <c r="ET30" s="476"/>
      <c r="EU30" s="476"/>
      <c r="EV30" s="476"/>
      <c r="EW30" s="476"/>
      <c r="EX30" s="476"/>
      <c r="EY30" s="476"/>
      <c r="EZ30" s="476"/>
      <c r="FA30" s="476"/>
      <c r="FB30" s="476"/>
      <c r="FC30" s="476"/>
      <c r="FD30" s="476"/>
      <c r="FE30" s="476"/>
      <c r="FF30" s="476"/>
      <c r="FG30" s="476"/>
      <c r="FH30" s="476"/>
      <c r="FI30" s="476"/>
      <c r="FJ30" s="476"/>
      <c r="FK30" s="476"/>
      <c r="FL30" s="476"/>
      <c r="FM30" s="476"/>
      <c r="FN30" s="476"/>
      <c r="FO30" s="476"/>
      <c r="FP30" s="476"/>
      <c r="FQ30" s="476"/>
      <c r="FR30" s="476"/>
      <c r="FS30" s="476"/>
      <c r="FT30" s="476"/>
      <c r="FU30" s="476"/>
      <c r="FV30" s="476"/>
      <c r="FW30" s="476"/>
      <c r="FX30" s="476"/>
      <c r="FY30" s="476"/>
      <c r="FZ30" s="476"/>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row>
    <row r="31" spans="1:492" s="477" customFormat="1" ht="20.149999999999999" customHeight="1" thickBot="1">
      <c r="A31" s="489" t="s">
        <v>464</v>
      </c>
      <c r="B31" s="510" t="s">
        <v>465</v>
      </c>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99"/>
      <c r="AN31" s="475"/>
      <c r="AO31" s="475"/>
      <c r="AP31" s="475"/>
      <c r="AQ31" s="500"/>
      <c r="AR31" s="475"/>
      <c r="AS31" s="475"/>
      <c r="AT31" s="475"/>
      <c r="AU31" s="475"/>
      <c r="AV31" s="470"/>
      <c r="AW31" s="475"/>
      <c r="AX31" s="475"/>
      <c r="AY31" s="475"/>
      <c r="AZ31" s="475"/>
      <c r="BA31" s="478"/>
      <c r="BB31" s="499"/>
      <c r="BC31" s="475"/>
      <c r="BD31" s="475"/>
      <c r="BE31" s="475"/>
      <c r="BF31" s="500"/>
      <c r="BG31" s="475"/>
      <c r="BH31" s="475"/>
      <c r="BI31" s="475"/>
      <c r="BJ31" s="475"/>
      <c r="BK31" s="500"/>
      <c r="BL31" s="475"/>
      <c r="BM31" s="671">
        <v>-2.2000000000000002</v>
      </c>
      <c r="BN31" s="671">
        <f>-7.9-BM31-BL31</f>
        <v>-5.7</v>
      </c>
      <c r="BO31" s="475">
        <f>-5.1-BN31-BM31</f>
        <v>2.8000000000000007</v>
      </c>
      <c r="BP31" s="515">
        <f t="shared" si="40"/>
        <v>-5.0999999999999996</v>
      </c>
      <c r="BQ31" s="671">
        <v>-1.5</v>
      </c>
      <c r="BR31" s="671">
        <v>0.8</v>
      </c>
      <c r="BS31" s="671">
        <v>-1.2999999999999998</v>
      </c>
      <c r="BT31" s="671">
        <v>-3.1</v>
      </c>
      <c r="BU31" s="826">
        <f t="shared" si="41"/>
        <v>-5.0999999999999996</v>
      </c>
      <c r="BV31" s="671"/>
      <c r="BW31" s="671"/>
      <c r="BX31" s="671"/>
      <c r="BY31" s="671"/>
      <c r="BZ31" s="826">
        <f t="shared" si="42"/>
        <v>0</v>
      </c>
      <c r="CA31" s="671"/>
      <c r="CB31" s="671"/>
      <c r="CC31" s="671"/>
      <c r="CD31" s="671"/>
      <c r="CE31" s="826">
        <f t="shared" si="43"/>
        <v>0</v>
      </c>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6"/>
      <c r="EW31" s="476"/>
      <c r="EX31" s="476"/>
      <c r="EY31" s="476"/>
      <c r="EZ31" s="476"/>
      <c r="FA31" s="476"/>
      <c r="FB31" s="476"/>
      <c r="FC31" s="476"/>
      <c r="FD31" s="476"/>
      <c r="FE31" s="476"/>
      <c r="FF31" s="476"/>
      <c r="FG31" s="476"/>
      <c r="FH31" s="476"/>
      <c r="FI31" s="476"/>
      <c r="FJ31" s="476"/>
      <c r="FK31" s="476"/>
      <c r="FL31" s="476"/>
      <c r="FM31" s="476"/>
      <c r="FN31" s="476"/>
      <c r="FO31" s="476"/>
      <c r="FP31" s="476"/>
      <c r="FQ31" s="476"/>
      <c r="FR31" s="476"/>
      <c r="FS31" s="476"/>
      <c r="FT31" s="476"/>
      <c r="FU31" s="476"/>
      <c r="FV31" s="476"/>
      <c r="FW31" s="476"/>
      <c r="FX31" s="476"/>
      <c r="FY31" s="476"/>
      <c r="FZ31" s="476"/>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row>
    <row r="32" spans="1:492" s="59" customFormat="1" ht="31.5" thickBot="1">
      <c r="A32" s="490" t="s">
        <v>478</v>
      </c>
      <c r="B32" s="511" t="s">
        <v>479</v>
      </c>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502">
        <f>AM33+AM34</f>
        <v>174.39999999999998</v>
      </c>
      <c r="AN32" s="392">
        <f>AN33+AN34</f>
        <v>176.20000000000005</v>
      </c>
      <c r="AO32" s="392">
        <f>AO33+AO34</f>
        <v>282.79999999999995</v>
      </c>
      <c r="AP32" s="392">
        <f>AP33+AP34</f>
        <v>295</v>
      </c>
      <c r="AQ32" s="503">
        <f t="shared" si="39"/>
        <v>928.4</v>
      </c>
      <c r="AR32" s="392"/>
      <c r="AS32" s="392"/>
      <c r="AT32" s="392"/>
      <c r="AU32" s="392"/>
      <c r="AV32" s="393"/>
      <c r="AW32" s="392">
        <f>AW33+AW34</f>
        <v>359.9</v>
      </c>
      <c r="AX32" s="392">
        <f>AX33+AX34</f>
        <v>276.39999999999998</v>
      </c>
      <c r="AY32" s="392">
        <f>AY33+AY34</f>
        <v>318.29999999999995</v>
      </c>
      <c r="AZ32" s="392">
        <f>AZ33+AZ34</f>
        <v>277</v>
      </c>
      <c r="BA32" s="494">
        <f>SUM(AW32:AZ32)</f>
        <v>1231.5999999999999</v>
      </c>
      <c r="BB32" s="502">
        <f t="shared" ref="BB32:BK32" si="44">BB33+BB34</f>
        <v>307.39999999999998</v>
      </c>
      <c r="BC32" s="392">
        <f t="shared" si="44"/>
        <v>228.30000000000007</v>
      </c>
      <c r="BD32" s="392">
        <f t="shared" si="44"/>
        <v>251.99999999999989</v>
      </c>
      <c r="BE32" s="392">
        <f t="shared" si="44"/>
        <v>430.20000000000016</v>
      </c>
      <c r="BF32" s="503">
        <f t="shared" si="44"/>
        <v>1217.9000000000001</v>
      </c>
      <c r="BG32" s="392">
        <f t="shared" si="44"/>
        <v>335.5</v>
      </c>
      <c r="BH32" s="392">
        <f t="shared" si="44"/>
        <v>334.49999999999994</v>
      </c>
      <c r="BI32" s="392">
        <f t="shared" si="44"/>
        <v>231.8</v>
      </c>
      <c r="BJ32" s="392">
        <f>BJ33+BJ34</f>
        <v>256.99999999999994</v>
      </c>
      <c r="BK32" s="503">
        <f t="shared" si="44"/>
        <v>1158.8</v>
      </c>
      <c r="BL32" s="392">
        <f>BL33+BL34+BL35</f>
        <v>324.89999999999998</v>
      </c>
      <c r="BM32" s="672">
        <f t="shared" ref="BM32:BP32" si="45">BM33+BM34+BM35</f>
        <v>262</v>
      </c>
      <c r="BN32" s="392">
        <f t="shared" si="45"/>
        <v>225.30000000000004</v>
      </c>
      <c r="BO32" s="392">
        <f t="shared" si="45"/>
        <v>302.20000000000016</v>
      </c>
      <c r="BP32" s="503">
        <f t="shared" si="45"/>
        <v>1114.4000000000003</v>
      </c>
      <c r="BQ32" s="392">
        <f>BQ33+BQ34+BQ35+BQ36</f>
        <v>295.20000000000005</v>
      </c>
      <c r="BR32" s="392">
        <f t="shared" ref="BR32:BT32" si="46">BR33+BR34+BR35+BR36</f>
        <v>215.79999999999998</v>
      </c>
      <c r="BS32" s="392">
        <f t="shared" si="46"/>
        <v>493.50000000000011</v>
      </c>
      <c r="BT32" s="392">
        <f t="shared" si="46"/>
        <v>597.4</v>
      </c>
      <c r="BU32" s="825">
        <f>BU33+BU34+BU35+BU36</f>
        <v>1601.9</v>
      </c>
      <c r="BV32" s="392">
        <f>BV33+BV34+BV35+BV36</f>
        <v>335.6</v>
      </c>
      <c r="BW32" s="392">
        <f t="shared" ref="BW32:BY32" si="47">BW33+BW34+BW35+BW36</f>
        <v>358.1</v>
      </c>
      <c r="BX32" s="392">
        <f t="shared" si="47"/>
        <v>480.49999999999989</v>
      </c>
      <c r="BY32" s="392">
        <f t="shared" si="47"/>
        <v>610</v>
      </c>
      <c r="BZ32" s="825">
        <f>BZ33+BZ34+BZ35+BZ36</f>
        <v>1784.2</v>
      </c>
      <c r="CA32" s="392">
        <f>CA33+CA34+CA35+CA36</f>
        <v>489.6</v>
      </c>
      <c r="CB32" s="392"/>
      <c r="CC32" s="392"/>
      <c r="CD32" s="392"/>
      <c r="CE32" s="825">
        <f>CE33+CE34+CE35+CE36</f>
        <v>489.6</v>
      </c>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row>
    <row r="33" spans="1:492" s="471" customFormat="1" ht="20.149999999999999" customHeight="1">
      <c r="A33" s="491" t="s">
        <v>456</v>
      </c>
      <c r="B33" s="512" t="s">
        <v>480</v>
      </c>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504">
        <v>164.99999999999997</v>
      </c>
      <c r="AN33" s="469">
        <v>165.60000000000005</v>
      </c>
      <c r="AO33" s="469">
        <v>259.39999999999998</v>
      </c>
      <c r="AP33" s="469">
        <v>285.7</v>
      </c>
      <c r="AQ33" s="500">
        <f t="shared" si="39"/>
        <v>875.7</v>
      </c>
      <c r="AR33" s="469"/>
      <c r="AS33" s="469"/>
      <c r="AT33" s="469"/>
      <c r="AU33" s="469"/>
      <c r="AV33" s="470"/>
      <c r="AW33" s="469">
        <v>350.9</v>
      </c>
      <c r="AX33" s="469">
        <v>266</v>
      </c>
      <c r="AY33" s="469">
        <v>312.59999999999997</v>
      </c>
      <c r="AZ33" s="469">
        <v>258.39999999999998</v>
      </c>
      <c r="BA33" s="478">
        <f t="shared" ref="BA33" si="48">SUM(AW33:AZ33)</f>
        <v>1187.9000000000001</v>
      </c>
      <c r="BB33" s="504">
        <v>283.7</v>
      </c>
      <c r="BC33" s="469">
        <v>214.10000000000008</v>
      </c>
      <c r="BD33" s="469">
        <v>232.09999999999988</v>
      </c>
      <c r="BE33" s="469">
        <v>382.50000000000017</v>
      </c>
      <c r="BF33" s="500">
        <f>SUM(BB33:BE33)</f>
        <v>1112.4000000000001</v>
      </c>
      <c r="BG33" s="469">
        <v>295.3</v>
      </c>
      <c r="BH33" s="485">
        <v>315.59999999999997</v>
      </c>
      <c r="BI33" s="485">
        <v>205.10000000000002</v>
      </c>
      <c r="BJ33" s="469">
        <f>1049.3-SUM(BG33:BI33)</f>
        <v>233.29999999999995</v>
      </c>
      <c r="BK33" s="500">
        <f>SUM(BG33:BJ33)</f>
        <v>1049.3</v>
      </c>
      <c r="BL33" s="469">
        <v>257.89999999999998</v>
      </c>
      <c r="BM33" s="485">
        <f>497.2-BL33</f>
        <v>239.3</v>
      </c>
      <c r="BN33" s="485">
        <f>692.2-BM33-BL33</f>
        <v>195.00000000000006</v>
      </c>
      <c r="BO33" s="469">
        <f>964.2-BN33-BM33-BL33</f>
        <v>272.00000000000011</v>
      </c>
      <c r="BP33" s="500">
        <f>SUM(BL33:BO33)</f>
        <v>964.20000000000016</v>
      </c>
      <c r="BQ33" s="469">
        <v>269.60000000000002</v>
      </c>
      <c r="BR33" s="485">
        <f>467.5-BQ33</f>
        <v>197.89999999999998</v>
      </c>
      <c r="BS33" s="475">
        <f>619.2-BR33-BQ33</f>
        <v>151.70000000000005</v>
      </c>
      <c r="BT33" s="469">
        <v>173.5</v>
      </c>
      <c r="BU33" s="823">
        <f>SUM(BQ33:BT33)</f>
        <v>792.7</v>
      </c>
      <c r="BV33" s="469">
        <v>217.2</v>
      </c>
      <c r="BW33" s="485">
        <v>175.3</v>
      </c>
      <c r="BX33" s="475">
        <v>180.89999999999998</v>
      </c>
      <c r="BY33" s="469">
        <v>182.5</v>
      </c>
      <c r="BZ33" s="823">
        <f>SUM(BV33:BY33)</f>
        <v>755.9</v>
      </c>
      <c r="CA33" s="469">
        <v>310.3</v>
      </c>
      <c r="CB33" s="485"/>
      <c r="CC33" s="475"/>
      <c r="CD33" s="469"/>
      <c r="CE33" s="823">
        <f>SUM(CA33:CD33)</f>
        <v>310.3</v>
      </c>
      <c r="CG33" s="946"/>
    </row>
    <row r="34" spans="1:492" s="471" customFormat="1" ht="20.149999999999999" customHeight="1">
      <c r="A34" s="491" t="s">
        <v>458</v>
      </c>
      <c r="B34" s="512" t="s">
        <v>459</v>
      </c>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505">
        <v>9.4</v>
      </c>
      <c r="AN34" s="473">
        <v>10.6</v>
      </c>
      <c r="AO34" s="473">
        <v>23.4</v>
      </c>
      <c r="AP34" s="473">
        <v>9.3000000000000043</v>
      </c>
      <c r="AQ34" s="500">
        <f t="shared" si="39"/>
        <v>52.7</v>
      </c>
      <c r="AR34" s="473"/>
      <c r="AS34" s="473"/>
      <c r="AT34" s="473"/>
      <c r="AU34" s="473"/>
      <c r="AV34" s="470"/>
      <c r="AW34" s="473">
        <v>9</v>
      </c>
      <c r="AX34" s="473">
        <v>10.399999999999999</v>
      </c>
      <c r="AY34" s="473">
        <v>5.7000000000000028</v>
      </c>
      <c r="AZ34" s="473">
        <v>18.600000000000001</v>
      </c>
      <c r="BA34" s="478">
        <f>SUM(AW34:AZ34)</f>
        <v>43.7</v>
      </c>
      <c r="BB34" s="505">
        <v>23.7</v>
      </c>
      <c r="BC34" s="473">
        <v>14.2</v>
      </c>
      <c r="BD34" s="473">
        <v>19.899999999999999</v>
      </c>
      <c r="BE34" s="473">
        <v>47.7</v>
      </c>
      <c r="BF34" s="500">
        <f>SUM(BB34:BE34)</f>
        <v>105.5</v>
      </c>
      <c r="BG34" s="473">
        <v>40.200000000000003</v>
      </c>
      <c r="BH34" s="486">
        <v>18.899999999999999</v>
      </c>
      <c r="BI34" s="486">
        <v>26.700000000000003</v>
      </c>
      <c r="BJ34" s="473">
        <f>109.5-SUM(BG34:BI34)</f>
        <v>23.699999999999989</v>
      </c>
      <c r="BK34" s="500">
        <f>SUM(BG34:BJ34)</f>
        <v>109.5</v>
      </c>
      <c r="BL34" s="473">
        <v>67</v>
      </c>
      <c r="BM34" s="486">
        <f>81.7-BL34</f>
        <v>14.700000000000003</v>
      </c>
      <c r="BN34" s="486">
        <f>97.9-BM34-BL34</f>
        <v>16.200000000000003</v>
      </c>
      <c r="BO34" s="473">
        <f>117-BN34-BM34-BL34</f>
        <v>19.099999999999994</v>
      </c>
      <c r="BP34" s="500">
        <f>SUM(BL34:BO34)</f>
        <v>117</v>
      </c>
      <c r="BQ34" s="473">
        <v>22.3</v>
      </c>
      <c r="BR34" s="486">
        <f>31.3-BQ34</f>
        <v>9</v>
      </c>
      <c r="BS34" s="475">
        <v>31.3</v>
      </c>
      <c r="BT34" s="469">
        <v>11.399999999999999</v>
      </c>
      <c r="BU34" s="823">
        <f>SUM(BQ34:BT34)</f>
        <v>74</v>
      </c>
      <c r="BV34" s="473">
        <v>26.3</v>
      </c>
      <c r="BW34" s="486">
        <v>13.599999999999998</v>
      </c>
      <c r="BX34" s="475">
        <v>18.399999999999999</v>
      </c>
      <c r="BY34" s="469">
        <v>19.7</v>
      </c>
      <c r="BZ34" s="823">
        <f>SUM(BV34:BY34)</f>
        <v>78</v>
      </c>
      <c r="CA34" s="473">
        <v>13.3</v>
      </c>
      <c r="CB34" s="486"/>
      <c r="CC34" s="475"/>
      <c r="CD34" s="469"/>
      <c r="CE34" s="823">
        <f>SUM(CA34:CD34)</f>
        <v>13.3</v>
      </c>
      <c r="CG34" s="947"/>
    </row>
    <row r="35" spans="1:492" s="471" customFormat="1" ht="20.149999999999999" customHeight="1">
      <c r="A35" s="491" t="s">
        <v>468</v>
      </c>
      <c r="B35" s="512" t="s">
        <v>461</v>
      </c>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2"/>
      <c r="AD35" s="472"/>
      <c r="AE35" s="472"/>
      <c r="AF35" s="472"/>
      <c r="AG35" s="472"/>
      <c r="AH35" s="472"/>
      <c r="AI35" s="472"/>
      <c r="AJ35" s="472"/>
      <c r="AK35" s="472"/>
      <c r="AL35" s="472"/>
      <c r="AM35" s="505"/>
      <c r="AN35" s="473"/>
      <c r="AO35" s="473"/>
      <c r="AP35" s="473"/>
      <c r="AQ35" s="500"/>
      <c r="AR35" s="473"/>
      <c r="AS35" s="473"/>
      <c r="AT35" s="473"/>
      <c r="AU35" s="473"/>
      <c r="AV35" s="470"/>
      <c r="AW35" s="473"/>
      <c r="AX35" s="473"/>
      <c r="AY35" s="473"/>
      <c r="AZ35" s="473"/>
      <c r="BA35" s="478"/>
      <c r="BB35" s="505"/>
      <c r="BC35" s="473"/>
      <c r="BD35" s="473"/>
      <c r="BE35" s="473"/>
      <c r="BF35" s="500"/>
      <c r="BG35" s="473"/>
      <c r="BH35" s="486"/>
      <c r="BI35" s="486"/>
      <c r="BJ35" s="473"/>
      <c r="BK35" s="500"/>
      <c r="BL35" s="473"/>
      <c r="BM35" s="486">
        <v>8</v>
      </c>
      <c r="BN35" s="486">
        <f>22.1-BM35-BL35</f>
        <v>14.100000000000001</v>
      </c>
      <c r="BO35" s="473">
        <f>33.2-BN35-BM35</f>
        <v>11.100000000000001</v>
      </c>
      <c r="BP35" s="500">
        <f>SUM(BL35:BO35)</f>
        <v>33.200000000000003</v>
      </c>
      <c r="BQ35" s="473">
        <v>3.3</v>
      </c>
      <c r="BR35" s="486">
        <f>12.2-BQ35</f>
        <v>8.8999999999999986</v>
      </c>
      <c r="BS35" s="475">
        <v>8.9000000000000021</v>
      </c>
      <c r="BT35" s="469">
        <v>3.5</v>
      </c>
      <c r="BU35" s="823">
        <f>SUM(BQ35:BT35)</f>
        <v>24.6</v>
      </c>
      <c r="BV35" s="473">
        <v>5.0999999999999996</v>
      </c>
      <c r="BW35" s="486">
        <v>1.4000000000000004</v>
      </c>
      <c r="BX35" s="475">
        <v>4.1999999999999993</v>
      </c>
      <c r="BY35" s="469">
        <v>14</v>
      </c>
      <c r="BZ35" s="823">
        <f>SUM(BV35:BY35)</f>
        <v>24.7</v>
      </c>
      <c r="CA35" s="473">
        <v>9.1999999999999993</v>
      </c>
      <c r="CB35" s="486"/>
      <c r="CC35" s="475"/>
      <c r="CD35" s="469"/>
      <c r="CE35" s="823">
        <f>SUM(CA35:CD35)</f>
        <v>9.1999999999999993</v>
      </c>
    </row>
    <row r="36" spans="1:492" s="471" customFormat="1" ht="20.149999999999999" customHeight="1" thickBot="1">
      <c r="A36" s="489" t="s">
        <v>462</v>
      </c>
      <c r="B36" s="512" t="s">
        <v>463</v>
      </c>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505"/>
      <c r="AN36" s="473"/>
      <c r="AO36" s="473"/>
      <c r="AP36" s="473"/>
      <c r="AQ36" s="500"/>
      <c r="AR36" s="473"/>
      <c r="AS36" s="473"/>
      <c r="AT36" s="473"/>
      <c r="AU36" s="473"/>
      <c r="AV36" s="470"/>
      <c r="AW36" s="473"/>
      <c r="AX36" s="473"/>
      <c r="AY36" s="473"/>
      <c r="AZ36" s="473"/>
      <c r="BA36" s="478"/>
      <c r="BB36" s="505"/>
      <c r="BC36" s="473"/>
      <c r="BD36" s="473"/>
      <c r="BE36" s="473"/>
      <c r="BF36" s="500"/>
      <c r="BG36" s="473"/>
      <c r="BH36" s="486"/>
      <c r="BI36" s="486"/>
      <c r="BJ36" s="473"/>
      <c r="BK36" s="500"/>
      <c r="BL36" s="473"/>
      <c r="BM36" s="486"/>
      <c r="BN36" s="486"/>
      <c r="BO36" s="473"/>
      <c r="BP36" s="500"/>
      <c r="BQ36" s="473"/>
      <c r="BR36" s="486"/>
      <c r="BS36" s="475">
        <v>301.60000000000002</v>
      </c>
      <c r="BT36" s="469">
        <v>409</v>
      </c>
      <c r="BU36" s="823">
        <f>SUM(BQ36:BT36)</f>
        <v>710.6</v>
      </c>
      <c r="BV36" s="473">
        <v>87</v>
      </c>
      <c r="BW36" s="486">
        <v>167.8</v>
      </c>
      <c r="BX36" s="475">
        <v>276.99999999999994</v>
      </c>
      <c r="BY36" s="469">
        <v>393.80000000000007</v>
      </c>
      <c r="BZ36" s="823">
        <f>SUM(BV36:BY36)</f>
        <v>925.6</v>
      </c>
      <c r="CA36" s="473">
        <v>156.80000000000001</v>
      </c>
      <c r="CB36" s="486"/>
      <c r="CC36" s="475"/>
      <c r="CD36" s="469"/>
      <c r="CE36" s="823">
        <f>SUM(CA36:CD36)</f>
        <v>156.80000000000001</v>
      </c>
    </row>
    <row r="37" spans="1:492" s="59" customFormat="1" ht="29.5" thickBot="1">
      <c r="A37" s="492" t="s">
        <v>481</v>
      </c>
      <c r="B37" s="513" t="s">
        <v>482</v>
      </c>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506">
        <f t="shared" ref="AM37:BL37" si="49">AM32/AM5</f>
        <v>7.4342469840999181E-2</v>
      </c>
      <c r="AN37" s="398">
        <f t="shared" si="49"/>
        <v>6.7685925015365744E-2</v>
      </c>
      <c r="AO37" s="398">
        <f t="shared" si="49"/>
        <v>0.10340036563071296</v>
      </c>
      <c r="AP37" s="398">
        <f t="shared" si="49"/>
        <v>9.826782145236504E-2</v>
      </c>
      <c r="AQ37" s="507">
        <f t="shared" si="49"/>
        <v>8.6879216926661729E-2</v>
      </c>
      <c r="AR37" s="398" t="e">
        <f t="shared" si="49"/>
        <v>#DIV/0!</v>
      </c>
      <c r="AS37" s="398" t="e">
        <f t="shared" si="49"/>
        <v>#DIV/0!</v>
      </c>
      <c r="AT37" s="398" t="e">
        <f t="shared" si="49"/>
        <v>#DIV/0!</v>
      </c>
      <c r="AU37" s="398" t="e">
        <f t="shared" si="49"/>
        <v>#DIV/0!</v>
      </c>
      <c r="AV37" s="399" t="e">
        <f t="shared" si="49"/>
        <v>#DIV/0!</v>
      </c>
      <c r="AW37" s="398">
        <f t="shared" si="49"/>
        <v>0.12892248173090701</v>
      </c>
      <c r="AX37" s="398">
        <f t="shared" si="49"/>
        <v>9.4560383167978102E-2</v>
      </c>
      <c r="AY37" s="398">
        <f t="shared" si="49"/>
        <v>0.11004701977596458</v>
      </c>
      <c r="AZ37" s="398">
        <f t="shared" si="49"/>
        <v>9.0254471995047422E-2</v>
      </c>
      <c r="BA37" s="495">
        <f t="shared" si="49"/>
        <v>0.10548042582711693</v>
      </c>
      <c r="BB37" s="506">
        <f t="shared" si="49"/>
        <v>0.10791644725294014</v>
      </c>
      <c r="BC37" s="398">
        <f t="shared" si="49"/>
        <v>7.974988647081431E-2</v>
      </c>
      <c r="BD37" s="398">
        <f t="shared" si="49"/>
        <v>8.3902114200099839E-2</v>
      </c>
      <c r="BE37" s="398">
        <f t="shared" si="49"/>
        <v>0.13244258358475466</v>
      </c>
      <c r="BF37" s="507">
        <f t="shared" si="49"/>
        <v>0.10180641817619475</v>
      </c>
      <c r="BG37" s="398">
        <f t="shared" si="49"/>
        <v>0.11230501439378725</v>
      </c>
      <c r="BH37" s="398">
        <f t="shared" si="49"/>
        <v>0.10586448080513972</v>
      </c>
      <c r="BI37" s="398">
        <f t="shared" si="49"/>
        <v>7.6453708895412115E-2</v>
      </c>
      <c r="BJ37" s="398">
        <f t="shared" si="49"/>
        <v>7.8713629402756474E-2</v>
      </c>
      <c r="BK37" s="516">
        <f t="shared" si="49"/>
        <v>9.312118289938924E-2</v>
      </c>
      <c r="BL37" s="398">
        <f t="shared" si="49"/>
        <v>0.10878226805504401</v>
      </c>
      <c r="BM37" s="398">
        <f t="shared" ref="BM37:BU37" si="50">BM32/BM5</f>
        <v>8.1162293609243819E-2</v>
      </c>
      <c r="BN37" s="398">
        <f t="shared" si="50"/>
        <v>6.888012473631111E-2</v>
      </c>
      <c r="BO37" s="398">
        <f t="shared" si="50"/>
        <v>8.8115232097037602E-2</v>
      </c>
      <c r="BP37" s="516">
        <f t="shared" si="50"/>
        <v>8.628525856929381E-2</v>
      </c>
      <c r="BQ37" s="398">
        <f t="shared" si="50"/>
        <v>9.227018410277249E-2</v>
      </c>
      <c r="BR37" s="398">
        <f t="shared" si="50"/>
        <v>6.5596692808073426E-2</v>
      </c>
      <c r="BS37" s="398">
        <f t="shared" si="50"/>
        <v>0.14280753537633478</v>
      </c>
      <c r="BT37" s="398">
        <f t="shared" si="50"/>
        <v>0.16227081352709491</v>
      </c>
      <c r="BU37" s="827">
        <f t="shared" si="50"/>
        <v>0.11755942552270242</v>
      </c>
      <c r="BV37" s="398">
        <f t="shared" ref="BV37:BZ37" si="51">BV32/BV5</f>
        <v>9.8560939794419974E-2</v>
      </c>
      <c r="BW37" s="398">
        <f t="shared" si="51"/>
        <v>0.10366789219234</v>
      </c>
      <c r="BX37" s="398">
        <f t="shared" si="51"/>
        <v>0.13423662522698698</v>
      </c>
      <c r="BY37" s="398">
        <f t="shared" si="51"/>
        <v>0.1593896161584489</v>
      </c>
      <c r="BZ37" s="827">
        <f t="shared" si="51"/>
        <v>0.12506746857891896</v>
      </c>
      <c r="CA37" s="398">
        <f t="shared" ref="CA37" si="52">CA32/CA5</f>
        <v>0.13868902611750042</v>
      </c>
      <c r="CB37" s="398"/>
      <c r="CC37" s="398"/>
      <c r="CD37" s="398"/>
      <c r="CE37" s="827">
        <f t="shared" ref="CE37" si="53">CE32/CE5</f>
        <v>0.13868902611750042</v>
      </c>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row>
    <row r="38" spans="1:492" s="143" customFormat="1" ht="30" customHeight="1">
      <c r="A38" s="78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784"/>
      <c r="AN38" s="784"/>
      <c r="AO38" s="784"/>
      <c r="AP38" s="784"/>
      <c r="AQ38" s="784"/>
      <c r="AR38" s="785"/>
      <c r="AS38" s="785"/>
      <c r="AT38" s="785"/>
      <c r="AU38" s="785"/>
      <c r="AV38" s="785"/>
      <c r="AW38" s="784"/>
      <c r="AX38" s="784"/>
      <c r="AY38" s="784"/>
      <c r="AZ38" s="784"/>
      <c r="BA38" s="146"/>
      <c r="BB38" s="146"/>
      <c r="BC38" s="146"/>
      <c r="BD38" s="146"/>
      <c r="BE38" s="146"/>
      <c r="BF38" s="146"/>
      <c r="BG38" s="146"/>
      <c r="BH38" s="146"/>
      <c r="BI38" s="146"/>
      <c r="BJ38" s="146"/>
      <c r="BK38" s="146"/>
      <c r="BL38" s="146"/>
      <c r="BM38" s="739"/>
      <c r="BN38" s="146"/>
      <c r="BO38" s="146"/>
      <c r="BP38" s="146"/>
      <c r="BQ38" s="146"/>
      <c r="BR38" s="739"/>
      <c r="BS38" s="146"/>
      <c r="BT38" s="146"/>
      <c r="BU38" s="146"/>
      <c r="BV38" s="146"/>
      <c r="BW38" s="739"/>
      <c r="BX38" s="146"/>
      <c r="BY38" s="146"/>
      <c r="BZ38" s="146"/>
      <c r="CA38" s="782"/>
      <c r="CB38" s="898"/>
      <c r="CC38" s="899"/>
      <c r="CD38" s="782"/>
      <c r="CE38" s="782"/>
      <c r="CF38" s="782"/>
      <c r="CG38" s="782"/>
      <c r="CH38" s="782"/>
      <c r="CI38" s="782"/>
      <c r="CJ38" s="782"/>
      <c r="CK38" s="782"/>
      <c r="CL38" s="782"/>
      <c r="CM38" s="782"/>
      <c r="CN38" s="782"/>
      <c r="CO38" s="782"/>
      <c r="CP38" s="782"/>
      <c r="CQ38" s="782"/>
      <c r="CR38" s="782"/>
      <c r="CS38" s="782"/>
      <c r="CT38" s="782"/>
      <c r="CU38" s="782"/>
      <c r="CV38" s="782"/>
      <c r="CW38" s="782"/>
      <c r="CX38" s="782"/>
      <c r="CY38" s="782"/>
      <c r="CZ38" s="782"/>
      <c r="DA38" s="782"/>
      <c r="DB38" s="782"/>
      <c r="DC38" s="782"/>
      <c r="DD38" s="782"/>
      <c r="DE38" s="782"/>
      <c r="DF38" s="782"/>
      <c r="DG38" s="782"/>
      <c r="DH38" s="782"/>
      <c r="DI38" s="782"/>
      <c r="DJ38" s="782"/>
      <c r="DK38" s="782"/>
      <c r="DL38" s="782"/>
      <c r="DM38" s="782"/>
      <c r="DN38" s="782"/>
      <c r="DO38" s="782"/>
      <c r="DP38" s="782"/>
      <c r="DQ38" s="782"/>
      <c r="DR38" s="782"/>
      <c r="DS38" s="782"/>
      <c r="DT38" s="782"/>
      <c r="DU38" s="782"/>
      <c r="DV38" s="782"/>
      <c r="DW38" s="782"/>
      <c r="DX38" s="782"/>
      <c r="DY38" s="782"/>
      <c r="DZ38" s="782"/>
      <c r="EA38" s="782"/>
      <c r="EB38" s="782"/>
      <c r="EC38" s="782"/>
      <c r="ED38" s="782"/>
      <c r="EE38" s="782"/>
      <c r="EF38" s="782"/>
      <c r="EG38" s="782"/>
      <c r="EH38" s="782"/>
      <c r="EI38" s="782"/>
      <c r="EJ38" s="782"/>
      <c r="EK38" s="782"/>
      <c r="EL38" s="782"/>
      <c r="EM38" s="782"/>
      <c r="EN38" s="782"/>
      <c r="EO38" s="782"/>
      <c r="EP38" s="782"/>
      <c r="EQ38" s="782"/>
      <c r="ER38" s="782"/>
      <c r="ES38" s="782"/>
      <c r="ET38" s="782"/>
      <c r="EU38" s="782"/>
      <c r="EV38" s="782"/>
      <c r="EW38" s="782"/>
      <c r="EX38" s="782"/>
      <c r="EY38" s="782"/>
      <c r="EZ38" s="782"/>
      <c r="FA38" s="782"/>
      <c r="FB38" s="782"/>
      <c r="FC38" s="782"/>
      <c r="FD38" s="782"/>
      <c r="FE38" s="782"/>
      <c r="FF38" s="782"/>
      <c r="FG38" s="782"/>
      <c r="FH38" s="782"/>
      <c r="FI38" s="782"/>
      <c r="FJ38" s="782"/>
      <c r="FK38" s="782"/>
      <c r="FL38" s="782"/>
      <c r="FM38" s="782"/>
      <c r="FN38" s="782"/>
      <c r="FO38" s="782"/>
      <c r="FP38" s="782"/>
      <c r="FQ38" s="782"/>
      <c r="FR38" s="782"/>
      <c r="FS38" s="782"/>
      <c r="FT38" s="782"/>
      <c r="FU38" s="782"/>
      <c r="FV38" s="782"/>
      <c r="FW38" s="782"/>
      <c r="FX38" s="782"/>
      <c r="FY38" s="782"/>
      <c r="FZ38" s="782"/>
      <c r="GA38" s="782"/>
      <c r="GB38" s="782"/>
      <c r="GC38" s="782"/>
      <c r="GD38" s="782"/>
      <c r="GE38" s="782"/>
      <c r="GF38" s="782"/>
      <c r="GG38" s="782"/>
      <c r="GH38" s="782"/>
      <c r="GI38" s="782"/>
      <c r="GJ38" s="782"/>
      <c r="GK38" s="782"/>
      <c r="GL38" s="782"/>
      <c r="GM38" s="782"/>
      <c r="GN38" s="782"/>
      <c r="GO38" s="782"/>
      <c r="GP38" s="782"/>
      <c r="GQ38" s="782"/>
      <c r="GR38" s="782"/>
      <c r="GS38" s="782"/>
      <c r="GT38" s="782"/>
      <c r="GU38" s="782"/>
      <c r="GV38" s="782"/>
      <c r="GW38" s="782"/>
      <c r="GX38" s="782"/>
      <c r="GY38" s="782"/>
      <c r="GZ38" s="782"/>
      <c r="HA38" s="782"/>
      <c r="HB38" s="782"/>
      <c r="HC38" s="782"/>
      <c r="HD38" s="782"/>
      <c r="HE38" s="782"/>
      <c r="HF38" s="782"/>
      <c r="HG38" s="782"/>
      <c r="HH38" s="782"/>
      <c r="HI38" s="782"/>
      <c r="HJ38" s="782"/>
      <c r="HK38" s="782"/>
      <c r="HL38" s="782"/>
      <c r="HM38" s="782"/>
      <c r="HN38" s="782"/>
      <c r="HO38" s="782"/>
      <c r="HP38" s="782"/>
      <c r="HQ38" s="782"/>
      <c r="HR38" s="782"/>
      <c r="HS38" s="782"/>
      <c r="HT38" s="782"/>
      <c r="HU38" s="782"/>
      <c r="HV38" s="782"/>
      <c r="HW38" s="782"/>
      <c r="HX38" s="782"/>
      <c r="HY38" s="782"/>
      <c r="HZ38" s="782"/>
      <c r="IA38" s="782"/>
      <c r="IB38" s="782"/>
      <c r="IC38" s="782"/>
      <c r="ID38" s="782"/>
      <c r="IE38" s="782"/>
      <c r="IF38" s="782"/>
      <c r="IG38" s="782"/>
      <c r="IH38" s="782"/>
      <c r="II38" s="782"/>
      <c r="IJ38" s="782"/>
      <c r="IK38" s="782"/>
      <c r="IL38" s="782"/>
      <c r="IM38" s="782"/>
      <c r="IN38" s="782"/>
      <c r="IO38" s="782"/>
      <c r="IP38" s="782"/>
      <c r="IQ38" s="782"/>
      <c r="IR38" s="782"/>
      <c r="IS38" s="782"/>
      <c r="IT38" s="782"/>
      <c r="IU38" s="782"/>
      <c r="IV38" s="782"/>
      <c r="IW38" s="782"/>
      <c r="IX38" s="782"/>
      <c r="IY38" s="782"/>
      <c r="IZ38" s="782"/>
      <c r="JA38" s="782"/>
      <c r="JB38" s="782"/>
      <c r="JC38" s="782"/>
      <c r="JD38" s="782"/>
      <c r="JE38" s="782"/>
      <c r="JF38" s="782"/>
      <c r="JG38" s="782"/>
      <c r="JH38" s="782"/>
      <c r="JI38" s="782"/>
      <c r="JJ38" s="782"/>
      <c r="JK38" s="782"/>
      <c r="JL38" s="782"/>
      <c r="JM38" s="782"/>
      <c r="JN38" s="782"/>
      <c r="JO38" s="782"/>
      <c r="JP38" s="782"/>
      <c r="JQ38" s="782"/>
      <c r="JR38" s="782"/>
      <c r="JS38" s="782"/>
      <c r="JT38" s="782"/>
      <c r="JU38" s="782"/>
      <c r="JV38" s="782"/>
      <c r="JW38" s="782"/>
      <c r="JX38" s="782"/>
      <c r="JY38" s="782"/>
      <c r="JZ38" s="782"/>
      <c r="KA38" s="782"/>
      <c r="KB38" s="782"/>
      <c r="KC38" s="782"/>
      <c r="KD38" s="782"/>
      <c r="KE38" s="782"/>
      <c r="KF38" s="782"/>
      <c r="KG38" s="782"/>
      <c r="KH38" s="782"/>
      <c r="KI38" s="782"/>
      <c r="KJ38" s="782"/>
      <c r="KK38" s="782"/>
      <c r="KL38" s="782"/>
      <c r="KM38" s="782"/>
      <c r="KN38" s="782"/>
      <c r="KO38" s="782"/>
      <c r="KP38" s="782"/>
      <c r="KQ38" s="782"/>
      <c r="KR38" s="782"/>
      <c r="KS38" s="782"/>
      <c r="KT38" s="782"/>
      <c r="KU38" s="782"/>
      <c r="KV38" s="782"/>
      <c r="KW38" s="782"/>
      <c r="KX38" s="782"/>
      <c r="KY38" s="782"/>
      <c r="KZ38" s="782"/>
      <c r="LA38" s="782"/>
      <c r="LB38" s="782"/>
      <c r="LC38" s="782"/>
      <c r="LD38" s="782"/>
      <c r="LE38" s="782"/>
      <c r="LF38" s="782"/>
      <c r="LG38" s="782"/>
      <c r="LH38" s="782"/>
      <c r="LI38" s="782"/>
      <c r="LJ38" s="782"/>
      <c r="LK38" s="782"/>
      <c r="LL38" s="782"/>
      <c r="LM38" s="782"/>
      <c r="LN38" s="782"/>
      <c r="LO38" s="782"/>
      <c r="LP38" s="782"/>
      <c r="LQ38" s="782"/>
      <c r="LR38" s="782"/>
      <c r="LS38" s="782"/>
      <c r="LT38" s="782"/>
      <c r="LU38" s="782"/>
      <c r="LV38" s="782"/>
      <c r="LW38" s="782"/>
      <c r="LX38" s="782"/>
      <c r="LY38" s="782"/>
      <c r="LZ38" s="782"/>
      <c r="MA38" s="782"/>
      <c r="MB38" s="782"/>
      <c r="MC38" s="782"/>
      <c r="MD38" s="782"/>
      <c r="ME38" s="782"/>
      <c r="MF38" s="782"/>
      <c r="MG38" s="782"/>
      <c r="MH38" s="782"/>
      <c r="MI38" s="782"/>
      <c r="MJ38" s="782"/>
      <c r="MK38" s="782"/>
      <c r="ML38" s="782"/>
      <c r="MM38" s="782"/>
      <c r="MN38" s="782"/>
      <c r="MO38" s="782"/>
      <c r="MP38" s="782"/>
      <c r="MQ38" s="782"/>
      <c r="MR38" s="782"/>
      <c r="MS38" s="782"/>
      <c r="MT38" s="782"/>
      <c r="MU38" s="782"/>
      <c r="MV38" s="782"/>
      <c r="MW38" s="782"/>
      <c r="MX38" s="782"/>
      <c r="MY38" s="782"/>
      <c r="MZ38" s="782"/>
      <c r="NA38" s="782"/>
      <c r="NB38" s="782"/>
      <c r="NC38" s="782"/>
      <c r="ND38" s="782"/>
      <c r="NE38" s="782"/>
      <c r="NF38" s="782"/>
      <c r="NG38" s="782"/>
      <c r="NH38" s="782"/>
      <c r="NI38" s="782"/>
      <c r="NJ38" s="782"/>
      <c r="NK38" s="782"/>
      <c r="NL38" s="782"/>
      <c r="NM38" s="782"/>
      <c r="NN38" s="782"/>
      <c r="NO38" s="782"/>
      <c r="NP38" s="782"/>
      <c r="NQ38" s="782"/>
      <c r="NR38" s="782"/>
      <c r="NS38" s="782"/>
      <c r="NT38" s="782"/>
      <c r="NU38" s="782"/>
      <c r="NV38" s="782"/>
      <c r="NW38" s="782"/>
      <c r="NX38" s="782"/>
      <c r="NY38" s="782"/>
      <c r="NZ38" s="782"/>
      <c r="OA38" s="782"/>
      <c r="OB38" s="782"/>
      <c r="OC38" s="782"/>
      <c r="OD38" s="782"/>
      <c r="OE38" s="782"/>
      <c r="OF38" s="782"/>
      <c r="OG38" s="782"/>
      <c r="OH38" s="782"/>
      <c r="OI38" s="782"/>
      <c r="OJ38" s="782"/>
      <c r="OK38" s="782"/>
      <c r="OL38" s="782"/>
      <c r="OM38" s="782"/>
      <c r="ON38" s="782"/>
      <c r="OO38" s="782"/>
      <c r="OP38" s="782"/>
      <c r="OQ38" s="782"/>
      <c r="OR38" s="782"/>
      <c r="OS38" s="782"/>
      <c r="OT38" s="782"/>
      <c r="OU38" s="782"/>
      <c r="OV38" s="782"/>
      <c r="OW38" s="782"/>
      <c r="OX38" s="782"/>
      <c r="OY38" s="782"/>
      <c r="OZ38" s="782"/>
      <c r="PA38" s="782"/>
      <c r="PB38" s="782"/>
      <c r="PC38" s="782"/>
      <c r="PD38" s="782"/>
      <c r="PE38" s="782"/>
      <c r="PF38" s="782"/>
      <c r="PG38" s="782"/>
      <c r="PH38" s="782"/>
      <c r="PI38" s="782"/>
      <c r="PJ38" s="782"/>
      <c r="PK38" s="782"/>
      <c r="PL38" s="782"/>
      <c r="PM38" s="782"/>
      <c r="PN38" s="782"/>
      <c r="PO38" s="782"/>
      <c r="PP38" s="782"/>
      <c r="PQ38" s="782"/>
      <c r="PR38" s="782"/>
      <c r="PS38" s="782"/>
      <c r="PT38" s="782"/>
      <c r="PU38" s="782"/>
      <c r="PV38" s="782"/>
      <c r="PW38" s="782"/>
      <c r="PX38" s="782"/>
      <c r="PY38" s="782"/>
      <c r="PZ38" s="782"/>
      <c r="QA38" s="782"/>
      <c r="QB38" s="782"/>
      <c r="QC38" s="782"/>
      <c r="QD38" s="782"/>
      <c r="QE38" s="782"/>
      <c r="QF38" s="782"/>
      <c r="QG38" s="782"/>
      <c r="QH38" s="782"/>
      <c r="QI38" s="782"/>
      <c r="QJ38" s="782"/>
      <c r="QK38" s="782"/>
      <c r="QL38" s="782"/>
      <c r="QM38" s="782"/>
      <c r="QN38" s="782"/>
      <c r="QO38" s="782"/>
      <c r="QP38" s="782"/>
      <c r="QQ38" s="782"/>
      <c r="QR38" s="782"/>
      <c r="QS38" s="782"/>
      <c r="QT38" s="782"/>
      <c r="QU38" s="782"/>
      <c r="QV38" s="782"/>
      <c r="QW38" s="782"/>
      <c r="QX38" s="782"/>
      <c r="QY38" s="782"/>
      <c r="QZ38" s="782"/>
      <c r="RA38" s="782"/>
      <c r="RB38" s="782"/>
      <c r="RC38" s="782"/>
      <c r="RD38" s="782"/>
      <c r="RE38" s="782"/>
      <c r="RF38" s="782"/>
      <c r="RG38" s="782"/>
      <c r="RH38" s="782"/>
      <c r="RI38" s="782"/>
      <c r="RJ38" s="782"/>
      <c r="RK38" s="782"/>
      <c r="RL38" s="782"/>
      <c r="RM38" s="782"/>
      <c r="RN38" s="782"/>
      <c r="RO38" s="782"/>
      <c r="RP38" s="782"/>
      <c r="RQ38" s="782"/>
      <c r="RR38" s="782"/>
      <c r="RS38" s="782"/>
      <c r="RT38" s="782"/>
      <c r="RU38" s="782"/>
      <c r="RV38" s="782"/>
      <c r="RW38" s="782"/>
      <c r="RX38" s="782"/>
    </row>
    <row r="39" spans="1:492" s="145" customFormat="1" ht="28.5" customHeight="1">
      <c r="A39" s="96" t="s">
        <v>483</v>
      </c>
      <c r="B39" s="96" t="s">
        <v>484</v>
      </c>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786"/>
      <c r="AN39" s="786"/>
      <c r="AO39" s="786"/>
      <c r="AP39" s="786"/>
      <c r="AQ39" s="787"/>
      <c r="AR39" s="788"/>
      <c r="AS39" s="788"/>
      <c r="AT39" s="788"/>
      <c r="AU39" s="788"/>
      <c r="AV39" s="788"/>
      <c r="AW39" s="786"/>
      <c r="AX39" s="786"/>
      <c r="AY39" s="786"/>
      <c r="AZ39" s="786"/>
      <c r="BA39" s="147"/>
      <c r="BB39" s="788"/>
      <c r="BC39" s="788"/>
      <c r="BD39" s="788"/>
      <c r="BE39" s="148"/>
      <c r="BF39" s="787"/>
      <c r="BG39" s="788"/>
      <c r="BH39" s="788"/>
      <c r="BI39" s="788"/>
      <c r="BJ39" s="148"/>
      <c r="BK39" s="469"/>
      <c r="BL39" s="788"/>
      <c r="BM39" s="788"/>
      <c r="BN39" s="767"/>
      <c r="BO39" s="767"/>
      <c r="BP39" s="469"/>
      <c r="BQ39" s="788"/>
      <c r="BR39" s="788"/>
      <c r="BS39" s="788"/>
      <c r="BT39" s="767"/>
      <c r="BU39" s="469"/>
      <c r="BV39" s="788"/>
      <c r="BW39" s="788"/>
      <c r="BX39" s="788"/>
      <c r="BY39" s="767"/>
      <c r="BZ39" s="469"/>
      <c r="CA39" s="900"/>
      <c r="CB39" s="789"/>
      <c r="CC39" s="789"/>
      <c r="CD39" s="789"/>
      <c r="CE39" s="789"/>
      <c r="CF39" s="789"/>
      <c r="CG39" s="789"/>
      <c r="CH39" s="789"/>
      <c r="CI39" s="789"/>
      <c r="CJ39" s="789"/>
      <c r="CK39" s="789"/>
      <c r="CL39" s="789"/>
      <c r="CM39" s="789"/>
      <c r="CN39" s="789"/>
      <c r="CO39" s="789"/>
      <c r="CP39" s="789"/>
      <c r="CQ39" s="789"/>
      <c r="CR39" s="789"/>
      <c r="CS39" s="789"/>
      <c r="CT39" s="789"/>
      <c r="CU39" s="789"/>
      <c r="CV39" s="789"/>
      <c r="CW39" s="789"/>
      <c r="CX39" s="789"/>
      <c r="CY39" s="789"/>
      <c r="CZ39" s="789"/>
      <c r="DA39" s="789"/>
      <c r="DB39" s="789"/>
      <c r="DC39" s="789"/>
      <c r="DD39" s="789"/>
      <c r="DE39" s="789"/>
      <c r="DF39" s="789"/>
      <c r="DG39" s="789"/>
      <c r="DH39" s="789"/>
      <c r="DI39" s="789"/>
      <c r="DJ39" s="789"/>
      <c r="DK39" s="789"/>
      <c r="DL39" s="789"/>
      <c r="DM39" s="789"/>
      <c r="DN39" s="789"/>
      <c r="DO39" s="789"/>
      <c r="DP39" s="789"/>
      <c r="DQ39" s="789"/>
      <c r="DR39" s="789"/>
      <c r="DS39" s="789"/>
      <c r="DT39" s="789"/>
      <c r="DU39" s="789"/>
      <c r="DV39" s="789"/>
      <c r="DW39" s="789"/>
      <c r="DX39" s="789"/>
      <c r="DY39" s="789"/>
      <c r="DZ39" s="789"/>
      <c r="EA39" s="789"/>
      <c r="EB39" s="789"/>
      <c r="EC39" s="789"/>
      <c r="ED39" s="789"/>
      <c r="EE39" s="789"/>
      <c r="EF39" s="789"/>
      <c r="EG39" s="789"/>
      <c r="EH39" s="789"/>
      <c r="EI39" s="789"/>
      <c r="EJ39" s="789"/>
      <c r="EK39" s="789"/>
      <c r="EL39" s="789"/>
      <c r="EM39" s="789"/>
      <c r="EN39" s="789"/>
      <c r="EO39" s="789"/>
      <c r="EP39" s="789"/>
      <c r="EQ39" s="789"/>
      <c r="ER39" s="789"/>
      <c r="ES39" s="789"/>
      <c r="ET39" s="789"/>
      <c r="EU39" s="789"/>
      <c r="EV39" s="789"/>
      <c r="EW39" s="789"/>
      <c r="EX39" s="789"/>
      <c r="EY39" s="789"/>
      <c r="EZ39" s="789"/>
      <c r="FA39" s="789"/>
      <c r="FB39" s="789"/>
      <c r="FC39" s="789"/>
      <c r="FD39" s="789"/>
      <c r="FE39" s="789"/>
      <c r="FF39" s="789"/>
      <c r="FG39" s="789"/>
      <c r="FH39" s="789"/>
      <c r="FI39" s="789"/>
      <c r="FJ39" s="789"/>
      <c r="FK39" s="789"/>
      <c r="FL39" s="789"/>
      <c r="FM39" s="789"/>
      <c r="FN39" s="789"/>
      <c r="FO39" s="789"/>
      <c r="FP39" s="789"/>
      <c r="FQ39" s="789"/>
      <c r="FR39" s="789"/>
      <c r="FS39" s="789"/>
      <c r="FT39" s="789"/>
      <c r="FU39" s="789"/>
      <c r="FV39" s="789"/>
      <c r="FW39" s="789"/>
      <c r="FX39" s="789"/>
      <c r="FY39" s="789"/>
      <c r="FZ39" s="789"/>
      <c r="GA39" s="789"/>
      <c r="GB39" s="789"/>
      <c r="GC39" s="789"/>
      <c r="GD39" s="789"/>
      <c r="GE39" s="789"/>
      <c r="GF39" s="789"/>
      <c r="GG39" s="789"/>
      <c r="GH39" s="789"/>
      <c r="GI39" s="789"/>
      <c r="GJ39" s="789"/>
      <c r="GK39" s="789"/>
      <c r="GL39" s="789"/>
      <c r="GM39" s="789"/>
      <c r="GN39" s="789"/>
      <c r="GO39" s="789"/>
      <c r="GP39" s="789"/>
      <c r="GQ39" s="789"/>
      <c r="GR39" s="789"/>
      <c r="GS39" s="789"/>
      <c r="GT39" s="789"/>
      <c r="GU39" s="789"/>
      <c r="GV39" s="789"/>
      <c r="GW39" s="789"/>
      <c r="GX39" s="789"/>
      <c r="GY39" s="789"/>
      <c r="GZ39" s="789"/>
      <c r="HA39" s="789"/>
      <c r="HB39" s="789"/>
      <c r="HC39" s="789"/>
      <c r="HD39" s="789"/>
      <c r="HE39" s="789"/>
      <c r="HF39" s="789"/>
      <c r="HG39" s="789"/>
      <c r="HH39" s="789"/>
      <c r="HI39" s="789"/>
      <c r="HJ39" s="789"/>
      <c r="HK39" s="789"/>
      <c r="HL39" s="789"/>
      <c r="HM39" s="789"/>
      <c r="HN39" s="789"/>
      <c r="HO39" s="789"/>
      <c r="HP39" s="789"/>
      <c r="HQ39" s="789"/>
      <c r="HR39" s="789"/>
      <c r="HS39" s="789"/>
      <c r="HT39" s="789"/>
      <c r="HU39" s="789"/>
      <c r="HV39" s="789"/>
      <c r="HW39" s="789"/>
      <c r="HX39" s="789"/>
      <c r="HY39" s="789"/>
      <c r="HZ39" s="789"/>
      <c r="IA39" s="789"/>
      <c r="IB39" s="789"/>
      <c r="IC39" s="789"/>
      <c r="ID39" s="789"/>
      <c r="IE39" s="789"/>
      <c r="IF39" s="789"/>
      <c r="IG39" s="789"/>
      <c r="IH39" s="789"/>
      <c r="II39" s="789"/>
      <c r="IJ39" s="789"/>
      <c r="IK39" s="789"/>
      <c r="IL39" s="789"/>
      <c r="IM39" s="789"/>
      <c r="IN39" s="789"/>
      <c r="IO39" s="789"/>
      <c r="IP39" s="789"/>
      <c r="IQ39" s="789"/>
      <c r="IR39" s="789"/>
      <c r="IS39" s="789"/>
      <c r="IT39" s="789"/>
      <c r="IU39" s="789"/>
      <c r="IV39" s="789"/>
      <c r="IW39" s="789"/>
      <c r="IX39" s="789"/>
      <c r="IY39" s="789"/>
      <c r="IZ39" s="789"/>
      <c r="JA39" s="789"/>
      <c r="JB39" s="789"/>
      <c r="JC39" s="789"/>
      <c r="JD39" s="789"/>
      <c r="JE39" s="789"/>
      <c r="JF39" s="789"/>
      <c r="JG39" s="789"/>
      <c r="JH39" s="789"/>
      <c r="JI39" s="789"/>
      <c r="JJ39" s="789"/>
      <c r="JK39" s="789"/>
      <c r="JL39" s="789"/>
      <c r="JM39" s="789"/>
      <c r="JN39" s="789"/>
      <c r="JO39" s="789"/>
      <c r="JP39" s="789"/>
      <c r="JQ39" s="789"/>
      <c r="JR39" s="789"/>
      <c r="JS39" s="789"/>
      <c r="JT39" s="789"/>
      <c r="JU39" s="789"/>
      <c r="JV39" s="789"/>
      <c r="JW39" s="789"/>
      <c r="JX39" s="789"/>
      <c r="JY39" s="789"/>
      <c r="JZ39" s="789"/>
      <c r="KA39" s="789"/>
      <c r="KB39" s="789"/>
      <c r="KC39" s="789"/>
      <c r="KD39" s="789"/>
      <c r="KE39" s="789"/>
      <c r="KF39" s="789"/>
      <c r="KG39" s="789"/>
      <c r="KH39" s="789"/>
      <c r="KI39" s="789"/>
      <c r="KJ39" s="789"/>
      <c r="KK39" s="789"/>
      <c r="KL39" s="789"/>
      <c r="KM39" s="789"/>
      <c r="KN39" s="789"/>
      <c r="KO39" s="789"/>
      <c r="KP39" s="789"/>
      <c r="KQ39" s="789"/>
      <c r="KR39" s="789"/>
      <c r="KS39" s="789"/>
      <c r="KT39" s="789"/>
      <c r="KU39" s="789"/>
      <c r="KV39" s="789"/>
      <c r="KW39" s="789"/>
      <c r="KX39" s="789"/>
      <c r="KY39" s="789"/>
      <c r="KZ39" s="789"/>
      <c r="LA39" s="789"/>
      <c r="LB39" s="789"/>
      <c r="LC39" s="789"/>
      <c r="LD39" s="789"/>
      <c r="LE39" s="789"/>
      <c r="LF39" s="789"/>
      <c r="LG39" s="789"/>
      <c r="LH39" s="789"/>
      <c r="LI39" s="789"/>
      <c r="LJ39" s="789"/>
      <c r="LK39" s="789"/>
      <c r="LL39" s="789"/>
      <c r="LM39" s="789"/>
      <c r="LN39" s="789"/>
      <c r="LO39" s="789"/>
      <c r="LP39" s="789"/>
      <c r="LQ39" s="789"/>
      <c r="LR39" s="789"/>
      <c r="LS39" s="789"/>
      <c r="LT39" s="789"/>
      <c r="LU39" s="789"/>
      <c r="LV39" s="789"/>
      <c r="LW39" s="789"/>
      <c r="LX39" s="789"/>
      <c r="LY39" s="789"/>
      <c r="LZ39" s="789"/>
      <c r="MA39" s="789"/>
      <c r="MB39" s="789"/>
      <c r="MC39" s="789"/>
      <c r="MD39" s="789"/>
      <c r="ME39" s="789"/>
      <c r="MF39" s="789"/>
      <c r="MG39" s="789"/>
      <c r="MH39" s="789"/>
      <c r="MI39" s="789"/>
      <c r="MJ39" s="789"/>
      <c r="MK39" s="789"/>
      <c r="ML39" s="789"/>
      <c r="MM39" s="789"/>
      <c r="MN39" s="789"/>
      <c r="MO39" s="789"/>
      <c r="MP39" s="789"/>
      <c r="MQ39" s="789"/>
      <c r="MR39" s="789"/>
      <c r="MS39" s="789"/>
      <c r="MT39" s="789"/>
      <c r="MU39" s="789"/>
      <c r="MV39" s="789"/>
      <c r="MW39" s="789"/>
      <c r="MX39" s="789"/>
      <c r="MY39" s="789"/>
      <c r="MZ39" s="789"/>
      <c r="NA39" s="789"/>
      <c r="NB39" s="789"/>
      <c r="NC39" s="789"/>
      <c r="ND39" s="789"/>
      <c r="NE39" s="789"/>
      <c r="NF39" s="789"/>
      <c r="NG39" s="789"/>
      <c r="NH39" s="789"/>
      <c r="NI39" s="789"/>
      <c r="NJ39" s="789"/>
      <c r="NK39" s="789"/>
      <c r="NL39" s="789"/>
      <c r="NM39" s="789"/>
      <c r="NN39" s="789"/>
      <c r="NO39" s="789"/>
      <c r="NP39" s="789"/>
      <c r="NQ39" s="789"/>
      <c r="NR39" s="789"/>
      <c r="NS39" s="789"/>
      <c r="NT39" s="789"/>
      <c r="NU39" s="789"/>
      <c r="NV39" s="789"/>
      <c r="NW39" s="789"/>
      <c r="NX39" s="789"/>
      <c r="NY39" s="789"/>
      <c r="NZ39" s="789"/>
      <c r="OA39" s="789"/>
      <c r="OB39" s="789"/>
      <c r="OC39" s="789"/>
      <c r="OD39" s="789"/>
      <c r="OE39" s="789"/>
      <c r="OF39" s="789"/>
      <c r="OG39" s="789"/>
      <c r="OH39" s="789"/>
      <c r="OI39" s="789"/>
      <c r="OJ39" s="789"/>
      <c r="OK39" s="789"/>
      <c r="OL39" s="789"/>
      <c r="OM39" s="789"/>
      <c r="ON39" s="789"/>
      <c r="OO39" s="789"/>
      <c r="OP39" s="789"/>
      <c r="OQ39" s="789"/>
      <c r="OR39" s="789"/>
      <c r="OS39" s="789"/>
      <c r="OT39" s="789"/>
      <c r="OU39" s="789"/>
      <c r="OV39" s="789"/>
      <c r="OW39" s="789"/>
      <c r="OX39" s="789"/>
      <c r="OY39" s="789"/>
      <c r="OZ39" s="789"/>
      <c r="PA39" s="789"/>
      <c r="PB39" s="789"/>
      <c r="PC39" s="789"/>
      <c r="PD39" s="789"/>
      <c r="PE39" s="789"/>
      <c r="PF39" s="789"/>
      <c r="PG39" s="789"/>
      <c r="PH39" s="789"/>
      <c r="PI39" s="789"/>
      <c r="PJ39" s="789"/>
      <c r="PK39" s="789"/>
      <c r="PL39" s="789"/>
      <c r="PM39" s="789"/>
      <c r="PN39" s="789"/>
      <c r="PO39" s="789"/>
      <c r="PP39" s="789"/>
      <c r="PQ39" s="789"/>
      <c r="PR39" s="789"/>
      <c r="PS39" s="789"/>
      <c r="PT39" s="789"/>
      <c r="PU39" s="789"/>
      <c r="PV39" s="789"/>
      <c r="PW39" s="789"/>
      <c r="PX39" s="789"/>
      <c r="PY39" s="789"/>
      <c r="PZ39" s="789"/>
      <c r="QA39" s="789"/>
      <c r="QB39" s="789"/>
      <c r="QC39" s="789"/>
      <c r="QD39" s="789"/>
      <c r="QE39" s="789"/>
      <c r="QF39" s="789"/>
      <c r="QG39" s="789"/>
      <c r="QH39" s="789"/>
      <c r="QI39" s="789"/>
      <c r="QJ39" s="789"/>
      <c r="QK39" s="789"/>
      <c r="QL39" s="789"/>
      <c r="QM39" s="789"/>
      <c r="QN39" s="789"/>
      <c r="QO39" s="789"/>
      <c r="QP39" s="789"/>
      <c r="QQ39" s="789"/>
      <c r="QR39" s="789"/>
      <c r="QS39" s="789"/>
      <c r="QT39" s="789"/>
      <c r="QU39" s="789"/>
      <c r="QV39" s="789"/>
      <c r="QW39" s="789"/>
      <c r="QX39" s="789"/>
      <c r="QY39" s="789"/>
      <c r="QZ39" s="789"/>
      <c r="RA39" s="789"/>
      <c r="RB39" s="789"/>
      <c r="RC39" s="789"/>
      <c r="RD39" s="789"/>
      <c r="RE39" s="789"/>
      <c r="RF39" s="789"/>
      <c r="RG39" s="789"/>
      <c r="RH39" s="789"/>
      <c r="RI39" s="789"/>
      <c r="RJ39" s="789"/>
      <c r="RK39" s="789"/>
      <c r="RL39" s="789"/>
      <c r="RM39" s="789"/>
      <c r="RN39" s="789"/>
      <c r="RO39" s="789"/>
      <c r="RP39" s="789"/>
      <c r="RQ39" s="789"/>
      <c r="RR39" s="789"/>
      <c r="RS39" s="789"/>
      <c r="RT39" s="789"/>
      <c r="RU39" s="789"/>
      <c r="RV39" s="789"/>
      <c r="RW39" s="789"/>
      <c r="RX39" s="789"/>
    </row>
    <row r="40" spans="1:492" s="145" customFormat="1" ht="28.5" customHeight="1">
      <c r="A40" s="126" t="s">
        <v>485</v>
      </c>
      <c r="B40" s="126" t="s">
        <v>486</v>
      </c>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786"/>
      <c r="AN40" s="786"/>
      <c r="AO40" s="786"/>
      <c r="AP40" s="786"/>
      <c r="AQ40" s="787"/>
      <c r="AR40" s="788"/>
      <c r="AS40" s="788"/>
      <c r="AT40" s="788"/>
      <c r="AU40" s="788"/>
      <c r="AV40" s="788"/>
      <c r="AW40" s="786"/>
      <c r="AX40" s="786"/>
      <c r="AY40" s="786"/>
      <c r="AZ40" s="786"/>
      <c r="BA40" s="147"/>
      <c r="BB40" s="788"/>
      <c r="BC40" s="788"/>
      <c r="BD40" s="788"/>
      <c r="BE40" s="148"/>
      <c r="BF40" s="787"/>
      <c r="BG40" s="788"/>
      <c r="BH40" s="788"/>
      <c r="BI40" s="788"/>
      <c r="BJ40" s="148"/>
      <c r="BK40" s="469"/>
      <c r="BL40" s="788"/>
      <c r="BM40" s="788"/>
      <c r="BN40" s="788"/>
      <c r="BO40" s="148"/>
      <c r="BP40" s="469"/>
      <c r="BQ40" s="788"/>
      <c r="BR40" s="788"/>
      <c r="BS40" s="788"/>
      <c r="BT40" s="148"/>
      <c r="BU40" s="469"/>
      <c r="BV40" s="788"/>
      <c r="BW40" s="788"/>
      <c r="BX40" s="788"/>
      <c r="BY40" s="148"/>
      <c r="BZ40" s="900"/>
      <c r="CA40" s="789"/>
      <c r="CB40" s="789"/>
      <c r="CC40" s="789"/>
      <c r="CD40" s="789"/>
      <c r="CE40" s="789"/>
      <c r="CF40" s="789"/>
      <c r="CG40" s="789"/>
      <c r="CH40" s="789"/>
      <c r="CI40" s="789"/>
      <c r="CJ40" s="789"/>
      <c r="CK40" s="789"/>
      <c r="CL40" s="789"/>
      <c r="CM40" s="789"/>
      <c r="CN40" s="789"/>
      <c r="CO40" s="789"/>
      <c r="CP40" s="789"/>
      <c r="CQ40" s="789"/>
      <c r="CR40" s="789"/>
      <c r="CS40" s="789"/>
      <c r="CT40" s="789"/>
      <c r="CU40" s="789"/>
      <c r="CV40" s="789"/>
      <c r="CW40" s="789"/>
      <c r="CX40" s="789"/>
      <c r="CY40" s="789"/>
      <c r="CZ40" s="789"/>
      <c r="DA40" s="789"/>
      <c r="DB40" s="789"/>
      <c r="DC40" s="789"/>
      <c r="DD40" s="789"/>
      <c r="DE40" s="789"/>
      <c r="DF40" s="789"/>
      <c r="DG40" s="789"/>
      <c r="DH40" s="789"/>
      <c r="DI40" s="789"/>
      <c r="DJ40" s="789"/>
      <c r="DK40" s="789"/>
      <c r="DL40" s="789"/>
      <c r="DM40" s="789"/>
      <c r="DN40" s="789"/>
      <c r="DO40" s="789"/>
      <c r="DP40" s="789"/>
      <c r="DQ40" s="789"/>
      <c r="DR40" s="789"/>
      <c r="DS40" s="789"/>
      <c r="DT40" s="789"/>
      <c r="DU40" s="789"/>
      <c r="DV40" s="789"/>
      <c r="DW40" s="789"/>
      <c r="DX40" s="789"/>
      <c r="DY40" s="789"/>
      <c r="DZ40" s="789"/>
      <c r="EA40" s="789"/>
      <c r="EB40" s="789"/>
      <c r="EC40" s="789"/>
      <c r="ED40" s="789"/>
      <c r="EE40" s="789"/>
      <c r="EF40" s="789"/>
      <c r="EG40" s="789"/>
      <c r="EH40" s="789"/>
      <c r="EI40" s="789"/>
      <c r="EJ40" s="789"/>
      <c r="EK40" s="789"/>
      <c r="EL40" s="789"/>
      <c r="EM40" s="789"/>
      <c r="EN40" s="789"/>
      <c r="EO40" s="789"/>
      <c r="EP40" s="789"/>
      <c r="EQ40" s="789"/>
      <c r="ER40" s="789"/>
      <c r="ES40" s="789"/>
      <c r="ET40" s="789"/>
      <c r="EU40" s="789"/>
      <c r="EV40" s="789"/>
      <c r="EW40" s="789"/>
      <c r="EX40" s="789"/>
      <c r="EY40" s="789"/>
      <c r="EZ40" s="789"/>
      <c r="FA40" s="789"/>
      <c r="FB40" s="789"/>
      <c r="FC40" s="789"/>
      <c r="FD40" s="789"/>
      <c r="FE40" s="789"/>
      <c r="FF40" s="789"/>
      <c r="FG40" s="789"/>
      <c r="FH40" s="789"/>
      <c r="FI40" s="789"/>
      <c r="FJ40" s="789"/>
      <c r="FK40" s="789"/>
      <c r="FL40" s="789"/>
      <c r="FM40" s="789"/>
      <c r="FN40" s="789"/>
      <c r="FO40" s="789"/>
      <c r="FP40" s="789"/>
      <c r="FQ40" s="789"/>
      <c r="FR40" s="789"/>
      <c r="FS40" s="789"/>
      <c r="FT40" s="789"/>
      <c r="FU40" s="789"/>
      <c r="FV40" s="789"/>
      <c r="FW40" s="789"/>
      <c r="FX40" s="789"/>
      <c r="FY40" s="789"/>
      <c r="FZ40" s="789"/>
      <c r="GA40" s="789"/>
      <c r="GB40" s="789"/>
      <c r="GC40" s="789"/>
      <c r="GD40" s="789"/>
      <c r="GE40" s="789"/>
      <c r="GF40" s="789"/>
      <c r="GG40" s="789"/>
      <c r="GH40" s="789"/>
      <c r="GI40" s="789"/>
      <c r="GJ40" s="789"/>
      <c r="GK40" s="789"/>
      <c r="GL40" s="789"/>
      <c r="GM40" s="789"/>
      <c r="GN40" s="789"/>
      <c r="GO40" s="789"/>
      <c r="GP40" s="789"/>
      <c r="GQ40" s="789"/>
      <c r="GR40" s="789"/>
      <c r="GS40" s="789"/>
      <c r="GT40" s="789"/>
      <c r="GU40" s="789"/>
      <c r="GV40" s="789"/>
      <c r="GW40" s="789"/>
      <c r="GX40" s="789"/>
      <c r="GY40" s="789"/>
      <c r="GZ40" s="789"/>
      <c r="HA40" s="789"/>
      <c r="HB40" s="789"/>
      <c r="HC40" s="789"/>
      <c r="HD40" s="789"/>
      <c r="HE40" s="789"/>
      <c r="HF40" s="789"/>
      <c r="HG40" s="789"/>
      <c r="HH40" s="789"/>
      <c r="HI40" s="789"/>
      <c r="HJ40" s="789"/>
      <c r="HK40" s="789"/>
      <c r="HL40" s="789"/>
      <c r="HM40" s="789"/>
      <c r="HN40" s="789"/>
      <c r="HO40" s="789"/>
      <c r="HP40" s="789"/>
      <c r="HQ40" s="789"/>
      <c r="HR40" s="789"/>
      <c r="HS40" s="789"/>
      <c r="HT40" s="789"/>
      <c r="HU40" s="789"/>
      <c r="HV40" s="789"/>
      <c r="HW40" s="789"/>
      <c r="HX40" s="789"/>
      <c r="HY40" s="789"/>
      <c r="HZ40" s="789"/>
      <c r="IA40" s="789"/>
      <c r="IB40" s="789"/>
      <c r="IC40" s="789"/>
      <c r="ID40" s="789"/>
      <c r="IE40" s="789"/>
      <c r="IF40" s="789"/>
      <c r="IG40" s="789"/>
      <c r="IH40" s="789"/>
      <c r="II40" s="789"/>
      <c r="IJ40" s="789"/>
      <c r="IK40" s="789"/>
      <c r="IL40" s="789"/>
      <c r="IM40" s="789"/>
      <c r="IN40" s="789"/>
      <c r="IO40" s="789"/>
      <c r="IP40" s="789"/>
      <c r="IQ40" s="789"/>
      <c r="IR40" s="789"/>
      <c r="IS40" s="789"/>
      <c r="IT40" s="789"/>
      <c r="IU40" s="789"/>
      <c r="IV40" s="789"/>
      <c r="IW40" s="789"/>
      <c r="IX40" s="789"/>
      <c r="IY40" s="789"/>
      <c r="IZ40" s="789"/>
      <c r="JA40" s="789"/>
      <c r="JB40" s="789"/>
      <c r="JC40" s="789"/>
      <c r="JD40" s="789"/>
      <c r="JE40" s="789"/>
      <c r="JF40" s="789"/>
      <c r="JG40" s="789"/>
      <c r="JH40" s="789"/>
      <c r="JI40" s="789"/>
      <c r="JJ40" s="789"/>
      <c r="JK40" s="789"/>
      <c r="JL40" s="789"/>
      <c r="JM40" s="789"/>
      <c r="JN40" s="789"/>
      <c r="JO40" s="789"/>
      <c r="JP40" s="789"/>
      <c r="JQ40" s="789"/>
      <c r="JR40" s="789"/>
      <c r="JS40" s="789"/>
      <c r="JT40" s="789"/>
      <c r="JU40" s="789"/>
      <c r="JV40" s="789"/>
      <c r="JW40" s="789"/>
      <c r="JX40" s="789"/>
      <c r="JY40" s="789"/>
      <c r="JZ40" s="789"/>
      <c r="KA40" s="789"/>
      <c r="KB40" s="789"/>
      <c r="KC40" s="789"/>
      <c r="KD40" s="789"/>
      <c r="KE40" s="789"/>
      <c r="KF40" s="789"/>
      <c r="KG40" s="789"/>
      <c r="KH40" s="789"/>
      <c r="KI40" s="789"/>
      <c r="KJ40" s="789"/>
      <c r="KK40" s="789"/>
      <c r="KL40" s="789"/>
      <c r="KM40" s="789"/>
      <c r="KN40" s="789"/>
      <c r="KO40" s="789"/>
      <c r="KP40" s="789"/>
      <c r="KQ40" s="789"/>
      <c r="KR40" s="789"/>
      <c r="KS40" s="789"/>
      <c r="KT40" s="789"/>
      <c r="KU40" s="789"/>
      <c r="KV40" s="789"/>
      <c r="KW40" s="789"/>
      <c r="KX40" s="789"/>
      <c r="KY40" s="789"/>
      <c r="KZ40" s="789"/>
      <c r="LA40" s="789"/>
      <c r="LB40" s="789"/>
      <c r="LC40" s="789"/>
      <c r="LD40" s="789"/>
      <c r="LE40" s="789"/>
      <c r="LF40" s="789"/>
      <c r="LG40" s="789"/>
      <c r="LH40" s="789"/>
      <c r="LI40" s="789"/>
      <c r="LJ40" s="789"/>
      <c r="LK40" s="789"/>
      <c r="LL40" s="789"/>
      <c r="LM40" s="789"/>
      <c r="LN40" s="789"/>
      <c r="LO40" s="789"/>
      <c r="LP40" s="789"/>
      <c r="LQ40" s="789"/>
      <c r="LR40" s="789"/>
      <c r="LS40" s="789"/>
      <c r="LT40" s="789"/>
      <c r="LU40" s="789"/>
      <c r="LV40" s="789"/>
      <c r="LW40" s="789"/>
      <c r="LX40" s="789"/>
      <c r="LY40" s="789"/>
      <c r="LZ40" s="789"/>
      <c r="MA40" s="789"/>
      <c r="MB40" s="789"/>
      <c r="MC40" s="789"/>
      <c r="MD40" s="789"/>
      <c r="ME40" s="789"/>
      <c r="MF40" s="789"/>
      <c r="MG40" s="789"/>
      <c r="MH40" s="789"/>
      <c r="MI40" s="789"/>
      <c r="MJ40" s="789"/>
      <c r="MK40" s="789"/>
      <c r="ML40" s="789"/>
      <c r="MM40" s="789"/>
      <c r="MN40" s="789"/>
      <c r="MO40" s="789"/>
      <c r="MP40" s="789"/>
      <c r="MQ40" s="789"/>
      <c r="MR40" s="789"/>
      <c r="MS40" s="789"/>
      <c r="MT40" s="789"/>
      <c r="MU40" s="789"/>
      <c r="MV40" s="789"/>
      <c r="MW40" s="789"/>
      <c r="MX40" s="789"/>
      <c r="MY40" s="789"/>
      <c r="MZ40" s="789"/>
      <c r="NA40" s="789"/>
      <c r="NB40" s="789"/>
      <c r="NC40" s="789"/>
      <c r="ND40" s="789"/>
      <c r="NE40" s="789"/>
      <c r="NF40" s="789"/>
      <c r="NG40" s="789"/>
      <c r="NH40" s="789"/>
      <c r="NI40" s="789"/>
      <c r="NJ40" s="789"/>
      <c r="NK40" s="789"/>
      <c r="NL40" s="789"/>
      <c r="NM40" s="789"/>
      <c r="NN40" s="789"/>
      <c r="NO40" s="789"/>
      <c r="NP40" s="789"/>
      <c r="NQ40" s="789"/>
      <c r="NR40" s="789"/>
      <c r="NS40" s="789"/>
      <c r="NT40" s="789"/>
      <c r="NU40" s="789"/>
      <c r="NV40" s="789"/>
      <c r="NW40" s="789"/>
      <c r="NX40" s="789"/>
      <c r="NY40" s="789"/>
      <c r="NZ40" s="789"/>
      <c r="OA40" s="789"/>
      <c r="OB40" s="789"/>
      <c r="OC40" s="789"/>
      <c r="OD40" s="789"/>
      <c r="OE40" s="789"/>
      <c r="OF40" s="789"/>
      <c r="OG40" s="789"/>
      <c r="OH40" s="789"/>
      <c r="OI40" s="789"/>
      <c r="OJ40" s="789"/>
      <c r="OK40" s="789"/>
      <c r="OL40" s="789"/>
      <c r="OM40" s="789"/>
      <c r="ON40" s="789"/>
      <c r="OO40" s="789"/>
      <c r="OP40" s="789"/>
      <c r="OQ40" s="789"/>
      <c r="OR40" s="789"/>
      <c r="OS40" s="789"/>
      <c r="OT40" s="789"/>
      <c r="OU40" s="789"/>
      <c r="OV40" s="789"/>
      <c r="OW40" s="789"/>
      <c r="OX40" s="789"/>
      <c r="OY40" s="789"/>
      <c r="OZ40" s="789"/>
      <c r="PA40" s="789"/>
      <c r="PB40" s="789"/>
      <c r="PC40" s="789"/>
      <c r="PD40" s="789"/>
      <c r="PE40" s="789"/>
      <c r="PF40" s="789"/>
      <c r="PG40" s="789"/>
      <c r="PH40" s="789"/>
      <c r="PI40" s="789"/>
      <c r="PJ40" s="789"/>
      <c r="PK40" s="789"/>
      <c r="PL40" s="789"/>
      <c r="PM40" s="789"/>
      <c r="PN40" s="789"/>
      <c r="PO40" s="789"/>
      <c r="PP40" s="789"/>
      <c r="PQ40" s="789"/>
      <c r="PR40" s="789"/>
      <c r="PS40" s="789"/>
      <c r="PT40" s="789"/>
      <c r="PU40" s="789"/>
      <c r="PV40" s="789"/>
      <c r="PW40" s="789"/>
      <c r="PX40" s="789"/>
      <c r="PY40" s="789"/>
      <c r="PZ40" s="789"/>
      <c r="QA40" s="789"/>
      <c r="QB40" s="789"/>
      <c r="QC40" s="789"/>
      <c r="QD40" s="789"/>
      <c r="QE40" s="789"/>
      <c r="QF40" s="789"/>
      <c r="QG40" s="789"/>
      <c r="QH40" s="789"/>
      <c r="QI40" s="789"/>
      <c r="QJ40" s="789"/>
      <c r="QK40" s="789"/>
      <c r="QL40" s="789"/>
      <c r="QM40" s="789"/>
      <c r="QN40" s="789"/>
      <c r="QO40" s="789"/>
      <c r="QP40" s="789"/>
      <c r="QQ40" s="789"/>
      <c r="QR40" s="789"/>
      <c r="QS40" s="789"/>
      <c r="QT40" s="789"/>
      <c r="QU40" s="789"/>
      <c r="QV40" s="789"/>
      <c r="QW40" s="789"/>
      <c r="QX40" s="789"/>
      <c r="QY40" s="789"/>
      <c r="QZ40" s="789"/>
      <c r="RA40" s="789"/>
      <c r="RB40" s="789"/>
      <c r="RC40" s="789"/>
      <c r="RD40" s="789"/>
      <c r="RE40" s="789"/>
      <c r="RF40" s="789"/>
      <c r="RG40" s="789"/>
      <c r="RH40" s="789"/>
      <c r="RI40" s="789"/>
      <c r="RJ40" s="789"/>
      <c r="RK40" s="789"/>
      <c r="RL40" s="789"/>
      <c r="RM40" s="789"/>
      <c r="RN40" s="789"/>
      <c r="RO40" s="789"/>
      <c r="RP40" s="789"/>
      <c r="RQ40" s="789"/>
      <c r="RR40" s="789"/>
      <c r="RS40" s="789"/>
      <c r="RT40" s="789"/>
      <c r="RU40" s="789"/>
      <c r="RV40" s="789"/>
      <c r="RW40" s="789"/>
      <c r="RX40" s="789"/>
    </row>
    <row r="41" spans="1:492" s="143" customFormat="1" ht="60">
      <c r="A41" s="153" t="s">
        <v>487</v>
      </c>
      <c r="B41" s="163" t="s">
        <v>488</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790"/>
      <c r="AN41" s="790"/>
      <c r="AO41" s="790"/>
      <c r="AP41" s="790"/>
      <c r="AQ41" s="785"/>
      <c r="AR41" s="790"/>
      <c r="AS41" s="790"/>
      <c r="AT41" s="790"/>
      <c r="AU41" s="790"/>
      <c r="AV41" s="790"/>
      <c r="AW41" s="790"/>
      <c r="AX41" s="790"/>
      <c r="AY41" s="790"/>
      <c r="AZ41" s="790"/>
      <c r="BA41" s="790"/>
      <c r="BB41" s="790"/>
      <c r="BC41" s="790"/>
      <c r="BD41" s="790"/>
      <c r="BE41" s="149"/>
      <c r="BF41" s="785"/>
      <c r="BG41" s="790"/>
      <c r="BH41" s="790"/>
      <c r="BI41" s="483"/>
      <c r="BJ41" s="484"/>
      <c r="BK41" s="785"/>
      <c r="BL41" s="790"/>
      <c r="BM41" s="790"/>
      <c r="BN41" s="483"/>
      <c r="BO41" s="484"/>
      <c r="BP41" s="785"/>
      <c r="BQ41" s="790"/>
      <c r="BR41" s="790"/>
      <c r="BS41" s="483"/>
      <c r="BT41" s="484"/>
      <c r="BU41" s="785"/>
      <c r="BV41" s="790"/>
      <c r="BW41" s="790"/>
      <c r="BX41" s="483"/>
      <c r="BY41" s="484"/>
      <c r="BZ41" s="785"/>
      <c r="CA41" s="782"/>
      <c r="CB41" s="782"/>
      <c r="CC41" s="782"/>
      <c r="CD41" s="782"/>
      <c r="CE41" s="782"/>
      <c r="CF41" s="782"/>
      <c r="CG41" s="782"/>
      <c r="CH41" s="782"/>
      <c r="CI41" s="782"/>
      <c r="CJ41" s="782"/>
      <c r="CK41" s="782"/>
      <c r="CL41" s="782"/>
      <c r="CM41" s="782"/>
      <c r="CN41" s="782"/>
      <c r="CO41" s="782"/>
      <c r="CP41" s="782"/>
      <c r="CQ41" s="782"/>
      <c r="CR41" s="782"/>
      <c r="CS41" s="782"/>
      <c r="CT41" s="782"/>
      <c r="CU41" s="782"/>
      <c r="CV41" s="782"/>
      <c r="CW41" s="782"/>
      <c r="CX41" s="782"/>
      <c r="CY41" s="782"/>
      <c r="CZ41" s="782"/>
      <c r="DA41" s="782"/>
      <c r="DB41" s="782"/>
      <c r="DC41" s="782"/>
      <c r="DD41" s="782"/>
      <c r="DE41" s="782"/>
      <c r="DF41" s="782"/>
      <c r="DG41" s="782"/>
      <c r="DH41" s="782"/>
      <c r="DI41" s="782"/>
      <c r="DJ41" s="782"/>
      <c r="DK41" s="782"/>
      <c r="DL41" s="782"/>
      <c r="DM41" s="782"/>
      <c r="DN41" s="782"/>
      <c r="DO41" s="782"/>
      <c r="DP41" s="782"/>
      <c r="DQ41" s="782"/>
      <c r="DR41" s="782"/>
      <c r="DS41" s="782"/>
      <c r="DT41" s="782"/>
      <c r="DU41" s="782"/>
      <c r="DV41" s="782"/>
      <c r="DW41" s="782"/>
      <c r="DX41" s="782"/>
      <c r="DY41" s="782"/>
      <c r="DZ41" s="782"/>
      <c r="EA41" s="782"/>
      <c r="EB41" s="782"/>
      <c r="EC41" s="782"/>
      <c r="ED41" s="782"/>
      <c r="EE41" s="782"/>
      <c r="EF41" s="782"/>
      <c r="EG41" s="782"/>
      <c r="EH41" s="782"/>
      <c r="EI41" s="782"/>
      <c r="EJ41" s="782"/>
      <c r="EK41" s="782"/>
      <c r="EL41" s="782"/>
      <c r="EM41" s="782"/>
      <c r="EN41" s="782"/>
      <c r="EO41" s="782"/>
      <c r="EP41" s="782"/>
      <c r="EQ41" s="782"/>
      <c r="ER41" s="782"/>
      <c r="ES41" s="782"/>
      <c r="ET41" s="782"/>
      <c r="EU41" s="782"/>
      <c r="EV41" s="782"/>
      <c r="EW41" s="782"/>
      <c r="EX41" s="782"/>
      <c r="EY41" s="782"/>
      <c r="EZ41" s="782"/>
      <c r="FA41" s="782"/>
      <c r="FB41" s="782"/>
      <c r="FC41" s="782"/>
      <c r="FD41" s="782"/>
      <c r="FE41" s="782"/>
      <c r="FF41" s="782"/>
      <c r="FG41" s="782"/>
      <c r="FH41" s="782"/>
      <c r="FI41" s="782"/>
      <c r="FJ41" s="782"/>
      <c r="FK41" s="782"/>
      <c r="FL41" s="782"/>
      <c r="FM41" s="782"/>
      <c r="FN41" s="782"/>
      <c r="FO41" s="782"/>
      <c r="FP41" s="782"/>
      <c r="FQ41" s="782"/>
      <c r="FR41" s="782"/>
      <c r="FS41" s="782"/>
      <c r="FT41" s="782"/>
      <c r="FU41" s="782"/>
      <c r="FV41" s="782"/>
      <c r="FW41" s="782"/>
      <c r="FX41" s="782"/>
      <c r="FY41" s="782"/>
      <c r="FZ41" s="782"/>
      <c r="GA41" s="782"/>
      <c r="GB41" s="782"/>
      <c r="GC41" s="782"/>
      <c r="GD41" s="782"/>
      <c r="GE41" s="782"/>
      <c r="GF41" s="782"/>
      <c r="GG41" s="782"/>
      <c r="GH41" s="782"/>
      <c r="GI41" s="782"/>
      <c r="GJ41" s="782"/>
      <c r="GK41" s="782"/>
      <c r="GL41" s="782"/>
      <c r="GM41" s="782"/>
      <c r="GN41" s="782"/>
      <c r="GO41" s="782"/>
      <c r="GP41" s="782"/>
      <c r="GQ41" s="782"/>
      <c r="GR41" s="782"/>
      <c r="GS41" s="782"/>
      <c r="GT41" s="782"/>
      <c r="GU41" s="782"/>
      <c r="GV41" s="782"/>
      <c r="GW41" s="782"/>
      <c r="GX41" s="782"/>
      <c r="GY41" s="782"/>
      <c r="GZ41" s="782"/>
      <c r="HA41" s="782"/>
      <c r="HB41" s="782"/>
      <c r="HC41" s="782"/>
      <c r="HD41" s="782"/>
      <c r="HE41" s="782"/>
      <c r="HF41" s="782"/>
      <c r="HG41" s="782"/>
      <c r="HH41" s="782"/>
      <c r="HI41" s="782"/>
      <c r="HJ41" s="782"/>
      <c r="HK41" s="782"/>
      <c r="HL41" s="782"/>
      <c r="HM41" s="782"/>
      <c r="HN41" s="782"/>
      <c r="HO41" s="782"/>
      <c r="HP41" s="782"/>
      <c r="HQ41" s="782"/>
      <c r="HR41" s="782"/>
      <c r="HS41" s="782"/>
      <c r="HT41" s="782"/>
      <c r="HU41" s="782"/>
      <c r="HV41" s="782"/>
      <c r="HW41" s="782"/>
      <c r="HX41" s="782"/>
      <c r="HY41" s="782"/>
      <c r="HZ41" s="782"/>
      <c r="IA41" s="782"/>
      <c r="IB41" s="782"/>
      <c r="IC41" s="782"/>
      <c r="ID41" s="782"/>
      <c r="IE41" s="782"/>
      <c r="IF41" s="782"/>
      <c r="IG41" s="782"/>
      <c r="IH41" s="782"/>
      <c r="II41" s="782"/>
      <c r="IJ41" s="782"/>
      <c r="IK41" s="782"/>
      <c r="IL41" s="782"/>
      <c r="IM41" s="782"/>
      <c r="IN41" s="782"/>
      <c r="IO41" s="782"/>
      <c r="IP41" s="782"/>
      <c r="IQ41" s="782"/>
      <c r="IR41" s="782"/>
      <c r="IS41" s="782"/>
      <c r="IT41" s="782"/>
      <c r="IU41" s="782"/>
      <c r="IV41" s="782"/>
      <c r="IW41" s="782"/>
      <c r="IX41" s="782"/>
      <c r="IY41" s="782"/>
      <c r="IZ41" s="782"/>
      <c r="JA41" s="782"/>
      <c r="JB41" s="782"/>
      <c r="JC41" s="782"/>
      <c r="JD41" s="782"/>
      <c r="JE41" s="782"/>
      <c r="JF41" s="782"/>
      <c r="JG41" s="782"/>
      <c r="JH41" s="782"/>
      <c r="JI41" s="782"/>
      <c r="JJ41" s="782"/>
      <c r="JK41" s="782"/>
      <c r="JL41" s="782"/>
      <c r="JM41" s="782"/>
      <c r="JN41" s="782"/>
      <c r="JO41" s="782"/>
      <c r="JP41" s="782"/>
      <c r="JQ41" s="782"/>
      <c r="JR41" s="782"/>
      <c r="JS41" s="782"/>
      <c r="JT41" s="782"/>
      <c r="JU41" s="782"/>
      <c r="JV41" s="782"/>
      <c r="JW41" s="782"/>
      <c r="JX41" s="782"/>
      <c r="JY41" s="782"/>
      <c r="JZ41" s="782"/>
      <c r="KA41" s="782"/>
      <c r="KB41" s="782"/>
      <c r="KC41" s="782"/>
      <c r="KD41" s="782"/>
      <c r="KE41" s="782"/>
      <c r="KF41" s="782"/>
      <c r="KG41" s="782"/>
      <c r="KH41" s="782"/>
      <c r="KI41" s="782"/>
      <c r="KJ41" s="782"/>
      <c r="KK41" s="782"/>
      <c r="KL41" s="782"/>
      <c r="KM41" s="782"/>
      <c r="KN41" s="782"/>
      <c r="KO41" s="782"/>
      <c r="KP41" s="782"/>
      <c r="KQ41" s="782"/>
      <c r="KR41" s="782"/>
      <c r="KS41" s="782"/>
      <c r="KT41" s="782"/>
      <c r="KU41" s="782"/>
      <c r="KV41" s="782"/>
      <c r="KW41" s="782"/>
      <c r="KX41" s="782"/>
      <c r="KY41" s="782"/>
      <c r="KZ41" s="782"/>
      <c r="LA41" s="782"/>
      <c r="LB41" s="782"/>
      <c r="LC41" s="782"/>
      <c r="LD41" s="782"/>
      <c r="LE41" s="782"/>
      <c r="LF41" s="782"/>
      <c r="LG41" s="782"/>
      <c r="LH41" s="782"/>
      <c r="LI41" s="782"/>
      <c r="LJ41" s="782"/>
      <c r="LK41" s="782"/>
      <c r="LL41" s="782"/>
      <c r="LM41" s="782"/>
      <c r="LN41" s="782"/>
      <c r="LO41" s="782"/>
      <c r="LP41" s="782"/>
      <c r="LQ41" s="782"/>
      <c r="LR41" s="782"/>
      <c r="LS41" s="782"/>
      <c r="LT41" s="782"/>
      <c r="LU41" s="782"/>
      <c r="LV41" s="782"/>
      <c r="LW41" s="782"/>
      <c r="LX41" s="782"/>
      <c r="LY41" s="782"/>
      <c r="LZ41" s="782"/>
      <c r="MA41" s="782"/>
      <c r="MB41" s="782"/>
      <c r="MC41" s="782"/>
      <c r="MD41" s="782"/>
      <c r="ME41" s="782"/>
      <c r="MF41" s="782"/>
      <c r="MG41" s="782"/>
      <c r="MH41" s="782"/>
      <c r="MI41" s="782"/>
      <c r="MJ41" s="782"/>
      <c r="MK41" s="782"/>
      <c r="ML41" s="782"/>
      <c r="MM41" s="782"/>
      <c r="MN41" s="782"/>
      <c r="MO41" s="782"/>
      <c r="MP41" s="782"/>
      <c r="MQ41" s="782"/>
      <c r="MR41" s="782"/>
      <c r="MS41" s="782"/>
      <c r="MT41" s="782"/>
      <c r="MU41" s="782"/>
      <c r="MV41" s="782"/>
      <c r="MW41" s="782"/>
      <c r="MX41" s="782"/>
      <c r="MY41" s="782"/>
      <c r="MZ41" s="782"/>
      <c r="NA41" s="782"/>
      <c r="NB41" s="782"/>
      <c r="NC41" s="782"/>
      <c r="ND41" s="782"/>
      <c r="NE41" s="782"/>
      <c r="NF41" s="782"/>
      <c r="NG41" s="782"/>
      <c r="NH41" s="782"/>
      <c r="NI41" s="782"/>
      <c r="NJ41" s="782"/>
      <c r="NK41" s="782"/>
      <c r="NL41" s="782"/>
      <c r="NM41" s="782"/>
      <c r="NN41" s="782"/>
      <c r="NO41" s="782"/>
      <c r="NP41" s="782"/>
      <c r="NQ41" s="782"/>
      <c r="NR41" s="782"/>
      <c r="NS41" s="782"/>
      <c r="NT41" s="782"/>
      <c r="NU41" s="782"/>
      <c r="NV41" s="782"/>
      <c r="NW41" s="782"/>
      <c r="NX41" s="782"/>
      <c r="NY41" s="782"/>
      <c r="NZ41" s="782"/>
      <c r="OA41" s="782"/>
      <c r="OB41" s="782"/>
      <c r="OC41" s="782"/>
      <c r="OD41" s="782"/>
      <c r="OE41" s="782"/>
      <c r="OF41" s="782"/>
      <c r="OG41" s="782"/>
      <c r="OH41" s="782"/>
      <c r="OI41" s="782"/>
      <c r="OJ41" s="782"/>
      <c r="OK41" s="782"/>
      <c r="OL41" s="782"/>
      <c r="OM41" s="782"/>
      <c r="ON41" s="782"/>
      <c r="OO41" s="782"/>
      <c r="OP41" s="782"/>
      <c r="OQ41" s="782"/>
      <c r="OR41" s="782"/>
      <c r="OS41" s="782"/>
      <c r="OT41" s="782"/>
      <c r="OU41" s="782"/>
      <c r="OV41" s="782"/>
      <c r="OW41" s="782"/>
      <c r="OX41" s="782"/>
      <c r="OY41" s="782"/>
      <c r="OZ41" s="782"/>
      <c r="PA41" s="782"/>
      <c r="PB41" s="782"/>
      <c r="PC41" s="782"/>
      <c r="PD41" s="782"/>
      <c r="PE41" s="782"/>
      <c r="PF41" s="782"/>
      <c r="PG41" s="782"/>
      <c r="PH41" s="782"/>
      <c r="PI41" s="782"/>
      <c r="PJ41" s="782"/>
      <c r="PK41" s="782"/>
      <c r="PL41" s="782"/>
      <c r="PM41" s="782"/>
      <c r="PN41" s="782"/>
      <c r="PO41" s="782"/>
      <c r="PP41" s="782"/>
      <c r="PQ41" s="782"/>
      <c r="PR41" s="782"/>
      <c r="PS41" s="782"/>
      <c r="PT41" s="782"/>
      <c r="PU41" s="782"/>
      <c r="PV41" s="782"/>
      <c r="PW41" s="782"/>
      <c r="PX41" s="782"/>
      <c r="PY41" s="782"/>
      <c r="PZ41" s="782"/>
      <c r="QA41" s="782"/>
      <c r="QB41" s="782"/>
      <c r="QC41" s="782"/>
      <c r="QD41" s="782"/>
      <c r="QE41" s="782"/>
      <c r="QF41" s="782"/>
      <c r="QG41" s="782"/>
      <c r="QH41" s="782"/>
      <c r="QI41" s="782"/>
      <c r="QJ41" s="782"/>
      <c r="QK41" s="782"/>
      <c r="QL41" s="782"/>
      <c r="QM41" s="782"/>
      <c r="QN41" s="782"/>
      <c r="QO41" s="782"/>
      <c r="QP41" s="782"/>
      <c r="QQ41" s="782"/>
      <c r="QR41" s="782"/>
      <c r="QS41" s="782"/>
      <c r="QT41" s="782"/>
      <c r="QU41" s="782"/>
      <c r="QV41" s="782"/>
      <c r="QW41" s="782"/>
      <c r="QX41" s="782"/>
      <c r="QY41" s="782"/>
      <c r="QZ41" s="782"/>
      <c r="RA41" s="782"/>
      <c r="RB41" s="782"/>
      <c r="RC41" s="782"/>
      <c r="RD41" s="782"/>
      <c r="RE41" s="782"/>
      <c r="RF41" s="782"/>
      <c r="RG41" s="782"/>
      <c r="RH41" s="782"/>
      <c r="RI41" s="782"/>
      <c r="RJ41" s="782"/>
      <c r="RK41" s="782"/>
      <c r="RL41" s="782"/>
      <c r="RM41" s="782"/>
      <c r="RN41" s="782"/>
      <c r="RO41" s="782"/>
      <c r="RP41" s="782"/>
      <c r="RQ41" s="782"/>
      <c r="RR41" s="782"/>
      <c r="RS41" s="782"/>
      <c r="RT41" s="782"/>
      <c r="RU41" s="782"/>
      <c r="RV41" s="782"/>
      <c r="RW41" s="782"/>
      <c r="RX41" s="782"/>
    </row>
    <row r="42" spans="1:492" s="143" customFormat="1">
      <c r="A42" s="126"/>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785"/>
      <c r="AN42" s="785"/>
      <c r="AO42" s="785"/>
      <c r="AP42" s="785"/>
      <c r="AQ42" s="785"/>
      <c r="AR42" s="785"/>
      <c r="AS42" s="785"/>
      <c r="AT42" s="785"/>
      <c r="AU42" s="785"/>
      <c r="AV42" s="785"/>
      <c r="AW42" s="785"/>
      <c r="AX42" s="785"/>
      <c r="AY42" s="785"/>
      <c r="AZ42" s="785"/>
      <c r="BA42" s="785"/>
      <c r="BB42" s="785"/>
      <c r="BC42" s="790"/>
      <c r="BD42" s="790"/>
      <c r="BE42" s="149"/>
      <c r="BF42" s="785"/>
      <c r="BG42" s="785"/>
      <c r="BH42" s="790"/>
      <c r="BI42" s="483"/>
      <c r="BJ42" s="149"/>
      <c r="BK42" s="785"/>
      <c r="BL42" s="785"/>
      <c r="BM42" s="790"/>
      <c r="BN42" s="483"/>
      <c r="BO42" s="149"/>
      <c r="BP42" s="785"/>
      <c r="BQ42" s="785"/>
      <c r="BR42" s="790"/>
      <c r="BS42" s="483"/>
      <c r="BT42" s="149"/>
      <c r="BU42" s="785"/>
      <c r="BV42" s="785"/>
      <c r="BW42" s="790"/>
      <c r="BX42" s="483"/>
      <c r="BY42" s="149"/>
      <c r="BZ42" s="785"/>
      <c r="CA42" s="782"/>
      <c r="CB42" s="782"/>
      <c r="CC42" s="782"/>
      <c r="CD42" s="782"/>
      <c r="CE42" s="782"/>
      <c r="CF42" s="782"/>
      <c r="CG42" s="782"/>
      <c r="CH42" s="782"/>
      <c r="CI42" s="782"/>
      <c r="CJ42" s="782"/>
      <c r="CK42" s="782"/>
      <c r="CL42" s="782"/>
      <c r="CM42" s="782"/>
      <c r="CN42" s="782"/>
      <c r="CO42" s="782"/>
      <c r="CP42" s="782"/>
      <c r="CQ42" s="782"/>
      <c r="CR42" s="782"/>
      <c r="CS42" s="782"/>
      <c r="CT42" s="782"/>
      <c r="CU42" s="782"/>
      <c r="CV42" s="782"/>
      <c r="CW42" s="782"/>
      <c r="CX42" s="782"/>
      <c r="CY42" s="782"/>
      <c r="CZ42" s="782"/>
      <c r="DA42" s="782"/>
      <c r="DB42" s="782"/>
      <c r="DC42" s="782"/>
      <c r="DD42" s="782"/>
      <c r="DE42" s="782"/>
      <c r="DF42" s="782"/>
      <c r="DG42" s="782"/>
      <c r="DH42" s="782"/>
      <c r="DI42" s="782"/>
      <c r="DJ42" s="782"/>
      <c r="DK42" s="782"/>
      <c r="DL42" s="782"/>
      <c r="DM42" s="782"/>
      <c r="DN42" s="782"/>
      <c r="DO42" s="782"/>
      <c r="DP42" s="782"/>
      <c r="DQ42" s="782"/>
      <c r="DR42" s="782"/>
      <c r="DS42" s="782"/>
      <c r="DT42" s="782"/>
      <c r="DU42" s="782"/>
      <c r="DV42" s="782"/>
      <c r="DW42" s="782"/>
      <c r="DX42" s="782"/>
      <c r="DY42" s="782"/>
      <c r="DZ42" s="782"/>
      <c r="EA42" s="782"/>
      <c r="EB42" s="782"/>
      <c r="EC42" s="782"/>
      <c r="ED42" s="782"/>
      <c r="EE42" s="782"/>
      <c r="EF42" s="782"/>
      <c r="EG42" s="782"/>
      <c r="EH42" s="782"/>
      <c r="EI42" s="782"/>
      <c r="EJ42" s="782"/>
      <c r="EK42" s="782"/>
      <c r="EL42" s="782"/>
      <c r="EM42" s="782"/>
      <c r="EN42" s="782"/>
      <c r="EO42" s="782"/>
      <c r="EP42" s="782"/>
      <c r="EQ42" s="782"/>
      <c r="ER42" s="782"/>
      <c r="ES42" s="782"/>
      <c r="ET42" s="782"/>
      <c r="EU42" s="782"/>
      <c r="EV42" s="782"/>
      <c r="EW42" s="782"/>
      <c r="EX42" s="782"/>
      <c r="EY42" s="782"/>
      <c r="EZ42" s="782"/>
      <c r="FA42" s="782"/>
      <c r="FB42" s="782"/>
      <c r="FC42" s="782"/>
      <c r="FD42" s="782"/>
      <c r="FE42" s="782"/>
      <c r="FF42" s="782"/>
      <c r="FG42" s="782"/>
      <c r="FH42" s="782"/>
      <c r="FI42" s="782"/>
      <c r="FJ42" s="782"/>
      <c r="FK42" s="782"/>
      <c r="FL42" s="782"/>
      <c r="FM42" s="782"/>
      <c r="FN42" s="782"/>
      <c r="FO42" s="782"/>
      <c r="FP42" s="782"/>
      <c r="FQ42" s="782"/>
      <c r="FR42" s="782"/>
      <c r="FS42" s="782"/>
      <c r="FT42" s="782"/>
      <c r="FU42" s="782"/>
      <c r="FV42" s="782"/>
      <c r="FW42" s="782"/>
      <c r="FX42" s="782"/>
      <c r="FY42" s="782"/>
      <c r="FZ42" s="782"/>
      <c r="GA42" s="782"/>
      <c r="GB42" s="782"/>
      <c r="GC42" s="782"/>
      <c r="GD42" s="782"/>
      <c r="GE42" s="782"/>
      <c r="GF42" s="782"/>
      <c r="GG42" s="782"/>
      <c r="GH42" s="782"/>
      <c r="GI42" s="782"/>
      <c r="GJ42" s="782"/>
      <c r="GK42" s="782"/>
      <c r="GL42" s="782"/>
      <c r="GM42" s="782"/>
      <c r="GN42" s="782"/>
      <c r="GO42" s="782"/>
      <c r="GP42" s="782"/>
      <c r="GQ42" s="782"/>
      <c r="GR42" s="782"/>
      <c r="GS42" s="782"/>
      <c r="GT42" s="782"/>
      <c r="GU42" s="782"/>
      <c r="GV42" s="782"/>
      <c r="GW42" s="782"/>
      <c r="GX42" s="782"/>
      <c r="GY42" s="782"/>
      <c r="GZ42" s="782"/>
      <c r="HA42" s="782"/>
      <c r="HB42" s="782"/>
      <c r="HC42" s="782"/>
      <c r="HD42" s="782"/>
      <c r="HE42" s="782"/>
      <c r="HF42" s="782"/>
      <c r="HG42" s="782"/>
      <c r="HH42" s="782"/>
      <c r="HI42" s="782"/>
      <c r="HJ42" s="782"/>
      <c r="HK42" s="782"/>
      <c r="HL42" s="782"/>
      <c r="HM42" s="782"/>
      <c r="HN42" s="782"/>
      <c r="HO42" s="782"/>
      <c r="HP42" s="782"/>
      <c r="HQ42" s="782"/>
      <c r="HR42" s="782"/>
      <c r="HS42" s="782"/>
      <c r="HT42" s="782"/>
      <c r="HU42" s="782"/>
      <c r="HV42" s="782"/>
      <c r="HW42" s="782"/>
      <c r="HX42" s="782"/>
      <c r="HY42" s="782"/>
      <c r="HZ42" s="782"/>
      <c r="IA42" s="782"/>
      <c r="IB42" s="782"/>
      <c r="IC42" s="782"/>
      <c r="ID42" s="782"/>
      <c r="IE42" s="782"/>
      <c r="IF42" s="782"/>
      <c r="IG42" s="782"/>
      <c r="IH42" s="782"/>
      <c r="II42" s="782"/>
      <c r="IJ42" s="782"/>
      <c r="IK42" s="782"/>
      <c r="IL42" s="782"/>
      <c r="IM42" s="782"/>
      <c r="IN42" s="782"/>
      <c r="IO42" s="782"/>
      <c r="IP42" s="782"/>
      <c r="IQ42" s="782"/>
      <c r="IR42" s="782"/>
      <c r="IS42" s="782"/>
      <c r="IT42" s="782"/>
      <c r="IU42" s="782"/>
      <c r="IV42" s="782"/>
      <c r="IW42" s="782"/>
      <c r="IX42" s="782"/>
      <c r="IY42" s="782"/>
      <c r="IZ42" s="782"/>
      <c r="JA42" s="782"/>
      <c r="JB42" s="782"/>
      <c r="JC42" s="782"/>
      <c r="JD42" s="782"/>
      <c r="JE42" s="782"/>
      <c r="JF42" s="782"/>
      <c r="JG42" s="782"/>
      <c r="JH42" s="782"/>
      <c r="JI42" s="782"/>
      <c r="JJ42" s="782"/>
      <c r="JK42" s="782"/>
      <c r="JL42" s="782"/>
      <c r="JM42" s="782"/>
      <c r="JN42" s="782"/>
      <c r="JO42" s="782"/>
      <c r="JP42" s="782"/>
      <c r="JQ42" s="782"/>
      <c r="JR42" s="782"/>
      <c r="JS42" s="782"/>
      <c r="JT42" s="782"/>
      <c r="JU42" s="782"/>
      <c r="JV42" s="782"/>
      <c r="JW42" s="782"/>
      <c r="JX42" s="782"/>
      <c r="JY42" s="782"/>
      <c r="JZ42" s="782"/>
      <c r="KA42" s="782"/>
      <c r="KB42" s="782"/>
      <c r="KC42" s="782"/>
      <c r="KD42" s="782"/>
      <c r="KE42" s="782"/>
      <c r="KF42" s="782"/>
      <c r="KG42" s="782"/>
      <c r="KH42" s="782"/>
      <c r="KI42" s="782"/>
      <c r="KJ42" s="782"/>
      <c r="KK42" s="782"/>
      <c r="KL42" s="782"/>
      <c r="KM42" s="782"/>
      <c r="KN42" s="782"/>
      <c r="KO42" s="782"/>
      <c r="KP42" s="782"/>
      <c r="KQ42" s="782"/>
      <c r="KR42" s="782"/>
      <c r="KS42" s="782"/>
      <c r="KT42" s="782"/>
      <c r="KU42" s="782"/>
      <c r="KV42" s="782"/>
      <c r="KW42" s="782"/>
      <c r="KX42" s="782"/>
      <c r="KY42" s="782"/>
      <c r="KZ42" s="782"/>
      <c r="LA42" s="782"/>
      <c r="LB42" s="782"/>
      <c r="LC42" s="782"/>
      <c r="LD42" s="782"/>
      <c r="LE42" s="782"/>
      <c r="LF42" s="782"/>
      <c r="LG42" s="782"/>
      <c r="LH42" s="782"/>
      <c r="LI42" s="782"/>
      <c r="LJ42" s="782"/>
      <c r="LK42" s="782"/>
      <c r="LL42" s="782"/>
      <c r="LM42" s="782"/>
      <c r="LN42" s="782"/>
      <c r="LO42" s="782"/>
      <c r="LP42" s="782"/>
      <c r="LQ42" s="782"/>
      <c r="LR42" s="782"/>
      <c r="LS42" s="782"/>
      <c r="LT42" s="782"/>
      <c r="LU42" s="782"/>
      <c r="LV42" s="782"/>
      <c r="LW42" s="782"/>
      <c r="LX42" s="782"/>
      <c r="LY42" s="782"/>
      <c r="LZ42" s="782"/>
      <c r="MA42" s="782"/>
      <c r="MB42" s="782"/>
      <c r="MC42" s="782"/>
      <c r="MD42" s="782"/>
      <c r="ME42" s="782"/>
      <c r="MF42" s="782"/>
      <c r="MG42" s="782"/>
      <c r="MH42" s="782"/>
      <c r="MI42" s="782"/>
      <c r="MJ42" s="782"/>
      <c r="MK42" s="782"/>
      <c r="ML42" s="782"/>
      <c r="MM42" s="782"/>
      <c r="MN42" s="782"/>
      <c r="MO42" s="782"/>
      <c r="MP42" s="782"/>
      <c r="MQ42" s="782"/>
      <c r="MR42" s="782"/>
      <c r="MS42" s="782"/>
      <c r="MT42" s="782"/>
      <c r="MU42" s="782"/>
      <c r="MV42" s="782"/>
      <c r="MW42" s="782"/>
      <c r="MX42" s="782"/>
      <c r="MY42" s="782"/>
      <c r="MZ42" s="782"/>
      <c r="NA42" s="782"/>
      <c r="NB42" s="782"/>
      <c r="NC42" s="782"/>
      <c r="ND42" s="782"/>
      <c r="NE42" s="782"/>
      <c r="NF42" s="782"/>
      <c r="NG42" s="782"/>
      <c r="NH42" s="782"/>
      <c r="NI42" s="782"/>
      <c r="NJ42" s="782"/>
      <c r="NK42" s="782"/>
      <c r="NL42" s="782"/>
      <c r="NM42" s="782"/>
      <c r="NN42" s="782"/>
      <c r="NO42" s="782"/>
      <c r="NP42" s="782"/>
      <c r="NQ42" s="782"/>
      <c r="NR42" s="782"/>
      <c r="NS42" s="782"/>
      <c r="NT42" s="782"/>
      <c r="NU42" s="782"/>
      <c r="NV42" s="782"/>
      <c r="NW42" s="782"/>
      <c r="NX42" s="782"/>
      <c r="NY42" s="782"/>
      <c r="NZ42" s="782"/>
      <c r="OA42" s="782"/>
      <c r="OB42" s="782"/>
      <c r="OC42" s="782"/>
      <c r="OD42" s="782"/>
      <c r="OE42" s="782"/>
      <c r="OF42" s="782"/>
      <c r="OG42" s="782"/>
      <c r="OH42" s="782"/>
      <c r="OI42" s="782"/>
      <c r="OJ42" s="782"/>
      <c r="OK42" s="782"/>
      <c r="OL42" s="782"/>
      <c r="OM42" s="782"/>
      <c r="ON42" s="782"/>
      <c r="OO42" s="782"/>
      <c r="OP42" s="782"/>
      <c r="OQ42" s="782"/>
      <c r="OR42" s="782"/>
      <c r="OS42" s="782"/>
      <c r="OT42" s="782"/>
      <c r="OU42" s="782"/>
      <c r="OV42" s="782"/>
      <c r="OW42" s="782"/>
      <c r="OX42" s="782"/>
      <c r="OY42" s="782"/>
      <c r="OZ42" s="782"/>
      <c r="PA42" s="782"/>
      <c r="PB42" s="782"/>
      <c r="PC42" s="782"/>
      <c r="PD42" s="782"/>
      <c r="PE42" s="782"/>
      <c r="PF42" s="782"/>
      <c r="PG42" s="782"/>
      <c r="PH42" s="782"/>
      <c r="PI42" s="782"/>
      <c r="PJ42" s="782"/>
      <c r="PK42" s="782"/>
      <c r="PL42" s="782"/>
      <c r="PM42" s="782"/>
      <c r="PN42" s="782"/>
      <c r="PO42" s="782"/>
      <c r="PP42" s="782"/>
      <c r="PQ42" s="782"/>
      <c r="PR42" s="782"/>
      <c r="PS42" s="782"/>
      <c r="PT42" s="782"/>
      <c r="PU42" s="782"/>
      <c r="PV42" s="782"/>
      <c r="PW42" s="782"/>
      <c r="PX42" s="782"/>
      <c r="PY42" s="782"/>
      <c r="PZ42" s="782"/>
      <c r="QA42" s="782"/>
      <c r="QB42" s="782"/>
      <c r="QC42" s="782"/>
      <c r="QD42" s="782"/>
      <c r="QE42" s="782"/>
      <c r="QF42" s="782"/>
      <c r="QG42" s="782"/>
      <c r="QH42" s="782"/>
      <c r="QI42" s="782"/>
      <c r="QJ42" s="782"/>
      <c r="QK42" s="782"/>
      <c r="QL42" s="782"/>
      <c r="QM42" s="782"/>
      <c r="QN42" s="782"/>
      <c r="QO42" s="782"/>
      <c r="QP42" s="782"/>
      <c r="QQ42" s="782"/>
      <c r="QR42" s="782"/>
      <c r="QS42" s="782"/>
      <c r="QT42" s="782"/>
      <c r="QU42" s="782"/>
      <c r="QV42" s="782"/>
      <c r="QW42" s="782"/>
      <c r="QX42" s="782"/>
      <c r="QY42" s="782"/>
      <c r="QZ42" s="782"/>
      <c r="RA42" s="782"/>
      <c r="RB42" s="782"/>
      <c r="RC42" s="782"/>
      <c r="RD42" s="782"/>
      <c r="RE42" s="782"/>
      <c r="RF42" s="782"/>
      <c r="RG42" s="782"/>
      <c r="RH42" s="782"/>
      <c r="RI42" s="782"/>
      <c r="RJ42" s="782"/>
      <c r="RK42" s="782"/>
      <c r="RL42" s="782"/>
      <c r="RM42" s="782"/>
      <c r="RN42" s="782"/>
      <c r="RO42" s="782"/>
      <c r="RP42" s="782"/>
      <c r="RQ42" s="782"/>
      <c r="RR42" s="782"/>
      <c r="RS42" s="782"/>
      <c r="RT42" s="782"/>
      <c r="RU42" s="782"/>
      <c r="RV42" s="782"/>
      <c r="RW42" s="782"/>
      <c r="RX42" s="782"/>
    </row>
    <row r="43" spans="1:492" s="143" customFormat="1">
      <c r="A43" s="782"/>
      <c r="B43" s="782"/>
      <c r="C43" s="782"/>
      <c r="D43" s="782"/>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90"/>
      <c r="AN43" s="790"/>
      <c r="AO43" s="790"/>
      <c r="AP43" s="150"/>
      <c r="AQ43" s="785"/>
      <c r="AR43" s="785"/>
      <c r="AS43" s="785"/>
      <c r="AT43" s="785"/>
      <c r="AU43" s="785"/>
      <c r="AV43" s="785"/>
      <c r="AW43" s="790"/>
      <c r="AX43" s="790"/>
      <c r="AY43" s="790"/>
      <c r="AZ43" s="790"/>
      <c r="BA43" s="785"/>
      <c r="BB43" s="785"/>
      <c r="BC43" s="785"/>
      <c r="BD43" s="785"/>
      <c r="BE43" s="785"/>
      <c r="BF43" s="785"/>
      <c r="BG43" s="785"/>
      <c r="BH43" s="785"/>
      <c r="BI43" s="785"/>
      <c r="BJ43" s="785"/>
      <c r="BK43" s="785"/>
      <c r="BL43" s="785"/>
      <c r="BM43" s="785"/>
      <c r="BN43" s="785"/>
      <c r="BO43" s="785"/>
      <c r="BP43" s="785"/>
      <c r="BQ43" s="785"/>
      <c r="BR43" s="785"/>
      <c r="BS43" s="785"/>
      <c r="BT43" s="785"/>
      <c r="BU43" s="785"/>
      <c r="BV43" s="785"/>
      <c r="BW43" s="785"/>
      <c r="BX43" s="785"/>
      <c r="BY43" s="785"/>
      <c r="BZ43" s="785"/>
      <c r="CA43" s="782"/>
      <c r="CB43" s="782"/>
      <c r="CC43" s="782"/>
      <c r="CD43" s="782"/>
      <c r="CE43" s="782"/>
      <c r="CF43" s="782"/>
      <c r="CG43" s="782"/>
      <c r="CH43" s="782"/>
      <c r="CI43" s="782"/>
      <c r="CJ43" s="782"/>
      <c r="CK43" s="782"/>
      <c r="CL43" s="782"/>
      <c r="CM43" s="782"/>
      <c r="CN43" s="782"/>
      <c r="CO43" s="782"/>
      <c r="CP43" s="782"/>
      <c r="CQ43" s="782"/>
      <c r="CR43" s="782"/>
      <c r="CS43" s="782"/>
      <c r="CT43" s="782"/>
      <c r="CU43" s="782"/>
      <c r="CV43" s="782"/>
      <c r="CW43" s="782"/>
      <c r="CX43" s="782"/>
      <c r="CY43" s="782"/>
      <c r="CZ43" s="782"/>
      <c r="DA43" s="782"/>
      <c r="DB43" s="782"/>
      <c r="DC43" s="782"/>
      <c r="DD43" s="782"/>
      <c r="DE43" s="782"/>
      <c r="DF43" s="782"/>
      <c r="DG43" s="782"/>
      <c r="DH43" s="782"/>
      <c r="DI43" s="782"/>
      <c r="DJ43" s="782"/>
      <c r="DK43" s="782"/>
      <c r="DL43" s="782"/>
      <c r="DM43" s="782"/>
      <c r="DN43" s="782"/>
      <c r="DO43" s="782"/>
      <c r="DP43" s="782"/>
      <c r="DQ43" s="782"/>
      <c r="DR43" s="782"/>
      <c r="DS43" s="782"/>
      <c r="DT43" s="782"/>
      <c r="DU43" s="782"/>
      <c r="DV43" s="782"/>
      <c r="DW43" s="782"/>
      <c r="DX43" s="782"/>
      <c r="DY43" s="782"/>
      <c r="DZ43" s="782"/>
      <c r="EA43" s="782"/>
      <c r="EB43" s="782"/>
      <c r="EC43" s="782"/>
      <c r="ED43" s="782"/>
      <c r="EE43" s="782"/>
      <c r="EF43" s="782"/>
      <c r="EG43" s="782"/>
      <c r="EH43" s="782"/>
      <c r="EI43" s="782"/>
      <c r="EJ43" s="782"/>
      <c r="EK43" s="782"/>
      <c r="EL43" s="782"/>
      <c r="EM43" s="782"/>
      <c r="EN43" s="782"/>
      <c r="EO43" s="782"/>
      <c r="EP43" s="782"/>
      <c r="EQ43" s="782"/>
      <c r="ER43" s="782"/>
      <c r="ES43" s="782"/>
      <c r="ET43" s="782"/>
      <c r="EU43" s="782"/>
      <c r="EV43" s="782"/>
      <c r="EW43" s="782"/>
      <c r="EX43" s="782"/>
      <c r="EY43" s="782"/>
      <c r="EZ43" s="782"/>
      <c r="FA43" s="782"/>
      <c r="FB43" s="782"/>
      <c r="FC43" s="782"/>
      <c r="FD43" s="782"/>
      <c r="FE43" s="782"/>
      <c r="FF43" s="782"/>
      <c r="FG43" s="782"/>
      <c r="FH43" s="782"/>
      <c r="FI43" s="782"/>
      <c r="FJ43" s="782"/>
      <c r="FK43" s="782"/>
      <c r="FL43" s="782"/>
      <c r="FM43" s="782"/>
      <c r="FN43" s="782"/>
      <c r="FO43" s="782"/>
      <c r="FP43" s="782"/>
      <c r="FQ43" s="782"/>
      <c r="FR43" s="782"/>
      <c r="FS43" s="782"/>
      <c r="FT43" s="782"/>
      <c r="FU43" s="782"/>
      <c r="FV43" s="782"/>
      <c r="FW43" s="782"/>
      <c r="FX43" s="782"/>
      <c r="FY43" s="782"/>
      <c r="FZ43" s="782"/>
      <c r="GA43" s="782"/>
      <c r="GB43" s="782"/>
      <c r="GC43" s="782"/>
      <c r="GD43" s="782"/>
      <c r="GE43" s="782"/>
      <c r="GF43" s="782"/>
      <c r="GG43" s="782"/>
      <c r="GH43" s="782"/>
      <c r="GI43" s="782"/>
      <c r="GJ43" s="782"/>
      <c r="GK43" s="782"/>
      <c r="GL43" s="782"/>
      <c r="GM43" s="782"/>
      <c r="GN43" s="782"/>
      <c r="GO43" s="782"/>
      <c r="GP43" s="782"/>
      <c r="GQ43" s="782"/>
      <c r="GR43" s="782"/>
      <c r="GS43" s="782"/>
      <c r="GT43" s="782"/>
      <c r="GU43" s="782"/>
      <c r="GV43" s="782"/>
      <c r="GW43" s="782"/>
      <c r="GX43" s="782"/>
      <c r="GY43" s="782"/>
      <c r="GZ43" s="782"/>
      <c r="HA43" s="782"/>
      <c r="HB43" s="782"/>
      <c r="HC43" s="782"/>
      <c r="HD43" s="782"/>
      <c r="HE43" s="782"/>
      <c r="HF43" s="782"/>
      <c r="HG43" s="782"/>
      <c r="HH43" s="782"/>
      <c r="HI43" s="782"/>
      <c r="HJ43" s="782"/>
      <c r="HK43" s="782"/>
      <c r="HL43" s="782"/>
      <c r="HM43" s="782"/>
      <c r="HN43" s="782"/>
      <c r="HO43" s="782"/>
      <c r="HP43" s="782"/>
      <c r="HQ43" s="782"/>
      <c r="HR43" s="782"/>
      <c r="HS43" s="782"/>
      <c r="HT43" s="782"/>
      <c r="HU43" s="782"/>
      <c r="HV43" s="782"/>
      <c r="HW43" s="782"/>
      <c r="HX43" s="782"/>
      <c r="HY43" s="782"/>
      <c r="HZ43" s="782"/>
      <c r="IA43" s="782"/>
      <c r="IB43" s="782"/>
      <c r="IC43" s="782"/>
      <c r="ID43" s="782"/>
      <c r="IE43" s="782"/>
      <c r="IF43" s="782"/>
      <c r="IG43" s="782"/>
      <c r="IH43" s="782"/>
      <c r="II43" s="782"/>
      <c r="IJ43" s="782"/>
      <c r="IK43" s="782"/>
      <c r="IL43" s="782"/>
      <c r="IM43" s="782"/>
      <c r="IN43" s="782"/>
      <c r="IO43" s="782"/>
      <c r="IP43" s="782"/>
      <c r="IQ43" s="782"/>
      <c r="IR43" s="782"/>
      <c r="IS43" s="782"/>
      <c r="IT43" s="782"/>
      <c r="IU43" s="782"/>
      <c r="IV43" s="782"/>
      <c r="IW43" s="782"/>
      <c r="IX43" s="782"/>
      <c r="IY43" s="782"/>
      <c r="IZ43" s="782"/>
      <c r="JA43" s="782"/>
      <c r="JB43" s="782"/>
      <c r="JC43" s="782"/>
      <c r="JD43" s="782"/>
      <c r="JE43" s="782"/>
      <c r="JF43" s="782"/>
      <c r="JG43" s="782"/>
      <c r="JH43" s="782"/>
      <c r="JI43" s="782"/>
      <c r="JJ43" s="782"/>
      <c r="JK43" s="782"/>
      <c r="JL43" s="782"/>
      <c r="JM43" s="782"/>
      <c r="JN43" s="782"/>
      <c r="JO43" s="782"/>
      <c r="JP43" s="782"/>
      <c r="JQ43" s="782"/>
      <c r="JR43" s="782"/>
      <c r="JS43" s="782"/>
      <c r="JT43" s="782"/>
      <c r="JU43" s="782"/>
      <c r="JV43" s="782"/>
      <c r="JW43" s="782"/>
      <c r="JX43" s="782"/>
      <c r="JY43" s="782"/>
      <c r="JZ43" s="782"/>
      <c r="KA43" s="782"/>
      <c r="KB43" s="782"/>
      <c r="KC43" s="782"/>
      <c r="KD43" s="782"/>
      <c r="KE43" s="782"/>
      <c r="KF43" s="782"/>
      <c r="KG43" s="782"/>
      <c r="KH43" s="782"/>
      <c r="KI43" s="782"/>
      <c r="KJ43" s="782"/>
      <c r="KK43" s="782"/>
      <c r="KL43" s="782"/>
      <c r="KM43" s="782"/>
      <c r="KN43" s="782"/>
      <c r="KO43" s="782"/>
      <c r="KP43" s="782"/>
      <c r="KQ43" s="782"/>
      <c r="KR43" s="782"/>
      <c r="KS43" s="782"/>
      <c r="KT43" s="782"/>
      <c r="KU43" s="782"/>
      <c r="KV43" s="782"/>
      <c r="KW43" s="782"/>
      <c r="KX43" s="782"/>
      <c r="KY43" s="782"/>
      <c r="KZ43" s="782"/>
      <c r="LA43" s="782"/>
      <c r="LB43" s="782"/>
      <c r="LC43" s="782"/>
      <c r="LD43" s="782"/>
      <c r="LE43" s="782"/>
      <c r="LF43" s="782"/>
      <c r="LG43" s="782"/>
      <c r="LH43" s="782"/>
      <c r="LI43" s="782"/>
      <c r="LJ43" s="782"/>
      <c r="LK43" s="782"/>
      <c r="LL43" s="782"/>
      <c r="LM43" s="782"/>
      <c r="LN43" s="782"/>
      <c r="LO43" s="782"/>
      <c r="LP43" s="782"/>
      <c r="LQ43" s="782"/>
      <c r="LR43" s="782"/>
      <c r="LS43" s="782"/>
      <c r="LT43" s="782"/>
      <c r="LU43" s="782"/>
      <c r="LV43" s="782"/>
      <c r="LW43" s="782"/>
      <c r="LX43" s="782"/>
      <c r="LY43" s="782"/>
      <c r="LZ43" s="782"/>
      <c r="MA43" s="782"/>
      <c r="MB43" s="782"/>
      <c r="MC43" s="782"/>
      <c r="MD43" s="782"/>
      <c r="ME43" s="782"/>
      <c r="MF43" s="782"/>
      <c r="MG43" s="782"/>
      <c r="MH43" s="782"/>
      <c r="MI43" s="782"/>
      <c r="MJ43" s="782"/>
      <c r="MK43" s="782"/>
      <c r="ML43" s="782"/>
      <c r="MM43" s="782"/>
      <c r="MN43" s="782"/>
      <c r="MO43" s="782"/>
      <c r="MP43" s="782"/>
      <c r="MQ43" s="782"/>
      <c r="MR43" s="782"/>
      <c r="MS43" s="782"/>
      <c r="MT43" s="782"/>
      <c r="MU43" s="782"/>
      <c r="MV43" s="782"/>
      <c r="MW43" s="782"/>
      <c r="MX43" s="782"/>
      <c r="MY43" s="782"/>
      <c r="MZ43" s="782"/>
      <c r="NA43" s="782"/>
      <c r="NB43" s="782"/>
      <c r="NC43" s="782"/>
      <c r="ND43" s="782"/>
      <c r="NE43" s="782"/>
      <c r="NF43" s="782"/>
      <c r="NG43" s="782"/>
      <c r="NH43" s="782"/>
      <c r="NI43" s="782"/>
      <c r="NJ43" s="782"/>
      <c r="NK43" s="782"/>
      <c r="NL43" s="782"/>
      <c r="NM43" s="782"/>
      <c r="NN43" s="782"/>
      <c r="NO43" s="782"/>
      <c r="NP43" s="782"/>
      <c r="NQ43" s="782"/>
      <c r="NR43" s="782"/>
      <c r="NS43" s="782"/>
      <c r="NT43" s="782"/>
      <c r="NU43" s="782"/>
      <c r="NV43" s="782"/>
      <c r="NW43" s="782"/>
      <c r="NX43" s="782"/>
      <c r="NY43" s="782"/>
      <c r="NZ43" s="782"/>
      <c r="OA43" s="782"/>
      <c r="OB43" s="782"/>
      <c r="OC43" s="782"/>
      <c r="OD43" s="782"/>
      <c r="OE43" s="782"/>
      <c r="OF43" s="782"/>
      <c r="OG43" s="782"/>
      <c r="OH43" s="782"/>
      <c r="OI43" s="782"/>
      <c r="OJ43" s="782"/>
      <c r="OK43" s="782"/>
      <c r="OL43" s="782"/>
      <c r="OM43" s="782"/>
      <c r="ON43" s="782"/>
      <c r="OO43" s="782"/>
      <c r="OP43" s="782"/>
      <c r="OQ43" s="782"/>
      <c r="OR43" s="782"/>
      <c r="OS43" s="782"/>
      <c r="OT43" s="782"/>
      <c r="OU43" s="782"/>
      <c r="OV43" s="782"/>
      <c r="OW43" s="782"/>
      <c r="OX43" s="782"/>
      <c r="OY43" s="782"/>
      <c r="OZ43" s="782"/>
      <c r="PA43" s="782"/>
      <c r="PB43" s="782"/>
      <c r="PC43" s="782"/>
      <c r="PD43" s="782"/>
      <c r="PE43" s="782"/>
      <c r="PF43" s="782"/>
      <c r="PG43" s="782"/>
      <c r="PH43" s="782"/>
      <c r="PI43" s="782"/>
      <c r="PJ43" s="782"/>
      <c r="PK43" s="782"/>
      <c r="PL43" s="782"/>
      <c r="PM43" s="782"/>
      <c r="PN43" s="782"/>
      <c r="PO43" s="782"/>
      <c r="PP43" s="782"/>
      <c r="PQ43" s="782"/>
      <c r="PR43" s="782"/>
      <c r="PS43" s="782"/>
      <c r="PT43" s="782"/>
      <c r="PU43" s="782"/>
      <c r="PV43" s="782"/>
      <c r="PW43" s="782"/>
      <c r="PX43" s="782"/>
      <c r="PY43" s="782"/>
      <c r="PZ43" s="782"/>
      <c r="QA43" s="782"/>
      <c r="QB43" s="782"/>
      <c r="QC43" s="782"/>
      <c r="QD43" s="782"/>
      <c r="QE43" s="782"/>
      <c r="QF43" s="782"/>
      <c r="QG43" s="782"/>
      <c r="QH43" s="782"/>
      <c r="QI43" s="782"/>
      <c r="QJ43" s="782"/>
      <c r="QK43" s="782"/>
      <c r="QL43" s="782"/>
      <c r="QM43" s="782"/>
      <c r="QN43" s="782"/>
      <c r="QO43" s="782"/>
      <c r="QP43" s="782"/>
      <c r="QQ43" s="782"/>
      <c r="QR43" s="782"/>
      <c r="QS43" s="782"/>
      <c r="QT43" s="782"/>
      <c r="QU43" s="782"/>
      <c r="QV43" s="782"/>
      <c r="QW43" s="782"/>
      <c r="QX43" s="782"/>
      <c r="QY43" s="782"/>
      <c r="QZ43" s="782"/>
      <c r="RA43" s="782"/>
      <c r="RB43" s="782"/>
      <c r="RC43" s="782"/>
      <c r="RD43" s="782"/>
      <c r="RE43" s="782"/>
      <c r="RF43" s="782"/>
      <c r="RG43" s="782"/>
      <c r="RH43" s="782"/>
      <c r="RI43" s="782"/>
      <c r="RJ43" s="782"/>
      <c r="RK43" s="782"/>
      <c r="RL43" s="782"/>
      <c r="RM43" s="782"/>
      <c r="RN43" s="782"/>
      <c r="RO43" s="782"/>
      <c r="RP43" s="782"/>
      <c r="RQ43" s="782"/>
      <c r="RR43" s="782"/>
      <c r="RS43" s="782"/>
      <c r="RT43" s="782"/>
      <c r="RU43" s="782"/>
      <c r="RV43" s="782"/>
      <c r="RW43" s="782"/>
      <c r="RX43" s="782"/>
    </row>
    <row r="44" spans="1:492" s="143" customFormat="1">
      <c r="A44" s="782"/>
      <c r="B44" s="782"/>
      <c r="C44" s="782"/>
      <c r="D44" s="782"/>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90"/>
      <c r="AN44" s="790"/>
      <c r="AO44" s="790"/>
      <c r="AP44" s="150"/>
      <c r="AQ44" s="785"/>
      <c r="AR44" s="785"/>
      <c r="AS44" s="785"/>
      <c r="AT44" s="785"/>
      <c r="AU44" s="785"/>
      <c r="AV44" s="785"/>
      <c r="AW44" s="790"/>
      <c r="AX44" s="790"/>
      <c r="AY44" s="790"/>
      <c r="AZ44" s="151"/>
      <c r="BA44" s="785"/>
      <c r="BB44" s="785"/>
      <c r="BC44" s="785"/>
      <c r="BD44" s="785"/>
      <c r="BE44" s="785"/>
      <c r="BF44" s="785"/>
      <c r="BG44" s="785"/>
      <c r="BH44" s="785"/>
      <c r="BI44" s="785"/>
      <c r="BJ44" s="785"/>
      <c r="BK44" s="785"/>
      <c r="BL44" s="785"/>
      <c r="BM44" s="785"/>
      <c r="BN44" s="785"/>
      <c r="BO44" s="785"/>
      <c r="BP44" s="785"/>
      <c r="BQ44" s="785"/>
      <c r="BR44" s="785"/>
      <c r="BS44" s="785"/>
      <c r="BT44" s="785"/>
      <c r="BU44" s="785"/>
      <c r="BV44" s="785"/>
      <c r="BW44" s="785"/>
      <c r="BX44" s="785"/>
      <c r="BY44" s="785"/>
      <c r="BZ44" s="785"/>
      <c r="CA44" s="782"/>
      <c r="CB44" s="782"/>
      <c r="CC44" s="782"/>
      <c r="CD44" s="782"/>
      <c r="CE44" s="782"/>
      <c r="CF44" s="782"/>
      <c r="CG44" s="782"/>
      <c r="CH44" s="782"/>
      <c r="CI44" s="782"/>
      <c r="CJ44" s="782"/>
      <c r="CK44" s="782"/>
      <c r="CL44" s="782"/>
      <c r="CM44" s="782"/>
      <c r="CN44" s="782"/>
      <c r="CO44" s="782"/>
      <c r="CP44" s="782"/>
      <c r="CQ44" s="782"/>
      <c r="CR44" s="782"/>
      <c r="CS44" s="782"/>
      <c r="CT44" s="782"/>
      <c r="CU44" s="782"/>
      <c r="CV44" s="782"/>
      <c r="CW44" s="782"/>
      <c r="CX44" s="782"/>
      <c r="CY44" s="782"/>
      <c r="CZ44" s="782"/>
      <c r="DA44" s="782"/>
      <c r="DB44" s="782"/>
      <c r="DC44" s="782"/>
      <c r="DD44" s="782"/>
      <c r="DE44" s="782"/>
      <c r="DF44" s="782"/>
      <c r="DG44" s="782"/>
      <c r="DH44" s="782"/>
      <c r="DI44" s="782"/>
      <c r="DJ44" s="782"/>
      <c r="DK44" s="782"/>
      <c r="DL44" s="782"/>
      <c r="DM44" s="782"/>
      <c r="DN44" s="782"/>
      <c r="DO44" s="782"/>
      <c r="DP44" s="782"/>
      <c r="DQ44" s="782"/>
      <c r="DR44" s="782"/>
      <c r="DS44" s="782"/>
      <c r="DT44" s="782"/>
      <c r="DU44" s="782"/>
      <c r="DV44" s="782"/>
      <c r="DW44" s="782"/>
      <c r="DX44" s="782"/>
      <c r="DY44" s="782"/>
      <c r="DZ44" s="782"/>
      <c r="EA44" s="782"/>
      <c r="EB44" s="782"/>
      <c r="EC44" s="782"/>
      <c r="ED44" s="782"/>
      <c r="EE44" s="782"/>
      <c r="EF44" s="782"/>
      <c r="EG44" s="782"/>
      <c r="EH44" s="782"/>
      <c r="EI44" s="782"/>
      <c r="EJ44" s="782"/>
      <c r="EK44" s="782"/>
      <c r="EL44" s="782"/>
      <c r="EM44" s="782"/>
      <c r="EN44" s="782"/>
      <c r="EO44" s="782"/>
      <c r="EP44" s="782"/>
      <c r="EQ44" s="782"/>
      <c r="ER44" s="782"/>
      <c r="ES44" s="782"/>
      <c r="ET44" s="782"/>
      <c r="EU44" s="782"/>
      <c r="EV44" s="782"/>
      <c r="EW44" s="782"/>
      <c r="EX44" s="782"/>
      <c r="EY44" s="782"/>
      <c r="EZ44" s="782"/>
      <c r="FA44" s="782"/>
      <c r="FB44" s="782"/>
      <c r="FC44" s="782"/>
      <c r="FD44" s="782"/>
      <c r="FE44" s="782"/>
      <c r="FF44" s="782"/>
      <c r="FG44" s="782"/>
      <c r="FH44" s="782"/>
      <c r="FI44" s="782"/>
      <c r="FJ44" s="782"/>
      <c r="FK44" s="782"/>
      <c r="FL44" s="782"/>
      <c r="FM44" s="782"/>
      <c r="FN44" s="782"/>
      <c r="FO44" s="782"/>
      <c r="FP44" s="782"/>
      <c r="FQ44" s="782"/>
      <c r="FR44" s="782"/>
      <c r="FS44" s="782"/>
      <c r="FT44" s="782"/>
      <c r="FU44" s="782"/>
      <c r="FV44" s="782"/>
      <c r="FW44" s="782"/>
      <c r="FX44" s="782"/>
      <c r="FY44" s="782"/>
      <c r="FZ44" s="782"/>
      <c r="GA44" s="782"/>
      <c r="GB44" s="782"/>
      <c r="GC44" s="782"/>
      <c r="GD44" s="782"/>
      <c r="GE44" s="782"/>
      <c r="GF44" s="782"/>
      <c r="GG44" s="782"/>
      <c r="GH44" s="782"/>
      <c r="GI44" s="782"/>
      <c r="GJ44" s="782"/>
      <c r="GK44" s="782"/>
      <c r="GL44" s="782"/>
      <c r="GM44" s="782"/>
      <c r="GN44" s="782"/>
      <c r="GO44" s="782"/>
      <c r="GP44" s="782"/>
      <c r="GQ44" s="782"/>
      <c r="GR44" s="782"/>
      <c r="GS44" s="782"/>
      <c r="GT44" s="782"/>
      <c r="GU44" s="782"/>
      <c r="GV44" s="782"/>
      <c r="GW44" s="782"/>
      <c r="GX44" s="782"/>
      <c r="GY44" s="782"/>
      <c r="GZ44" s="782"/>
      <c r="HA44" s="782"/>
      <c r="HB44" s="782"/>
      <c r="HC44" s="782"/>
      <c r="HD44" s="782"/>
      <c r="HE44" s="782"/>
      <c r="HF44" s="782"/>
      <c r="HG44" s="782"/>
      <c r="HH44" s="782"/>
      <c r="HI44" s="782"/>
      <c r="HJ44" s="782"/>
      <c r="HK44" s="782"/>
      <c r="HL44" s="782"/>
      <c r="HM44" s="782"/>
      <c r="HN44" s="782"/>
      <c r="HO44" s="782"/>
      <c r="HP44" s="782"/>
      <c r="HQ44" s="782"/>
      <c r="HR44" s="782"/>
      <c r="HS44" s="782"/>
      <c r="HT44" s="782"/>
      <c r="HU44" s="782"/>
      <c r="HV44" s="782"/>
      <c r="HW44" s="782"/>
      <c r="HX44" s="782"/>
      <c r="HY44" s="782"/>
      <c r="HZ44" s="782"/>
      <c r="IA44" s="782"/>
      <c r="IB44" s="782"/>
      <c r="IC44" s="782"/>
      <c r="ID44" s="782"/>
      <c r="IE44" s="782"/>
      <c r="IF44" s="782"/>
      <c r="IG44" s="782"/>
      <c r="IH44" s="782"/>
      <c r="II44" s="782"/>
      <c r="IJ44" s="782"/>
      <c r="IK44" s="782"/>
      <c r="IL44" s="782"/>
      <c r="IM44" s="782"/>
      <c r="IN44" s="782"/>
      <c r="IO44" s="782"/>
      <c r="IP44" s="782"/>
      <c r="IQ44" s="782"/>
      <c r="IR44" s="782"/>
      <c r="IS44" s="782"/>
      <c r="IT44" s="782"/>
      <c r="IU44" s="782"/>
      <c r="IV44" s="782"/>
      <c r="IW44" s="782"/>
      <c r="IX44" s="782"/>
      <c r="IY44" s="782"/>
      <c r="IZ44" s="782"/>
      <c r="JA44" s="782"/>
      <c r="JB44" s="782"/>
      <c r="JC44" s="782"/>
      <c r="JD44" s="782"/>
      <c r="JE44" s="782"/>
      <c r="JF44" s="782"/>
      <c r="JG44" s="782"/>
      <c r="JH44" s="782"/>
      <c r="JI44" s="782"/>
      <c r="JJ44" s="782"/>
      <c r="JK44" s="782"/>
      <c r="JL44" s="782"/>
      <c r="JM44" s="782"/>
      <c r="JN44" s="782"/>
      <c r="JO44" s="782"/>
      <c r="JP44" s="782"/>
      <c r="JQ44" s="782"/>
      <c r="JR44" s="782"/>
      <c r="JS44" s="782"/>
      <c r="JT44" s="782"/>
      <c r="JU44" s="782"/>
      <c r="JV44" s="782"/>
      <c r="JW44" s="782"/>
      <c r="JX44" s="782"/>
      <c r="JY44" s="782"/>
      <c r="JZ44" s="782"/>
      <c r="KA44" s="782"/>
      <c r="KB44" s="782"/>
      <c r="KC44" s="782"/>
      <c r="KD44" s="782"/>
      <c r="KE44" s="782"/>
      <c r="KF44" s="782"/>
      <c r="KG44" s="782"/>
      <c r="KH44" s="782"/>
      <c r="KI44" s="782"/>
      <c r="KJ44" s="782"/>
      <c r="KK44" s="782"/>
      <c r="KL44" s="782"/>
      <c r="KM44" s="782"/>
      <c r="KN44" s="782"/>
      <c r="KO44" s="782"/>
      <c r="KP44" s="782"/>
      <c r="KQ44" s="782"/>
      <c r="KR44" s="782"/>
      <c r="KS44" s="782"/>
      <c r="KT44" s="782"/>
      <c r="KU44" s="782"/>
      <c r="KV44" s="782"/>
      <c r="KW44" s="782"/>
      <c r="KX44" s="782"/>
      <c r="KY44" s="782"/>
      <c r="KZ44" s="782"/>
      <c r="LA44" s="782"/>
      <c r="LB44" s="782"/>
      <c r="LC44" s="782"/>
      <c r="LD44" s="782"/>
      <c r="LE44" s="782"/>
      <c r="LF44" s="782"/>
      <c r="LG44" s="782"/>
      <c r="LH44" s="782"/>
      <c r="LI44" s="782"/>
      <c r="LJ44" s="782"/>
      <c r="LK44" s="782"/>
      <c r="LL44" s="782"/>
      <c r="LM44" s="782"/>
      <c r="LN44" s="782"/>
      <c r="LO44" s="782"/>
      <c r="LP44" s="782"/>
      <c r="LQ44" s="782"/>
      <c r="LR44" s="782"/>
      <c r="LS44" s="782"/>
      <c r="LT44" s="782"/>
      <c r="LU44" s="782"/>
      <c r="LV44" s="782"/>
      <c r="LW44" s="782"/>
      <c r="LX44" s="782"/>
      <c r="LY44" s="782"/>
      <c r="LZ44" s="782"/>
      <c r="MA44" s="782"/>
      <c r="MB44" s="782"/>
      <c r="MC44" s="782"/>
      <c r="MD44" s="782"/>
      <c r="ME44" s="782"/>
      <c r="MF44" s="782"/>
      <c r="MG44" s="782"/>
      <c r="MH44" s="782"/>
      <c r="MI44" s="782"/>
      <c r="MJ44" s="782"/>
      <c r="MK44" s="782"/>
      <c r="ML44" s="782"/>
      <c r="MM44" s="782"/>
      <c r="MN44" s="782"/>
      <c r="MO44" s="782"/>
      <c r="MP44" s="782"/>
      <c r="MQ44" s="782"/>
      <c r="MR44" s="782"/>
      <c r="MS44" s="782"/>
      <c r="MT44" s="782"/>
      <c r="MU44" s="782"/>
      <c r="MV44" s="782"/>
      <c r="MW44" s="782"/>
      <c r="MX44" s="782"/>
      <c r="MY44" s="782"/>
      <c r="MZ44" s="782"/>
      <c r="NA44" s="782"/>
      <c r="NB44" s="782"/>
      <c r="NC44" s="782"/>
      <c r="ND44" s="782"/>
      <c r="NE44" s="782"/>
      <c r="NF44" s="782"/>
      <c r="NG44" s="782"/>
      <c r="NH44" s="782"/>
      <c r="NI44" s="782"/>
      <c r="NJ44" s="782"/>
      <c r="NK44" s="782"/>
      <c r="NL44" s="782"/>
      <c r="NM44" s="782"/>
      <c r="NN44" s="782"/>
      <c r="NO44" s="782"/>
      <c r="NP44" s="782"/>
      <c r="NQ44" s="782"/>
      <c r="NR44" s="782"/>
      <c r="NS44" s="782"/>
      <c r="NT44" s="782"/>
      <c r="NU44" s="782"/>
      <c r="NV44" s="782"/>
      <c r="NW44" s="782"/>
      <c r="NX44" s="782"/>
      <c r="NY44" s="782"/>
      <c r="NZ44" s="782"/>
      <c r="OA44" s="782"/>
      <c r="OB44" s="782"/>
      <c r="OC44" s="782"/>
      <c r="OD44" s="782"/>
      <c r="OE44" s="782"/>
      <c r="OF44" s="782"/>
      <c r="OG44" s="782"/>
      <c r="OH44" s="782"/>
      <c r="OI44" s="782"/>
      <c r="OJ44" s="782"/>
      <c r="OK44" s="782"/>
      <c r="OL44" s="782"/>
      <c r="OM44" s="782"/>
      <c r="ON44" s="782"/>
      <c r="OO44" s="782"/>
      <c r="OP44" s="782"/>
      <c r="OQ44" s="782"/>
      <c r="OR44" s="782"/>
      <c r="OS44" s="782"/>
      <c r="OT44" s="782"/>
      <c r="OU44" s="782"/>
      <c r="OV44" s="782"/>
      <c r="OW44" s="782"/>
      <c r="OX44" s="782"/>
      <c r="OY44" s="782"/>
      <c r="OZ44" s="782"/>
      <c r="PA44" s="782"/>
      <c r="PB44" s="782"/>
      <c r="PC44" s="782"/>
      <c r="PD44" s="782"/>
      <c r="PE44" s="782"/>
      <c r="PF44" s="782"/>
      <c r="PG44" s="782"/>
      <c r="PH44" s="782"/>
      <c r="PI44" s="782"/>
      <c r="PJ44" s="782"/>
      <c r="PK44" s="782"/>
      <c r="PL44" s="782"/>
      <c r="PM44" s="782"/>
      <c r="PN44" s="782"/>
      <c r="PO44" s="782"/>
      <c r="PP44" s="782"/>
      <c r="PQ44" s="782"/>
      <c r="PR44" s="782"/>
      <c r="PS44" s="782"/>
      <c r="PT44" s="782"/>
      <c r="PU44" s="782"/>
      <c r="PV44" s="782"/>
      <c r="PW44" s="782"/>
      <c r="PX44" s="782"/>
      <c r="PY44" s="782"/>
      <c r="PZ44" s="782"/>
      <c r="QA44" s="782"/>
      <c r="QB44" s="782"/>
      <c r="QC44" s="782"/>
      <c r="QD44" s="782"/>
      <c r="QE44" s="782"/>
      <c r="QF44" s="782"/>
      <c r="QG44" s="782"/>
      <c r="QH44" s="782"/>
      <c r="QI44" s="782"/>
      <c r="QJ44" s="782"/>
      <c r="QK44" s="782"/>
      <c r="QL44" s="782"/>
      <c r="QM44" s="782"/>
      <c r="QN44" s="782"/>
      <c r="QO44" s="782"/>
      <c r="QP44" s="782"/>
      <c r="QQ44" s="782"/>
      <c r="QR44" s="782"/>
      <c r="QS44" s="782"/>
      <c r="QT44" s="782"/>
      <c r="QU44" s="782"/>
      <c r="QV44" s="782"/>
      <c r="QW44" s="782"/>
      <c r="QX44" s="782"/>
      <c r="QY44" s="782"/>
      <c r="QZ44" s="782"/>
      <c r="RA44" s="782"/>
      <c r="RB44" s="782"/>
      <c r="RC44" s="782"/>
      <c r="RD44" s="782"/>
      <c r="RE44" s="782"/>
      <c r="RF44" s="782"/>
      <c r="RG44" s="782"/>
      <c r="RH44" s="782"/>
      <c r="RI44" s="782"/>
      <c r="RJ44" s="782"/>
      <c r="RK44" s="782"/>
      <c r="RL44" s="782"/>
      <c r="RM44" s="782"/>
      <c r="RN44" s="782"/>
      <c r="RO44" s="782"/>
      <c r="RP44" s="782"/>
      <c r="RQ44" s="782"/>
      <c r="RR44" s="782"/>
      <c r="RS44" s="782"/>
      <c r="RT44" s="782"/>
      <c r="RU44" s="782"/>
      <c r="RV44" s="782"/>
      <c r="RW44" s="782"/>
      <c r="RX44" s="782"/>
    </row>
    <row r="45" spans="1:492" s="143" customFormat="1">
      <c r="A45" s="782"/>
      <c r="B45" s="782"/>
      <c r="C45" s="782"/>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90"/>
      <c r="AN45" s="790"/>
      <c r="AO45" s="790"/>
      <c r="AP45" s="150"/>
      <c r="AQ45" s="785"/>
      <c r="AR45" s="785"/>
      <c r="AS45" s="785"/>
      <c r="AT45" s="785"/>
      <c r="AU45" s="785"/>
      <c r="AV45" s="785"/>
      <c r="AW45" s="790"/>
      <c r="AX45" s="790"/>
      <c r="AY45" s="790"/>
      <c r="AZ45" s="151"/>
      <c r="BA45" s="785"/>
      <c r="BB45" s="790"/>
      <c r="BC45" s="790"/>
      <c r="BD45" s="152"/>
      <c r="BE45" s="152"/>
      <c r="BF45" s="785"/>
      <c r="BG45" s="790"/>
      <c r="BH45" s="790"/>
      <c r="BI45" s="152"/>
      <c r="BJ45" s="152"/>
      <c r="BK45" s="785"/>
      <c r="BL45" s="790"/>
      <c r="BM45" s="790"/>
      <c r="BN45" s="152"/>
      <c r="BO45" s="152"/>
      <c r="BP45" s="785"/>
      <c r="BQ45" s="790"/>
      <c r="BR45" s="790"/>
      <c r="BS45" s="152"/>
      <c r="BT45" s="152"/>
      <c r="BU45" s="785"/>
      <c r="BV45" s="790"/>
      <c r="BW45" s="790"/>
      <c r="BX45" s="152"/>
      <c r="BY45" s="152"/>
      <c r="BZ45" s="785"/>
      <c r="CA45" s="782"/>
      <c r="CB45" s="782"/>
      <c r="CC45" s="782"/>
      <c r="CD45" s="782"/>
      <c r="CE45" s="782"/>
      <c r="CF45" s="782"/>
      <c r="CG45" s="782"/>
      <c r="CH45" s="782"/>
      <c r="CI45" s="782"/>
      <c r="CJ45" s="782"/>
      <c r="CK45" s="782"/>
      <c r="CL45" s="782"/>
      <c r="CM45" s="782"/>
      <c r="CN45" s="782"/>
      <c r="CO45" s="782"/>
      <c r="CP45" s="782"/>
      <c r="CQ45" s="782"/>
      <c r="CR45" s="782"/>
      <c r="CS45" s="782"/>
      <c r="CT45" s="782"/>
      <c r="CU45" s="782"/>
      <c r="CV45" s="782"/>
      <c r="CW45" s="782"/>
      <c r="CX45" s="782"/>
      <c r="CY45" s="782"/>
      <c r="CZ45" s="782"/>
      <c r="DA45" s="782"/>
      <c r="DB45" s="782"/>
      <c r="DC45" s="782"/>
      <c r="DD45" s="782"/>
      <c r="DE45" s="782"/>
      <c r="DF45" s="782"/>
      <c r="DG45" s="782"/>
      <c r="DH45" s="782"/>
      <c r="DI45" s="782"/>
      <c r="DJ45" s="782"/>
      <c r="DK45" s="782"/>
      <c r="DL45" s="782"/>
      <c r="DM45" s="782"/>
      <c r="DN45" s="782"/>
      <c r="DO45" s="782"/>
      <c r="DP45" s="782"/>
      <c r="DQ45" s="782"/>
      <c r="DR45" s="782"/>
      <c r="DS45" s="782"/>
      <c r="DT45" s="782"/>
      <c r="DU45" s="782"/>
      <c r="DV45" s="782"/>
      <c r="DW45" s="782"/>
      <c r="DX45" s="782"/>
      <c r="DY45" s="782"/>
      <c r="DZ45" s="782"/>
      <c r="EA45" s="782"/>
      <c r="EB45" s="782"/>
      <c r="EC45" s="782"/>
      <c r="ED45" s="782"/>
      <c r="EE45" s="782"/>
      <c r="EF45" s="782"/>
      <c r="EG45" s="782"/>
      <c r="EH45" s="782"/>
      <c r="EI45" s="782"/>
      <c r="EJ45" s="782"/>
      <c r="EK45" s="782"/>
      <c r="EL45" s="782"/>
      <c r="EM45" s="782"/>
      <c r="EN45" s="782"/>
      <c r="EO45" s="782"/>
      <c r="EP45" s="782"/>
      <c r="EQ45" s="782"/>
      <c r="ER45" s="782"/>
      <c r="ES45" s="782"/>
      <c r="ET45" s="782"/>
      <c r="EU45" s="782"/>
      <c r="EV45" s="782"/>
      <c r="EW45" s="782"/>
      <c r="EX45" s="782"/>
      <c r="EY45" s="782"/>
      <c r="EZ45" s="782"/>
      <c r="FA45" s="782"/>
      <c r="FB45" s="782"/>
      <c r="FC45" s="782"/>
      <c r="FD45" s="782"/>
      <c r="FE45" s="782"/>
      <c r="FF45" s="782"/>
      <c r="FG45" s="782"/>
      <c r="FH45" s="782"/>
      <c r="FI45" s="782"/>
      <c r="FJ45" s="782"/>
      <c r="FK45" s="782"/>
      <c r="FL45" s="782"/>
      <c r="FM45" s="782"/>
      <c r="FN45" s="782"/>
      <c r="FO45" s="782"/>
      <c r="FP45" s="782"/>
      <c r="FQ45" s="782"/>
      <c r="FR45" s="782"/>
      <c r="FS45" s="782"/>
      <c r="FT45" s="782"/>
      <c r="FU45" s="782"/>
      <c r="FV45" s="782"/>
      <c r="FW45" s="782"/>
      <c r="FX45" s="782"/>
      <c r="FY45" s="782"/>
      <c r="FZ45" s="782"/>
      <c r="GA45" s="782"/>
      <c r="GB45" s="782"/>
      <c r="GC45" s="782"/>
      <c r="GD45" s="782"/>
      <c r="GE45" s="782"/>
      <c r="GF45" s="782"/>
      <c r="GG45" s="782"/>
      <c r="GH45" s="782"/>
      <c r="GI45" s="782"/>
      <c r="GJ45" s="782"/>
      <c r="GK45" s="782"/>
      <c r="GL45" s="782"/>
      <c r="GM45" s="782"/>
      <c r="GN45" s="782"/>
      <c r="GO45" s="782"/>
      <c r="GP45" s="782"/>
      <c r="GQ45" s="782"/>
      <c r="GR45" s="782"/>
      <c r="GS45" s="782"/>
      <c r="GT45" s="782"/>
      <c r="GU45" s="782"/>
      <c r="GV45" s="782"/>
      <c r="GW45" s="782"/>
      <c r="GX45" s="782"/>
      <c r="GY45" s="782"/>
      <c r="GZ45" s="782"/>
      <c r="HA45" s="782"/>
      <c r="HB45" s="782"/>
      <c r="HC45" s="782"/>
      <c r="HD45" s="782"/>
      <c r="HE45" s="782"/>
      <c r="HF45" s="782"/>
      <c r="HG45" s="782"/>
      <c r="HH45" s="782"/>
      <c r="HI45" s="782"/>
      <c r="HJ45" s="782"/>
      <c r="HK45" s="782"/>
      <c r="HL45" s="782"/>
      <c r="HM45" s="782"/>
      <c r="HN45" s="782"/>
      <c r="HO45" s="782"/>
      <c r="HP45" s="782"/>
      <c r="HQ45" s="782"/>
      <c r="HR45" s="782"/>
      <c r="HS45" s="782"/>
      <c r="HT45" s="782"/>
      <c r="HU45" s="782"/>
      <c r="HV45" s="782"/>
      <c r="HW45" s="782"/>
      <c r="HX45" s="782"/>
      <c r="HY45" s="782"/>
      <c r="HZ45" s="782"/>
      <c r="IA45" s="782"/>
      <c r="IB45" s="782"/>
      <c r="IC45" s="782"/>
      <c r="ID45" s="782"/>
      <c r="IE45" s="782"/>
      <c r="IF45" s="782"/>
      <c r="IG45" s="782"/>
      <c r="IH45" s="782"/>
      <c r="II45" s="782"/>
      <c r="IJ45" s="782"/>
      <c r="IK45" s="782"/>
      <c r="IL45" s="782"/>
      <c r="IM45" s="782"/>
      <c r="IN45" s="782"/>
      <c r="IO45" s="782"/>
      <c r="IP45" s="782"/>
      <c r="IQ45" s="782"/>
      <c r="IR45" s="782"/>
      <c r="IS45" s="782"/>
      <c r="IT45" s="782"/>
      <c r="IU45" s="782"/>
      <c r="IV45" s="782"/>
      <c r="IW45" s="782"/>
      <c r="IX45" s="782"/>
      <c r="IY45" s="782"/>
      <c r="IZ45" s="782"/>
      <c r="JA45" s="782"/>
      <c r="JB45" s="782"/>
      <c r="JC45" s="782"/>
      <c r="JD45" s="782"/>
      <c r="JE45" s="782"/>
      <c r="JF45" s="782"/>
      <c r="JG45" s="782"/>
      <c r="JH45" s="782"/>
      <c r="JI45" s="782"/>
      <c r="JJ45" s="782"/>
      <c r="JK45" s="782"/>
      <c r="JL45" s="782"/>
      <c r="JM45" s="782"/>
      <c r="JN45" s="782"/>
      <c r="JO45" s="782"/>
      <c r="JP45" s="782"/>
      <c r="JQ45" s="782"/>
      <c r="JR45" s="782"/>
      <c r="JS45" s="782"/>
      <c r="JT45" s="782"/>
      <c r="JU45" s="782"/>
      <c r="JV45" s="782"/>
      <c r="JW45" s="782"/>
      <c r="JX45" s="782"/>
      <c r="JY45" s="782"/>
      <c r="JZ45" s="782"/>
      <c r="KA45" s="782"/>
      <c r="KB45" s="782"/>
      <c r="KC45" s="782"/>
      <c r="KD45" s="782"/>
      <c r="KE45" s="782"/>
      <c r="KF45" s="782"/>
      <c r="KG45" s="782"/>
      <c r="KH45" s="782"/>
      <c r="KI45" s="782"/>
      <c r="KJ45" s="782"/>
      <c r="KK45" s="782"/>
      <c r="KL45" s="782"/>
      <c r="KM45" s="782"/>
      <c r="KN45" s="782"/>
      <c r="KO45" s="782"/>
      <c r="KP45" s="782"/>
      <c r="KQ45" s="782"/>
      <c r="KR45" s="782"/>
      <c r="KS45" s="782"/>
      <c r="KT45" s="782"/>
      <c r="KU45" s="782"/>
      <c r="KV45" s="782"/>
      <c r="KW45" s="782"/>
      <c r="KX45" s="782"/>
      <c r="KY45" s="782"/>
      <c r="KZ45" s="782"/>
      <c r="LA45" s="782"/>
      <c r="LB45" s="782"/>
      <c r="LC45" s="782"/>
      <c r="LD45" s="782"/>
      <c r="LE45" s="782"/>
      <c r="LF45" s="782"/>
      <c r="LG45" s="782"/>
      <c r="LH45" s="782"/>
      <c r="LI45" s="782"/>
      <c r="LJ45" s="782"/>
      <c r="LK45" s="782"/>
      <c r="LL45" s="782"/>
      <c r="LM45" s="782"/>
      <c r="LN45" s="782"/>
      <c r="LO45" s="782"/>
      <c r="LP45" s="782"/>
      <c r="LQ45" s="782"/>
      <c r="LR45" s="782"/>
      <c r="LS45" s="782"/>
      <c r="LT45" s="782"/>
      <c r="LU45" s="782"/>
      <c r="LV45" s="782"/>
      <c r="LW45" s="782"/>
      <c r="LX45" s="782"/>
      <c r="LY45" s="782"/>
      <c r="LZ45" s="782"/>
      <c r="MA45" s="782"/>
      <c r="MB45" s="782"/>
      <c r="MC45" s="782"/>
      <c r="MD45" s="782"/>
      <c r="ME45" s="782"/>
      <c r="MF45" s="782"/>
      <c r="MG45" s="782"/>
      <c r="MH45" s="782"/>
      <c r="MI45" s="782"/>
      <c r="MJ45" s="782"/>
      <c r="MK45" s="782"/>
      <c r="ML45" s="782"/>
      <c r="MM45" s="782"/>
      <c r="MN45" s="782"/>
      <c r="MO45" s="782"/>
      <c r="MP45" s="782"/>
      <c r="MQ45" s="782"/>
      <c r="MR45" s="782"/>
      <c r="MS45" s="782"/>
      <c r="MT45" s="782"/>
      <c r="MU45" s="782"/>
      <c r="MV45" s="782"/>
      <c r="MW45" s="782"/>
      <c r="MX45" s="782"/>
      <c r="MY45" s="782"/>
      <c r="MZ45" s="782"/>
      <c r="NA45" s="782"/>
      <c r="NB45" s="782"/>
      <c r="NC45" s="782"/>
      <c r="ND45" s="782"/>
      <c r="NE45" s="782"/>
      <c r="NF45" s="782"/>
      <c r="NG45" s="782"/>
      <c r="NH45" s="782"/>
      <c r="NI45" s="782"/>
      <c r="NJ45" s="782"/>
      <c r="NK45" s="782"/>
      <c r="NL45" s="782"/>
      <c r="NM45" s="782"/>
      <c r="NN45" s="782"/>
      <c r="NO45" s="782"/>
      <c r="NP45" s="782"/>
      <c r="NQ45" s="782"/>
      <c r="NR45" s="782"/>
      <c r="NS45" s="782"/>
      <c r="NT45" s="782"/>
      <c r="NU45" s="782"/>
      <c r="NV45" s="782"/>
      <c r="NW45" s="782"/>
      <c r="NX45" s="782"/>
      <c r="NY45" s="782"/>
      <c r="NZ45" s="782"/>
      <c r="OA45" s="782"/>
      <c r="OB45" s="782"/>
      <c r="OC45" s="782"/>
      <c r="OD45" s="782"/>
      <c r="OE45" s="782"/>
      <c r="OF45" s="782"/>
      <c r="OG45" s="782"/>
      <c r="OH45" s="782"/>
      <c r="OI45" s="782"/>
      <c r="OJ45" s="782"/>
      <c r="OK45" s="782"/>
      <c r="OL45" s="782"/>
      <c r="OM45" s="782"/>
      <c r="ON45" s="782"/>
      <c r="OO45" s="782"/>
      <c r="OP45" s="782"/>
      <c r="OQ45" s="782"/>
      <c r="OR45" s="782"/>
      <c r="OS45" s="782"/>
      <c r="OT45" s="782"/>
      <c r="OU45" s="782"/>
      <c r="OV45" s="782"/>
      <c r="OW45" s="782"/>
      <c r="OX45" s="782"/>
      <c r="OY45" s="782"/>
      <c r="OZ45" s="782"/>
      <c r="PA45" s="782"/>
      <c r="PB45" s="782"/>
      <c r="PC45" s="782"/>
      <c r="PD45" s="782"/>
      <c r="PE45" s="782"/>
      <c r="PF45" s="782"/>
      <c r="PG45" s="782"/>
      <c r="PH45" s="782"/>
      <c r="PI45" s="782"/>
      <c r="PJ45" s="782"/>
      <c r="PK45" s="782"/>
      <c r="PL45" s="782"/>
      <c r="PM45" s="782"/>
      <c r="PN45" s="782"/>
      <c r="PO45" s="782"/>
      <c r="PP45" s="782"/>
      <c r="PQ45" s="782"/>
      <c r="PR45" s="782"/>
      <c r="PS45" s="782"/>
      <c r="PT45" s="782"/>
      <c r="PU45" s="782"/>
      <c r="PV45" s="782"/>
      <c r="PW45" s="782"/>
      <c r="PX45" s="782"/>
      <c r="PY45" s="782"/>
      <c r="PZ45" s="782"/>
      <c r="QA45" s="782"/>
      <c r="QB45" s="782"/>
      <c r="QC45" s="782"/>
      <c r="QD45" s="782"/>
      <c r="QE45" s="782"/>
      <c r="QF45" s="782"/>
      <c r="QG45" s="782"/>
      <c r="QH45" s="782"/>
      <c r="QI45" s="782"/>
      <c r="QJ45" s="782"/>
      <c r="QK45" s="782"/>
      <c r="QL45" s="782"/>
      <c r="QM45" s="782"/>
      <c r="QN45" s="782"/>
      <c r="QO45" s="782"/>
      <c r="QP45" s="782"/>
      <c r="QQ45" s="782"/>
      <c r="QR45" s="782"/>
      <c r="QS45" s="782"/>
      <c r="QT45" s="782"/>
      <c r="QU45" s="782"/>
      <c r="QV45" s="782"/>
      <c r="QW45" s="782"/>
      <c r="QX45" s="782"/>
      <c r="QY45" s="782"/>
      <c r="QZ45" s="782"/>
      <c r="RA45" s="782"/>
      <c r="RB45" s="782"/>
      <c r="RC45" s="782"/>
      <c r="RD45" s="782"/>
      <c r="RE45" s="782"/>
      <c r="RF45" s="782"/>
      <c r="RG45" s="782"/>
      <c r="RH45" s="782"/>
      <c r="RI45" s="782"/>
      <c r="RJ45" s="782"/>
      <c r="RK45" s="782"/>
      <c r="RL45" s="782"/>
      <c r="RM45" s="782"/>
      <c r="RN45" s="782"/>
      <c r="RO45" s="782"/>
      <c r="RP45" s="782"/>
      <c r="RQ45" s="782"/>
      <c r="RR45" s="782"/>
      <c r="RS45" s="782"/>
      <c r="RT45" s="782"/>
      <c r="RU45" s="782"/>
      <c r="RV45" s="782"/>
      <c r="RW45" s="782"/>
      <c r="RX45" s="782"/>
    </row>
    <row r="46" spans="1:492" s="143" customFormat="1">
      <c r="A46" s="782"/>
      <c r="B46" s="782"/>
      <c r="C46" s="782"/>
      <c r="D46" s="782"/>
      <c r="E46" s="782"/>
      <c r="F46" s="782"/>
      <c r="G46" s="782"/>
      <c r="H46" s="782"/>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90"/>
      <c r="AN46" s="790"/>
      <c r="AO46" s="790"/>
      <c r="AP46" s="790"/>
      <c r="AQ46" s="785"/>
      <c r="AR46" s="785"/>
      <c r="AS46" s="785"/>
      <c r="AT46" s="785"/>
      <c r="AU46" s="785"/>
      <c r="AV46" s="785"/>
      <c r="AW46" s="790"/>
      <c r="AX46" s="790"/>
      <c r="AY46" s="790"/>
      <c r="AZ46" s="790"/>
      <c r="BA46" s="785"/>
      <c r="BB46" s="785"/>
      <c r="BC46" s="791"/>
      <c r="BD46" s="790"/>
      <c r="BE46" s="790"/>
      <c r="BF46" s="785"/>
      <c r="BG46" s="785"/>
      <c r="BH46" s="791"/>
      <c r="BI46" s="790"/>
      <c r="BJ46" s="790"/>
      <c r="BK46" s="785"/>
      <c r="BL46" s="785"/>
      <c r="BM46" s="791"/>
      <c r="BN46" s="790"/>
      <c r="BO46" s="790"/>
      <c r="BP46" s="785"/>
      <c r="BQ46" s="785"/>
      <c r="BR46" s="791"/>
      <c r="BS46" s="790"/>
      <c r="BT46" s="790"/>
      <c r="BU46" s="785"/>
      <c r="BV46" s="785"/>
      <c r="BW46" s="791"/>
      <c r="BX46" s="790"/>
      <c r="BY46" s="790"/>
      <c r="BZ46" s="785"/>
      <c r="CA46" s="782"/>
      <c r="CB46" s="782"/>
      <c r="CC46" s="782"/>
      <c r="CD46" s="782"/>
      <c r="CE46" s="782"/>
      <c r="CF46" s="782"/>
      <c r="CG46" s="782"/>
      <c r="CH46" s="782"/>
      <c r="CI46" s="782"/>
      <c r="CJ46" s="782"/>
      <c r="CK46" s="782"/>
      <c r="CL46" s="782"/>
      <c r="CM46" s="782"/>
      <c r="CN46" s="782"/>
      <c r="CO46" s="782"/>
      <c r="CP46" s="782"/>
      <c r="CQ46" s="782"/>
      <c r="CR46" s="782"/>
      <c r="CS46" s="782"/>
      <c r="CT46" s="782"/>
      <c r="CU46" s="782"/>
      <c r="CV46" s="782"/>
      <c r="CW46" s="782"/>
      <c r="CX46" s="782"/>
      <c r="CY46" s="782"/>
      <c r="CZ46" s="782"/>
      <c r="DA46" s="782"/>
      <c r="DB46" s="782"/>
      <c r="DC46" s="782"/>
      <c r="DD46" s="782"/>
      <c r="DE46" s="782"/>
      <c r="DF46" s="782"/>
      <c r="DG46" s="782"/>
      <c r="DH46" s="782"/>
      <c r="DI46" s="782"/>
      <c r="DJ46" s="782"/>
      <c r="DK46" s="782"/>
      <c r="DL46" s="782"/>
      <c r="DM46" s="782"/>
      <c r="DN46" s="782"/>
      <c r="DO46" s="782"/>
      <c r="DP46" s="782"/>
      <c r="DQ46" s="782"/>
      <c r="DR46" s="782"/>
      <c r="DS46" s="782"/>
      <c r="DT46" s="782"/>
      <c r="DU46" s="782"/>
      <c r="DV46" s="782"/>
      <c r="DW46" s="782"/>
      <c r="DX46" s="782"/>
      <c r="DY46" s="782"/>
      <c r="DZ46" s="782"/>
      <c r="EA46" s="782"/>
      <c r="EB46" s="782"/>
      <c r="EC46" s="782"/>
      <c r="ED46" s="782"/>
      <c r="EE46" s="782"/>
      <c r="EF46" s="782"/>
      <c r="EG46" s="782"/>
      <c r="EH46" s="782"/>
      <c r="EI46" s="782"/>
      <c r="EJ46" s="782"/>
      <c r="EK46" s="782"/>
      <c r="EL46" s="782"/>
      <c r="EM46" s="782"/>
      <c r="EN46" s="782"/>
      <c r="EO46" s="782"/>
      <c r="EP46" s="782"/>
      <c r="EQ46" s="782"/>
      <c r="ER46" s="782"/>
      <c r="ES46" s="782"/>
      <c r="ET46" s="782"/>
      <c r="EU46" s="782"/>
      <c r="EV46" s="782"/>
      <c r="EW46" s="782"/>
      <c r="EX46" s="782"/>
      <c r="EY46" s="782"/>
      <c r="EZ46" s="782"/>
      <c r="FA46" s="782"/>
      <c r="FB46" s="782"/>
      <c r="FC46" s="782"/>
      <c r="FD46" s="782"/>
      <c r="FE46" s="782"/>
      <c r="FF46" s="782"/>
      <c r="FG46" s="782"/>
      <c r="FH46" s="782"/>
      <c r="FI46" s="782"/>
      <c r="FJ46" s="782"/>
      <c r="FK46" s="782"/>
      <c r="FL46" s="782"/>
      <c r="FM46" s="782"/>
      <c r="FN46" s="782"/>
      <c r="FO46" s="782"/>
      <c r="FP46" s="782"/>
      <c r="FQ46" s="782"/>
      <c r="FR46" s="782"/>
      <c r="FS46" s="782"/>
      <c r="FT46" s="782"/>
      <c r="FU46" s="782"/>
      <c r="FV46" s="782"/>
      <c r="FW46" s="782"/>
      <c r="FX46" s="782"/>
      <c r="FY46" s="782"/>
      <c r="FZ46" s="782"/>
      <c r="GA46" s="782"/>
      <c r="GB46" s="782"/>
      <c r="GC46" s="782"/>
      <c r="GD46" s="782"/>
      <c r="GE46" s="782"/>
      <c r="GF46" s="782"/>
      <c r="GG46" s="782"/>
      <c r="GH46" s="782"/>
      <c r="GI46" s="782"/>
      <c r="GJ46" s="782"/>
      <c r="GK46" s="782"/>
      <c r="GL46" s="782"/>
      <c r="GM46" s="782"/>
      <c r="GN46" s="782"/>
      <c r="GO46" s="782"/>
      <c r="GP46" s="782"/>
      <c r="GQ46" s="782"/>
      <c r="GR46" s="782"/>
      <c r="GS46" s="782"/>
      <c r="GT46" s="782"/>
      <c r="GU46" s="782"/>
      <c r="GV46" s="782"/>
      <c r="GW46" s="782"/>
      <c r="GX46" s="782"/>
      <c r="GY46" s="782"/>
      <c r="GZ46" s="782"/>
      <c r="HA46" s="782"/>
      <c r="HB46" s="782"/>
      <c r="HC46" s="782"/>
      <c r="HD46" s="782"/>
      <c r="HE46" s="782"/>
      <c r="HF46" s="782"/>
      <c r="HG46" s="782"/>
      <c r="HH46" s="782"/>
      <c r="HI46" s="782"/>
      <c r="HJ46" s="782"/>
      <c r="HK46" s="782"/>
      <c r="HL46" s="782"/>
      <c r="HM46" s="782"/>
      <c r="HN46" s="782"/>
      <c r="HO46" s="782"/>
      <c r="HP46" s="782"/>
      <c r="HQ46" s="782"/>
      <c r="HR46" s="782"/>
      <c r="HS46" s="782"/>
      <c r="HT46" s="782"/>
      <c r="HU46" s="782"/>
      <c r="HV46" s="782"/>
      <c r="HW46" s="782"/>
      <c r="HX46" s="782"/>
      <c r="HY46" s="782"/>
      <c r="HZ46" s="782"/>
      <c r="IA46" s="782"/>
      <c r="IB46" s="782"/>
      <c r="IC46" s="782"/>
      <c r="ID46" s="782"/>
      <c r="IE46" s="782"/>
      <c r="IF46" s="782"/>
      <c r="IG46" s="782"/>
      <c r="IH46" s="782"/>
      <c r="II46" s="782"/>
      <c r="IJ46" s="782"/>
      <c r="IK46" s="782"/>
      <c r="IL46" s="782"/>
      <c r="IM46" s="782"/>
      <c r="IN46" s="782"/>
      <c r="IO46" s="782"/>
      <c r="IP46" s="782"/>
      <c r="IQ46" s="782"/>
      <c r="IR46" s="782"/>
      <c r="IS46" s="782"/>
      <c r="IT46" s="782"/>
      <c r="IU46" s="782"/>
      <c r="IV46" s="782"/>
      <c r="IW46" s="782"/>
      <c r="IX46" s="782"/>
      <c r="IY46" s="782"/>
      <c r="IZ46" s="782"/>
      <c r="JA46" s="782"/>
      <c r="JB46" s="782"/>
      <c r="JC46" s="782"/>
      <c r="JD46" s="782"/>
      <c r="JE46" s="782"/>
      <c r="JF46" s="782"/>
      <c r="JG46" s="782"/>
      <c r="JH46" s="782"/>
      <c r="JI46" s="782"/>
      <c r="JJ46" s="782"/>
      <c r="JK46" s="782"/>
      <c r="JL46" s="782"/>
      <c r="JM46" s="782"/>
      <c r="JN46" s="782"/>
      <c r="JO46" s="782"/>
      <c r="JP46" s="782"/>
      <c r="JQ46" s="782"/>
      <c r="JR46" s="782"/>
      <c r="JS46" s="782"/>
      <c r="JT46" s="782"/>
      <c r="JU46" s="782"/>
      <c r="JV46" s="782"/>
      <c r="JW46" s="782"/>
      <c r="JX46" s="782"/>
      <c r="JY46" s="782"/>
      <c r="JZ46" s="782"/>
      <c r="KA46" s="782"/>
      <c r="KB46" s="782"/>
      <c r="KC46" s="782"/>
      <c r="KD46" s="782"/>
      <c r="KE46" s="782"/>
      <c r="KF46" s="782"/>
      <c r="KG46" s="782"/>
      <c r="KH46" s="782"/>
      <c r="KI46" s="782"/>
      <c r="KJ46" s="782"/>
      <c r="KK46" s="782"/>
      <c r="KL46" s="782"/>
      <c r="KM46" s="782"/>
      <c r="KN46" s="782"/>
      <c r="KO46" s="782"/>
      <c r="KP46" s="782"/>
      <c r="KQ46" s="782"/>
      <c r="KR46" s="782"/>
      <c r="KS46" s="782"/>
      <c r="KT46" s="782"/>
      <c r="KU46" s="782"/>
      <c r="KV46" s="782"/>
      <c r="KW46" s="782"/>
      <c r="KX46" s="782"/>
      <c r="KY46" s="782"/>
      <c r="KZ46" s="782"/>
      <c r="LA46" s="782"/>
      <c r="LB46" s="782"/>
      <c r="LC46" s="782"/>
      <c r="LD46" s="782"/>
      <c r="LE46" s="782"/>
      <c r="LF46" s="782"/>
      <c r="LG46" s="782"/>
      <c r="LH46" s="782"/>
      <c r="LI46" s="782"/>
      <c r="LJ46" s="782"/>
      <c r="LK46" s="782"/>
      <c r="LL46" s="782"/>
      <c r="LM46" s="782"/>
      <c r="LN46" s="782"/>
      <c r="LO46" s="782"/>
      <c r="LP46" s="782"/>
      <c r="LQ46" s="782"/>
      <c r="LR46" s="782"/>
      <c r="LS46" s="782"/>
      <c r="LT46" s="782"/>
      <c r="LU46" s="782"/>
      <c r="LV46" s="782"/>
      <c r="LW46" s="782"/>
      <c r="LX46" s="782"/>
      <c r="LY46" s="782"/>
      <c r="LZ46" s="782"/>
      <c r="MA46" s="782"/>
      <c r="MB46" s="782"/>
      <c r="MC46" s="782"/>
      <c r="MD46" s="782"/>
      <c r="ME46" s="782"/>
      <c r="MF46" s="782"/>
      <c r="MG46" s="782"/>
      <c r="MH46" s="782"/>
      <c r="MI46" s="782"/>
      <c r="MJ46" s="782"/>
      <c r="MK46" s="782"/>
      <c r="ML46" s="782"/>
      <c r="MM46" s="782"/>
      <c r="MN46" s="782"/>
      <c r="MO46" s="782"/>
      <c r="MP46" s="782"/>
      <c r="MQ46" s="782"/>
      <c r="MR46" s="782"/>
      <c r="MS46" s="782"/>
      <c r="MT46" s="782"/>
      <c r="MU46" s="782"/>
      <c r="MV46" s="782"/>
      <c r="MW46" s="782"/>
      <c r="MX46" s="782"/>
      <c r="MY46" s="782"/>
      <c r="MZ46" s="782"/>
      <c r="NA46" s="782"/>
      <c r="NB46" s="782"/>
      <c r="NC46" s="782"/>
      <c r="ND46" s="782"/>
      <c r="NE46" s="782"/>
      <c r="NF46" s="782"/>
      <c r="NG46" s="782"/>
      <c r="NH46" s="782"/>
      <c r="NI46" s="782"/>
      <c r="NJ46" s="782"/>
      <c r="NK46" s="782"/>
      <c r="NL46" s="782"/>
      <c r="NM46" s="782"/>
      <c r="NN46" s="782"/>
      <c r="NO46" s="782"/>
      <c r="NP46" s="782"/>
      <c r="NQ46" s="782"/>
      <c r="NR46" s="782"/>
      <c r="NS46" s="782"/>
      <c r="NT46" s="782"/>
      <c r="NU46" s="782"/>
      <c r="NV46" s="782"/>
      <c r="NW46" s="782"/>
      <c r="NX46" s="782"/>
      <c r="NY46" s="782"/>
      <c r="NZ46" s="782"/>
      <c r="OA46" s="782"/>
      <c r="OB46" s="782"/>
      <c r="OC46" s="782"/>
      <c r="OD46" s="782"/>
      <c r="OE46" s="782"/>
      <c r="OF46" s="782"/>
      <c r="OG46" s="782"/>
      <c r="OH46" s="782"/>
      <c r="OI46" s="782"/>
      <c r="OJ46" s="782"/>
      <c r="OK46" s="782"/>
      <c r="OL46" s="782"/>
      <c r="OM46" s="782"/>
      <c r="ON46" s="782"/>
      <c r="OO46" s="782"/>
      <c r="OP46" s="782"/>
      <c r="OQ46" s="782"/>
      <c r="OR46" s="782"/>
      <c r="OS46" s="782"/>
      <c r="OT46" s="782"/>
      <c r="OU46" s="782"/>
      <c r="OV46" s="782"/>
      <c r="OW46" s="782"/>
      <c r="OX46" s="782"/>
      <c r="OY46" s="782"/>
      <c r="OZ46" s="782"/>
      <c r="PA46" s="782"/>
      <c r="PB46" s="782"/>
      <c r="PC46" s="782"/>
      <c r="PD46" s="782"/>
      <c r="PE46" s="782"/>
      <c r="PF46" s="782"/>
      <c r="PG46" s="782"/>
      <c r="PH46" s="782"/>
      <c r="PI46" s="782"/>
      <c r="PJ46" s="782"/>
      <c r="PK46" s="782"/>
      <c r="PL46" s="782"/>
      <c r="PM46" s="782"/>
      <c r="PN46" s="782"/>
      <c r="PO46" s="782"/>
      <c r="PP46" s="782"/>
      <c r="PQ46" s="782"/>
      <c r="PR46" s="782"/>
      <c r="PS46" s="782"/>
      <c r="PT46" s="782"/>
      <c r="PU46" s="782"/>
      <c r="PV46" s="782"/>
      <c r="PW46" s="782"/>
      <c r="PX46" s="782"/>
      <c r="PY46" s="782"/>
      <c r="PZ46" s="782"/>
      <c r="QA46" s="782"/>
      <c r="QB46" s="782"/>
      <c r="QC46" s="782"/>
      <c r="QD46" s="782"/>
      <c r="QE46" s="782"/>
      <c r="QF46" s="782"/>
      <c r="QG46" s="782"/>
      <c r="QH46" s="782"/>
      <c r="QI46" s="782"/>
      <c r="QJ46" s="782"/>
      <c r="QK46" s="782"/>
      <c r="QL46" s="782"/>
      <c r="QM46" s="782"/>
      <c r="QN46" s="782"/>
      <c r="QO46" s="782"/>
      <c r="QP46" s="782"/>
      <c r="QQ46" s="782"/>
      <c r="QR46" s="782"/>
      <c r="QS46" s="782"/>
      <c r="QT46" s="782"/>
      <c r="QU46" s="782"/>
      <c r="QV46" s="782"/>
      <c r="QW46" s="782"/>
      <c r="QX46" s="782"/>
      <c r="QY46" s="782"/>
      <c r="QZ46" s="782"/>
      <c r="RA46" s="782"/>
      <c r="RB46" s="782"/>
      <c r="RC46" s="782"/>
      <c r="RD46" s="782"/>
      <c r="RE46" s="782"/>
      <c r="RF46" s="782"/>
      <c r="RG46" s="782"/>
      <c r="RH46" s="782"/>
      <c r="RI46" s="782"/>
      <c r="RJ46" s="782"/>
      <c r="RK46" s="782"/>
      <c r="RL46" s="782"/>
      <c r="RM46" s="782"/>
      <c r="RN46" s="782"/>
      <c r="RO46" s="782"/>
      <c r="RP46" s="782"/>
      <c r="RQ46" s="782"/>
      <c r="RR46" s="782"/>
      <c r="RS46" s="782"/>
      <c r="RT46" s="782"/>
      <c r="RU46" s="782"/>
      <c r="RV46" s="782"/>
      <c r="RW46" s="782"/>
      <c r="RX46" s="782"/>
    </row>
    <row r="47" spans="1:492" s="143" customFormat="1">
      <c r="A47" s="782"/>
      <c r="B47" s="782"/>
      <c r="C47" s="782"/>
      <c r="D47" s="782"/>
      <c r="E47" s="782"/>
      <c r="F47" s="782"/>
      <c r="G47" s="782"/>
      <c r="H47" s="782"/>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90"/>
      <c r="AN47" s="790"/>
      <c r="AO47" s="790"/>
      <c r="AP47" s="790"/>
      <c r="AQ47" s="785"/>
      <c r="AR47" s="785"/>
      <c r="AS47" s="785"/>
      <c r="AT47" s="785"/>
      <c r="AU47" s="785"/>
      <c r="AV47" s="785"/>
      <c r="AW47" s="790"/>
      <c r="AX47" s="790"/>
      <c r="AY47" s="790"/>
      <c r="AZ47" s="790"/>
      <c r="BA47" s="785"/>
      <c r="BB47" s="785"/>
      <c r="BC47" s="785"/>
      <c r="BD47" s="790"/>
      <c r="BE47" s="785"/>
      <c r="BF47" s="149"/>
      <c r="BG47" s="785"/>
      <c r="BH47" s="785"/>
      <c r="BI47" s="790"/>
      <c r="BJ47" s="785"/>
      <c r="BK47" s="149"/>
      <c r="BL47" s="785"/>
      <c r="BM47" s="785"/>
      <c r="BN47" s="790"/>
      <c r="BO47" s="785"/>
      <c r="BP47" s="149"/>
      <c r="BQ47" s="785"/>
      <c r="BR47" s="785"/>
      <c r="BS47" s="790"/>
      <c r="BT47" s="785"/>
      <c r="BU47" s="149"/>
      <c r="BV47" s="785"/>
      <c r="BW47" s="785"/>
      <c r="BX47" s="790"/>
      <c r="BY47" s="785"/>
      <c r="BZ47" s="149"/>
      <c r="CA47" s="782"/>
      <c r="CB47" s="782"/>
      <c r="CC47" s="782"/>
      <c r="CD47" s="782"/>
      <c r="CE47" s="782"/>
      <c r="CF47" s="782"/>
      <c r="CG47" s="782"/>
      <c r="CH47" s="782"/>
      <c r="CI47" s="782"/>
      <c r="CJ47" s="782"/>
      <c r="CK47" s="782"/>
      <c r="CL47" s="782"/>
      <c r="CM47" s="782"/>
      <c r="CN47" s="782"/>
      <c r="CO47" s="782"/>
      <c r="CP47" s="782"/>
      <c r="CQ47" s="782"/>
      <c r="CR47" s="782"/>
      <c r="CS47" s="782"/>
      <c r="CT47" s="782"/>
      <c r="CU47" s="782"/>
      <c r="CV47" s="782"/>
      <c r="CW47" s="782"/>
      <c r="CX47" s="782"/>
      <c r="CY47" s="782"/>
      <c r="CZ47" s="782"/>
      <c r="DA47" s="782"/>
      <c r="DB47" s="782"/>
      <c r="DC47" s="782"/>
      <c r="DD47" s="782"/>
      <c r="DE47" s="782"/>
      <c r="DF47" s="782"/>
      <c r="DG47" s="782"/>
      <c r="DH47" s="782"/>
      <c r="DI47" s="782"/>
      <c r="DJ47" s="782"/>
      <c r="DK47" s="782"/>
      <c r="DL47" s="782"/>
      <c r="DM47" s="782"/>
      <c r="DN47" s="782"/>
      <c r="DO47" s="782"/>
      <c r="DP47" s="782"/>
      <c r="DQ47" s="782"/>
      <c r="DR47" s="782"/>
      <c r="DS47" s="782"/>
      <c r="DT47" s="782"/>
      <c r="DU47" s="782"/>
      <c r="DV47" s="782"/>
      <c r="DW47" s="782"/>
      <c r="DX47" s="782"/>
      <c r="DY47" s="782"/>
      <c r="DZ47" s="782"/>
      <c r="EA47" s="782"/>
      <c r="EB47" s="782"/>
      <c r="EC47" s="782"/>
      <c r="ED47" s="782"/>
      <c r="EE47" s="782"/>
      <c r="EF47" s="782"/>
      <c r="EG47" s="782"/>
      <c r="EH47" s="782"/>
      <c r="EI47" s="782"/>
      <c r="EJ47" s="782"/>
      <c r="EK47" s="782"/>
      <c r="EL47" s="782"/>
      <c r="EM47" s="782"/>
      <c r="EN47" s="782"/>
      <c r="EO47" s="782"/>
      <c r="EP47" s="782"/>
      <c r="EQ47" s="782"/>
      <c r="ER47" s="782"/>
      <c r="ES47" s="782"/>
      <c r="ET47" s="782"/>
      <c r="EU47" s="782"/>
      <c r="EV47" s="782"/>
      <c r="EW47" s="782"/>
      <c r="EX47" s="782"/>
      <c r="EY47" s="782"/>
      <c r="EZ47" s="782"/>
      <c r="FA47" s="782"/>
      <c r="FB47" s="782"/>
      <c r="FC47" s="782"/>
      <c r="FD47" s="782"/>
      <c r="FE47" s="782"/>
      <c r="FF47" s="782"/>
      <c r="FG47" s="782"/>
      <c r="FH47" s="782"/>
      <c r="FI47" s="782"/>
      <c r="FJ47" s="782"/>
      <c r="FK47" s="782"/>
      <c r="FL47" s="782"/>
      <c r="FM47" s="782"/>
      <c r="FN47" s="782"/>
      <c r="FO47" s="782"/>
      <c r="FP47" s="782"/>
      <c r="FQ47" s="782"/>
      <c r="FR47" s="782"/>
      <c r="FS47" s="782"/>
      <c r="FT47" s="782"/>
      <c r="FU47" s="782"/>
      <c r="FV47" s="782"/>
      <c r="FW47" s="782"/>
      <c r="FX47" s="782"/>
      <c r="FY47" s="782"/>
      <c r="FZ47" s="782"/>
      <c r="GA47" s="782"/>
      <c r="GB47" s="782"/>
      <c r="GC47" s="782"/>
      <c r="GD47" s="782"/>
      <c r="GE47" s="782"/>
      <c r="GF47" s="782"/>
      <c r="GG47" s="782"/>
      <c r="GH47" s="782"/>
      <c r="GI47" s="782"/>
      <c r="GJ47" s="782"/>
      <c r="GK47" s="782"/>
      <c r="GL47" s="782"/>
      <c r="GM47" s="782"/>
      <c r="GN47" s="782"/>
      <c r="GO47" s="782"/>
      <c r="GP47" s="782"/>
      <c r="GQ47" s="782"/>
      <c r="GR47" s="782"/>
      <c r="GS47" s="782"/>
      <c r="GT47" s="782"/>
      <c r="GU47" s="782"/>
      <c r="GV47" s="782"/>
      <c r="GW47" s="782"/>
      <c r="GX47" s="782"/>
      <c r="GY47" s="782"/>
      <c r="GZ47" s="782"/>
      <c r="HA47" s="782"/>
      <c r="HB47" s="782"/>
      <c r="HC47" s="782"/>
      <c r="HD47" s="782"/>
      <c r="HE47" s="782"/>
      <c r="HF47" s="782"/>
      <c r="HG47" s="782"/>
      <c r="HH47" s="782"/>
      <c r="HI47" s="782"/>
      <c r="HJ47" s="782"/>
      <c r="HK47" s="782"/>
      <c r="HL47" s="782"/>
      <c r="HM47" s="782"/>
      <c r="HN47" s="782"/>
      <c r="HO47" s="782"/>
      <c r="HP47" s="782"/>
      <c r="HQ47" s="782"/>
      <c r="HR47" s="782"/>
      <c r="HS47" s="782"/>
      <c r="HT47" s="782"/>
      <c r="HU47" s="782"/>
      <c r="HV47" s="782"/>
      <c r="HW47" s="782"/>
      <c r="HX47" s="782"/>
      <c r="HY47" s="782"/>
      <c r="HZ47" s="782"/>
      <c r="IA47" s="782"/>
      <c r="IB47" s="782"/>
      <c r="IC47" s="782"/>
      <c r="ID47" s="782"/>
      <c r="IE47" s="782"/>
      <c r="IF47" s="782"/>
      <c r="IG47" s="782"/>
      <c r="IH47" s="782"/>
      <c r="II47" s="782"/>
      <c r="IJ47" s="782"/>
      <c r="IK47" s="782"/>
      <c r="IL47" s="782"/>
      <c r="IM47" s="782"/>
      <c r="IN47" s="782"/>
      <c r="IO47" s="782"/>
      <c r="IP47" s="782"/>
      <c r="IQ47" s="782"/>
      <c r="IR47" s="782"/>
      <c r="IS47" s="782"/>
      <c r="IT47" s="782"/>
      <c r="IU47" s="782"/>
      <c r="IV47" s="782"/>
      <c r="IW47" s="782"/>
      <c r="IX47" s="782"/>
      <c r="IY47" s="782"/>
      <c r="IZ47" s="782"/>
      <c r="JA47" s="782"/>
      <c r="JB47" s="782"/>
      <c r="JC47" s="782"/>
      <c r="JD47" s="782"/>
      <c r="JE47" s="782"/>
      <c r="JF47" s="782"/>
      <c r="JG47" s="782"/>
      <c r="JH47" s="782"/>
      <c r="JI47" s="782"/>
      <c r="JJ47" s="782"/>
      <c r="JK47" s="782"/>
      <c r="JL47" s="782"/>
      <c r="JM47" s="782"/>
      <c r="JN47" s="782"/>
      <c r="JO47" s="782"/>
      <c r="JP47" s="782"/>
      <c r="JQ47" s="782"/>
      <c r="JR47" s="782"/>
      <c r="JS47" s="782"/>
      <c r="JT47" s="782"/>
      <c r="JU47" s="782"/>
      <c r="JV47" s="782"/>
      <c r="JW47" s="782"/>
      <c r="JX47" s="782"/>
      <c r="JY47" s="782"/>
      <c r="JZ47" s="782"/>
      <c r="KA47" s="782"/>
      <c r="KB47" s="782"/>
      <c r="KC47" s="782"/>
      <c r="KD47" s="782"/>
      <c r="KE47" s="782"/>
      <c r="KF47" s="782"/>
      <c r="KG47" s="782"/>
      <c r="KH47" s="782"/>
      <c r="KI47" s="782"/>
      <c r="KJ47" s="782"/>
      <c r="KK47" s="782"/>
      <c r="KL47" s="782"/>
      <c r="KM47" s="782"/>
      <c r="KN47" s="782"/>
      <c r="KO47" s="782"/>
      <c r="KP47" s="782"/>
      <c r="KQ47" s="782"/>
      <c r="KR47" s="782"/>
      <c r="KS47" s="782"/>
      <c r="KT47" s="782"/>
      <c r="KU47" s="782"/>
      <c r="KV47" s="782"/>
      <c r="KW47" s="782"/>
      <c r="KX47" s="782"/>
      <c r="KY47" s="782"/>
      <c r="KZ47" s="782"/>
      <c r="LA47" s="782"/>
      <c r="LB47" s="782"/>
      <c r="LC47" s="782"/>
      <c r="LD47" s="782"/>
      <c r="LE47" s="782"/>
      <c r="LF47" s="782"/>
      <c r="LG47" s="782"/>
      <c r="LH47" s="782"/>
      <c r="LI47" s="782"/>
      <c r="LJ47" s="782"/>
      <c r="LK47" s="782"/>
      <c r="LL47" s="782"/>
      <c r="LM47" s="782"/>
      <c r="LN47" s="782"/>
      <c r="LO47" s="782"/>
      <c r="LP47" s="782"/>
      <c r="LQ47" s="782"/>
      <c r="LR47" s="782"/>
      <c r="LS47" s="782"/>
      <c r="LT47" s="782"/>
      <c r="LU47" s="782"/>
      <c r="LV47" s="782"/>
      <c r="LW47" s="782"/>
      <c r="LX47" s="782"/>
      <c r="LY47" s="782"/>
      <c r="LZ47" s="782"/>
      <c r="MA47" s="782"/>
      <c r="MB47" s="782"/>
      <c r="MC47" s="782"/>
      <c r="MD47" s="782"/>
      <c r="ME47" s="782"/>
      <c r="MF47" s="782"/>
      <c r="MG47" s="782"/>
      <c r="MH47" s="782"/>
      <c r="MI47" s="782"/>
      <c r="MJ47" s="782"/>
      <c r="MK47" s="782"/>
      <c r="ML47" s="782"/>
      <c r="MM47" s="782"/>
      <c r="MN47" s="782"/>
      <c r="MO47" s="782"/>
      <c r="MP47" s="782"/>
      <c r="MQ47" s="782"/>
      <c r="MR47" s="782"/>
      <c r="MS47" s="782"/>
      <c r="MT47" s="782"/>
      <c r="MU47" s="782"/>
      <c r="MV47" s="782"/>
      <c r="MW47" s="782"/>
      <c r="MX47" s="782"/>
      <c r="MY47" s="782"/>
      <c r="MZ47" s="782"/>
      <c r="NA47" s="782"/>
      <c r="NB47" s="782"/>
      <c r="NC47" s="782"/>
      <c r="ND47" s="782"/>
      <c r="NE47" s="782"/>
      <c r="NF47" s="782"/>
      <c r="NG47" s="782"/>
      <c r="NH47" s="782"/>
      <c r="NI47" s="782"/>
      <c r="NJ47" s="782"/>
      <c r="NK47" s="782"/>
      <c r="NL47" s="782"/>
      <c r="NM47" s="782"/>
      <c r="NN47" s="782"/>
      <c r="NO47" s="782"/>
      <c r="NP47" s="782"/>
      <c r="NQ47" s="782"/>
      <c r="NR47" s="782"/>
      <c r="NS47" s="782"/>
      <c r="NT47" s="782"/>
      <c r="NU47" s="782"/>
      <c r="NV47" s="782"/>
      <c r="NW47" s="782"/>
      <c r="NX47" s="782"/>
      <c r="NY47" s="782"/>
      <c r="NZ47" s="782"/>
      <c r="OA47" s="782"/>
      <c r="OB47" s="782"/>
      <c r="OC47" s="782"/>
      <c r="OD47" s="782"/>
      <c r="OE47" s="782"/>
      <c r="OF47" s="782"/>
      <c r="OG47" s="782"/>
      <c r="OH47" s="782"/>
      <c r="OI47" s="782"/>
      <c r="OJ47" s="782"/>
      <c r="OK47" s="782"/>
      <c r="OL47" s="782"/>
      <c r="OM47" s="782"/>
      <c r="ON47" s="782"/>
      <c r="OO47" s="782"/>
      <c r="OP47" s="782"/>
      <c r="OQ47" s="782"/>
      <c r="OR47" s="782"/>
      <c r="OS47" s="782"/>
      <c r="OT47" s="782"/>
      <c r="OU47" s="782"/>
      <c r="OV47" s="782"/>
      <c r="OW47" s="782"/>
      <c r="OX47" s="782"/>
      <c r="OY47" s="782"/>
      <c r="OZ47" s="782"/>
      <c r="PA47" s="782"/>
      <c r="PB47" s="782"/>
      <c r="PC47" s="782"/>
      <c r="PD47" s="782"/>
      <c r="PE47" s="782"/>
      <c r="PF47" s="782"/>
      <c r="PG47" s="782"/>
      <c r="PH47" s="782"/>
      <c r="PI47" s="782"/>
      <c r="PJ47" s="782"/>
      <c r="PK47" s="782"/>
      <c r="PL47" s="782"/>
      <c r="PM47" s="782"/>
      <c r="PN47" s="782"/>
      <c r="PO47" s="782"/>
      <c r="PP47" s="782"/>
      <c r="PQ47" s="782"/>
      <c r="PR47" s="782"/>
      <c r="PS47" s="782"/>
      <c r="PT47" s="782"/>
      <c r="PU47" s="782"/>
      <c r="PV47" s="782"/>
      <c r="PW47" s="782"/>
      <c r="PX47" s="782"/>
      <c r="PY47" s="782"/>
      <c r="PZ47" s="782"/>
      <c r="QA47" s="782"/>
      <c r="QB47" s="782"/>
      <c r="QC47" s="782"/>
      <c r="QD47" s="782"/>
      <c r="QE47" s="782"/>
      <c r="QF47" s="782"/>
      <c r="QG47" s="782"/>
      <c r="QH47" s="782"/>
      <c r="QI47" s="782"/>
      <c r="QJ47" s="782"/>
      <c r="QK47" s="782"/>
      <c r="QL47" s="782"/>
      <c r="QM47" s="782"/>
      <c r="QN47" s="782"/>
      <c r="QO47" s="782"/>
      <c r="QP47" s="782"/>
      <c r="QQ47" s="782"/>
      <c r="QR47" s="782"/>
      <c r="QS47" s="782"/>
      <c r="QT47" s="782"/>
      <c r="QU47" s="782"/>
      <c r="QV47" s="782"/>
      <c r="QW47" s="782"/>
      <c r="QX47" s="782"/>
      <c r="QY47" s="782"/>
      <c r="QZ47" s="782"/>
      <c r="RA47" s="782"/>
      <c r="RB47" s="782"/>
      <c r="RC47" s="782"/>
      <c r="RD47" s="782"/>
      <c r="RE47" s="782"/>
      <c r="RF47" s="782"/>
      <c r="RG47" s="782"/>
      <c r="RH47" s="782"/>
      <c r="RI47" s="782"/>
      <c r="RJ47" s="782"/>
      <c r="RK47" s="782"/>
      <c r="RL47" s="782"/>
      <c r="RM47" s="782"/>
      <c r="RN47" s="782"/>
      <c r="RO47" s="782"/>
      <c r="RP47" s="782"/>
      <c r="RQ47" s="782"/>
      <c r="RR47" s="782"/>
      <c r="RS47" s="782"/>
      <c r="RT47" s="782"/>
      <c r="RU47" s="782"/>
      <c r="RV47" s="782"/>
      <c r="RW47" s="782"/>
      <c r="RX47" s="782"/>
    </row>
    <row r="48" spans="1:492" s="143" customFormat="1">
      <c r="A48" s="782"/>
      <c r="B48" s="782"/>
      <c r="C48" s="782"/>
      <c r="D48" s="782"/>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782"/>
      <c r="AC48" s="782"/>
      <c r="AD48" s="782"/>
      <c r="AE48" s="782"/>
      <c r="AF48" s="782"/>
      <c r="AG48" s="782"/>
      <c r="AH48" s="782"/>
      <c r="AI48" s="782"/>
      <c r="AJ48" s="782"/>
      <c r="AK48" s="782"/>
      <c r="AL48" s="782"/>
      <c r="AM48" s="790"/>
      <c r="AN48" s="790"/>
      <c r="AO48" s="790"/>
      <c r="AP48" s="790"/>
      <c r="AQ48" s="785"/>
      <c r="AR48" s="785"/>
      <c r="AS48" s="785"/>
      <c r="AT48" s="785"/>
      <c r="AU48" s="785"/>
      <c r="AV48" s="785"/>
      <c r="AW48" s="790"/>
      <c r="AX48" s="790"/>
      <c r="AY48" s="790"/>
      <c r="AZ48" s="790"/>
      <c r="BA48" s="785"/>
      <c r="BB48" s="785"/>
      <c r="BC48" s="785"/>
      <c r="BD48" s="151"/>
      <c r="BE48" s="149"/>
      <c r="BF48" s="785"/>
      <c r="BG48" s="785"/>
      <c r="BH48" s="785"/>
      <c r="BI48" s="151"/>
      <c r="BJ48" s="149"/>
      <c r="BK48" s="785"/>
      <c r="BL48" s="785"/>
      <c r="BM48" s="785"/>
      <c r="BN48" s="151"/>
      <c r="BO48" s="149"/>
      <c r="BP48" s="785"/>
      <c r="BQ48" s="785"/>
      <c r="BR48" s="785"/>
      <c r="BS48" s="151"/>
      <c r="BT48" s="149"/>
      <c r="BU48" s="785"/>
      <c r="BV48" s="785"/>
      <c r="BW48" s="785"/>
      <c r="BX48" s="151"/>
      <c r="BY48" s="149"/>
      <c r="BZ48" s="785"/>
      <c r="CA48" s="782"/>
      <c r="CB48" s="782"/>
      <c r="CC48" s="782"/>
      <c r="CD48" s="782"/>
      <c r="CE48" s="782"/>
      <c r="CF48" s="782"/>
      <c r="CG48" s="782"/>
      <c r="CH48" s="782"/>
      <c r="CI48" s="782"/>
      <c r="CJ48" s="782"/>
      <c r="CK48" s="782"/>
      <c r="CL48" s="782"/>
      <c r="CM48" s="782"/>
      <c r="CN48" s="782"/>
      <c r="CO48" s="782"/>
      <c r="CP48" s="782"/>
      <c r="CQ48" s="782"/>
      <c r="CR48" s="782"/>
      <c r="CS48" s="782"/>
      <c r="CT48" s="782"/>
      <c r="CU48" s="782"/>
      <c r="CV48" s="782"/>
      <c r="CW48" s="782"/>
      <c r="CX48" s="782"/>
      <c r="CY48" s="782"/>
      <c r="CZ48" s="782"/>
      <c r="DA48" s="782"/>
      <c r="DB48" s="782"/>
      <c r="DC48" s="782"/>
      <c r="DD48" s="782"/>
      <c r="DE48" s="782"/>
      <c r="DF48" s="782"/>
      <c r="DG48" s="782"/>
      <c r="DH48" s="782"/>
      <c r="DI48" s="782"/>
      <c r="DJ48" s="782"/>
      <c r="DK48" s="782"/>
      <c r="DL48" s="782"/>
      <c r="DM48" s="782"/>
      <c r="DN48" s="782"/>
      <c r="DO48" s="782"/>
      <c r="DP48" s="782"/>
      <c r="DQ48" s="782"/>
      <c r="DR48" s="782"/>
      <c r="DS48" s="782"/>
      <c r="DT48" s="782"/>
      <c r="DU48" s="782"/>
      <c r="DV48" s="782"/>
      <c r="DW48" s="782"/>
      <c r="DX48" s="782"/>
      <c r="DY48" s="782"/>
      <c r="DZ48" s="782"/>
      <c r="EA48" s="782"/>
      <c r="EB48" s="782"/>
      <c r="EC48" s="782"/>
      <c r="ED48" s="782"/>
      <c r="EE48" s="782"/>
      <c r="EF48" s="782"/>
      <c r="EG48" s="782"/>
      <c r="EH48" s="782"/>
      <c r="EI48" s="782"/>
      <c r="EJ48" s="782"/>
      <c r="EK48" s="782"/>
      <c r="EL48" s="782"/>
      <c r="EM48" s="782"/>
      <c r="EN48" s="782"/>
      <c r="EO48" s="782"/>
      <c r="EP48" s="782"/>
      <c r="EQ48" s="782"/>
      <c r="ER48" s="782"/>
      <c r="ES48" s="782"/>
      <c r="ET48" s="782"/>
      <c r="EU48" s="782"/>
      <c r="EV48" s="782"/>
      <c r="EW48" s="782"/>
      <c r="EX48" s="782"/>
      <c r="EY48" s="782"/>
      <c r="EZ48" s="782"/>
      <c r="FA48" s="782"/>
      <c r="FB48" s="782"/>
      <c r="FC48" s="782"/>
      <c r="FD48" s="782"/>
      <c r="FE48" s="782"/>
      <c r="FF48" s="782"/>
      <c r="FG48" s="782"/>
      <c r="FH48" s="782"/>
      <c r="FI48" s="782"/>
      <c r="FJ48" s="782"/>
      <c r="FK48" s="782"/>
      <c r="FL48" s="782"/>
      <c r="FM48" s="782"/>
      <c r="FN48" s="782"/>
      <c r="FO48" s="782"/>
      <c r="FP48" s="782"/>
      <c r="FQ48" s="782"/>
      <c r="FR48" s="782"/>
      <c r="FS48" s="782"/>
      <c r="FT48" s="782"/>
      <c r="FU48" s="782"/>
      <c r="FV48" s="782"/>
      <c r="FW48" s="782"/>
      <c r="FX48" s="782"/>
      <c r="FY48" s="782"/>
      <c r="FZ48" s="782"/>
      <c r="GA48" s="782"/>
      <c r="GB48" s="782"/>
      <c r="GC48" s="782"/>
      <c r="GD48" s="782"/>
      <c r="GE48" s="782"/>
      <c r="GF48" s="782"/>
      <c r="GG48" s="782"/>
      <c r="GH48" s="782"/>
      <c r="GI48" s="782"/>
      <c r="GJ48" s="782"/>
      <c r="GK48" s="782"/>
      <c r="GL48" s="782"/>
      <c r="GM48" s="782"/>
      <c r="GN48" s="782"/>
      <c r="GO48" s="782"/>
      <c r="GP48" s="782"/>
      <c r="GQ48" s="782"/>
      <c r="GR48" s="782"/>
      <c r="GS48" s="782"/>
      <c r="GT48" s="782"/>
      <c r="GU48" s="782"/>
      <c r="GV48" s="782"/>
      <c r="GW48" s="782"/>
      <c r="GX48" s="782"/>
      <c r="GY48" s="782"/>
      <c r="GZ48" s="782"/>
      <c r="HA48" s="782"/>
      <c r="HB48" s="782"/>
      <c r="HC48" s="782"/>
      <c r="HD48" s="782"/>
      <c r="HE48" s="782"/>
      <c r="HF48" s="782"/>
      <c r="HG48" s="782"/>
      <c r="HH48" s="782"/>
      <c r="HI48" s="782"/>
      <c r="HJ48" s="782"/>
      <c r="HK48" s="782"/>
      <c r="HL48" s="782"/>
      <c r="HM48" s="782"/>
      <c r="HN48" s="782"/>
      <c r="HO48" s="782"/>
      <c r="HP48" s="782"/>
      <c r="HQ48" s="782"/>
      <c r="HR48" s="782"/>
      <c r="HS48" s="782"/>
      <c r="HT48" s="782"/>
      <c r="HU48" s="782"/>
      <c r="HV48" s="782"/>
      <c r="HW48" s="782"/>
      <c r="HX48" s="782"/>
      <c r="HY48" s="782"/>
      <c r="HZ48" s="782"/>
      <c r="IA48" s="782"/>
      <c r="IB48" s="782"/>
      <c r="IC48" s="782"/>
      <c r="ID48" s="782"/>
      <c r="IE48" s="782"/>
      <c r="IF48" s="782"/>
      <c r="IG48" s="782"/>
      <c r="IH48" s="782"/>
      <c r="II48" s="782"/>
      <c r="IJ48" s="782"/>
      <c r="IK48" s="782"/>
      <c r="IL48" s="782"/>
      <c r="IM48" s="782"/>
      <c r="IN48" s="782"/>
      <c r="IO48" s="782"/>
      <c r="IP48" s="782"/>
      <c r="IQ48" s="782"/>
      <c r="IR48" s="782"/>
      <c r="IS48" s="782"/>
      <c r="IT48" s="782"/>
      <c r="IU48" s="782"/>
      <c r="IV48" s="782"/>
      <c r="IW48" s="782"/>
      <c r="IX48" s="782"/>
      <c r="IY48" s="782"/>
      <c r="IZ48" s="782"/>
      <c r="JA48" s="782"/>
      <c r="JB48" s="782"/>
      <c r="JC48" s="782"/>
      <c r="JD48" s="782"/>
      <c r="JE48" s="782"/>
      <c r="JF48" s="782"/>
      <c r="JG48" s="782"/>
      <c r="JH48" s="782"/>
      <c r="JI48" s="782"/>
      <c r="JJ48" s="782"/>
      <c r="JK48" s="782"/>
      <c r="JL48" s="782"/>
      <c r="JM48" s="782"/>
      <c r="JN48" s="782"/>
      <c r="JO48" s="782"/>
      <c r="JP48" s="782"/>
      <c r="JQ48" s="782"/>
      <c r="JR48" s="782"/>
      <c r="JS48" s="782"/>
      <c r="JT48" s="782"/>
      <c r="JU48" s="782"/>
      <c r="JV48" s="782"/>
      <c r="JW48" s="782"/>
      <c r="JX48" s="782"/>
      <c r="JY48" s="782"/>
      <c r="JZ48" s="782"/>
      <c r="KA48" s="782"/>
      <c r="KB48" s="782"/>
      <c r="KC48" s="782"/>
      <c r="KD48" s="782"/>
      <c r="KE48" s="782"/>
      <c r="KF48" s="782"/>
      <c r="KG48" s="782"/>
      <c r="KH48" s="782"/>
      <c r="KI48" s="782"/>
      <c r="KJ48" s="782"/>
      <c r="KK48" s="782"/>
      <c r="KL48" s="782"/>
      <c r="KM48" s="782"/>
      <c r="KN48" s="782"/>
      <c r="KO48" s="782"/>
      <c r="KP48" s="782"/>
      <c r="KQ48" s="782"/>
      <c r="KR48" s="782"/>
      <c r="KS48" s="782"/>
      <c r="KT48" s="782"/>
      <c r="KU48" s="782"/>
      <c r="KV48" s="782"/>
      <c r="KW48" s="782"/>
      <c r="KX48" s="782"/>
      <c r="KY48" s="782"/>
      <c r="KZ48" s="782"/>
      <c r="LA48" s="782"/>
      <c r="LB48" s="782"/>
      <c r="LC48" s="782"/>
      <c r="LD48" s="782"/>
      <c r="LE48" s="782"/>
      <c r="LF48" s="782"/>
      <c r="LG48" s="782"/>
      <c r="LH48" s="782"/>
      <c r="LI48" s="782"/>
      <c r="LJ48" s="782"/>
      <c r="LK48" s="782"/>
      <c r="LL48" s="782"/>
      <c r="LM48" s="782"/>
      <c r="LN48" s="782"/>
      <c r="LO48" s="782"/>
      <c r="LP48" s="782"/>
      <c r="LQ48" s="782"/>
      <c r="LR48" s="782"/>
      <c r="LS48" s="782"/>
      <c r="LT48" s="782"/>
      <c r="LU48" s="782"/>
      <c r="LV48" s="782"/>
      <c r="LW48" s="782"/>
      <c r="LX48" s="782"/>
      <c r="LY48" s="782"/>
      <c r="LZ48" s="782"/>
      <c r="MA48" s="782"/>
      <c r="MB48" s="782"/>
      <c r="MC48" s="782"/>
      <c r="MD48" s="782"/>
      <c r="ME48" s="782"/>
      <c r="MF48" s="782"/>
      <c r="MG48" s="782"/>
      <c r="MH48" s="782"/>
      <c r="MI48" s="782"/>
      <c r="MJ48" s="782"/>
      <c r="MK48" s="782"/>
      <c r="ML48" s="782"/>
      <c r="MM48" s="782"/>
      <c r="MN48" s="782"/>
      <c r="MO48" s="782"/>
      <c r="MP48" s="782"/>
      <c r="MQ48" s="782"/>
      <c r="MR48" s="782"/>
      <c r="MS48" s="782"/>
      <c r="MT48" s="782"/>
      <c r="MU48" s="782"/>
      <c r="MV48" s="782"/>
      <c r="MW48" s="782"/>
      <c r="MX48" s="782"/>
      <c r="MY48" s="782"/>
      <c r="MZ48" s="782"/>
      <c r="NA48" s="782"/>
      <c r="NB48" s="782"/>
      <c r="NC48" s="782"/>
      <c r="ND48" s="782"/>
      <c r="NE48" s="782"/>
      <c r="NF48" s="782"/>
      <c r="NG48" s="782"/>
      <c r="NH48" s="782"/>
      <c r="NI48" s="782"/>
      <c r="NJ48" s="782"/>
      <c r="NK48" s="782"/>
      <c r="NL48" s="782"/>
      <c r="NM48" s="782"/>
      <c r="NN48" s="782"/>
      <c r="NO48" s="782"/>
      <c r="NP48" s="782"/>
      <c r="NQ48" s="782"/>
      <c r="NR48" s="782"/>
      <c r="NS48" s="782"/>
      <c r="NT48" s="782"/>
      <c r="NU48" s="782"/>
      <c r="NV48" s="782"/>
      <c r="NW48" s="782"/>
      <c r="NX48" s="782"/>
      <c r="NY48" s="782"/>
      <c r="NZ48" s="782"/>
      <c r="OA48" s="782"/>
      <c r="OB48" s="782"/>
      <c r="OC48" s="782"/>
      <c r="OD48" s="782"/>
      <c r="OE48" s="782"/>
      <c r="OF48" s="782"/>
      <c r="OG48" s="782"/>
      <c r="OH48" s="782"/>
      <c r="OI48" s="782"/>
      <c r="OJ48" s="782"/>
      <c r="OK48" s="782"/>
      <c r="OL48" s="782"/>
      <c r="OM48" s="782"/>
      <c r="ON48" s="782"/>
      <c r="OO48" s="782"/>
      <c r="OP48" s="782"/>
      <c r="OQ48" s="782"/>
      <c r="OR48" s="782"/>
      <c r="OS48" s="782"/>
      <c r="OT48" s="782"/>
      <c r="OU48" s="782"/>
      <c r="OV48" s="782"/>
      <c r="OW48" s="782"/>
      <c r="OX48" s="782"/>
      <c r="OY48" s="782"/>
      <c r="OZ48" s="782"/>
      <c r="PA48" s="782"/>
      <c r="PB48" s="782"/>
      <c r="PC48" s="782"/>
      <c r="PD48" s="782"/>
      <c r="PE48" s="782"/>
      <c r="PF48" s="782"/>
      <c r="PG48" s="782"/>
      <c r="PH48" s="782"/>
      <c r="PI48" s="782"/>
      <c r="PJ48" s="782"/>
      <c r="PK48" s="782"/>
      <c r="PL48" s="782"/>
      <c r="PM48" s="782"/>
      <c r="PN48" s="782"/>
      <c r="PO48" s="782"/>
      <c r="PP48" s="782"/>
      <c r="PQ48" s="782"/>
      <c r="PR48" s="782"/>
      <c r="PS48" s="782"/>
      <c r="PT48" s="782"/>
      <c r="PU48" s="782"/>
      <c r="PV48" s="782"/>
      <c r="PW48" s="782"/>
      <c r="PX48" s="782"/>
      <c r="PY48" s="782"/>
      <c r="PZ48" s="782"/>
      <c r="QA48" s="782"/>
      <c r="QB48" s="782"/>
      <c r="QC48" s="782"/>
      <c r="QD48" s="782"/>
      <c r="QE48" s="782"/>
      <c r="QF48" s="782"/>
      <c r="QG48" s="782"/>
      <c r="QH48" s="782"/>
      <c r="QI48" s="782"/>
      <c r="QJ48" s="782"/>
      <c r="QK48" s="782"/>
      <c r="QL48" s="782"/>
      <c r="QM48" s="782"/>
      <c r="QN48" s="782"/>
      <c r="QO48" s="782"/>
      <c r="QP48" s="782"/>
      <c r="QQ48" s="782"/>
      <c r="QR48" s="782"/>
      <c r="QS48" s="782"/>
      <c r="QT48" s="782"/>
      <c r="QU48" s="782"/>
      <c r="QV48" s="782"/>
      <c r="QW48" s="782"/>
      <c r="QX48" s="782"/>
      <c r="QY48" s="782"/>
      <c r="QZ48" s="782"/>
      <c r="RA48" s="782"/>
      <c r="RB48" s="782"/>
      <c r="RC48" s="782"/>
      <c r="RD48" s="782"/>
      <c r="RE48" s="782"/>
      <c r="RF48" s="782"/>
      <c r="RG48" s="782"/>
      <c r="RH48" s="782"/>
      <c r="RI48" s="782"/>
      <c r="RJ48" s="782"/>
      <c r="RK48" s="782"/>
      <c r="RL48" s="782"/>
      <c r="RM48" s="782"/>
      <c r="RN48" s="782"/>
      <c r="RO48" s="782"/>
      <c r="RP48" s="782"/>
      <c r="RQ48" s="782"/>
      <c r="RR48" s="782"/>
      <c r="RS48" s="782"/>
      <c r="RT48" s="782"/>
      <c r="RU48" s="782"/>
      <c r="RV48" s="782"/>
      <c r="RW48" s="782"/>
      <c r="RX48" s="782"/>
    </row>
    <row r="49" spans="1:492" s="143" customFormat="1">
      <c r="A49" s="782"/>
      <c r="B49" s="782"/>
      <c r="C49" s="782"/>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5"/>
      <c r="AN49" s="785"/>
      <c r="AO49" s="785"/>
      <c r="AP49" s="785"/>
      <c r="AQ49" s="785"/>
      <c r="AR49" s="785"/>
      <c r="AS49" s="785"/>
      <c r="AT49" s="785"/>
      <c r="AU49" s="785"/>
      <c r="AV49" s="785"/>
      <c r="AW49" s="785"/>
      <c r="AX49" s="785"/>
      <c r="AY49" s="785"/>
      <c r="AZ49" s="785"/>
      <c r="BA49" s="785"/>
      <c r="BB49" s="785"/>
      <c r="BC49" s="785"/>
      <c r="BD49" s="785"/>
      <c r="BE49" s="785"/>
      <c r="BF49" s="785"/>
      <c r="BG49" s="785"/>
      <c r="BH49" s="785"/>
      <c r="BI49" s="785"/>
      <c r="BJ49" s="785"/>
      <c r="BK49" s="785"/>
      <c r="BL49" s="785"/>
      <c r="BM49" s="785"/>
      <c r="BN49" s="785"/>
      <c r="BO49" s="785"/>
      <c r="BP49" s="785"/>
      <c r="BQ49" s="785"/>
      <c r="BR49" s="785"/>
      <c r="BS49" s="785"/>
      <c r="BT49" s="785"/>
      <c r="BU49" s="785"/>
      <c r="BV49" s="785"/>
      <c r="BW49" s="785"/>
      <c r="BX49" s="785"/>
      <c r="BY49" s="785"/>
      <c r="BZ49" s="785"/>
      <c r="CA49" s="782"/>
      <c r="CB49" s="782"/>
      <c r="CC49" s="782"/>
      <c r="CD49" s="782"/>
      <c r="CE49" s="782"/>
      <c r="CF49" s="782"/>
      <c r="CG49" s="782"/>
      <c r="CH49" s="782"/>
      <c r="CI49" s="782"/>
      <c r="CJ49" s="782"/>
      <c r="CK49" s="782"/>
      <c r="CL49" s="782"/>
      <c r="CM49" s="782"/>
      <c r="CN49" s="782"/>
      <c r="CO49" s="782"/>
      <c r="CP49" s="782"/>
      <c r="CQ49" s="782"/>
      <c r="CR49" s="782"/>
      <c r="CS49" s="782"/>
      <c r="CT49" s="782"/>
      <c r="CU49" s="782"/>
      <c r="CV49" s="782"/>
      <c r="CW49" s="782"/>
      <c r="CX49" s="782"/>
      <c r="CY49" s="782"/>
      <c r="CZ49" s="782"/>
      <c r="DA49" s="782"/>
      <c r="DB49" s="782"/>
      <c r="DC49" s="782"/>
      <c r="DD49" s="782"/>
      <c r="DE49" s="782"/>
      <c r="DF49" s="782"/>
      <c r="DG49" s="782"/>
      <c r="DH49" s="782"/>
      <c r="DI49" s="782"/>
      <c r="DJ49" s="782"/>
      <c r="DK49" s="782"/>
      <c r="DL49" s="782"/>
      <c r="DM49" s="782"/>
      <c r="DN49" s="782"/>
      <c r="DO49" s="782"/>
      <c r="DP49" s="782"/>
      <c r="DQ49" s="782"/>
      <c r="DR49" s="782"/>
      <c r="DS49" s="782"/>
      <c r="DT49" s="782"/>
      <c r="DU49" s="782"/>
      <c r="DV49" s="782"/>
      <c r="DW49" s="782"/>
      <c r="DX49" s="782"/>
      <c r="DY49" s="782"/>
      <c r="DZ49" s="782"/>
      <c r="EA49" s="782"/>
      <c r="EB49" s="782"/>
      <c r="EC49" s="782"/>
      <c r="ED49" s="782"/>
      <c r="EE49" s="782"/>
      <c r="EF49" s="782"/>
      <c r="EG49" s="782"/>
      <c r="EH49" s="782"/>
      <c r="EI49" s="782"/>
      <c r="EJ49" s="782"/>
      <c r="EK49" s="782"/>
      <c r="EL49" s="782"/>
      <c r="EM49" s="782"/>
      <c r="EN49" s="782"/>
      <c r="EO49" s="782"/>
      <c r="EP49" s="782"/>
      <c r="EQ49" s="782"/>
      <c r="ER49" s="782"/>
      <c r="ES49" s="782"/>
      <c r="ET49" s="782"/>
      <c r="EU49" s="782"/>
      <c r="EV49" s="782"/>
      <c r="EW49" s="782"/>
      <c r="EX49" s="782"/>
      <c r="EY49" s="782"/>
      <c r="EZ49" s="782"/>
      <c r="FA49" s="782"/>
      <c r="FB49" s="782"/>
      <c r="FC49" s="782"/>
      <c r="FD49" s="782"/>
      <c r="FE49" s="782"/>
      <c r="FF49" s="782"/>
      <c r="FG49" s="782"/>
      <c r="FH49" s="782"/>
      <c r="FI49" s="782"/>
      <c r="FJ49" s="782"/>
      <c r="FK49" s="782"/>
      <c r="FL49" s="782"/>
      <c r="FM49" s="782"/>
      <c r="FN49" s="782"/>
      <c r="FO49" s="782"/>
      <c r="FP49" s="782"/>
      <c r="FQ49" s="782"/>
      <c r="FR49" s="782"/>
      <c r="FS49" s="782"/>
      <c r="FT49" s="782"/>
      <c r="FU49" s="782"/>
      <c r="FV49" s="782"/>
      <c r="FW49" s="782"/>
      <c r="FX49" s="782"/>
      <c r="FY49" s="782"/>
      <c r="FZ49" s="782"/>
      <c r="GA49" s="782"/>
      <c r="GB49" s="782"/>
      <c r="GC49" s="782"/>
      <c r="GD49" s="782"/>
      <c r="GE49" s="782"/>
      <c r="GF49" s="782"/>
      <c r="GG49" s="782"/>
      <c r="GH49" s="782"/>
      <c r="GI49" s="782"/>
      <c r="GJ49" s="782"/>
      <c r="GK49" s="782"/>
      <c r="GL49" s="782"/>
      <c r="GM49" s="782"/>
      <c r="GN49" s="782"/>
      <c r="GO49" s="782"/>
      <c r="GP49" s="782"/>
      <c r="GQ49" s="782"/>
      <c r="GR49" s="782"/>
      <c r="GS49" s="782"/>
      <c r="GT49" s="782"/>
      <c r="GU49" s="782"/>
      <c r="GV49" s="782"/>
      <c r="GW49" s="782"/>
      <c r="GX49" s="782"/>
      <c r="GY49" s="782"/>
      <c r="GZ49" s="782"/>
      <c r="HA49" s="782"/>
      <c r="HB49" s="782"/>
      <c r="HC49" s="782"/>
      <c r="HD49" s="782"/>
      <c r="HE49" s="782"/>
      <c r="HF49" s="782"/>
      <c r="HG49" s="782"/>
      <c r="HH49" s="782"/>
      <c r="HI49" s="782"/>
      <c r="HJ49" s="782"/>
      <c r="HK49" s="782"/>
      <c r="HL49" s="782"/>
      <c r="HM49" s="782"/>
      <c r="HN49" s="782"/>
      <c r="HO49" s="782"/>
      <c r="HP49" s="782"/>
      <c r="HQ49" s="782"/>
      <c r="HR49" s="782"/>
      <c r="HS49" s="782"/>
      <c r="HT49" s="782"/>
      <c r="HU49" s="782"/>
      <c r="HV49" s="782"/>
      <c r="HW49" s="782"/>
      <c r="HX49" s="782"/>
      <c r="HY49" s="782"/>
      <c r="HZ49" s="782"/>
      <c r="IA49" s="782"/>
      <c r="IB49" s="782"/>
      <c r="IC49" s="782"/>
      <c r="ID49" s="782"/>
      <c r="IE49" s="782"/>
      <c r="IF49" s="782"/>
      <c r="IG49" s="782"/>
      <c r="IH49" s="782"/>
      <c r="II49" s="782"/>
      <c r="IJ49" s="782"/>
      <c r="IK49" s="782"/>
      <c r="IL49" s="782"/>
      <c r="IM49" s="782"/>
      <c r="IN49" s="782"/>
      <c r="IO49" s="782"/>
      <c r="IP49" s="782"/>
      <c r="IQ49" s="782"/>
      <c r="IR49" s="782"/>
      <c r="IS49" s="782"/>
      <c r="IT49" s="782"/>
      <c r="IU49" s="782"/>
      <c r="IV49" s="782"/>
      <c r="IW49" s="782"/>
      <c r="IX49" s="782"/>
      <c r="IY49" s="782"/>
      <c r="IZ49" s="782"/>
      <c r="JA49" s="782"/>
      <c r="JB49" s="782"/>
      <c r="JC49" s="782"/>
      <c r="JD49" s="782"/>
      <c r="JE49" s="782"/>
      <c r="JF49" s="782"/>
      <c r="JG49" s="782"/>
      <c r="JH49" s="782"/>
      <c r="JI49" s="782"/>
      <c r="JJ49" s="782"/>
      <c r="JK49" s="782"/>
      <c r="JL49" s="782"/>
      <c r="JM49" s="782"/>
      <c r="JN49" s="782"/>
      <c r="JO49" s="782"/>
      <c r="JP49" s="782"/>
      <c r="JQ49" s="782"/>
      <c r="JR49" s="782"/>
      <c r="JS49" s="782"/>
      <c r="JT49" s="782"/>
      <c r="JU49" s="782"/>
      <c r="JV49" s="782"/>
      <c r="JW49" s="782"/>
      <c r="JX49" s="782"/>
      <c r="JY49" s="782"/>
      <c r="JZ49" s="782"/>
      <c r="KA49" s="782"/>
      <c r="KB49" s="782"/>
      <c r="KC49" s="782"/>
      <c r="KD49" s="782"/>
      <c r="KE49" s="782"/>
      <c r="KF49" s="782"/>
      <c r="KG49" s="782"/>
      <c r="KH49" s="782"/>
      <c r="KI49" s="782"/>
      <c r="KJ49" s="782"/>
      <c r="KK49" s="782"/>
      <c r="KL49" s="782"/>
      <c r="KM49" s="782"/>
      <c r="KN49" s="782"/>
      <c r="KO49" s="782"/>
      <c r="KP49" s="782"/>
      <c r="KQ49" s="782"/>
      <c r="KR49" s="782"/>
      <c r="KS49" s="782"/>
      <c r="KT49" s="782"/>
      <c r="KU49" s="782"/>
      <c r="KV49" s="782"/>
      <c r="KW49" s="782"/>
      <c r="KX49" s="782"/>
      <c r="KY49" s="782"/>
      <c r="KZ49" s="782"/>
      <c r="LA49" s="782"/>
      <c r="LB49" s="782"/>
      <c r="LC49" s="782"/>
      <c r="LD49" s="782"/>
      <c r="LE49" s="782"/>
      <c r="LF49" s="782"/>
      <c r="LG49" s="782"/>
      <c r="LH49" s="782"/>
      <c r="LI49" s="782"/>
      <c r="LJ49" s="782"/>
      <c r="LK49" s="782"/>
      <c r="LL49" s="782"/>
      <c r="LM49" s="782"/>
      <c r="LN49" s="782"/>
      <c r="LO49" s="782"/>
      <c r="LP49" s="782"/>
      <c r="LQ49" s="782"/>
      <c r="LR49" s="782"/>
      <c r="LS49" s="782"/>
      <c r="LT49" s="782"/>
      <c r="LU49" s="782"/>
      <c r="LV49" s="782"/>
      <c r="LW49" s="782"/>
      <c r="LX49" s="782"/>
      <c r="LY49" s="782"/>
      <c r="LZ49" s="782"/>
      <c r="MA49" s="782"/>
      <c r="MB49" s="782"/>
      <c r="MC49" s="782"/>
      <c r="MD49" s="782"/>
      <c r="ME49" s="782"/>
      <c r="MF49" s="782"/>
      <c r="MG49" s="782"/>
      <c r="MH49" s="782"/>
      <c r="MI49" s="782"/>
      <c r="MJ49" s="782"/>
      <c r="MK49" s="782"/>
      <c r="ML49" s="782"/>
      <c r="MM49" s="782"/>
      <c r="MN49" s="782"/>
      <c r="MO49" s="782"/>
      <c r="MP49" s="782"/>
      <c r="MQ49" s="782"/>
      <c r="MR49" s="782"/>
      <c r="MS49" s="782"/>
      <c r="MT49" s="782"/>
      <c r="MU49" s="782"/>
      <c r="MV49" s="782"/>
      <c r="MW49" s="782"/>
      <c r="MX49" s="782"/>
      <c r="MY49" s="782"/>
      <c r="MZ49" s="782"/>
      <c r="NA49" s="782"/>
      <c r="NB49" s="782"/>
      <c r="NC49" s="782"/>
      <c r="ND49" s="782"/>
      <c r="NE49" s="782"/>
      <c r="NF49" s="782"/>
      <c r="NG49" s="782"/>
      <c r="NH49" s="782"/>
      <c r="NI49" s="782"/>
      <c r="NJ49" s="782"/>
      <c r="NK49" s="782"/>
      <c r="NL49" s="782"/>
      <c r="NM49" s="782"/>
      <c r="NN49" s="782"/>
      <c r="NO49" s="782"/>
      <c r="NP49" s="782"/>
      <c r="NQ49" s="782"/>
      <c r="NR49" s="782"/>
      <c r="NS49" s="782"/>
      <c r="NT49" s="782"/>
      <c r="NU49" s="782"/>
      <c r="NV49" s="782"/>
      <c r="NW49" s="782"/>
      <c r="NX49" s="782"/>
      <c r="NY49" s="782"/>
      <c r="NZ49" s="782"/>
      <c r="OA49" s="782"/>
      <c r="OB49" s="782"/>
      <c r="OC49" s="782"/>
      <c r="OD49" s="782"/>
      <c r="OE49" s="782"/>
      <c r="OF49" s="782"/>
      <c r="OG49" s="782"/>
      <c r="OH49" s="782"/>
      <c r="OI49" s="782"/>
      <c r="OJ49" s="782"/>
      <c r="OK49" s="782"/>
      <c r="OL49" s="782"/>
      <c r="OM49" s="782"/>
      <c r="ON49" s="782"/>
      <c r="OO49" s="782"/>
      <c r="OP49" s="782"/>
      <c r="OQ49" s="782"/>
      <c r="OR49" s="782"/>
      <c r="OS49" s="782"/>
      <c r="OT49" s="782"/>
      <c r="OU49" s="782"/>
      <c r="OV49" s="782"/>
      <c r="OW49" s="782"/>
      <c r="OX49" s="782"/>
      <c r="OY49" s="782"/>
      <c r="OZ49" s="782"/>
      <c r="PA49" s="782"/>
      <c r="PB49" s="782"/>
      <c r="PC49" s="782"/>
      <c r="PD49" s="782"/>
      <c r="PE49" s="782"/>
      <c r="PF49" s="782"/>
      <c r="PG49" s="782"/>
      <c r="PH49" s="782"/>
      <c r="PI49" s="782"/>
      <c r="PJ49" s="782"/>
      <c r="PK49" s="782"/>
      <c r="PL49" s="782"/>
      <c r="PM49" s="782"/>
      <c r="PN49" s="782"/>
      <c r="PO49" s="782"/>
      <c r="PP49" s="782"/>
      <c r="PQ49" s="782"/>
      <c r="PR49" s="782"/>
      <c r="PS49" s="782"/>
      <c r="PT49" s="782"/>
      <c r="PU49" s="782"/>
      <c r="PV49" s="782"/>
      <c r="PW49" s="782"/>
      <c r="PX49" s="782"/>
      <c r="PY49" s="782"/>
      <c r="PZ49" s="782"/>
      <c r="QA49" s="782"/>
      <c r="QB49" s="782"/>
      <c r="QC49" s="782"/>
      <c r="QD49" s="782"/>
      <c r="QE49" s="782"/>
      <c r="QF49" s="782"/>
      <c r="QG49" s="782"/>
      <c r="QH49" s="782"/>
      <c r="QI49" s="782"/>
      <c r="QJ49" s="782"/>
      <c r="QK49" s="782"/>
      <c r="QL49" s="782"/>
      <c r="QM49" s="782"/>
      <c r="QN49" s="782"/>
      <c r="QO49" s="782"/>
      <c r="QP49" s="782"/>
      <c r="QQ49" s="782"/>
      <c r="QR49" s="782"/>
      <c r="QS49" s="782"/>
      <c r="QT49" s="782"/>
      <c r="QU49" s="782"/>
      <c r="QV49" s="782"/>
      <c r="QW49" s="782"/>
      <c r="QX49" s="782"/>
      <c r="QY49" s="782"/>
      <c r="QZ49" s="782"/>
      <c r="RA49" s="782"/>
      <c r="RB49" s="782"/>
      <c r="RC49" s="782"/>
      <c r="RD49" s="782"/>
      <c r="RE49" s="782"/>
      <c r="RF49" s="782"/>
      <c r="RG49" s="782"/>
      <c r="RH49" s="782"/>
      <c r="RI49" s="782"/>
      <c r="RJ49" s="782"/>
      <c r="RK49" s="782"/>
      <c r="RL49" s="782"/>
      <c r="RM49" s="782"/>
      <c r="RN49" s="782"/>
      <c r="RO49" s="782"/>
      <c r="RP49" s="782"/>
      <c r="RQ49" s="782"/>
      <c r="RR49" s="782"/>
      <c r="RS49" s="782"/>
      <c r="RT49" s="782"/>
      <c r="RU49" s="782"/>
      <c r="RV49" s="782"/>
      <c r="RW49" s="782"/>
      <c r="RX49" s="782"/>
    </row>
    <row r="50" spans="1:492" s="143" customFormat="1">
      <c r="A50" s="782"/>
      <c r="B50" s="782"/>
      <c r="C50" s="782"/>
      <c r="D50" s="782"/>
      <c r="E50" s="782"/>
      <c r="F50" s="782"/>
      <c r="G50" s="782"/>
      <c r="H50" s="782"/>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c r="AK50" s="782"/>
      <c r="AL50" s="782"/>
      <c r="AM50" s="785"/>
      <c r="AN50" s="785"/>
      <c r="AO50" s="785"/>
      <c r="AP50" s="785"/>
      <c r="AQ50" s="785"/>
      <c r="AR50" s="785"/>
      <c r="AS50" s="785"/>
      <c r="AT50" s="785"/>
      <c r="AU50" s="785"/>
      <c r="AV50" s="785"/>
      <c r="AW50" s="785"/>
      <c r="AX50" s="785"/>
      <c r="AY50" s="785"/>
      <c r="AZ50" s="785"/>
      <c r="BA50" s="785"/>
      <c r="BB50" s="785"/>
      <c r="BC50" s="785"/>
      <c r="BD50" s="785"/>
      <c r="BE50" s="785"/>
      <c r="BF50" s="785"/>
      <c r="BG50" s="785"/>
      <c r="BH50" s="785"/>
      <c r="BI50" s="785"/>
      <c r="BJ50" s="785"/>
      <c r="BK50" s="785"/>
      <c r="BL50" s="785"/>
      <c r="BM50" s="785"/>
      <c r="BN50" s="785"/>
      <c r="BO50" s="785"/>
      <c r="BP50" s="785"/>
      <c r="BQ50" s="785"/>
      <c r="BR50" s="785"/>
      <c r="BS50" s="785"/>
      <c r="BT50" s="785"/>
      <c r="BU50" s="785"/>
      <c r="BV50" s="785"/>
      <c r="BW50" s="785"/>
      <c r="BX50" s="785"/>
      <c r="BY50" s="785"/>
      <c r="BZ50" s="785"/>
      <c r="CA50" s="782"/>
      <c r="CB50" s="782"/>
      <c r="CC50" s="782"/>
      <c r="CD50" s="782"/>
      <c r="CE50" s="782"/>
      <c r="CF50" s="782"/>
      <c r="CG50" s="782"/>
      <c r="CH50" s="782"/>
      <c r="CI50" s="782"/>
      <c r="CJ50" s="782"/>
      <c r="CK50" s="782"/>
      <c r="CL50" s="782"/>
      <c r="CM50" s="782"/>
      <c r="CN50" s="782"/>
      <c r="CO50" s="782"/>
      <c r="CP50" s="782"/>
      <c r="CQ50" s="782"/>
      <c r="CR50" s="782"/>
      <c r="CS50" s="782"/>
      <c r="CT50" s="782"/>
      <c r="CU50" s="782"/>
      <c r="CV50" s="782"/>
      <c r="CW50" s="782"/>
      <c r="CX50" s="782"/>
      <c r="CY50" s="782"/>
      <c r="CZ50" s="782"/>
      <c r="DA50" s="782"/>
      <c r="DB50" s="782"/>
      <c r="DC50" s="782"/>
      <c r="DD50" s="782"/>
      <c r="DE50" s="782"/>
      <c r="DF50" s="782"/>
      <c r="DG50" s="782"/>
      <c r="DH50" s="782"/>
      <c r="DI50" s="782"/>
      <c r="DJ50" s="782"/>
      <c r="DK50" s="782"/>
      <c r="DL50" s="782"/>
      <c r="DM50" s="782"/>
      <c r="DN50" s="782"/>
      <c r="DO50" s="782"/>
      <c r="DP50" s="782"/>
      <c r="DQ50" s="782"/>
      <c r="DR50" s="782"/>
      <c r="DS50" s="782"/>
      <c r="DT50" s="782"/>
      <c r="DU50" s="782"/>
      <c r="DV50" s="782"/>
      <c r="DW50" s="782"/>
      <c r="DX50" s="782"/>
      <c r="DY50" s="782"/>
      <c r="DZ50" s="782"/>
      <c r="EA50" s="782"/>
      <c r="EB50" s="782"/>
      <c r="EC50" s="782"/>
      <c r="ED50" s="782"/>
      <c r="EE50" s="782"/>
      <c r="EF50" s="782"/>
      <c r="EG50" s="782"/>
      <c r="EH50" s="782"/>
      <c r="EI50" s="782"/>
      <c r="EJ50" s="782"/>
      <c r="EK50" s="782"/>
      <c r="EL50" s="782"/>
      <c r="EM50" s="782"/>
      <c r="EN50" s="782"/>
      <c r="EO50" s="782"/>
      <c r="EP50" s="782"/>
      <c r="EQ50" s="782"/>
      <c r="ER50" s="782"/>
      <c r="ES50" s="782"/>
      <c r="ET50" s="782"/>
      <c r="EU50" s="782"/>
      <c r="EV50" s="782"/>
      <c r="EW50" s="782"/>
      <c r="EX50" s="782"/>
      <c r="EY50" s="782"/>
      <c r="EZ50" s="782"/>
      <c r="FA50" s="782"/>
      <c r="FB50" s="782"/>
      <c r="FC50" s="782"/>
      <c r="FD50" s="782"/>
      <c r="FE50" s="782"/>
      <c r="FF50" s="782"/>
      <c r="FG50" s="782"/>
      <c r="FH50" s="782"/>
      <c r="FI50" s="782"/>
      <c r="FJ50" s="782"/>
      <c r="FK50" s="782"/>
      <c r="FL50" s="782"/>
      <c r="FM50" s="782"/>
      <c r="FN50" s="782"/>
      <c r="FO50" s="782"/>
      <c r="FP50" s="782"/>
      <c r="FQ50" s="782"/>
      <c r="FR50" s="782"/>
      <c r="FS50" s="782"/>
      <c r="FT50" s="782"/>
      <c r="FU50" s="782"/>
      <c r="FV50" s="782"/>
      <c r="FW50" s="782"/>
      <c r="FX50" s="782"/>
      <c r="FY50" s="782"/>
      <c r="FZ50" s="782"/>
      <c r="GA50" s="782"/>
      <c r="GB50" s="782"/>
      <c r="GC50" s="782"/>
      <c r="GD50" s="782"/>
      <c r="GE50" s="782"/>
      <c r="GF50" s="782"/>
      <c r="GG50" s="782"/>
      <c r="GH50" s="782"/>
      <c r="GI50" s="782"/>
      <c r="GJ50" s="782"/>
      <c r="GK50" s="782"/>
      <c r="GL50" s="782"/>
      <c r="GM50" s="782"/>
      <c r="GN50" s="782"/>
      <c r="GO50" s="782"/>
      <c r="GP50" s="782"/>
      <c r="GQ50" s="782"/>
      <c r="GR50" s="782"/>
      <c r="GS50" s="782"/>
      <c r="GT50" s="782"/>
      <c r="GU50" s="782"/>
      <c r="GV50" s="782"/>
      <c r="GW50" s="782"/>
      <c r="GX50" s="782"/>
      <c r="GY50" s="782"/>
      <c r="GZ50" s="782"/>
      <c r="HA50" s="782"/>
      <c r="HB50" s="782"/>
      <c r="HC50" s="782"/>
      <c r="HD50" s="782"/>
      <c r="HE50" s="782"/>
      <c r="HF50" s="782"/>
      <c r="HG50" s="782"/>
      <c r="HH50" s="782"/>
      <c r="HI50" s="782"/>
      <c r="HJ50" s="782"/>
      <c r="HK50" s="782"/>
      <c r="HL50" s="782"/>
      <c r="HM50" s="782"/>
      <c r="HN50" s="782"/>
      <c r="HO50" s="782"/>
      <c r="HP50" s="782"/>
      <c r="HQ50" s="782"/>
      <c r="HR50" s="782"/>
      <c r="HS50" s="782"/>
      <c r="HT50" s="782"/>
      <c r="HU50" s="782"/>
      <c r="HV50" s="782"/>
      <c r="HW50" s="782"/>
      <c r="HX50" s="782"/>
      <c r="HY50" s="782"/>
      <c r="HZ50" s="782"/>
      <c r="IA50" s="782"/>
      <c r="IB50" s="782"/>
      <c r="IC50" s="782"/>
      <c r="ID50" s="782"/>
      <c r="IE50" s="782"/>
      <c r="IF50" s="782"/>
      <c r="IG50" s="782"/>
      <c r="IH50" s="782"/>
      <c r="II50" s="782"/>
      <c r="IJ50" s="782"/>
      <c r="IK50" s="782"/>
      <c r="IL50" s="782"/>
      <c r="IM50" s="782"/>
      <c r="IN50" s="782"/>
      <c r="IO50" s="782"/>
      <c r="IP50" s="782"/>
      <c r="IQ50" s="782"/>
      <c r="IR50" s="782"/>
      <c r="IS50" s="782"/>
      <c r="IT50" s="782"/>
      <c r="IU50" s="782"/>
      <c r="IV50" s="782"/>
      <c r="IW50" s="782"/>
      <c r="IX50" s="782"/>
      <c r="IY50" s="782"/>
      <c r="IZ50" s="782"/>
      <c r="JA50" s="782"/>
      <c r="JB50" s="782"/>
      <c r="JC50" s="782"/>
      <c r="JD50" s="782"/>
      <c r="JE50" s="782"/>
      <c r="JF50" s="782"/>
      <c r="JG50" s="782"/>
      <c r="JH50" s="782"/>
      <c r="JI50" s="782"/>
      <c r="JJ50" s="782"/>
      <c r="JK50" s="782"/>
      <c r="JL50" s="782"/>
      <c r="JM50" s="782"/>
      <c r="JN50" s="782"/>
      <c r="JO50" s="782"/>
      <c r="JP50" s="782"/>
      <c r="JQ50" s="782"/>
      <c r="JR50" s="782"/>
      <c r="JS50" s="782"/>
      <c r="JT50" s="782"/>
      <c r="JU50" s="782"/>
      <c r="JV50" s="782"/>
      <c r="JW50" s="782"/>
      <c r="JX50" s="782"/>
      <c r="JY50" s="782"/>
      <c r="JZ50" s="782"/>
      <c r="KA50" s="782"/>
      <c r="KB50" s="782"/>
      <c r="KC50" s="782"/>
      <c r="KD50" s="782"/>
      <c r="KE50" s="782"/>
      <c r="KF50" s="782"/>
      <c r="KG50" s="782"/>
      <c r="KH50" s="782"/>
      <c r="KI50" s="782"/>
      <c r="KJ50" s="782"/>
      <c r="KK50" s="782"/>
      <c r="KL50" s="782"/>
      <c r="KM50" s="782"/>
      <c r="KN50" s="782"/>
      <c r="KO50" s="782"/>
      <c r="KP50" s="782"/>
      <c r="KQ50" s="782"/>
      <c r="KR50" s="782"/>
      <c r="KS50" s="782"/>
      <c r="KT50" s="782"/>
      <c r="KU50" s="782"/>
      <c r="KV50" s="782"/>
      <c r="KW50" s="782"/>
      <c r="KX50" s="782"/>
      <c r="KY50" s="782"/>
      <c r="KZ50" s="782"/>
      <c r="LA50" s="782"/>
      <c r="LB50" s="782"/>
      <c r="LC50" s="782"/>
      <c r="LD50" s="782"/>
      <c r="LE50" s="782"/>
      <c r="LF50" s="782"/>
      <c r="LG50" s="782"/>
      <c r="LH50" s="782"/>
      <c r="LI50" s="782"/>
      <c r="LJ50" s="782"/>
      <c r="LK50" s="782"/>
      <c r="LL50" s="782"/>
      <c r="LM50" s="782"/>
      <c r="LN50" s="782"/>
      <c r="LO50" s="782"/>
      <c r="LP50" s="782"/>
      <c r="LQ50" s="782"/>
      <c r="LR50" s="782"/>
      <c r="LS50" s="782"/>
      <c r="LT50" s="782"/>
      <c r="LU50" s="782"/>
      <c r="LV50" s="782"/>
      <c r="LW50" s="782"/>
      <c r="LX50" s="782"/>
      <c r="LY50" s="782"/>
      <c r="LZ50" s="782"/>
      <c r="MA50" s="782"/>
      <c r="MB50" s="782"/>
      <c r="MC50" s="782"/>
      <c r="MD50" s="782"/>
      <c r="ME50" s="782"/>
      <c r="MF50" s="782"/>
      <c r="MG50" s="782"/>
      <c r="MH50" s="782"/>
      <c r="MI50" s="782"/>
      <c r="MJ50" s="782"/>
      <c r="MK50" s="782"/>
      <c r="ML50" s="782"/>
      <c r="MM50" s="782"/>
      <c r="MN50" s="782"/>
      <c r="MO50" s="782"/>
      <c r="MP50" s="782"/>
      <c r="MQ50" s="782"/>
      <c r="MR50" s="782"/>
      <c r="MS50" s="782"/>
      <c r="MT50" s="782"/>
      <c r="MU50" s="782"/>
      <c r="MV50" s="782"/>
      <c r="MW50" s="782"/>
      <c r="MX50" s="782"/>
      <c r="MY50" s="782"/>
      <c r="MZ50" s="782"/>
      <c r="NA50" s="782"/>
      <c r="NB50" s="782"/>
      <c r="NC50" s="782"/>
      <c r="ND50" s="782"/>
      <c r="NE50" s="782"/>
      <c r="NF50" s="782"/>
      <c r="NG50" s="782"/>
      <c r="NH50" s="782"/>
      <c r="NI50" s="782"/>
      <c r="NJ50" s="782"/>
      <c r="NK50" s="782"/>
      <c r="NL50" s="782"/>
      <c r="NM50" s="782"/>
      <c r="NN50" s="782"/>
      <c r="NO50" s="782"/>
      <c r="NP50" s="782"/>
      <c r="NQ50" s="782"/>
      <c r="NR50" s="782"/>
      <c r="NS50" s="782"/>
      <c r="NT50" s="782"/>
      <c r="NU50" s="782"/>
      <c r="NV50" s="782"/>
      <c r="NW50" s="782"/>
      <c r="NX50" s="782"/>
      <c r="NY50" s="782"/>
      <c r="NZ50" s="782"/>
      <c r="OA50" s="782"/>
      <c r="OB50" s="782"/>
      <c r="OC50" s="782"/>
      <c r="OD50" s="782"/>
      <c r="OE50" s="782"/>
      <c r="OF50" s="782"/>
      <c r="OG50" s="782"/>
      <c r="OH50" s="782"/>
      <c r="OI50" s="782"/>
      <c r="OJ50" s="782"/>
      <c r="OK50" s="782"/>
      <c r="OL50" s="782"/>
      <c r="OM50" s="782"/>
      <c r="ON50" s="782"/>
      <c r="OO50" s="782"/>
      <c r="OP50" s="782"/>
      <c r="OQ50" s="782"/>
      <c r="OR50" s="782"/>
      <c r="OS50" s="782"/>
      <c r="OT50" s="782"/>
      <c r="OU50" s="782"/>
      <c r="OV50" s="782"/>
      <c r="OW50" s="782"/>
      <c r="OX50" s="782"/>
      <c r="OY50" s="782"/>
      <c r="OZ50" s="782"/>
      <c r="PA50" s="782"/>
      <c r="PB50" s="782"/>
      <c r="PC50" s="782"/>
      <c r="PD50" s="782"/>
      <c r="PE50" s="782"/>
      <c r="PF50" s="782"/>
      <c r="PG50" s="782"/>
      <c r="PH50" s="782"/>
      <c r="PI50" s="782"/>
      <c r="PJ50" s="782"/>
      <c r="PK50" s="782"/>
      <c r="PL50" s="782"/>
      <c r="PM50" s="782"/>
      <c r="PN50" s="782"/>
      <c r="PO50" s="782"/>
      <c r="PP50" s="782"/>
      <c r="PQ50" s="782"/>
      <c r="PR50" s="782"/>
      <c r="PS50" s="782"/>
      <c r="PT50" s="782"/>
      <c r="PU50" s="782"/>
      <c r="PV50" s="782"/>
      <c r="PW50" s="782"/>
      <c r="PX50" s="782"/>
      <c r="PY50" s="782"/>
      <c r="PZ50" s="782"/>
      <c r="QA50" s="782"/>
      <c r="QB50" s="782"/>
      <c r="QC50" s="782"/>
      <c r="QD50" s="782"/>
      <c r="QE50" s="782"/>
      <c r="QF50" s="782"/>
      <c r="QG50" s="782"/>
      <c r="QH50" s="782"/>
      <c r="QI50" s="782"/>
      <c r="QJ50" s="782"/>
      <c r="QK50" s="782"/>
      <c r="QL50" s="782"/>
      <c r="QM50" s="782"/>
      <c r="QN50" s="782"/>
      <c r="QO50" s="782"/>
      <c r="QP50" s="782"/>
      <c r="QQ50" s="782"/>
      <c r="QR50" s="782"/>
      <c r="QS50" s="782"/>
      <c r="QT50" s="782"/>
      <c r="QU50" s="782"/>
      <c r="QV50" s="782"/>
      <c r="QW50" s="782"/>
      <c r="QX50" s="782"/>
      <c r="QY50" s="782"/>
      <c r="QZ50" s="782"/>
      <c r="RA50" s="782"/>
      <c r="RB50" s="782"/>
      <c r="RC50" s="782"/>
      <c r="RD50" s="782"/>
      <c r="RE50" s="782"/>
      <c r="RF50" s="782"/>
      <c r="RG50" s="782"/>
      <c r="RH50" s="782"/>
      <c r="RI50" s="782"/>
      <c r="RJ50" s="782"/>
      <c r="RK50" s="782"/>
      <c r="RL50" s="782"/>
      <c r="RM50" s="782"/>
      <c r="RN50" s="782"/>
      <c r="RO50" s="782"/>
      <c r="RP50" s="782"/>
      <c r="RQ50" s="782"/>
      <c r="RR50" s="782"/>
      <c r="RS50" s="782"/>
      <c r="RT50" s="782"/>
      <c r="RU50" s="782"/>
      <c r="RV50" s="782"/>
      <c r="RW50" s="782"/>
      <c r="RX50" s="782"/>
    </row>
    <row r="51" spans="1:492" s="143" customFormat="1">
      <c r="A51" s="782"/>
      <c r="B51" s="782"/>
      <c r="C51" s="782"/>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c r="AH51" s="782"/>
      <c r="AI51" s="782"/>
      <c r="AJ51" s="782"/>
      <c r="AK51" s="782"/>
      <c r="AL51" s="782"/>
      <c r="AM51" s="785"/>
      <c r="AN51" s="785"/>
      <c r="AO51" s="785"/>
      <c r="AP51" s="785"/>
      <c r="AQ51" s="785"/>
      <c r="AR51" s="785"/>
      <c r="AS51" s="785"/>
      <c r="AT51" s="785"/>
      <c r="AU51" s="785"/>
      <c r="AV51" s="785"/>
      <c r="AW51" s="790"/>
      <c r="AX51" s="790"/>
      <c r="AY51" s="790"/>
      <c r="AZ51" s="790"/>
      <c r="BA51" s="785"/>
      <c r="BB51" s="785"/>
      <c r="BC51" s="785"/>
      <c r="BD51" s="785"/>
      <c r="BE51" s="785"/>
      <c r="BF51" s="785"/>
      <c r="BG51" s="785"/>
      <c r="BH51" s="785"/>
      <c r="BI51" s="785"/>
      <c r="BJ51" s="785"/>
      <c r="BK51" s="785"/>
      <c r="BL51" s="785"/>
      <c r="BM51" s="785"/>
      <c r="BN51" s="785"/>
      <c r="BO51" s="785"/>
      <c r="BP51" s="785"/>
      <c r="BQ51" s="785"/>
      <c r="BR51" s="785"/>
      <c r="BS51" s="785"/>
      <c r="BT51" s="785"/>
      <c r="BU51" s="785"/>
      <c r="BV51" s="785"/>
      <c r="BW51" s="785"/>
      <c r="BX51" s="785"/>
      <c r="BY51" s="785"/>
      <c r="BZ51" s="785"/>
      <c r="CA51" s="782"/>
      <c r="CB51" s="782"/>
      <c r="CC51" s="782"/>
      <c r="CD51" s="782"/>
      <c r="CE51" s="782"/>
      <c r="CF51" s="782"/>
      <c r="CG51" s="782"/>
      <c r="CH51" s="782"/>
      <c r="CI51" s="782"/>
      <c r="CJ51" s="782"/>
      <c r="CK51" s="782"/>
      <c r="CL51" s="782"/>
      <c r="CM51" s="782"/>
      <c r="CN51" s="782"/>
      <c r="CO51" s="782"/>
      <c r="CP51" s="782"/>
      <c r="CQ51" s="782"/>
      <c r="CR51" s="782"/>
      <c r="CS51" s="782"/>
      <c r="CT51" s="782"/>
      <c r="CU51" s="782"/>
      <c r="CV51" s="782"/>
      <c r="CW51" s="782"/>
      <c r="CX51" s="782"/>
      <c r="CY51" s="782"/>
      <c r="CZ51" s="782"/>
      <c r="DA51" s="782"/>
      <c r="DB51" s="782"/>
      <c r="DC51" s="782"/>
      <c r="DD51" s="782"/>
      <c r="DE51" s="782"/>
      <c r="DF51" s="782"/>
      <c r="DG51" s="782"/>
      <c r="DH51" s="782"/>
      <c r="DI51" s="782"/>
      <c r="DJ51" s="782"/>
      <c r="DK51" s="782"/>
      <c r="DL51" s="782"/>
      <c r="DM51" s="782"/>
      <c r="DN51" s="782"/>
      <c r="DO51" s="782"/>
      <c r="DP51" s="782"/>
      <c r="DQ51" s="782"/>
      <c r="DR51" s="782"/>
      <c r="DS51" s="782"/>
      <c r="DT51" s="782"/>
      <c r="DU51" s="782"/>
      <c r="DV51" s="782"/>
      <c r="DW51" s="782"/>
      <c r="DX51" s="782"/>
      <c r="DY51" s="782"/>
      <c r="DZ51" s="782"/>
      <c r="EA51" s="782"/>
      <c r="EB51" s="782"/>
      <c r="EC51" s="782"/>
      <c r="ED51" s="782"/>
      <c r="EE51" s="782"/>
      <c r="EF51" s="782"/>
      <c r="EG51" s="782"/>
      <c r="EH51" s="782"/>
      <c r="EI51" s="782"/>
      <c r="EJ51" s="782"/>
      <c r="EK51" s="782"/>
      <c r="EL51" s="782"/>
      <c r="EM51" s="782"/>
      <c r="EN51" s="782"/>
      <c r="EO51" s="782"/>
      <c r="EP51" s="782"/>
      <c r="EQ51" s="782"/>
      <c r="ER51" s="782"/>
      <c r="ES51" s="782"/>
      <c r="ET51" s="782"/>
      <c r="EU51" s="782"/>
      <c r="EV51" s="782"/>
      <c r="EW51" s="782"/>
      <c r="EX51" s="782"/>
      <c r="EY51" s="782"/>
      <c r="EZ51" s="782"/>
      <c r="FA51" s="782"/>
      <c r="FB51" s="782"/>
      <c r="FC51" s="782"/>
      <c r="FD51" s="782"/>
      <c r="FE51" s="782"/>
      <c r="FF51" s="782"/>
      <c r="FG51" s="782"/>
      <c r="FH51" s="782"/>
      <c r="FI51" s="782"/>
      <c r="FJ51" s="782"/>
      <c r="FK51" s="782"/>
      <c r="FL51" s="782"/>
      <c r="FM51" s="782"/>
      <c r="FN51" s="782"/>
      <c r="FO51" s="782"/>
      <c r="FP51" s="782"/>
      <c r="FQ51" s="782"/>
      <c r="FR51" s="782"/>
      <c r="FS51" s="782"/>
      <c r="FT51" s="782"/>
      <c r="FU51" s="782"/>
      <c r="FV51" s="782"/>
      <c r="FW51" s="782"/>
      <c r="FX51" s="782"/>
      <c r="FY51" s="782"/>
      <c r="FZ51" s="782"/>
      <c r="GA51" s="782"/>
      <c r="GB51" s="782"/>
      <c r="GC51" s="782"/>
      <c r="GD51" s="782"/>
      <c r="GE51" s="782"/>
      <c r="GF51" s="782"/>
      <c r="GG51" s="782"/>
      <c r="GH51" s="782"/>
      <c r="GI51" s="782"/>
      <c r="GJ51" s="782"/>
      <c r="GK51" s="782"/>
      <c r="GL51" s="782"/>
      <c r="GM51" s="782"/>
      <c r="GN51" s="782"/>
      <c r="GO51" s="782"/>
      <c r="GP51" s="782"/>
      <c r="GQ51" s="782"/>
      <c r="GR51" s="782"/>
      <c r="GS51" s="782"/>
      <c r="GT51" s="782"/>
      <c r="GU51" s="782"/>
      <c r="GV51" s="782"/>
      <c r="GW51" s="782"/>
      <c r="GX51" s="782"/>
      <c r="GY51" s="782"/>
      <c r="GZ51" s="782"/>
      <c r="HA51" s="782"/>
      <c r="HB51" s="782"/>
      <c r="HC51" s="782"/>
      <c r="HD51" s="782"/>
      <c r="HE51" s="782"/>
      <c r="HF51" s="782"/>
      <c r="HG51" s="782"/>
      <c r="HH51" s="782"/>
      <c r="HI51" s="782"/>
      <c r="HJ51" s="782"/>
      <c r="HK51" s="782"/>
      <c r="HL51" s="782"/>
      <c r="HM51" s="782"/>
      <c r="HN51" s="782"/>
      <c r="HO51" s="782"/>
      <c r="HP51" s="782"/>
      <c r="HQ51" s="782"/>
      <c r="HR51" s="782"/>
      <c r="HS51" s="782"/>
      <c r="HT51" s="782"/>
      <c r="HU51" s="782"/>
      <c r="HV51" s="782"/>
      <c r="HW51" s="782"/>
      <c r="HX51" s="782"/>
      <c r="HY51" s="782"/>
      <c r="HZ51" s="782"/>
      <c r="IA51" s="782"/>
      <c r="IB51" s="782"/>
      <c r="IC51" s="782"/>
      <c r="ID51" s="782"/>
      <c r="IE51" s="782"/>
      <c r="IF51" s="782"/>
      <c r="IG51" s="782"/>
      <c r="IH51" s="782"/>
      <c r="II51" s="782"/>
      <c r="IJ51" s="782"/>
      <c r="IK51" s="782"/>
      <c r="IL51" s="782"/>
      <c r="IM51" s="782"/>
      <c r="IN51" s="782"/>
      <c r="IO51" s="782"/>
      <c r="IP51" s="782"/>
      <c r="IQ51" s="782"/>
      <c r="IR51" s="782"/>
      <c r="IS51" s="782"/>
      <c r="IT51" s="782"/>
      <c r="IU51" s="782"/>
      <c r="IV51" s="782"/>
      <c r="IW51" s="782"/>
      <c r="IX51" s="782"/>
      <c r="IY51" s="782"/>
      <c r="IZ51" s="782"/>
      <c r="JA51" s="782"/>
      <c r="JB51" s="782"/>
      <c r="JC51" s="782"/>
      <c r="JD51" s="782"/>
      <c r="JE51" s="782"/>
      <c r="JF51" s="782"/>
      <c r="JG51" s="782"/>
      <c r="JH51" s="782"/>
      <c r="JI51" s="782"/>
      <c r="JJ51" s="782"/>
      <c r="JK51" s="782"/>
      <c r="JL51" s="782"/>
      <c r="JM51" s="782"/>
      <c r="JN51" s="782"/>
      <c r="JO51" s="782"/>
      <c r="JP51" s="782"/>
      <c r="JQ51" s="782"/>
      <c r="JR51" s="782"/>
      <c r="JS51" s="782"/>
      <c r="JT51" s="782"/>
      <c r="JU51" s="782"/>
      <c r="JV51" s="782"/>
      <c r="JW51" s="782"/>
      <c r="JX51" s="782"/>
      <c r="JY51" s="782"/>
      <c r="JZ51" s="782"/>
      <c r="KA51" s="782"/>
      <c r="KB51" s="782"/>
      <c r="KC51" s="782"/>
      <c r="KD51" s="782"/>
      <c r="KE51" s="782"/>
      <c r="KF51" s="782"/>
      <c r="KG51" s="782"/>
      <c r="KH51" s="782"/>
      <c r="KI51" s="782"/>
      <c r="KJ51" s="782"/>
      <c r="KK51" s="782"/>
      <c r="KL51" s="782"/>
      <c r="KM51" s="782"/>
      <c r="KN51" s="782"/>
      <c r="KO51" s="782"/>
      <c r="KP51" s="782"/>
      <c r="KQ51" s="782"/>
      <c r="KR51" s="782"/>
      <c r="KS51" s="782"/>
      <c r="KT51" s="782"/>
      <c r="KU51" s="782"/>
      <c r="KV51" s="782"/>
      <c r="KW51" s="782"/>
      <c r="KX51" s="782"/>
      <c r="KY51" s="782"/>
      <c r="KZ51" s="782"/>
      <c r="LA51" s="782"/>
      <c r="LB51" s="782"/>
      <c r="LC51" s="782"/>
      <c r="LD51" s="782"/>
      <c r="LE51" s="782"/>
      <c r="LF51" s="782"/>
      <c r="LG51" s="782"/>
      <c r="LH51" s="782"/>
      <c r="LI51" s="782"/>
      <c r="LJ51" s="782"/>
      <c r="LK51" s="782"/>
      <c r="LL51" s="782"/>
      <c r="LM51" s="782"/>
      <c r="LN51" s="782"/>
      <c r="LO51" s="782"/>
      <c r="LP51" s="782"/>
      <c r="LQ51" s="782"/>
      <c r="LR51" s="782"/>
      <c r="LS51" s="782"/>
      <c r="LT51" s="782"/>
      <c r="LU51" s="782"/>
      <c r="LV51" s="782"/>
      <c r="LW51" s="782"/>
      <c r="LX51" s="782"/>
      <c r="LY51" s="782"/>
      <c r="LZ51" s="782"/>
      <c r="MA51" s="782"/>
      <c r="MB51" s="782"/>
      <c r="MC51" s="782"/>
      <c r="MD51" s="782"/>
      <c r="ME51" s="782"/>
      <c r="MF51" s="782"/>
      <c r="MG51" s="782"/>
      <c r="MH51" s="782"/>
      <c r="MI51" s="782"/>
      <c r="MJ51" s="782"/>
      <c r="MK51" s="782"/>
      <c r="ML51" s="782"/>
      <c r="MM51" s="782"/>
      <c r="MN51" s="782"/>
      <c r="MO51" s="782"/>
      <c r="MP51" s="782"/>
      <c r="MQ51" s="782"/>
      <c r="MR51" s="782"/>
      <c r="MS51" s="782"/>
      <c r="MT51" s="782"/>
      <c r="MU51" s="782"/>
      <c r="MV51" s="782"/>
      <c r="MW51" s="782"/>
      <c r="MX51" s="782"/>
      <c r="MY51" s="782"/>
      <c r="MZ51" s="782"/>
      <c r="NA51" s="782"/>
      <c r="NB51" s="782"/>
      <c r="NC51" s="782"/>
      <c r="ND51" s="782"/>
      <c r="NE51" s="782"/>
      <c r="NF51" s="782"/>
      <c r="NG51" s="782"/>
      <c r="NH51" s="782"/>
      <c r="NI51" s="782"/>
      <c r="NJ51" s="782"/>
      <c r="NK51" s="782"/>
      <c r="NL51" s="782"/>
      <c r="NM51" s="782"/>
      <c r="NN51" s="782"/>
      <c r="NO51" s="782"/>
      <c r="NP51" s="782"/>
      <c r="NQ51" s="782"/>
      <c r="NR51" s="782"/>
      <c r="NS51" s="782"/>
      <c r="NT51" s="782"/>
      <c r="NU51" s="782"/>
      <c r="NV51" s="782"/>
      <c r="NW51" s="782"/>
      <c r="NX51" s="782"/>
      <c r="NY51" s="782"/>
      <c r="NZ51" s="782"/>
      <c r="OA51" s="782"/>
      <c r="OB51" s="782"/>
      <c r="OC51" s="782"/>
      <c r="OD51" s="782"/>
      <c r="OE51" s="782"/>
      <c r="OF51" s="782"/>
      <c r="OG51" s="782"/>
      <c r="OH51" s="782"/>
      <c r="OI51" s="782"/>
      <c r="OJ51" s="782"/>
      <c r="OK51" s="782"/>
      <c r="OL51" s="782"/>
      <c r="OM51" s="782"/>
      <c r="ON51" s="782"/>
      <c r="OO51" s="782"/>
      <c r="OP51" s="782"/>
      <c r="OQ51" s="782"/>
      <c r="OR51" s="782"/>
      <c r="OS51" s="782"/>
      <c r="OT51" s="782"/>
      <c r="OU51" s="782"/>
      <c r="OV51" s="782"/>
      <c r="OW51" s="782"/>
      <c r="OX51" s="782"/>
      <c r="OY51" s="782"/>
      <c r="OZ51" s="782"/>
      <c r="PA51" s="782"/>
      <c r="PB51" s="782"/>
      <c r="PC51" s="782"/>
      <c r="PD51" s="782"/>
      <c r="PE51" s="782"/>
      <c r="PF51" s="782"/>
      <c r="PG51" s="782"/>
      <c r="PH51" s="782"/>
      <c r="PI51" s="782"/>
      <c r="PJ51" s="782"/>
      <c r="PK51" s="782"/>
      <c r="PL51" s="782"/>
      <c r="PM51" s="782"/>
      <c r="PN51" s="782"/>
      <c r="PO51" s="782"/>
      <c r="PP51" s="782"/>
      <c r="PQ51" s="782"/>
      <c r="PR51" s="782"/>
      <c r="PS51" s="782"/>
      <c r="PT51" s="782"/>
      <c r="PU51" s="782"/>
      <c r="PV51" s="782"/>
      <c r="PW51" s="782"/>
      <c r="PX51" s="782"/>
      <c r="PY51" s="782"/>
      <c r="PZ51" s="782"/>
      <c r="QA51" s="782"/>
      <c r="QB51" s="782"/>
      <c r="QC51" s="782"/>
      <c r="QD51" s="782"/>
      <c r="QE51" s="782"/>
      <c r="QF51" s="782"/>
      <c r="QG51" s="782"/>
      <c r="QH51" s="782"/>
      <c r="QI51" s="782"/>
      <c r="QJ51" s="782"/>
      <c r="QK51" s="782"/>
      <c r="QL51" s="782"/>
      <c r="QM51" s="782"/>
      <c r="QN51" s="782"/>
      <c r="QO51" s="782"/>
      <c r="QP51" s="782"/>
      <c r="QQ51" s="782"/>
      <c r="QR51" s="782"/>
      <c r="QS51" s="782"/>
      <c r="QT51" s="782"/>
      <c r="QU51" s="782"/>
      <c r="QV51" s="782"/>
      <c r="QW51" s="782"/>
      <c r="QX51" s="782"/>
      <c r="QY51" s="782"/>
      <c r="QZ51" s="782"/>
      <c r="RA51" s="782"/>
      <c r="RB51" s="782"/>
      <c r="RC51" s="782"/>
      <c r="RD51" s="782"/>
      <c r="RE51" s="782"/>
      <c r="RF51" s="782"/>
      <c r="RG51" s="782"/>
      <c r="RH51" s="782"/>
      <c r="RI51" s="782"/>
      <c r="RJ51" s="782"/>
      <c r="RK51" s="782"/>
      <c r="RL51" s="782"/>
      <c r="RM51" s="782"/>
      <c r="RN51" s="782"/>
      <c r="RO51" s="782"/>
      <c r="RP51" s="782"/>
      <c r="RQ51" s="782"/>
      <c r="RR51" s="782"/>
      <c r="RS51" s="782"/>
      <c r="RT51" s="782"/>
      <c r="RU51" s="782"/>
      <c r="RV51" s="782"/>
      <c r="RW51" s="782"/>
      <c r="RX51" s="782"/>
    </row>
    <row r="52" spans="1:492" s="143" customFormat="1">
      <c r="A52" s="782"/>
      <c r="B52" s="782"/>
      <c r="C52" s="782"/>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c r="AK52" s="782"/>
      <c r="AL52" s="782"/>
      <c r="AM52" s="785"/>
      <c r="AN52" s="785"/>
      <c r="AO52" s="785"/>
      <c r="AP52" s="785"/>
      <c r="AQ52" s="785"/>
      <c r="AR52" s="785"/>
      <c r="AS52" s="785"/>
      <c r="AT52" s="785"/>
      <c r="AU52" s="785"/>
      <c r="AV52" s="785"/>
      <c r="AW52" s="790"/>
      <c r="AX52" s="790"/>
      <c r="AY52" s="790"/>
      <c r="AZ52" s="790"/>
      <c r="BA52" s="785"/>
      <c r="BB52" s="785"/>
      <c r="BC52" s="785"/>
      <c r="BD52" s="785"/>
      <c r="BE52" s="785"/>
      <c r="BF52" s="785"/>
      <c r="BG52" s="785"/>
      <c r="BH52" s="785"/>
      <c r="BI52" s="785"/>
      <c r="BJ52" s="785"/>
      <c r="BK52" s="785"/>
      <c r="BL52" s="785"/>
      <c r="BM52" s="785"/>
      <c r="BN52" s="785"/>
      <c r="BO52" s="785"/>
      <c r="BP52" s="785"/>
      <c r="BQ52" s="785"/>
      <c r="BR52" s="785"/>
      <c r="BS52" s="785"/>
      <c r="BT52" s="785"/>
      <c r="BU52" s="785"/>
      <c r="BV52" s="785"/>
      <c r="BW52" s="785"/>
      <c r="BX52" s="785"/>
      <c r="BY52" s="785"/>
      <c r="BZ52" s="785"/>
      <c r="CA52" s="782"/>
      <c r="CB52" s="782"/>
      <c r="CC52" s="782"/>
      <c r="CD52" s="782"/>
      <c r="CE52" s="782"/>
      <c r="CF52" s="782"/>
      <c r="CG52" s="782"/>
      <c r="CH52" s="782"/>
      <c r="CI52" s="782"/>
      <c r="CJ52" s="782"/>
      <c r="CK52" s="782"/>
      <c r="CL52" s="782"/>
      <c r="CM52" s="782"/>
      <c r="CN52" s="782"/>
      <c r="CO52" s="782"/>
      <c r="CP52" s="782"/>
      <c r="CQ52" s="782"/>
      <c r="CR52" s="782"/>
      <c r="CS52" s="782"/>
      <c r="CT52" s="782"/>
      <c r="CU52" s="782"/>
      <c r="CV52" s="782"/>
      <c r="CW52" s="782"/>
      <c r="CX52" s="782"/>
      <c r="CY52" s="782"/>
      <c r="CZ52" s="782"/>
      <c r="DA52" s="782"/>
      <c r="DB52" s="782"/>
      <c r="DC52" s="782"/>
      <c r="DD52" s="782"/>
      <c r="DE52" s="782"/>
      <c r="DF52" s="782"/>
      <c r="DG52" s="782"/>
      <c r="DH52" s="782"/>
      <c r="DI52" s="782"/>
      <c r="DJ52" s="782"/>
      <c r="DK52" s="782"/>
      <c r="DL52" s="782"/>
      <c r="DM52" s="782"/>
      <c r="DN52" s="782"/>
      <c r="DO52" s="782"/>
      <c r="DP52" s="782"/>
      <c r="DQ52" s="782"/>
      <c r="DR52" s="782"/>
      <c r="DS52" s="782"/>
      <c r="DT52" s="782"/>
      <c r="DU52" s="782"/>
      <c r="DV52" s="782"/>
      <c r="DW52" s="782"/>
      <c r="DX52" s="782"/>
      <c r="DY52" s="782"/>
      <c r="DZ52" s="782"/>
      <c r="EA52" s="782"/>
      <c r="EB52" s="782"/>
      <c r="EC52" s="782"/>
      <c r="ED52" s="782"/>
      <c r="EE52" s="782"/>
      <c r="EF52" s="782"/>
      <c r="EG52" s="782"/>
      <c r="EH52" s="782"/>
      <c r="EI52" s="782"/>
      <c r="EJ52" s="782"/>
      <c r="EK52" s="782"/>
      <c r="EL52" s="782"/>
      <c r="EM52" s="782"/>
      <c r="EN52" s="782"/>
      <c r="EO52" s="782"/>
      <c r="EP52" s="782"/>
      <c r="EQ52" s="782"/>
      <c r="ER52" s="782"/>
      <c r="ES52" s="782"/>
      <c r="ET52" s="782"/>
      <c r="EU52" s="782"/>
      <c r="EV52" s="782"/>
      <c r="EW52" s="782"/>
      <c r="EX52" s="782"/>
      <c r="EY52" s="782"/>
      <c r="EZ52" s="782"/>
      <c r="FA52" s="782"/>
      <c r="FB52" s="782"/>
      <c r="FC52" s="782"/>
      <c r="FD52" s="782"/>
      <c r="FE52" s="782"/>
      <c r="FF52" s="782"/>
      <c r="FG52" s="782"/>
      <c r="FH52" s="782"/>
      <c r="FI52" s="782"/>
      <c r="FJ52" s="782"/>
      <c r="FK52" s="782"/>
      <c r="FL52" s="782"/>
      <c r="FM52" s="782"/>
      <c r="FN52" s="782"/>
      <c r="FO52" s="782"/>
      <c r="FP52" s="782"/>
      <c r="FQ52" s="782"/>
      <c r="FR52" s="782"/>
      <c r="FS52" s="782"/>
      <c r="FT52" s="782"/>
      <c r="FU52" s="782"/>
      <c r="FV52" s="782"/>
      <c r="FW52" s="782"/>
      <c r="FX52" s="782"/>
      <c r="FY52" s="782"/>
      <c r="FZ52" s="782"/>
      <c r="GA52" s="782"/>
      <c r="GB52" s="782"/>
      <c r="GC52" s="782"/>
      <c r="GD52" s="782"/>
      <c r="GE52" s="782"/>
      <c r="GF52" s="782"/>
      <c r="GG52" s="782"/>
      <c r="GH52" s="782"/>
      <c r="GI52" s="782"/>
      <c r="GJ52" s="782"/>
      <c r="GK52" s="782"/>
      <c r="GL52" s="782"/>
      <c r="GM52" s="782"/>
      <c r="GN52" s="782"/>
      <c r="GO52" s="782"/>
      <c r="GP52" s="782"/>
      <c r="GQ52" s="782"/>
      <c r="GR52" s="782"/>
      <c r="GS52" s="782"/>
      <c r="GT52" s="782"/>
      <c r="GU52" s="782"/>
      <c r="GV52" s="782"/>
      <c r="GW52" s="782"/>
      <c r="GX52" s="782"/>
      <c r="GY52" s="782"/>
      <c r="GZ52" s="782"/>
      <c r="HA52" s="782"/>
      <c r="HB52" s="782"/>
      <c r="HC52" s="782"/>
      <c r="HD52" s="782"/>
      <c r="HE52" s="782"/>
      <c r="HF52" s="782"/>
      <c r="HG52" s="782"/>
      <c r="HH52" s="782"/>
      <c r="HI52" s="782"/>
      <c r="HJ52" s="782"/>
      <c r="HK52" s="782"/>
      <c r="HL52" s="782"/>
      <c r="HM52" s="782"/>
      <c r="HN52" s="782"/>
      <c r="HO52" s="782"/>
      <c r="HP52" s="782"/>
      <c r="HQ52" s="782"/>
      <c r="HR52" s="782"/>
      <c r="HS52" s="782"/>
      <c r="HT52" s="782"/>
      <c r="HU52" s="782"/>
      <c r="HV52" s="782"/>
      <c r="HW52" s="782"/>
      <c r="HX52" s="782"/>
      <c r="HY52" s="782"/>
      <c r="HZ52" s="782"/>
      <c r="IA52" s="782"/>
      <c r="IB52" s="782"/>
      <c r="IC52" s="782"/>
      <c r="ID52" s="782"/>
      <c r="IE52" s="782"/>
      <c r="IF52" s="782"/>
      <c r="IG52" s="782"/>
      <c r="IH52" s="782"/>
      <c r="II52" s="782"/>
      <c r="IJ52" s="782"/>
      <c r="IK52" s="782"/>
      <c r="IL52" s="782"/>
      <c r="IM52" s="782"/>
      <c r="IN52" s="782"/>
      <c r="IO52" s="782"/>
      <c r="IP52" s="782"/>
      <c r="IQ52" s="782"/>
      <c r="IR52" s="782"/>
      <c r="IS52" s="782"/>
      <c r="IT52" s="782"/>
      <c r="IU52" s="782"/>
      <c r="IV52" s="782"/>
      <c r="IW52" s="782"/>
      <c r="IX52" s="782"/>
      <c r="IY52" s="782"/>
      <c r="IZ52" s="782"/>
      <c r="JA52" s="782"/>
      <c r="JB52" s="782"/>
      <c r="JC52" s="782"/>
      <c r="JD52" s="782"/>
      <c r="JE52" s="782"/>
      <c r="JF52" s="782"/>
      <c r="JG52" s="782"/>
      <c r="JH52" s="782"/>
      <c r="JI52" s="782"/>
      <c r="JJ52" s="782"/>
      <c r="JK52" s="782"/>
      <c r="JL52" s="782"/>
      <c r="JM52" s="782"/>
      <c r="JN52" s="782"/>
      <c r="JO52" s="782"/>
      <c r="JP52" s="782"/>
      <c r="JQ52" s="782"/>
      <c r="JR52" s="782"/>
      <c r="JS52" s="782"/>
      <c r="JT52" s="782"/>
      <c r="JU52" s="782"/>
      <c r="JV52" s="782"/>
      <c r="JW52" s="782"/>
      <c r="JX52" s="782"/>
      <c r="JY52" s="782"/>
      <c r="JZ52" s="782"/>
      <c r="KA52" s="782"/>
      <c r="KB52" s="782"/>
      <c r="KC52" s="782"/>
      <c r="KD52" s="782"/>
      <c r="KE52" s="782"/>
      <c r="KF52" s="782"/>
      <c r="KG52" s="782"/>
      <c r="KH52" s="782"/>
      <c r="KI52" s="782"/>
      <c r="KJ52" s="782"/>
      <c r="KK52" s="782"/>
      <c r="KL52" s="782"/>
      <c r="KM52" s="782"/>
      <c r="KN52" s="782"/>
      <c r="KO52" s="782"/>
      <c r="KP52" s="782"/>
      <c r="KQ52" s="782"/>
      <c r="KR52" s="782"/>
      <c r="KS52" s="782"/>
      <c r="KT52" s="782"/>
      <c r="KU52" s="782"/>
      <c r="KV52" s="782"/>
      <c r="KW52" s="782"/>
      <c r="KX52" s="782"/>
      <c r="KY52" s="782"/>
      <c r="KZ52" s="782"/>
      <c r="LA52" s="782"/>
      <c r="LB52" s="782"/>
      <c r="LC52" s="782"/>
      <c r="LD52" s="782"/>
      <c r="LE52" s="782"/>
      <c r="LF52" s="782"/>
      <c r="LG52" s="782"/>
      <c r="LH52" s="782"/>
      <c r="LI52" s="782"/>
      <c r="LJ52" s="782"/>
      <c r="LK52" s="782"/>
      <c r="LL52" s="782"/>
      <c r="LM52" s="782"/>
      <c r="LN52" s="782"/>
      <c r="LO52" s="782"/>
      <c r="LP52" s="782"/>
      <c r="LQ52" s="782"/>
      <c r="LR52" s="782"/>
      <c r="LS52" s="782"/>
      <c r="LT52" s="782"/>
      <c r="LU52" s="782"/>
      <c r="LV52" s="782"/>
      <c r="LW52" s="782"/>
      <c r="LX52" s="782"/>
      <c r="LY52" s="782"/>
      <c r="LZ52" s="782"/>
      <c r="MA52" s="782"/>
      <c r="MB52" s="782"/>
      <c r="MC52" s="782"/>
      <c r="MD52" s="782"/>
      <c r="ME52" s="782"/>
      <c r="MF52" s="782"/>
      <c r="MG52" s="782"/>
      <c r="MH52" s="782"/>
      <c r="MI52" s="782"/>
      <c r="MJ52" s="782"/>
      <c r="MK52" s="782"/>
      <c r="ML52" s="782"/>
      <c r="MM52" s="782"/>
      <c r="MN52" s="782"/>
      <c r="MO52" s="782"/>
      <c r="MP52" s="782"/>
      <c r="MQ52" s="782"/>
      <c r="MR52" s="782"/>
      <c r="MS52" s="782"/>
      <c r="MT52" s="782"/>
      <c r="MU52" s="782"/>
      <c r="MV52" s="782"/>
      <c r="MW52" s="782"/>
      <c r="MX52" s="782"/>
      <c r="MY52" s="782"/>
      <c r="MZ52" s="782"/>
      <c r="NA52" s="782"/>
      <c r="NB52" s="782"/>
      <c r="NC52" s="782"/>
      <c r="ND52" s="782"/>
      <c r="NE52" s="782"/>
      <c r="NF52" s="782"/>
      <c r="NG52" s="782"/>
      <c r="NH52" s="782"/>
      <c r="NI52" s="782"/>
      <c r="NJ52" s="782"/>
      <c r="NK52" s="782"/>
      <c r="NL52" s="782"/>
      <c r="NM52" s="782"/>
      <c r="NN52" s="782"/>
      <c r="NO52" s="782"/>
      <c r="NP52" s="782"/>
      <c r="NQ52" s="782"/>
      <c r="NR52" s="782"/>
      <c r="NS52" s="782"/>
      <c r="NT52" s="782"/>
      <c r="NU52" s="782"/>
      <c r="NV52" s="782"/>
      <c r="NW52" s="782"/>
      <c r="NX52" s="782"/>
      <c r="NY52" s="782"/>
      <c r="NZ52" s="782"/>
      <c r="OA52" s="782"/>
      <c r="OB52" s="782"/>
      <c r="OC52" s="782"/>
      <c r="OD52" s="782"/>
      <c r="OE52" s="782"/>
      <c r="OF52" s="782"/>
      <c r="OG52" s="782"/>
      <c r="OH52" s="782"/>
      <c r="OI52" s="782"/>
      <c r="OJ52" s="782"/>
      <c r="OK52" s="782"/>
      <c r="OL52" s="782"/>
      <c r="OM52" s="782"/>
      <c r="ON52" s="782"/>
      <c r="OO52" s="782"/>
      <c r="OP52" s="782"/>
      <c r="OQ52" s="782"/>
      <c r="OR52" s="782"/>
      <c r="OS52" s="782"/>
      <c r="OT52" s="782"/>
      <c r="OU52" s="782"/>
      <c r="OV52" s="782"/>
      <c r="OW52" s="782"/>
      <c r="OX52" s="782"/>
      <c r="OY52" s="782"/>
      <c r="OZ52" s="782"/>
      <c r="PA52" s="782"/>
      <c r="PB52" s="782"/>
      <c r="PC52" s="782"/>
      <c r="PD52" s="782"/>
      <c r="PE52" s="782"/>
      <c r="PF52" s="782"/>
      <c r="PG52" s="782"/>
      <c r="PH52" s="782"/>
      <c r="PI52" s="782"/>
      <c r="PJ52" s="782"/>
      <c r="PK52" s="782"/>
      <c r="PL52" s="782"/>
      <c r="PM52" s="782"/>
      <c r="PN52" s="782"/>
      <c r="PO52" s="782"/>
      <c r="PP52" s="782"/>
      <c r="PQ52" s="782"/>
      <c r="PR52" s="782"/>
      <c r="PS52" s="782"/>
      <c r="PT52" s="782"/>
      <c r="PU52" s="782"/>
      <c r="PV52" s="782"/>
      <c r="PW52" s="782"/>
      <c r="PX52" s="782"/>
      <c r="PY52" s="782"/>
      <c r="PZ52" s="782"/>
      <c r="QA52" s="782"/>
      <c r="QB52" s="782"/>
      <c r="QC52" s="782"/>
      <c r="QD52" s="782"/>
      <c r="QE52" s="782"/>
      <c r="QF52" s="782"/>
      <c r="QG52" s="782"/>
      <c r="QH52" s="782"/>
      <c r="QI52" s="782"/>
      <c r="QJ52" s="782"/>
      <c r="QK52" s="782"/>
      <c r="QL52" s="782"/>
      <c r="QM52" s="782"/>
      <c r="QN52" s="782"/>
      <c r="QO52" s="782"/>
      <c r="QP52" s="782"/>
      <c r="QQ52" s="782"/>
      <c r="QR52" s="782"/>
      <c r="QS52" s="782"/>
      <c r="QT52" s="782"/>
      <c r="QU52" s="782"/>
      <c r="QV52" s="782"/>
      <c r="QW52" s="782"/>
      <c r="QX52" s="782"/>
      <c r="QY52" s="782"/>
      <c r="QZ52" s="782"/>
      <c r="RA52" s="782"/>
      <c r="RB52" s="782"/>
      <c r="RC52" s="782"/>
      <c r="RD52" s="782"/>
      <c r="RE52" s="782"/>
      <c r="RF52" s="782"/>
      <c r="RG52" s="782"/>
      <c r="RH52" s="782"/>
      <c r="RI52" s="782"/>
      <c r="RJ52" s="782"/>
      <c r="RK52" s="782"/>
      <c r="RL52" s="782"/>
      <c r="RM52" s="782"/>
      <c r="RN52" s="782"/>
      <c r="RO52" s="782"/>
      <c r="RP52" s="782"/>
      <c r="RQ52" s="782"/>
      <c r="RR52" s="782"/>
      <c r="RS52" s="782"/>
      <c r="RT52" s="782"/>
      <c r="RU52" s="782"/>
      <c r="RV52" s="782"/>
      <c r="RW52" s="782"/>
      <c r="RX52" s="782"/>
    </row>
    <row r="53" spans="1:492" s="143" customFormat="1">
      <c r="A53" s="782"/>
      <c r="B53" s="782"/>
      <c r="C53" s="782"/>
      <c r="D53" s="782"/>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782"/>
      <c r="AC53" s="782"/>
      <c r="AD53" s="782"/>
      <c r="AE53" s="782"/>
      <c r="AF53" s="782"/>
      <c r="AG53" s="782"/>
      <c r="AH53" s="782"/>
      <c r="AI53" s="782"/>
      <c r="AJ53" s="782"/>
      <c r="AK53" s="782"/>
      <c r="AL53" s="782"/>
      <c r="AM53" s="785"/>
      <c r="AN53" s="785"/>
      <c r="AO53" s="785"/>
      <c r="AP53" s="785"/>
      <c r="AQ53" s="785"/>
      <c r="AR53" s="785"/>
      <c r="AS53" s="785"/>
      <c r="AT53" s="785"/>
      <c r="AU53" s="785"/>
      <c r="AV53" s="785"/>
      <c r="AW53" s="790"/>
      <c r="AX53" s="790"/>
      <c r="AY53" s="790"/>
      <c r="AZ53" s="790"/>
      <c r="BA53" s="785"/>
      <c r="BB53" s="785"/>
      <c r="BC53" s="785"/>
      <c r="BD53" s="785"/>
      <c r="BE53" s="785"/>
      <c r="BF53" s="785"/>
      <c r="BG53" s="785"/>
      <c r="BH53" s="785"/>
      <c r="BI53" s="785"/>
      <c r="BJ53" s="785"/>
      <c r="BK53" s="785"/>
      <c r="BL53" s="785"/>
      <c r="BM53" s="785"/>
      <c r="BN53" s="785"/>
      <c r="BO53" s="785"/>
      <c r="BP53" s="785"/>
      <c r="BQ53" s="785"/>
      <c r="BR53" s="785"/>
      <c r="BS53" s="785"/>
      <c r="BT53" s="785"/>
      <c r="BU53" s="785"/>
      <c r="BV53" s="785"/>
      <c r="BW53" s="785"/>
      <c r="BX53" s="785"/>
      <c r="BY53" s="785"/>
      <c r="BZ53" s="785"/>
      <c r="CA53" s="782"/>
      <c r="CB53" s="782"/>
      <c r="CC53" s="782"/>
      <c r="CD53" s="782"/>
      <c r="CE53" s="782"/>
      <c r="CF53" s="782"/>
      <c r="CG53" s="782"/>
      <c r="CH53" s="782"/>
      <c r="CI53" s="782"/>
      <c r="CJ53" s="782"/>
      <c r="CK53" s="782"/>
      <c r="CL53" s="782"/>
      <c r="CM53" s="782"/>
      <c r="CN53" s="782"/>
      <c r="CO53" s="782"/>
      <c r="CP53" s="782"/>
      <c r="CQ53" s="782"/>
      <c r="CR53" s="782"/>
      <c r="CS53" s="782"/>
      <c r="CT53" s="782"/>
      <c r="CU53" s="782"/>
      <c r="CV53" s="782"/>
      <c r="CW53" s="782"/>
      <c r="CX53" s="782"/>
      <c r="CY53" s="782"/>
      <c r="CZ53" s="782"/>
      <c r="DA53" s="782"/>
      <c r="DB53" s="782"/>
      <c r="DC53" s="782"/>
      <c r="DD53" s="782"/>
      <c r="DE53" s="782"/>
      <c r="DF53" s="782"/>
      <c r="DG53" s="782"/>
      <c r="DH53" s="782"/>
      <c r="DI53" s="782"/>
      <c r="DJ53" s="782"/>
      <c r="DK53" s="782"/>
      <c r="DL53" s="782"/>
      <c r="DM53" s="782"/>
      <c r="DN53" s="782"/>
      <c r="DO53" s="782"/>
      <c r="DP53" s="782"/>
      <c r="DQ53" s="782"/>
      <c r="DR53" s="782"/>
      <c r="DS53" s="782"/>
      <c r="DT53" s="782"/>
      <c r="DU53" s="782"/>
      <c r="DV53" s="782"/>
      <c r="DW53" s="782"/>
      <c r="DX53" s="782"/>
      <c r="DY53" s="782"/>
      <c r="DZ53" s="782"/>
      <c r="EA53" s="782"/>
      <c r="EB53" s="782"/>
      <c r="EC53" s="782"/>
      <c r="ED53" s="782"/>
      <c r="EE53" s="782"/>
      <c r="EF53" s="782"/>
      <c r="EG53" s="782"/>
      <c r="EH53" s="782"/>
      <c r="EI53" s="782"/>
      <c r="EJ53" s="782"/>
      <c r="EK53" s="782"/>
      <c r="EL53" s="782"/>
      <c r="EM53" s="782"/>
      <c r="EN53" s="782"/>
      <c r="EO53" s="782"/>
      <c r="EP53" s="782"/>
      <c r="EQ53" s="782"/>
      <c r="ER53" s="782"/>
      <c r="ES53" s="782"/>
      <c r="ET53" s="782"/>
      <c r="EU53" s="782"/>
      <c r="EV53" s="782"/>
      <c r="EW53" s="782"/>
      <c r="EX53" s="782"/>
      <c r="EY53" s="782"/>
      <c r="EZ53" s="782"/>
      <c r="FA53" s="782"/>
      <c r="FB53" s="782"/>
      <c r="FC53" s="782"/>
      <c r="FD53" s="782"/>
      <c r="FE53" s="782"/>
      <c r="FF53" s="782"/>
      <c r="FG53" s="782"/>
      <c r="FH53" s="782"/>
      <c r="FI53" s="782"/>
      <c r="FJ53" s="782"/>
      <c r="FK53" s="782"/>
      <c r="FL53" s="782"/>
      <c r="FM53" s="782"/>
      <c r="FN53" s="782"/>
      <c r="FO53" s="782"/>
      <c r="FP53" s="782"/>
      <c r="FQ53" s="782"/>
      <c r="FR53" s="782"/>
      <c r="FS53" s="782"/>
      <c r="FT53" s="782"/>
      <c r="FU53" s="782"/>
      <c r="FV53" s="782"/>
      <c r="FW53" s="782"/>
      <c r="FX53" s="782"/>
      <c r="FY53" s="782"/>
      <c r="FZ53" s="782"/>
      <c r="GA53" s="782"/>
      <c r="GB53" s="782"/>
      <c r="GC53" s="782"/>
      <c r="GD53" s="782"/>
      <c r="GE53" s="782"/>
      <c r="GF53" s="782"/>
      <c r="GG53" s="782"/>
      <c r="GH53" s="782"/>
      <c r="GI53" s="782"/>
      <c r="GJ53" s="782"/>
      <c r="GK53" s="782"/>
      <c r="GL53" s="782"/>
      <c r="GM53" s="782"/>
      <c r="GN53" s="782"/>
      <c r="GO53" s="782"/>
      <c r="GP53" s="782"/>
      <c r="GQ53" s="782"/>
      <c r="GR53" s="782"/>
      <c r="GS53" s="782"/>
      <c r="GT53" s="782"/>
      <c r="GU53" s="782"/>
      <c r="GV53" s="782"/>
      <c r="GW53" s="782"/>
      <c r="GX53" s="782"/>
      <c r="GY53" s="782"/>
      <c r="GZ53" s="782"/>
      <c r="HA53" s="782"/>
      <c r="HB53" s="782"/>
      <c r="HC53" s="782"/>
      <c r="HD53" s="782"/>
      <c r="HE53" s="782"/>
      <c r="HF53" s="782"/>
      <c r="HG53" s="782"/>
      <c r="HH53" s="782"/>
      <c r="HI53" s="782"/>
      <c r="HJ53" s="782"/>
      <c r="HK53" s="782"/>
      <c r="HL53" s="782"/>
      <c r="HM53" s="782"/>
      <c r="HN53" s="782"/>
      <c r="HO53" s="782"/>
      <c r="HP53" s="782"/>
      <c r="HQ53" s="782"/>
      <c r="HR53" s="782"/>
      <c r="HS53" s="782"/>
      <c r="HT53" s="782"/>
      <c r="HU53" s="782"/>
      <c r="HV53" s="782"/>
      <c r="HW53" s="782"/>
      <c r="HX53" s="782"/>
      <c r="HY53" s="782"/>
      <c r="HZ53" s="782"/>
      <c r="IA53" s="782"/>
      <c r="IB53" s="782"/>
      <c r="IC53" s="782"/>
      <c r="ID53" s="782"/>
      <c r="IE53" s="782"/>
      <c r="IF53" s="782"/>
      <c r="IG53" s="782"/>
      <c r="IH53" s="782"/>
      <c r="II53" s="782"/>
      <c r="IJ53" s="782"/>
      <c r="IK53" s="782"/>
      <c r="IL53" s="782"/>
      <c r="IM53" s="782"/>
      <c r="IN53" s="782"/>
      <c r="IO53" s="782"/>
      <c r="IP53" s="782"/>
      <c r="IQ53" s="782"/>
      <c r="IR53" s="782"/>
      <c r="IS53" s="782"/>
      <c r="IT53" s="782"/>
      <c r="IU53" s="782"/>
      <c r="IV53" s="782"/>
      <c r="IW53" s="782"/>
      <c r="IX53" s="782"/>
      <c r="IY53" s="782"/>
      <c r="IZ53" s="782"/>
      <c r="JA53" s="782"/>
      <c r="JB53" s="782"/>
      <c r="JC53" s="782"/>
      <c r="JD53" s="782"/>
      <c r="JE53" s="782"/>
      <c r="JF53" s="782"/>
      <c r="JG53" s="782"/>
      <c r="JH53" s="782"/>
      <c r="JI53" s="782"/>
      <c r="JJ53" s="782"/>
      <c r="JK53" s="782"/>
      <c r="JL53" s="782"/>
      <c r="JM53" s="782"/>
      <c r="JN53" s="782"/>
      <c r="JO53" s="782"/>
      <c r="JP53" s="782"/>
      <c r="JQ53" s="782"/>
      <c r="JR53" s="782"/>
      <c r="JS53" s="782"/>
      <c r="JT53" s="782"/>
      <c r="JU53" s="782"/>
      <c r="JV53" s="782"/>
      <c r="JW53" s="782"/>
      <c r="JX53" s="782"/>
      <c r="JY53" s="782"/>
      <c r="JZ53" s="782"/>
      <c r="KA53" s="782"/>
      <c r="KB53" s="782"/>
      <c r="KC53" s="782"/>
      <c r="KD53" s="782"/>
      <c r="KE53" s="782"/>
      <c r="KF53" s="782"/>
      <c r="KG53" s="782"/>
      <c r="KH53" s="782"/>
      <c r="KI53" s="782"/>
      <c r="KJ53" s="782"/>
      <c r="KK53" s="782"/>
      <c r="KL53" s="782"/>
      <c r="KM53" s="782"/>
      <c r="KN53" s="782"/>
      <c r="KO53" s="782"/>
      <c r="KP53" s="782"/>
      <c r="KQ53" s="782"/>
      <c r="KR53" s="782"/>
      <c r="KS53" s="782"/>
      <c r="KT53" s="782"/>
      <c r="KU53" s="782"/>
      <c r="KV53" s="782"/>
      <c r="KW53" s="782"/>
      <c r="KX53" s="782"/>
      <c r="KY53" s="782"/>
      <c r="KZ53" s="782"/>
      <c r="LA53" s="782"/>
      <c r="LB53" s="782"/>
      <c r="LC53" s="782"/>
      <c r="LD53" s="782"/>
      <c r="LE53" s="782"/>
      <c r="LF53" s="782"/>
      <c r="LG53" s="782"/>
      <c r="LH53" s="782"/>
      <c r="LI53" s="782"/>
      <c r="LJ53" s="782"/>
      <c r="LK53" s="782"/>
      <c r="LL53" s="782"/>
      <c r="LM53" s="782"/>
      <c r="LN53" s="782"/>
      <c r="LO53" s="782"/>
      <c r="LP53" s="782"/>
      <c r="LQ53" s="782"/>
      <c r="LR53" s="782"/>
      <c r="LS53" s="782"/>
      <c r="LT53" s="782"/>
      <c r="LU53" s="782"/>
      <c r="LV53" s="782"/>
      <c r="LW53" s="782"/>
      <c r="LX53" s="782"/>
      <c r="LY53" s="782"/>
      <c r="LZ53" s="782"/>
      <c r="MA53" s="782"/>
      <c r="MB53" s="782"/>
      <c r="MC53" s="782"/>
      <c r="MD53" s="782"/>
      <c r="ME53" s="782"/>
      <c r="MF53" s="782"/>
      <c r="MG53" s="782"/>
      <c r="MH53" s="782"/>
      <c r="MI53" s="782"/>
      <c r="MJ53" s="782"/>
      <c r="MK53" s="782"/>
      <c r="ML53" s="782"/>
      <c r="MM53" s="782"/>
      <c r="MN53" s="782"/>
      <c r="MO53" s="782"/>
      <c r="MP53" s="782"/>
      <c r="MQ53" s="782"/>
      <c r="MR53" s="782"/>
      <c r="MS53" s="782"/>
      <c r="MT53" s="782"/>
      <c r="MU53" s="782"/>
      <c r="MV53" s="782"/>
      <c r="MW53" s="782"/>
      <c r="MX53" s="782"/>
      <c r="MY53" s="782"/>
      <c r="MZ53" s="782"/>
      <c r="NA53" s="782"/>
      <c r="NB53" s="782"/>
      <c r="NC53" s="782"/>
      <c r="ND53" s="782"/>
      <c r="NE53" s="782"/>
      <c r="NF53" s="782"/>
      <c r="NG53" s="782"/>
      <c r="NH53" s="782"/>
      <c r="NI53" s="782"/>
      <c r="NJ53" s="782"/>
      <c r="NK53" s="782"/>
      <c r="NL53" s="782"/>
      <c r="NM53" s="782"/>
      <c r="NN53" s="782"/>
      <c r="NO53" s="782"/>
      <c r="NP53" s="782"/>
      <c r="NQ53" s="782"/>
      <c r="NR53" s="782"/>
      <c r="NS53" s="782"/>
      <c r="NT53" s="782"/>
      <c r="NU53" s="782"/>
      <c r="NV53" s="782"/>
      <c r="NW53" s="782"/>
      <c r="NX53" s="782"/>
      <c r="NY53" s="782"/>
      <c r="NZ53" s="782"/>
      <c r="OA53" s="782"/>
      <c r="OB53" s="782"/>
      <c r="OC53" s="782"/>
      <c r="OD53" s="782"/>
      <c r="OE53" s="782"/>
      <c r="OF53" s="782"/>
      <c r="OG53" s="782"/>
      <c r="OH53" s="782"/>
      <c r="OI53" s="782"/>
      <c r="OJ53" s="782"/>
      <c r="OK53" s="782"/>
      <c r="OL53" s="782"/>
      <c r="OM53" s="782"/>
      <c r="ON53" s="782"/>
      <c r="OO53" s="782"/>
      <c r="OP53" s="782"/>
      <c r="OQ53" s="782"/>
      <c r="OR53" s="782"/>
      <c r="OS53" s="782"/>
      <c r="OT53" s="782"/>
      <c r="OU53" s="782"/>
      <c r="OV53" s="782"/>
      <c r="OW53" s="782"/>
      <c r="OX53" s="782"/>
      <c r="OY53" s="782"/>
      <c r="OZ53" s="782"/>
      <c r="PA53" s="782"/>
      <c r="PB53" s="782"/>
      <c r="PC53" s="782"/>
      <c r="PD53" s="782"/>
      <c r="PE53" s="782"/>
      <c r="PF53" s="782"/>
      <c r="PG53" s="782"/>
      <c r="PH53" s="782"/>
      <c r="PI53" s="782"/>
      <c r="PJ53" s="782"/>
      <c r="PK53" s="782"/>
      <c r="PL53" s="782"/>
      <c r="PM53" s="782"/>
      <c r="PN53" s="782"/>
      <c r="PO53" s="782"/>
      <c r="PP53" s="782"/>
      <c r="PQ53" s="782"/>
      <c r="PR53" s="782"/>
      <c r="PS53" s="782"/>
      <c r="PT53" s="782"/>
      <c r="PU53" s="782"/>
      <c r="PV53" s="782"/>
      <c r="PW53" s="782"/>
      <c r="PX53" s="782"/>
      <c r="PY53" s="782"/>
      <c r="PZ53" s="782"/>
      <c r="QA53" s="782"/>
      <c r="QB53" s="782"/>
      <c r="QC53" s="782"/>
      <c r="QD53" s="782"/>
      <c r="QE53" s="782"/>
      <c r="QF53" s="782"/>
      <c r="QG53" s="782"/>
      <c r="QH53" s="782"/>
      <c r="QI53" s="782"/>
      <c r="QJ53" s="782"/>
      <c r="QK53" s="782"/>
      <c r="QL53" s="782"/>
      <c r="QM53" s="782"/>
      <c r="QN53" s="782"/>
      <c r="QO53" s="782"/>
      <c r="QP53" s="782"/>
      <c r="QQ53" s="782"/>
      <c r="QR53" s="782"/>
      <c r="QS53" s="782"/>
      <c r="QT53" s="782"/>
      <c r="QU53" s="782"/>
      <c r="QV53" s="782"/>
      <c r="QW53" s="782"/>
      <c r="QX53" s="782"/>
      <c r="QY53" s="782"/>
      <c r="QZ53" s="782"/>
      <c r="RA53" s="782"/>
      <c r="RB53" s="782"/>
      <c r="RC53" s="782"/>
      <c r="RD53" s="782"/>
      <c r="RE53" s="782"/>
      <c r="RF53" s="782"/>
      <c r="RG53" s="782"/>
      <c r="RH53" s="782"/>
      <c r="RI53" s="782"/>
      <c r="RJ53" s="782"/>
      <c r="RK53" s="782"/>
      <c r="RL53" s="782"/>
      <c r="RM53" s="782"/>
      <c r="RN53" s="782"/>
      <c r="RO53" s="782"/>
      <c r="RP53" s="782"/>
      <c r="RQ53" s="782"/>
      <c r="RR53" s="782"/>
      <c r="RS53" s="782"/>
      <c r="RT53" s="782"/>
      <c r="RU53" s="782"/>
      <c r="RV53" s="782"/>
      <c r="RW53" s="782"/>
      <c r="RX53" s="782"/>
    </row>
    <row r="54" spans="1:492" s="143" customFormat="1">
      <c r="A54" s="782"/>
      <c r="B54" s="782"/>
      <c r="C54" s="782"/>
      <c r="D54" s="782"/>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c r="AK54" s="782"/>
      <c r="AL54" s="782"/>
      <c r="AM54" s="785"/>
      <c r="AN54" s="785"/>
      <c r="AO54" s="785"/>
      <c r="AP54" s="785"/>
      <c r="AQ54" s="785"/>
      <c r="AR54" s="785"/>
      <c r="AS54" s="785"/>
      <c r="AT54" s="785"/>
      <c r="AU54" s="785"/>
      <c r="AV54" s="785"/>
      <c r="AW54" s="790"/>
      <c r="AX54" s="790"/>
      <c r="AY54" s="790"/>
      <c r="AZ54" s="790"/>
      <c r="BA54" s="785"/>
      <c r="BB54" s="785"/>
      <c r="BC54" s="785"/>
      <c r="BD54" s="785"/>
      <c r="BE54" s="785"/>
      <c r="BF54" s="785"/>
      <c r="BG54" s="785"/>
      <c r="BH54" s="785"/>
      <c r="BI54" s="785"/>
      <c r="BJ54" s="785"/>
      <c r="BK54" s="785"/>
      <c r="BL54" s="785"/>
      <c r="BM54" s="785"/>
      <c r="BN54" s="785"/>
      <c r="BO54" s="785"/>
      <c r="BP54" s="785"/>
      <c r="BQ54" s="785"/>
      <c r="BR54" s="785"/>
      <c r="BS54" s="785"/>
      <c r="BT54" s="785"/>
      <c r="BU54" s="785"/>
      <c r="BV54" s="785"/>
      <c r="BW54" s="785"/>
      <c r="BX54" s="785"/>
      <c r="BY54" s="785"/>
      <c r="BZ54" s="785"/>
      <c r="CA54" s="782"/>
      <c r="CB54" s="782"/>
      <c r="CC54" s="782"/>
      <c r="CD54" s="782"/>
      <c r="CE54" s="782"/>
      <c r="CF54" s="782"/>
      <c r="CG54" s="782"/>
      <c r="CH54" s="782"/>
      <c r="CI54" s="782"/>
      <c r="CJ54" s="782"/>
      <c r="CK54" s="782"/>
      <c r="CL54" s="782"/>
      <c r="CM54" s="782"/>
      <c r="CN54" s="782"/>
      <c r="CO54" s="782"/>
      <c r="CP54" s="782"/>
      <c r="CQ54" s="782"/>
      <c r="CR54" s="782"/>
      <c r="CS54" s="782"/>
      <c r="CT54" s="782"/>
      <c r="CU54" s="782"/>
      <c r="CV54" s="782"/>
      <c r="CW54" s="782"/>
      <c r="CX54" s="782"/>
      <c r="CY54" s="782"/>
      <c r="CZ54" s="782"/>
      <c r="DA54" s="782"/>
      <c r="DB54" s="782"/>
      <c r="DC54" s="782"/>
      <c r="DD54" s="782"/>
      <c r="DE54" s="782"/>
      <c r="DF54" s="782"/>
      <c r="DG54" s="782"/>
      <c r="DH54" s="782"/>
      <c r="DI54" s="782"/>
      <c r="DJ54" s="782"/>
      <c r="DK54" s="782"/>
      <c r="DL54" s="782"/>
      <c r="DM54" s="782"/>
      <c r="DN54" s="782"/>
      <c r="DO54" s="782"/>
      <c r="DP54" s="782"/>
      <c r="DQ54" s="782"/>
      <c r="DR54" s="782"/>
      <c r="DS54" s="782"/>
      <c r="DT54" s="782"/>
      <c r="DU54" s="782"/>
      <c r="DV54" s="782"/>
      <c r="DW54" s="782"/>
      <c r="DX54" s="782"/>
      <c r="DY54" s="782"/>
      <c r="DZ54" s="782"/>
      <c r="EA54" s="782"/>
      <c r="EB54" s="782"/>
      <c r="EC54" s="782"/>
      <c r="ED54" s="782"/>
      <c r="EE54" s="782"/>
      <c r="EF54" s="782"/>
      <c r="EG54" s="782"/>
      <c r="EH54" s="782"/>
      <c r="EI54" s="782"/>
      <c r="EJ54" s="782"/>
      <c r="EK54" s="782"/>
      <c r="EL54" s="782"/>
      <c r="EM54" s="782"/>
      <c r="EN54" s="782"/>
      <c r="EO54" s="782"/>
      <c r="EP54" s="782"/>
      <c r="EQ54" s="782"/>
      <c r="ER54" s="782"/>
      <c r="ES54" s="782"/>
      <c r="ET54" s="782"/>
      <c r="EU54" s="782"/>
      <c r="EV54" s="782"/>
      <c r="EW54" s="782"/>
      <c r="EX54" s="782"/>
      <c r="EY54" s="782"/>
      <c r="EZ54" s="782"/>
      <c r="FA54" s="782"/>
      <c r="FB54" s="782"/>
      <c r="FC54" s="782"/>
      <c r="FD54" s="782"/>
      <c r="FE54" s="782"/>
      <c r="FF54" s="782"/>
      <c r="FG54" s="782"/>
      <c r="FH54" s="782"/>
      <c r="FI54" s="782"/>
      <c r="FJ54" s="782"/>
      <c r="FK54" s="782"/>
      <c r="FL54" s="782"/>
      <c r="FM54" s="782"/>
      <c r="FN54" s="782"/>
      <c r="FO54" s="782"/>
      <c r="FP54" s="782"/>
      <c r="FQ54" s="782"/>
      <c r="FR54" s="782"/>
      <c r="FS54" s="782"/>
      <c r="FT54" s="782"/>
      <c r="FU54" s="782"/>
      <c r="FV54" s="782"/>
      <c r="FW54" s="782"/>
      <c r="FX54" s="782"/>
      <c r="FY54" s="782"/>
      <c r="FZ54" s="782"/>
      <c r="GA54" s="782"/>
      <c r="GB54" s="782"/>
      <c r="GC54" s="782"/>
      <c r="GD54" s="782"/>
      <c r="GE54" s="782"/>
      <c r="GF54" s="782"/>
      <c r="GG54" s="782"/>
      <c r="GH54" s="782"/>
      <c r="GI54" s="782"/>
      <c r="GJ54" s="782"/>
      <c r="GK54" s="782"/>
      <c r="GL54" s="782"/>
      <c r="GM54" s="782"/>
      <c r="GN54" s="782"/>
      <c r="GO54" s="782"/>
      <c r="GP54" s="782"/>
      <c r="GQ54" s="782"/>
      <c r="GR54" s="782"/>
      <c r="GS54" s="782"/>
      <c r="GT54" s="782"/>
      <c r="GU54" s="782"/>
      <c r="GV54" s="782"/>
      <c r="GW54" s="782"/>
      <c r="GX54" s="782"/>
      <c r="GY54" s="782"/>
      <c r="GZ54" s="782"/>
      <c r="HA54" s="782"/>
      <c r="HB54" s="782"/>
      <c r="HC54" s="782"/>
      <c r="HD54" s="782"/>
      <c r="HE54" s="782"/>
      <c r="HF54" s="782"/>
      <c r="HG54" s="782"/>
      <c r="HH54" s="782"/>
      <c r="HI54" s="782"/>
      <c r="HJ54" s="782"/>
      <c r="HK54" s="782"/>
      <c r="HL54" s="782"/>
      <c r="HM54" s="782"/>
      <c r="HN54" s="782"/>
      <c r="HO54" s="782"/>
      <c r="HP54" s="782"/>
      <c r="HQ54" s="782"/>
      <c r="HR54" s="782"/>
      <c r="HS54" s="782"/>
      <c r="HT54" s="782"/>
      <c r="HU54" s="782"/>
      <c r="HV54" s="782"/>
      <c r="HW54" s="782"/>
      <c r="HX54" s="782"/>
      <c r="HY54" s="782"/>
      <c r="HZ54" s="782"/>
      <c r="IA54" s="782"/>
      <c r="IB54" s="782"/>
      <c r="IC54" s="782"/>
      <c r="ID54" s="782"/>
      <c r="IE54" s="782"/>
      <c r="IF54" s="782"/>
      <c r="IG54" s="782"/>
      <c r="IH54" s="782"/>
      <c r="II54" s="782"/>
      <c r="IJ54" s="782"/>
      <c r="IK54" s="782"/>
      <c r="IL54" s="782"/>
      <c r="IM54" s="782"/>
      <c r="IN54" s="782"/>
      <c r="IO54" s="782"/>
      <c r="IP54" s="782"/>
      <c r="IQ54" s="782"/>
      <c r="IR54" s="782"/>
      <c r="IS54" s="782"/>
      <c r="IT54" s="782"/>
      <c r="IU54" s="782"/>
      <c r="IV54" s="782"/>
      <c r="IW54" s="782"/>
      <c r="IX54" s="782"/>
      <c r="IY54" s="782"/>
      <c r="IZ54" s="782"/>
      <c r="JA54" s="782"/>
      <c r="JB54" s="782"/>
      <c r="JC54" s="782"/>
      <c r="JD54" s="782"/>
      <c r="JE54" s="782"/>
      <c r="JF54" s="782"/>
      <c r="JG54" s="782"/>
      <c r="JH54" s="782"/>
      <c r="JI54" s="782"/>
      <c r="JJ54" s="782"/>
      <c r="JK54" s="782"/>
      <c r="JL54" s="782"/>
      <c r="JM54" s="782"/>
      <c r="JN54" s="782"/>
      <c r="JO54" s="782"/>
      <c r="JP54" s="782"/>
      <c r="JQ54" s="782"/>
      <c r="JR54" s="782"/>
      <c r="JS54" s="782"/>
      <c r="JT54" s="782"/>
      <c r="JU54" s="782"/>
      <c r="JV54" s="782"/>
      <c r="JW54" s="782"/>
      <c r="JX54" s="782"/>
      <c r="JY54" s="782"/>
      <c r="JZ54" s="782"/>
      <c r="KA54" s="782"/>
      <c r="KB54" s="782"/>
      <c r="KC54" s="782"/>
      <c r="KD54" s="782"/>
      <c r="KE54" s="782"/>
      <c r="KF54" s="782"/>
      <c r="KG54" s="782"/>
      <c r="KH54" s="782"/>
      <c r="KI54" s="782"/>
      <c r="KJ54" s="782"/>
      <c r="KK54" s="782"/>
      <c r="KL54" s="782"/>
      <c r="KM54" s="782"/>
      <c r="KN54" s="782"/>
      <c r="KO54" s="782"/>
      <c r="KP54" s="782"/>
      <c r="KQ54" s="782"/>
      <c r="KR54" s="782"/>
      <c r="KS54" s="782"/>
      <c r="KT54" s="782"/>
      <c r="KU54" s="782"/>
      <c r="KV54" s="782"/>
      <c r="KW54" s="782"/>
      <c r="KX54" s="782"/>
      <c r="KY54" s="782"/>
      <c r="KZ54" s="782"/>
      <c r="LA54" s="782"/>
      <c r="LB54" s="782"/>
      <c r="LC54" s="782"/>
      <c r="LD54" s="782"/>
      <c r="LE54" s="782"/>
      <c r="LF54" s="782"/>
      <c r="LG54" s="782"/>
      <c r="LH54" s="782"/>
      <c r="LI54" s="782"/>
      <c r="LJ54" s="782"/>
      <c r="LK54" s="782"/>
      <c r="LL54" s="782"/>
      <c r="LM54" s="782"/>
      <c r="LN54" s="782"/>
      <c r="LO54" s="782"/>
      <c r="LP54" s="782"/>
      <c r="LQ54" s="782"/>
      <c r="LR54" s="782"/>
      <c r="LS54" s="782"/>
      <c r="LT54" s="782"/>
      <c r="LU54" s="782"/>
      <c r="LV54" s="782"/>
      <c r="LW54" s="782"/>
      <c r="LX54" s="782"/>
      <c r="LY54" s="782"/>
      <c r="LZ54" s="782"/>
      <c r="MA54" s="782"/>
      <c r="MB54" s="782"/>
      <c r="MC54" s="782"/>
      <c r="MD54" s="782"/>
      <c r="ME54" s="782"/>
      <c r="MF54" s="782"/>
      <c r="MG54" s="782"/>
      <c r="MH54" s="782"/>
      <c r="MI54" s="782"/>
      <c r="MJ54" s="782"/>
      <c r="MK54" s="782"/>
      <c r="ML54" s="782"/>
      <c r="MM54" s="782"/>
      <c r="MN54" s="782"/>
      <c r="MO54" s="782"/>
      <c r="MP54" s="782"/>
      <c r="MQ54" s="782"/>
      <c r="MR54" s="782"/>
      <c r="MS54" s="782"/>
      <c r="MT54" s="782"/>
      <c r="MU54" s="782"/>
      <c r="MV54" s="782"/>
      <c r="MW54" s="782"/>
      <c r="MX54" s="782"/>
      <c r="MY54" s="782"/>
      <c r="MZ54" s="782"/>
      <c r="NA54" s="782"/>
      <c r="NB54" s="782"/>
      <c r="NC54" s="782"/>
      <c r="ND54" s="782"/>
      <c r="NE54" s="782"/>
      <c r="NF54" s="782"/>
      <c r="NG54" s="782"/>
      <c r="NH54" s="782"/>
      <c r="NI54" s="782"/>
      <c r="NJ54" s="782"/>
      <c r="NK54" s="782"/>
      <c r="NL54" s="782"/>
      <c r="NM54" s="782"/>
      <c r="NN54" s="782"/>
      <c r="NO54" s="782"/>
      <c r="NP54" s="782"/>
      <c r="NQ54" s="782"/>
      <c r="NR54" s="782"/>
      <c r="NS54" s="782"/>
      <c r="NT54" s="782"/>
      <c r="NU54" s="782"/>
      <c r="NV54" s="782"/>
      <c r="NW54" s="782"/>
      <c r="NX54" s="782"/>
      <c r="NY54" s="782"/>
      <c r="NZ54" s="782"/>
      <c r="OA54" s="782"/>
      <c r="OB54" s="782"/>
      <c r="OC54" s="782"/>
      <c r="OD54" s="782"/>
      <c r="OE54" s="782"/>
      <c r="OF54" s="782"/>
      <c r="OG54" s="782"/>
      <c r="OH54" s="782"/>
      <c r="OI54" s="782"/>
      <c r="OJ54" s="782"/>
      <c r="OK54" s="782"/>
      <c r="OL54" s="782"/>
      <c r="OM54" s="782"/>
      <c r="ON54" s="782"/>
      <c r="OO54" s="782"/>
      <c r="OP54" s="782"/>
      <c r="OQ54" s="782"/>
      <c r="OR54" s="782"/>
      <c r="OS54" s="782"/>
      <c r="OT54" s="782"/>
      <c r="OU54" s="782"/>
      <c r="OV54" s="782"/>
      <c r="OW54" s="782"/>
      <c r="OX54" s="782"/>
      <c r="OY54" s="782"/>
      <c r="OZ54" s="782"/>
      <c r="PA54" s="782"/>
      <c r="PB54" s="782"/>
      <c r="PC54" s="782"/>
      <c r="PD54" s="782"/>
      <c r="PE54" s="782"/>
      <c r="PF54" s="782"/>
      <c r="PG54" s="782"/>
      <c r="PH54" s="782"/>
      <c r="PI54" s="782"/>
      <c r="PJ54" s="782"/>
      <c r="PK54" s="782"/>
      <c r="PL54" s="782"/>
      <c r="PM54" s="782"/>
      <c r="PN54" s="782"/>
      <c r="PO54" s="782"/>
      <c r="PP54" s="782"/>
      <c r="PQ54" s="782"/>
      <c r="PR54" s="782"/>
      <c r="PS54" s="782"/>
      <c r="PT54" s="782"/>
      <c r="PU54" s="782"/>
      <c r="PV54" s="782"/>
      <c r="PW54" s="782"/>
      <c r="PX54" s="782"/>
      <c r="PY54" s="782"/>
      <c r="PZ54" s="782"/>
      <c r="QA54" s="782"/>
      <c r="QB54" s="782"/>
      <c r="QC54" s="782"/>
      <c r="QD54" s="782"/>
      <c r="QE54" s="782"/>
      <c r="QF54" s="782"/>
      <c r="QG54" s="782"/>
      <c r="QH54" s="782"/>
      <c r="QI54" s="782"/>
      <c r="QJ54" s="782"/>
      <c r="QK54" s="782"/>
      <c r="QL54" s="782"/>
      <c r="QM54" s="782"/>
      <c r="QN54" s="782"/>
      <c r="QO54" s="782"/>
      <c r="QP54" s="782"/>
      <c r="QQ54" s="782"/>
      <c r="QR54" s="782"/>
      <c r="QS54" s="782"/>
      <c r="QT54" s="782"/>
      <c r="QU54" s="782"/>
      <c r="QV54" s="782"/>
      <c r="QW54" s="782"/>
      <c r="QX54" s="782"/>
      <c r="QY54" s="782"/>
      <c r="QZ54" s="782"/>
      <c r="RA54" s="782"/>
      <c r="RB54" s="782"/>
      <c r="RC54" s="782"/>
      <c r="RD54" s="782"/>
      <c r="RE54" s="782"/>
      <c r="RF54" s="782"/>
      <c r="RG54" s="782"/>
      <c r="RH54" s="782"/>
      <c r="RI54" s="782"/>
      <c r="RJ54" s="782"/>
      <c r="RK54" s="782"/>
      <c r="RL54" s="782"/>
      <c r="RM54" s="782"/>
      <c r="RN54" s="782"/>
      <c r="RO54" s="782"/>
      <c r="RP54" s="782"/>
      <c r="RQ54" s="782"/>
      <c r="RR54" s="782"/>
      <c r="RS54" s="782"/>
      <c r="RT54" s="782"/>
      <c r="RU54" s="782"/>
      <c r="RV54" s="782"/>
      <c r="RW54" s="782"/>
      <c r="RX54" s="782"/>
    </row>
    <row r="55" spans="1:492" s="143" customFormat="1">
      <c r="A55" s="782"/>
      <c r="B55" s="782"/>
      <c r="C55" s="782"/>
      <c r="D55" s="782"/>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c r="AK55" s="782"/>
      <c r="AL55" s="782"/>
      <c r="AM55" s="785"/>
      <c r="AN55" s="785"/>
      <c r="AO55" s="785"/>
      <c r="AP55" s="785"/>
      <c r="AQ55" s="785"/>
      <c r="AR55" s="785"/>
      <c r="AS55" s="785"/>
      <c r="AT55" s="785"/>
      <c r="AU55" s="785"/>
      <c r="AV55" s="785"/>
      <c r="AW55" s="790"/>
      <c r="AX55" s="790"/>
      <c r="AY55" s="790"/>
      <c r="AZ55" s="790"/>
      <c r="BA55" s="785"/>
      <c r="BB55" s="785"/>
      <c r="BC55" s="785"/>
      <c r="BD55" s="785"/>
      <c r="BE55" s="785"/>
      <c r="BF55" s="785"/>
      <c r="BG55" s="785"/>
      <c r="BH55" s="785"/>
      <c r="BI55" s="785"/>
      <c r="BJ55" s="785"/>
      <c r="BK55" s="785"/>
      <c r="BL55" s="785"/>
      <c r="BM55" s="785"/>
      <c r="BN55" s="785"/>
      <c r="BO55" s="785"/>
      <c r="BP55" s="785"/>
      <c r="BQ55" s="785"/>
      <c r="BR55" s="785"/>
      <c r="BS55" s="785"/>
      <c r="BT55" s="785"/>
      <c r="BU55" s="785"/>
      <c r="BV55" s="785"/>
      <c r="BW55" s="785"/>
      <c r="BX55" s="785"/>
      <c r="BY55" s="785"/>
      <c r="BZ55" s="785"/>
      <c r="CA55" s="782"/>
      <c r="CB55" s="782"/>
      <c r="CC55" s="782"/>
      <c r="CD55" s="782"/>
      <c r="CE55" s="782"/>
      <c r="CF55" s="782"/>
      <c r="CG55" s="782"/>
      <c r="CH55" s="782"/>
      <c r="CI55" s="782"/>
      <c r="CJ55" s="782"/>
      <c r="CK55" s="782"/>
      <c r="CL55" s="782"/>
      <c r="CM55" s="782"/>
      <c r="CN55" s="782"/>
      <c r="CO55" s="782"/>
      <c r="CP55" s="782"/>
      <c r="CQ55" s="782"/>
      <c r="CR55" s="782"/>
      <c r="CS55" s="782"/>
      <c r="CT55" s="782"/>
      <c r="CU55" s="782"/>
      <c r="CV55" s="782"/>
      <c r="CW55" s="782"/>
      <c r="CX55" s="782"/>
      <c r="CY55" s="782"/>
      <c r="CZ55" s="782"/>
      <c r="DA55" s="782"/>
      <c r="DB55" s="782"/>
      <c r="DC55" s="782"/>
      <c r="DD55" s="782"/>
      <c r="DE55" s="782"/>
      <c r="DF55" s="782"/>
      <c r="DG55" s="782"/>
      <c r="DH55" s="782"/>
      <c r="DI55" s="782"/>
      <c r="DJ55" s="782"/>
      <c r="DK55" s="782"/>
      <c r="DL55" s="782"/>
      <c r="DM55" s="782"/>
      <c r="DN55" s="782"/>
      <c r="DO55" s="782"/>
      <c r="DP55" s="782"/>
      <c r="DQ55" s="782"/>
      <c r="DR55" s="782"/>
      <c r="DS55" s="782"/>
      <c r="DT55" s="782"/>
      <c r="DU55" s="782"/>
      <c r="DV55" s="782"/>
      <c r="DW55" s="782"/>
      <c r="DX55" s="782"/>
      <c r="DY55" s="782"/>
      <c r="DZ55" s="782"/>
      <c r="EA55" s="782"/>
      <c r="EB55" s="782"/>
      <c r="EC55" s="782"/>
      <c r="ED55" s="782"/>
      <c r="EE55" s="782"/>
      <c r="EF55" s="782"/>
      <c r="EG55" s="782"/>
      <c r="EH55" s="782"/>
      <c r="EI55" s="782"/>
      <c r="EJ55" s="782"/>
      <c r="EK55" s="782"/>
      <c r="EL55" s="782"/>
      <c r="EM55" s="782"/>
      <c r="EN55" s="782"/>
      <c r="EO55" s="782"/>
      <c r="EP55" s="782"/>
      <c r="EQ55" s="782"/>
      <c r="ER55" s="782"/>
      <c r="ES55" s="782"/>
      <c r="ET55" s="782"/>
      <c r="EU55" s="782"/>
      <c r="EV55" s="782"/>
      <c r="EW55" s="782"/>
      <c r="EX55" s="782"/>
      <c r="EY55" s="782"/>
      <c r="EZ55" s="782"/>
      <c r="FA55" s="782"/>
      <c r="FB55" s="782"/>
      <c r="FC55" s="782"/>
      <c r="FD55" s="782"/>
      <c r="FE55" s="782"/>
      <c r="FF55" s="782"/>
      <c r="FG55" s="782"/>
      <c r="FH55" s="782"/>
      <c r="FI55" s="782"/>
      <c r="FJ55" s="782"/>
      <c r="FK55" s="782"/>
      <c r="FL55" s="782"/>
      <c r="FM55" s="782"/>
      <c r="FN55" s="782"/>
      <c r="FO55" s="782"/>
      <c r="FP55" s="782"/>
      <c r="FQ55" s="782"/>
      <c r="FR55" s="782"/>
      <c r="FS55" s="782"/>
      <c r="FT55" s="782"/>
      <c r="FU55" s="782"/>
      <c r="FV55" s="782"/>
      <c r="FW55" s="782"/>
      <c r="FX55" s="782"/>
      <c r="FY55" s="782"/>
      <c r="FZ55" s="782"/>
      <c r="GA55" s="782"/>
      <c r="GB55" s="782"/>
      <c r="GC55" s="782"/>
      <c r="GD55" s="782"/>
      <c r="GE55" s="782"/>
      <c r="GF55" s="782"/>
      <c r="GG55" s="782"/>
      <c r="GH55" s="782"/>
      <c r="GI55" s="782"/>
      <c r="GJ55" s="782"/>
      <c r="GK55" s="782"/>
      <c r="GL55" s="782"/>
      <c r="GM55" s="782"/>
      <c r="GN55" s="782"/>
      <c r="GO55" s="782"/>
      <c r="GP55" s="782"/>
      <c r="GQ55" s="782"/>
      <c r="GR55" s="782"/>
      <c r="GS55" s="782"/>
      <c r="GT55" s="782"/>
      <c r="GU55" s="782"/>
      <c r="GV55" s="782"/>
      <c r="GW55" s="782"/>
      <c r="GX55" s="782"/>
      <c r="GY55" s="782"/>
      <c r="GZ55" s="782"/>
      <c r="HA55" s="782"/>
      <c r="HB55" s="782"/>
      <c r="HC55" s="782"/>
      <c r="HD55" s="782"/>
      <c r="HE55" s="782"/>
      <c r="HF55" s="782"/>
      <c r="HG55" s="782"/>
      <c r="HH55" s="782"/>
      <c r="HI55" s="782"/>
      <c r="HJ55" s="782"/>
      <c r="HK55" s="782"/>
      <c r="HL55" s="782"/>
      <c r="HM55" s="782"/>
      <c r="HN55" s="782"/>
      <c r="HO55" s="782"/>
      <c r="HP55" s="782"/>
      <c r="HQ55" s="782"/>
      <c r="HR55" s="782"/>
      <c r="HS55" s="782"/>
      <c r="HT55" s="782"/>
      <c r="HU55" s="782"/>
      <c r="HV55" s="782"/>
      <c r="HW55" s="782"/>
      <c r="HX55" s="782"/>
      <c r="HY55" s="782"/>
      <c r="HZ55" s="782"/>
      <c r="IA55" s="782"/>
      <c r="IB55" s="782"/>
      <c r="IC55" s="782"/>
      <c r="ID55" s="782"/>
      <c r="IE55" s="782"/>
      <c r="IF55" s="782"/>
      <c r="IG55" s="782"/>
      <c r="IH55" s="782"/>
      <c r="II55" s="782"/>
      <c r="IJ55" s="782"/>
      <c r="IK55" s="782"/>
      <c r="IL55" s="782"/>
      <c r="IM55" s="782"/>
      <c r="IN55" s="782"/>
      <c r="IO55" s="782"/>
      <c r="IP55" s="782"/>
      <c r="IQ55" s="782"/>
      <c r="IR55" s="782"/>
      <c r="IS55" s="782"/>
      <c r="IT55" s="782"/>
      <c r="IU55" s="782"/>
      <c r="IV55" s="782"/>
      <c r="IW55" s="782"/>
      <c r="IX55" s="782"/>
      <c r="IY55" s="782"/>
      <c r="IZ55" s="782"/>
      <c r="JA55" s="782"/>
      <c r="JB55" s="782"/>
      <c r="JC55" s="782"/>
      <c r="JD55" s="782"/>
      <c r="JE55" s="782"/>
      <c r="JF55" s="782"/>
      <c r="JG55" s="782"/>
      <c r="JH55" s="782"/>
      <c r="JI55" s="782"/>
      <c r="JJ55" s="782"/>
      <c r="JK55" s="782"/>
      <c r="JL55" s="782"/>
      <c r="JM55" s="782"/>
      <c r="JN55" s="782"/>
      <c r="JO55" s="782"/>
      <c r="JP55" s="782"/>
      <c r="JQ55" s="782"/>
      <c r="JR55" s="782"/>
      <c r="JS55" s="782"/>
      <c r="JT55" s="782"/>
      <c r="JU55" s="782"/>
      <c r="JV55" s="782"/>
      <c r="JW55" s="782"/>
      <c r="JX55" s="782"/>
      <c r="JY55" s="782"/>
      <c r="JZ55" s="782"/>
      <c r="KA55" s="782"/>
      <c r="KB55" s="782"/>
      <c r="KC55" s="782"/>
      <c r="KD55" s="782"/>
      <c r="KE55" s="782"/>
      <c r="KF55" s="782"/>
      <c r="KG55" s="782"/>
      <c r="KH55" s="782"/>
      <c r="KI55" s="782"/>
      <c r="KJ55" s="782"/>
      <c r="KK55" s="782"/>
      <c r="KL55" s="782"/>
      <c r="KM55" s="782"/>
      <c r="KN55" s="782"/>
      <c r="KO55" s="782"/>
      <c r="KP55" s="782"/>
      <c r="KQ55" s="782"/>
      <c r="KR55" s="782"/>
      <c r="KS55" s="782"/>
      <c r="KT55" s="782"/>
      <c r="KU55" s="782"/>
      <c r="KV55" s="782"/>
      <c r="KW55" s="782"/>
      <c r="KX55" s="782"/>
      <c r="KY55" s="782"/>
      <c r="KZ55" s="782"/>
      <c r="LA55" s="782"/>
      <c r="LB55" s="782"/>
      <c r="LC55" s="782"/>
      <c r="LD55" s="782"/>
      <c r="LE55" s="782"/>
      <c r="LF55" s="782"/>
      <c r="LG55" s="782"/>
      <c r="LH55" s="782"/>
      <c r="LI55" s="782"/>
      <c r="LJ55" s="782"/>
      <c r="LK55" s="782"/>
      <c r="LL55" s="782"/>
      <c r="LM55" s="782"/>
      <c r="LN55" s="782"/>
      <c r="LO55" s="782"/>
      <c r="LP55" s="782"/>
      <c r="LQ55" s="782"/>
      <c r="LR55" s="782"/>
      <c r="LS55" s="782"/>
      <c r="LT55" s="782"/>
      <c r="LU55" s="782"/>
      <c r="LV55" s="782"/>
      <c r="LW55" s="782"/>
      <c r="LX55" s="782"/>
      <c r="LY55" s="782"/>
      <c r="LZ55" s="782"/>
      <c r="MA55" s="782"/>
      <c r="MB55" s="782"/>
      <c r="MC55" s="782"/>
      <c r="MD55" s="782"/>
      <c r="ME55" s="782"/>
      <c r="MF55" s="782"/>
      <c r="MG55" s="782"/>
      <c r="MH55" s="782"/>
      <c r="MI55" s="782"/>
      <c r="MJ55" s="782"/>
      <c r="MK55" s="782"/>
      <c r="ML55" s="782"/>
      <c r="MM55" s="782"/>
      <c r="MN55" s="782"/>
      <c r="MO55" s="782"/>
      <c r="MP55" s="782"/>
      <c r="MQ55" s="782"/>
      <c r="MR55" s="782"/>
      <c r="MS55" s="782"/>
      <c r="MT55" s="782"/>
      <c r="MU55" s="782"/>
      <c r="MV55" s="782"/>
      <c r="MW55" s="782"/>
      <c r="MX55" s="782"/>
      <c r="MY55" s="782"/>
      <c r="MZ55" s="782"/>
      <c r="NA55" s="782"/>
      <c r="NB55" s="782"/>
      <c r="NC55" s="782"/>
      <c r="ND55" s="782"/>
      <c r="NE55" s="782"/>
      <c r="NF55" s="782"/>
      <c r="NG55" s="782"/>
      <c r="NH55" s="782"/>
      <c r="NI55" s="782"/>
      <c r="NJ55" s="782"/>
      <c r="NK55" s="782"/>
      <c r="NL55" s="782"/>
      <c r="NM55" s="782"/>
      <c r="NN55" s="782"/>
      <c r="NO55" s="782"/>
      <c r="NP55" s="782"/>
      <c r="NQ55" s="782"/>
      <c r="NR55" s="782"/>
      <c r="NS55" s="782"/>
      <c r="NT55" s="782"/>
      <c r="NU55" s="782"/>
      <c r="NV55" s="782"/>
      <c r="NW55" s="782"/>
      <c r="NX55" s="782"/>
      <c r="NY55" s="782"/>
      <c r="NZ55" s="782"/>
      <c r="OA55" s="782"/>
      <c r="OB55" s="782"/>
      <c r="OC55" s="782"/>
      <c r="OD55" s="782"/>
      <c r="OE55" s="782"/>
      <c r="OF55" s="782"/>
      <c r="OG55" s="782"/>
      <c r="OH55" s="782"/>
      <c r="OI55" s="782"/>
      <c r="OJ55" s="782"/>
      <c r="OK55" s="782"/>
      <c r="OL55" s="782"/>
      <c r="OM55" s="782"/>
      <c r="ON55" s="782"/>
      <c r="OO55" s="782"/>
      <c r="OP55" s="782"/>
      <c r="OQ55" s="782"/>
      <c r="OR55" s="782"/>
      <c r="OS55" s="782"/>
      <c r="OT55" s="782"/>
      <c r="OU55" s="782"/>
      <c r="OV55" s="782"/>
      <c r="OW55" s="782"/>
      <c r="OX55" s="782"/>
      <c r="OY55" s="782"/>
      <c r="OZ55" s="782"/>
      <c r="PA55" s="782"/>
      <c r="PB55" s="782"/>
      <c r="PC55" s="782"/>
      <c r="PD55" s="782"/>
      <c r="PE55" s="782"/>
      <c r="PF55" s="782"/>
      <c r="PG55" s="782"/>
      <c r="PH55" s="782"/>
      <c r="PI55" s="782"/>
      <c r="PJ55" s="782"/>
      <c r="PK55" s="782"/>
      <c r="PL55" s="782"/>
      <c r="PM55" s="782"/>
      <c r="PN55" s="782"/>
      <c r="PO55" s="782"/>
      <c r="PP55" s="782"/>
      <c r="PQ55" s="782"/>
      <c r="PR55" s="782"/>
      <c r="PS55" s="782"/>
      <c r="PT55" s="782"/>
      <c r="PU55" s="782"/>
      <c r="PV55" s="782"/>
      <c r="PW55" s="782"/>
      <c r="PX55" s="782"/>
      <c r="PY55" s="782"/>
      <c r="PZ55" s="782"/>
      <c r="QA55" s="782"/>
      <c r="QB55" s="782"/>
      <c r="QC55" s="782"/>
      <c r="QD55" s="782"/>
      <c r="QE55" s="782"/>
      <c r="QF55" s="782"/>
      <c r="QG55" s="782"/>
      <c r="QH55" s="782"/>
      <c r="QI55" s="782"/>
      <c r="QJ55" s="782"/>
      <c r="QK55" s="782"/>
      <c r="QL55" s="782"/>
      <c r="QM55" s="782"/>
      <c r="QN55" s="782"/>
      <c r="QO55" s="782"/>
      <c r="QP55" s="782"/>
      <c r="QQ55" s="782"/>
      <c r="QR55" s="782"/>
      <c r="QS55" s="782"/>
      <c r="QT55" s="782"/>
      <c r="QU55" s="782"/>
      <c r="QV55" s="782"/>
      <c r="QW55" s="782"/>
      <c r="QX55" s="782"/>
      <c r="QY55" s="782"/>
      <c r="QZ55" s="782"/>
      <c r="RA55" s="782"/>
      <c r="RB55" s="782"/>
      <c r="RC55" s="782"/>
      <c r="RD55" s="782"/>
      <c r="RE55" s="782"/>
      <c r="RF55" s="782"/>
      <c r="RG55" s="782"/>
      <c r="RH55" s="782"/>
      <c r="RI55" s="782"/>
      <c r="RJ55" s="782"/>
      <c r="RK55" s="782"/>
      <c r="RL55" s="782"/>
      <c r="RM55" s="782"/>
      <c r="RN55" s="782"/>
      <c r="RO55" s="782"/>
      <c r="RP55" s="782"/>
      <c r="RQ55" s="782"/>
      <c r="RR55" s="782"/>
      <c r="RS55" s="782"/>
      <c r="RT55" s="782"/>
      <c r="RU55" s="782"/>
      <c r="RV55" s="782"/>
      <c r="RW55" s="782"/>
      <c r="RX55" s="782"/>
    </row>
    <row r="56" spans="1:492" s="143" customFormat="1">
      <c r="A56" s="782"/>
      <c r="B56" s="782"/>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c r="AK56" s="782"/>
      <c r="AL56" s="782"/>
      <c r="AM56" s="785"/>
      <c r="AN56" s="785"/>
      <c r="AO56" s="785"/>
      <c r="AP56" s="785"/>
      <c r="AQ56" s="785"/>
      <c r="AR56" s="785"/>
      <c r="AS56" s="785"/>
      <c r="AT56" s="785"/>
      <c r="AU56" s="785"/>
      <c r="AV56" s="785"/>
      <c r="AW56" s="790"/>
      <c r="AX56" s="790"/>
      <c r="AY56" s="790"/>
      <c r="AZ56" s="790"/>
      <c r="BA56" s="785"/>
      <c r="BB56" s="785"/>
      <c r="BC56" s="785"/>
      <c r="BD56" s="785"/>
      <c r="BE56" s="785"/>
      <c r="BF56" s="785"/>
      <c r="BG56" s="785"/>
      <c r="BH56" s="785"/>
      <c r="BI56" s="785"/>
      <c r="BJ56" s="785"/>
      <c r="BK56" s="785"/>
      <c r="BL56" s="785"/>
      <c r="BM56" s="785"/>
      <c r="BN56" s="785"/>
      <c r="BO56" s="785"/>
      <c r="BP56" s="785"/>
      <c r="BQ56" s="785"/>
      <c r="BR56" s="785"/>
      <c r="BS56" s="785"/>
      <c r="BT56" s="785"/>
      <c r="BU56" s="785"/>
      <c r="BV56" s="785"/>
      <c r="BW56" s="785"/>
      <c r="BX56" s="785"/>
      <c r="BY56" s="785"/>
      <c r="BZ56" s="785"/>
      <c r="CA56" s="782"/>
      <c r="CB56" s="782"/>
      <c r="CC56" s="782"/>
      <c r="CD56" s="782"/>
      <c r="CE56" s="782"/>
      <c r="CF56" s="782"/>
      <c r="CG56" s="782"/>
      <c r="CH56" s="782"/>
      <c r="CI56" s="782"/>
      <c r="CJ56" s="782"/>
      <c r="CK56" s="782"/>
      <c r="CL56" s="782"/>
      <c r="CM56" s="782"/>
      <c r="CN56" s="782"/>
      <c r="CO56" s="782"/>
      <c r="CP56" s="782"/>
      <c r="CQ56" s="782"/>
      <c r="CR56" s="782"/>
      <c r="CS56" s="782"/>
      <c r="CT56" s="782"/>
      <c r="CU56" s="782"/>
      <c r="CV56" s="782"/>
      <c r="CW56" s="782"/>
      <c r="CX56" s="782"/>
      <c r="CY56" s="782"/>
      <c r="CZ56" s="782"/>
      <c r="DA56" s="782"/>
      <c r="DB56" s="782"/>
      <c r="DC56" s="782"/>
      <c r="DD56" s="782"/>
      <c r="DE56" s="782"/>
      <c r="DF56" s="782"/>
      <c r="DG56" s="782"/>
      <c r="DH56" s="782"/>
      <c r="DI56" s="782"/>
      <c r="DJ56" s="782"/>
      <c r="DK56" s="782"/>
      <c r="DL56" s="782"/>
      <c r="DM56" s="782"/>
      <c r="DN56" s="782"/>
      <c r="DO56" s="782"/>
      <c r="DP56" s="782"/>
      <c r="DQ56" s="782"/>
      <c r="DR56" s="782"/>
      <c r="DS56" s="782"/>
      <c r="DT56" s="782"/>
      <c r="DU56" s="782"/>
      <c r="DV56" s="782"/>
      <c r="DW56" s="782"/>
      <c r="DX56" s="782"/>
      <c r="DY56" s="782"/>
      <c r="DZ56" s="782"/>
      <c r="EA56" s="782"/>
      <c r="EB56" s="782"/>
      <c r="EC56" s="782"/>
      <c r="ED56" s="782"/>
      <c r="EE56" s="782"/>
      <c r="EF56" s="782"/>
      <c r="EG56" s="782"/>
      <c r="EH56" s="782"/>
      <c r="EI56" s="782"/>
      <c r="EJ56" s="782"/>
      <c r="EK56" s="782"/>
      <c r="EL56" s="782"/>
      <c r="EM56" s="782"/>
      <c r="EN56" s="782"/>
      <c r="EO56" s="782"/>
      <c r="EP56" s="782"/>
      <c r="EQ56" s="782"/>
      <c r="ER56" s="782"/>
      <c r="ES56" s="782"/>
      <c r="ET56" s="782"/>
      <c r="EU56" s="782"/>
      <c r="EV56" s="782"/>
      <c r="EW56" s="782"/>
      <c r="EX56" s="782"/>
      <c r="EY56" s="782"/>
      <c r="EZ56" s="782"/>
      <c r="FA56" s="782"/>
      <c r="FB56" s="782"/>
      <c r="FC56" s="782"/>
      <c r="FD56" s="782"/>
      <c r="FE56" s="782"/>
      <c r="FF56" s="782"/>
      <c r="FG56" s="782"/>
      <c r="FH56" s="782"/>
      <c r="FI56" s="782"/>
      <c r="FJ56" s="782"/>
      <c r="FK56" s="782"/>
      <c r="FL56" s="782"/>
      <c r="FM56" s="782"/>
      <c r="FN56" s="782"/>
      <c r="FO56" s="782"/>
      <c r="FP56" s="782"/>
      <c r="FQ56" s="782"/>
      <c r="FR56" s="782"/>
      <c r="FS56" s="782"/>
      <c r="FT56" s="782"/>
      <c r="FU56" s="782"/>
      <c r="FV56" s="782"/>
      <c r="FW56" s="782"/>
      <c r="FX56" s="782"/>
      <c r="FY56" s="782"/>
      <c r="FZ56" s="782"/>
      <c r="GA56" s="782"/>
      <c r="GB56" s="782"/>
      <c r="GC56" s="782"/>
      <c r="GD56" s="782"/>
      <c r="GE56" s="782"/>
      <c r="GF56" s="782"/>
      <c r="GG56" s="782"/>
      <c r="GH56" s="782"/>
      <c r="GI56" s="782"/>
      <c r="GJ56" s="782"/>
      <c r="GK56" s="782"/>
      <c r="GL56" s="782"/>
      <c r="GM56" s="782"/>
      <c r="GN56" s="782"/>
      <c r="GO56" s="782"/>
      <c r="GP56" s="782"/>
      <c r="GQ56" s="782"/>
      <c r="GR56" s="782"/>
      <c r="GS56" s="782"/>
      <c r="GT56" s="782"/>
      <c r="GU56" s="782"/>
      <c r="GV56" s="782"/>
      <c r="GW56" s="782"/>
      <c r="GX56" s="782"/>
      <c r="GY56" s="782"/>
      <c r="GZ56" s="782"/>
      <c r="HA56" s="782"/>
      <c r="HB56" s="782"/>
      <c r="HC56" s="782"/>
      <c r="HD56" s="782"/>
      <c r="HE56" s="782"/>
      <c r="HF56" s="782"/>
      <c r="HG56" s="782"/>
      <c r="HH56" s="782"/>
      <c r="HI56" s="782"/>
      <c r="HJ56" s="782"/>
      <c r="HK56" s="782"/>
      <c r="HL56" s="782"/>
      <c r="HM56" s="782"/>
      <c r="HN56" s="782"/>
      <c r="HO56" s="782"/>
      <c r="HP56" s="782"/>
      <c r="HQ56" s="782"/>
      <c r="HR56" s="782"/>
      <c r="HS56" s="782"/>
      <c r="HT56" s="782"/>
      <c r="HU56" s="782"/>
      <c r="HV56" s="782"/>
      <c r="HW56" s="782"/>
      <c r="HX56" s="782"/>
      <c r="HY56" s="782"/>
      <c r="HZ56" s="782"/>
      <c r="IA56" s="782"/>
      <c r="IB56" s="782"/>
      <c r="IC56" s="782"/>
      <c r="ID56" s="782"/>
      <c r="IE56" s="782"/>
      <c r="IF56" s="782"/>
      <c r="IG56" s="782"/>
      <c r="IH56" s="782"/>
      <c r="II56" s="782"/>
      <c r="IJ56" s="782"/>
      <c r="IK56" s="782"/>
      <c r="IL56" s="782"/>
      <c r="IM56" s="782"/>
      <c r="IN56" s="782"/>
      <c r="IO56" s="782"/>
      <c r="IP56" s="782"/>
      <c r="IQ56" s="782"/>
      <c r="IR56" s="782"/>
      <c r="IS56" s="782"/>
      <c r="IT56" s="782"/>
      <c r="IU56" s="782"/>
      <c r="IV56" s="782"/>
      <c r="IW56" s="782"/>
      <c r="IX56" s="782"/>
      <c r="IY56" s="782"/>
      <c r="IZ56" s="782"/>
      <c r="JA56" s="782"/>
      <c r="JB56" s="782"/>
      <c r="JC56" s="782"/>
      <c r="JD56" s="782"/>
      <c r="JE56" s="782"/>
      <c r="JF56" s="782"/>
      <c r="JG56" s="782"/>
      <c r="JH56" s="782"/>
      <c r="JI56" s="782"/>
      <c r="JJ56" s="782"/>
      <c r="JK56" s="782"/>
      <c r="JL56" s="782"/>
      <c r="JM56" s="782"/>
      <c r="JN56" s="782"/>
      <c r="JO56" s="782"/>
      <c r="JP56" s="782"/>
      <c r="JQ56" s="782"/>
      <c r="JR56" s="782"/>
      <c r="JS56" s="782"/>
      <c r="JT56" s="782"/>
      <c r="JU56" s="782"/>
      <c r="JV56" s="782"/>
      <c r="JW56" s="782"/>
      <c r="JX56" s="782"/>
      <c r="JY56" s="782"/>
      <c r="JZ56" s="782"/>
      <c r="KA56" s="782"/>
      <c r="KB56" s="782"/>
      <c r="KC56" s="782"/>
      <c r="KD56" s="782"/>
      <c r="KE56" s="782"/>
      <c r="KF56" s="782"/>
      <c r="KG56" s="782"/>
      <c r="KH56" s="782"/>
      <c r="KI56" s="782"/>
      <c r="KJ56" s="782"/>
      <c r="KK56" s="782"/>
      <c r="KL56" s="782"/>
      <c r="KM56" s="782"/>
      <c r="KN56" s="782"/>
      <c r="KO56" s="782"/>
      <c r="KP56" s="782"/>
      <c r="KQ56" s="782"/>
      <c r="KR56" s="782"/>
      <c r="KS56" s="782"/>
      <c r="KT56" s="782"/>
      <c r="KU56" s="782"/>
      <c r="KV56" s="782"/>
      <c r="KW56" s="782"/>
      <c r="KX56" s="782"/>
      <c r="KY56" s="782"/>
      <c r="KZ56" s="782"/>
      <c r="LA56" s="782"/>
      <c r="LB56" s="782"/>
      <c r="LC56" s="782"/>
      <c r="LD56" s="782"/>
      <c r="LE56" s="782"/>
      <c r="LF56" s="782"/>
      <c r="LG56" s="782"/>
      <c r="LH56" s="782"/>
      <c r="LI56" s="782"/>
      <c r="LJ56" s="782"/>
      <c r="LK56" s="782"/>
      <c r="LL56" s="782"/>
      <c r="LM56" s="782"/>
      <c r="LN56" s="782"/>
      <c r="LO56" s="782"/>
      <c r="LP56" s="782"/>
      <c r="LQ56" s="782"/>
      <c r="LR56" s="782"/>
      <c r="LS56" s="782"/>
      <c r="LT56" s="782"/>
      <c r="LU56" s="782"/>
      <c r="LV56" s="782"/>
      <c r="LW56" s="782"/>
      <c r="LX56" s="782"/>
      <c r="LY56" s="782"/>
      <c r="LZ56" s="782"/>
      <c r="MA56" s="782"/>
      <c r="MB56" s="782"/>
      <c r="MC56" s="782"/>
      <c r="MD56" s="782"/>
      <c r="ME56" s="782"/>
      <c r="MF56" s="782"/>
      <c r="MG56" s="782"/>
      <c r="MH56" s="782"/>
      <c r="MI56" s="782"/>
      <c r="MJ56" s="782"/>
      <c r="MK56" s="782"/>
      <c r="ML56" s="782"/>
      <c r="MM56" s="782"/>
      <c r="MN56" s="782"/>
      <c r="MO56" s="782"/>
      <c r="MP56" s="782"/>
      <c r="MQ56" s="782"/>
      <c r="MR56" s="782"/>
      <c r="MS56" s="782"/>
      <c r="MT56" s="782"/>
      <c r="MU56" s="782"/>
      <c r="MV56" s="782"/>
      <c r="MW56" s="782"/>
      <c r="MX56" s="782"/>
      <c r="MY56" s="782"/>
      <c r="MZ56" s="782"/>
      <c r="NA56" s="782"/>
      <c r="NB56" s="782"/>
      <c r="NC56" s="782"/>
      <c r="ND56" s="782"/>
      <c r="NE56" s="782"/>
      <c r="NF56" s="782"/>
      <c r="NG56" s="782"/>
      <c r="NH56" s="782"/>
      <c r="NI56" s="782"/>
      <c r="NJ56" s="782"/>
      <c r="NK56" s="782"/>
      <c r="NL56" s="782"/>
      <c r="NM56" s="782"/>
      <c r="NN56" s="782"/>
      <c r="NO56" s="782"/>
      <c r="NP56" s="782"/>
      <c r="NQ56" s="782"/>
      <c r="NR56" s="782"/>
      <c r="NS56" s="782"/>
      <c r="NT56" s="782"/>
      <c r="NU56" s="782"/>
      <c r="NV56" s="782"/>
      <c r="NW56" s="782"/>
      <c r="NX56" s="782"/>
      <c r="NY56" s="782"/>
      <c r="NZ56" s="782"/>
      <c r="OA56" s="782"/>
      <c r="OB56" s="782"/>
      <c r="OC56" s="782"/>
      <c r="OD56" s="782"/>
      <c r="OE56" s="782"/>
      <c r="OF56" s="782"/>
      <c r="OG56" s="782"/>
      <c r="OH56" s="782"/>
      <c r="OI56" s="782"/>
      <c r="OJ56" s="782"/>
      <c r="OK56" s="782"/>
      <c r="OL56" s="782"/>
      <c r="OM56" s="782"/>
      <c r="ON56" s="782"/>
      <c r="OO56" s="782"/>
      <c r="OP56" s="782"/>
      <c r="OQ56" s="782"/>
      <c r="OR56" s="782"/>
      <c r="OS56" s="782"/>
      <c r="OT56" s="782"/>
      <c r="OU56" s="782"/>
      <c r="OV56" s="782"/>
      <c r="OW56" s="782"/>
      <c r="OX56" s="782"/>
      <c r="OY56" s="782"/>
      <c r="OZ56" s="782"/>
      <c r="PA56" s="782"/>
      <c r="PB56" s="782"/>
      <c r="PC56" s="782"/>
      <c r="PD56" s="782"/>
      <c r="PE56" s="782"/>
      <c r="PF56" s="782"/>
      <c r="PG56" s="782"/>
      <c r="PH56" s="782"/>
      <c r="PI56" s="782"/>
      <c r="PJ56" s="782"/>
      <c r="PK56" s="782"/>
      <c r="PL56" s="782"/>
      <c r="PM56" s="782"/>
      <c r="PN56" s="782"/>
      <c r="PO56" s="782"/>
      <c r="PP56" s="782"/>
      <c r="PQ56" s="782"/>
      <c r="PR56" s="782"/>
      <c r="PS56" s="782"/>
      <c r="PT56" s="782"/>
      <c r="PU56" s="782"/>
      <c r="PV56" s="782"/>
      <c r="PW56" s="782"/>
      <c r="PX56" s="782"/>
      <c r="PY56" s="782"/>
      <c r="PZ56" s="782"/>
      <c r="QA56" s="782"/>
      <c r="QB56" s="782"/>
      <c r="QC56" s="782"/>
      <c r="QD56" s="782"/>
      <c r="QE56" s="782"/>
      <c r="QF56" s="782"/>
      <c r="QG56" s="782"/>
      <c r="QH56" s="782"/>
      <c r="QI56" s="782"/>
      <c r="QJ56" s="782"/>
      <c r="QK56" s="782"/>
      <c r="QL56" s="782"/>
      <c r="QM56" s="782"/>
      <c r="QN56" s="782"/>
      <c r="QO56" s="782"/>
      <c r="QP56" s="782"/>
      <c r="QQ56" s="782"/>
      <c r="QR56" s="782"/>
      <c r="QS56" s="782"/>
      <c r="QT56" s="782"/>
      <c r="QU56" s="782"/>
      <c r="QV56" s="782"/>
      <c r="QW56" s="782"/>
      <c r="QX56" s="782"/>
      <c r="QY56" s="782"/>
      <c r="QZ56" s="782"/>
      <c r="RA56" s="782"/>
      <c r="RB56" s="782"/>
      <c r="RC56" s="782"/>
      <c r="RD56" s="782"/>
      <c r="RE56" s="782"/>
      <c r="RF56" s="782"/>
      <c r="RG56" s="782"/>
      <c r="RH56" s="782"/>
      <c r="RI56" s="782"/>
      <c r="RJ56" s="782"/>
      <c r="RK56" s="782"/>
      <c r="RL56" s="782"/>
      <c r="RM56" s="782"/>
      <c r="RN56" s="782"/>
      <c r="RO56" s="782"/>
      <c r="RP56" s="782"/>
      <c r="RQ56" s="782"/>
      <c r="RR56" s="782"/>
      <c r="RS56" s="782"/>
      <c r="RT56" s="782"/>
      <c r="RU56" s="782"/>
      <c r="RV56" s="782"/>
      <c r="RW56" s="782"/>
      <c r="RX56" s="782"/>
    </row>
    <row r="57" spans="1:492" s="143" customFormat="1">
      <c r="A57" s="782"/>
      <c r="B57" s="782"/>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5"/>
      <c r="AN57" s="785"/>
      <c r="AO57" s="785"/>
      <c r="AP57" s="785"/>
      <c r="AQ57" s="785"/>
      <c r="AR57" s="785"/>
      <c r="AS57" s="785"/>
      <c r="AT57" s="785"/>
      <c r="AU57" s="785"/>
      <c r="AV57" s="785"/>
      <c r="AW57" s="785"/>
      <c r="AX57" s="785"/>
      <c r="AY57" s="785"/>
      <c r="AZ57" s="785"/>
      <c r="BA57" s="785"/>
      <c r="BB57" s="785"/>
      <c r="BC57" s="785"/>
      <c r="BD57" s="785"/>
      <c r="BE57" s="785"/>
      <c r="BF57" s="785"/>
      <c r="BG57" s="785"/>
      <c r="BH57" s="785"/>
      <c r="BI57" s="785"/>
      <c r="BJ57" s="785"/>
      <c r="BK57" s="785"/>
      <c r="BL57" s="785"/>
      <c r="BM57" s="785"/>
      <c r="BN57" s="785"/>
      <c r="BO57" s="785"/>
      <c r="BP57" s="785"/>
      <c r="BQ57" s="785"/>
      <c r="BR57" s="785"/>
      <c r="BS57" s="785"/>
      <c r="BT57" s="785"/>
      <c r="BU57" s="785"/>
      <c r="BV57" s="785"/>
      <c r="BW57" s="785"/>
      <c r="BX57" s="785"/>
      <c r="BY57" s="785"/>
      <c r="BZ57" s="785"/>
      <c r="CA57" s="782"/>
      <c r="CB57" s="782"/>
      <c r="CC57" s="782"/>
      <c r="CD57" s="782"/>
      <c r="CE57" s="782"/>
      <c r="CF57" s="782"/>
      <c r="CG57" s="782"/>
      <c r="CH57" s="782"/>
      <c r="CI57" s="782"/>
      <c r="CJ57" s="782"/>
      <c r="CK57" s="782"/>
      <c r="CL57" s="782"/>
      <c r="CM57" s="782"/>
      <c r="CN57" s="782"/>
      <c r="CO57" s="782"/>
      <c r="CP57" s="782"/>
      <c r="CQ57" s="782"/>
      <c r="CR57" s="782"/>
      <c r="CS57" s="782"/>
      <c r="CT57" s="782"/>
      <c r="CU57" s="782"/>
      <c r="CV57" s="782"/>
      <c r="CW57" s="782"/>
      <c r="CX57" s="782"/>
      <c r="CY57" s="782"/>
      <c r="CZ57" s="782"/>
      <c r="DA57" s="782"/>
      <c r="DB57" s="782"/>
      <c r="DC57" s="782"/>
      <c r="DD57" s="782"/>
      <c r="DE57" s="782"/>
      <c r="DF57" s="782"/>
      <c r="DG57" s="782"/>
      <c r="DH57" s="782"/>
      <c r="DI57" s="782"/>
      <c r="DJ57" s="782"/>
      <c r="DK57" s="782"/>
      <c r="DL57" s="782"/>
      <c r="DM57" s="782"/>
      <c r="DN57" s="782"/>
      <c r="DO57" s="782"/>
      <c r="DP57" s="782"/>
      <c r="DQ57" s="782"/>
      <c r="DR57" s="782"/>
      <c r="DS57" s="782"/>
      <c r="DT57" s="782"/>
      <c r="DU57" s="782"/>
      <c r="DV57" s="782"/>
      <c r="DW57" s="782"/>
      <c r="DX57" s="782"/>
      <c r="DY57" s="782"/>
      <c r="DZ57" s="782"/>
      <c r="EA57" s="782"/>
      <c r="EB57" s="782"/>
      <c r="EC57" s="782"/>
      <c r="ED57" s="782"/>
      <c r="EE57" s="782"/>
      <c r="EF57" s="782"/>
      <c r="EG57" s="782"/>
      <c r="EH57" s="782"/>
      <c r="EI57" s="782"/>
      <c r="EJ57" s="782"/>
      <c r="EK57" s="782"/>
      <c r="EL57" s="782"/>
      <c r="EM57" s="782"/>
      <c r="EN57" s="782"/>
      <c r="EO57" s="782"/>
      <c r="EP57" s="782"/>
      <c r="EQ57" s="782"/>
      <c r="ER57" s="782"/>
      <c r="ES57" s="782"/>
      <c r="ET57" s="782"/>
      <c r="EU57" s="782"/>
      <c r="EV57" s="782"/>
      <c r="EW57" s="782"/>
      <c r="EX57" s="782"/>
      <c r="EY57" s="782"/>
      <c r="EZ57" s="782"/>
      <c r="FA57" s="782"/>
      <c r="FB57" s="782"/>
      <c r="FC57" s="782"/>
      <c r="FD57" s="782"/>
      <c r="FE57" s="782"/>
      <c r="FF57" s="782"/>
      <c r="FG57" s="782"/>
      <c r="FH57" s="782"/>
      <c r="FI57" s="782"/>
      <c r="FJ57" s="782"/>
      <c r="FK57" s="782"/>
      <c r="FL57" s="782"/>
      <c r="FM57" s="782"/>
      <c r="FN57" s="782"/>
      <c r="FO57" s="782"/>
      <c r="FP57" s="782"/>
      <c r="FQ57" s="782"/>
      <c r="FR57" s="782"/>
      <c r="FS57" s="782"/>
      <c r="FT57" s="782"/>
      <c r="FU57" s="782"/>
      <c r="FV57" s="782"/>
      <c r="FW57" s="782"/>
      <c r="FX57" s="782"/>
      <c r="FY57" s="782"/>
      <c r="FZ57" s="782"/>
      <c r="GA57" s="782"/>
      <c r="GB57" s="782"/>
      <c r="GC57" s="782"/>
      <c r="GD57" s="782"/>
      <c r="GE57" s="782"/>
      <c r="GF57" s="782"/>
      <c r="GG57" s="782"/>
      <c r="GH57" s="782"/>
      <c r="GI57" s="782"/>
      <c r="GJ57" s="782"/>
      <c r="GK57" s="782"/>
      <c r="GL57" s="782"/>
      <c r="GM57" s="782"/>
      <c r="GN57" s="782"/>
      <c r="GO57" s="782"/>
      <c r="GP57" s="782"/>
      <c r="GQ57" s="782"/>
      <c r="GR57" s="782"/>
      <c r="GS57" s="782"/>
      <c r="GT57" s="782"/>
      <c r="GU57" s="782"/>
      <c r="GV57" s="782"/>
      <c r="GW57" s="782"/>
      <c r="GX57" s="782"/>
      <c r="GY57" s="782"/>
      <c r="GZ57" s="782"/>
      <c r="HA57" s="782"/>
      <c r="HB57" s="782"/>
      <c r="HC57" s="782"/>
      <c r="HD57" s="782"/>
      <c r="HE57" s="782"/>
      <c r="HF57" s="782"/>
      <c r="HG57" s="782"/>
      <c r="HH57" s="782"/>
      <c r="HI57" s="782"/>
      <c r="HJ57" s="782"/>
      <c r="HK57" s="782"/>
      <c r="HL57" s="782"/>
      <c r="HM57" s="782"/>
      <c r="HN57" s="782"/>
      <c r="HO57" s="782"/>
      <c r="HP57" s="782"/>
      <c r="HQ57" s="782"/>
      <c r="HR57" s="782"/>
      <c r="HS57" s="782"/>
      <c r="HT57" s="782"/>
      <c r="HU57" s="782"/>
      <c r="HV57" s="782"/>
      <c r="HW57" s="782"/>
      <c r="HX57" s="782"/>
      <c r="HY57" s="782"/>
      <c r="HZ57" s="782"/>
      <c r="IA57" s="782"/>
      <c r="IB57" s="782"/>
      <c r="IC57" s="782"/>
      <c r="ID57" s="782"/>
      <c r="IE57" s="782"/>
      <c r="IF57" s="782"/>
      <c r="IG57" s="782"/>
      <c r="IH57" s="782"/>
      <c r="II57" s="782"/>
      <c r="IJ57" s="782"/>
      <c r="IK57" s="782"/>
      <c r="IL57" s="782"/>
      <c r="IM57" s="782"/>
      <c r="IN57" s="782"/>
      <c r="IO57" s="782"/>
      <c r="IP57" s="782"/>
      <c r="IQ57" s="782"/>
      <c r="IR57" s="782"/>
      <c r="IS57" s="782"/>
      <c r="IT57" s="782"/>
      <c r="IU57" s="782"/>
      <c r="IV57" s="782"/>
      <c r="IW57" s="782"/>
      <c r="IX57" s="782"/>
      <c r="IY57" s="782"/>
      <c r="IZ57" s="782"/>
      <c r="JA57" s="782"/>
      <c r="JB57" s="782"/>
      <c r="JC57" s="782"/>
      <c r="JD57" s="782"/>
      <c r="JE57" s="782"/>
      <c r="JF57" s="782"/>
      <c r="JG57" s="782"/>
      <c r="JH57" s="782"/>
      <c r="JI57" s="782"/>
      <c r="JJ57" s="782"/>
      <c r="JK57" s="782"/>
      <c r="JL57" s="782"/>
      <c r="JM57" s="782"/>
      <c r="JN57" s="782"/>
      <c r="JO57" s="782"/>
      <c r="JP57" s="782"/>
      <c r="JQ57" s="782"/>
      <c r="JR57" s="782"/>
      <c r="JS57" s="782"/>
      <c r="JT57" s="782"/>
      <c r="JU57" s="782"/>
      <c r="JV57" s="782"/>
      <c r="JW57" s="782"/>
      <c r="JX57" s="782"/>
      <c r="JY57" s="782"/>
      <c r="JZ57" s="782"/>
      <c r="KA57" s="782"/>
      <c r="KB57" s="782"/>
      <c r="KC57" s="782"/>
      <c r="KD57" s="782"/>
      <c r="KE57" s="782"/>
      <c r="KF57" s="782"/>
      <c r="KG57" s="782"/>
      <c r="KH57" s="782"/>
      <c r="KI57" s="782"/>
      <c r="KJ57" s="782"/>
      <c r="KK57" s="782"/>
      <c r="KL57" s="782"/>
      <c r="KM57" s="782"/>
      <c r="KN57" s="782"/>
      <c r="KO57" s="782"/>
      <c r="KP57" s="782"/>
      <c r="KQ57" s="782"/>
      <c r="KR57" s="782"/>
      <c r="KS57" s="782"/>
      <c r="KT57" s="782"/>
      <c r="KU57" s="782"/>
      <c r="KV57" s="782"/>
      <c r="KW57" s="782"/>
      <c r="KX57" s="782"/>
      <c r="KY57" s="782"/>
      <c r="KZ57" s="782"/>
      <c r="LA57" s="782"/>
      <c r="LB57" s="782"/>
      <c r="LC57" s="782"/>
      <c r="LD57" s="782"/>
      <c r="LE57" s="782"/>
      <c r="LF57" s="782"/>
      <c r="LG57" s="782"/>
      <c r="LH57" s="782"/>
      <c r="LI57" s="782"/>
      <c r="LJ57" s="782"/>
      <c r="LK57" s="782"/>
      <c r="LL57" s="782"/>
      <c r="LM57" s="782"/>
      <c r="LN57" s="782"/>
      <c r="LO57" s="782"/>
      <c r="LP57" s="782"/>
      <c r="LQ57" s="782"/>
      <c r="LR57" s="782"/>
      <c r="LS57" s="782"/>
      <c r="LT57" s="782"/>
      <c r="LU57" s="782"/>
      <c r="LV57" s="782"/>
      <c r="LW57" s="782"/>
      <c r="LX57" s="782"/>
      <c r="LY57" s="782"/>
      <c r="LZ57" s="782"/>
      <c r="MA57" s="782"/>
      <c r="MB57" s="782"/>
      <c r="MC57" s="782"/>
      <c r="MD57" s="782"/>
      <c r="ME57" s="782"/>
      <c r="MF57" s="782"/>
      <c r="MG57" s="782"/>
      <c r="MH57" s="782"/>
      <c r="MI57" s="782"/>
      <c r="MJ57" s="782"/>
      <c r="MK57" s="782"/>
      <c r="ML57" s="782"/>
      <c r="MM57" s="782"/>
      <c r="MN57" s="782"/>
      <c r="MO57" s="782"/>
      <c r="MP57" s="782"/>
      <c r="MQ57" s="782"/>
      <c r="MR57" s="782"/>
      <c r="MS57" s="782"/>
      <c r="MT57" s="782"/>
      <c r="MU57" s="782"/>
      <c r="MV57" s="782"/>
      <c r="MW57" s="782"/>
      <c r="MX57" s="782"/>
      <c r="MY57" s="782"/>
      <c r="MZ57" s="782"/>
      <c r="NA57" s="782"/>
      <c r="NB57" s="782"/>
      <c r="NC57" s="782"/>
      <c r="ND57" s="782"/>
      <c r="NE57" s="782"/>
      <c r="NF57" s="782"/>
      <c r="NG57" s="782"/>
      <c r="NH57" s="782"/>
      <c r="NI57" s="782"/>
      <c r="NJ57" s="782"/>
      <c r="NK57" s="782"/>
      <c r="NL57" s="782"/>
      <c r="NM57" s="782"/>
      <c r="NN57" s="782"/>
      <c r="NO57" s="782"/>
      <c r="NP57" s="782"/>
      <c r="NQ57" s="782"/>
      <c r="NR57" s="782"/>
      <c r="NS57" s="782"/>
      <c r="NT57" s="782"/>
      <c r="NU57" s="782"/>
      <c r="NV57" s="782"/>
      <c r="NW57" s="782"/>
      <c r="NX57" s="782"/>
      <c r="NY57" s="782"/>
      <c r="NZ57" s="782"/>
      <c r="OA57" s="782"/>
      <c r="OB57" s="782"/>
      <c r="OC57" s="782"/>
      <c r="OD57" s="782"/>
      <c r="OE57" s="782"/>
      <c r="OF57" s="782"/>
      <c r="OG57" s="782"/>
      <c r="OH57" s="782"/>
      <c r="OI57" s="782"/>
      <c r="OJ57" s="782"/>
      <c r="OK57" s="782"/>
      <c r="OL57" s="782"/>
      <c r="OM57" s="782"/>
      <c r="ON57" s="782"/>
      <c r="OO57" s="782"/>
      <c r="OP57" s="782"/>
      <c r="OQ57" s="782"/>
      <c r="OR57" s="782"/>
      <c r="OS57" s="782"/>
      <c r="OT57" s="782"/>
      <c r="OU57" s="782"/>
      <c r="OV57" s="782"/>
      <c r="OW57" s="782"/>
      <c r="OX57" s="782"/>
      <c r="OY57" s="782"/>
      <c r="OZ57" s="782"/>
      <c r="PA57" s="782"/>
      <c r="PB57" s="782"/>
      <c r="PC57" s="782"/>
      <c r="PD57" s="782"/>
      <c r="PE57" s="782"/>
      <c r="PF57" s="782"/>
      <c r="PG57" s="782"/>
      <c r="PH57" s="782"/>
      <c r="PI57" s="782"/>
      <c r="PJ57" s="782"/>
      <c r="PK57" s="782"/>
      <c r="PL57" s="782"/>
      <c r="PM57" s="782"/>
      <c r="PN57" s="782"/>
      <c r="PO57" s="782"/>
      <c r="PP57" s="782"/>
      <c r="PQ57" s="782"/>
      <c r="PR57" s="782"/>
      <c r="PS57" s="782"/>
      <c r="PT57" s="782"/>
      <c r="PU57" s="782"/>
      <c r="PV57" s="782"/>
      <c r="PW57" s="782"/>
      <c r="PX57" s="782"/>
      <c r="PY57" s="782"/>
      <c r="PZ57" s="782"/>
      <c r="QA57" s="782"/>
      <c r="QB57" s="782"/>
      <c r="QC57" s="782"/>
      <c r="QD57" s="782"/>
      <c r="QE57" s="782"/>
      <c r="QF57" s="782"/>
      <c r="QG57" s="782"/>
      <c r="QH57" s="782"/>
      <c r="QI57" s="782"/>
      <c r="QJ57" s="782"/>
      <c r="QK57" s="782"/>
      <c r="QL57" s="782"/>
      <c r="QM57" s="782"/>
      <c r="QN57" s="782"/>
      <c r="QO57" s="782"/>
      <c r="QP57" s="782"/>
      <c r="QQ57" s="782"/>
      <c r="QR57" s="782"/>
      <c r="QS57" s="782"/>
      <c r="QT57" s="782"/>
      <c r="QU57" s="782"/>
      <c r="QV57" s="782"/>
      <c r="QW57" s="782"/>
      <c r="QX57" s="782"/>
      <c r="QY57" s="782"/>
      <c r="QZ57" s="782"/>
      <c r="RA57" s="782"/>
      <c r="RB57" s="782"/>
      <c r="RC57" s="782"/>
      <c r="RD57" s="782"/>
      <c r="RE57" s="782"/>
      <c r="RF57" s="782"/>
      <c r="RG57" s="782"/>
      <c r="RH57" s="782"/>
      <c r="RI57" s="782"/>
      <c r="RJ57" s="782"/>
      <c r="RK57" s="782"/>
      <c r="RL57" s="782"/>
      <c r="RM57" s="782"/>
      <c r="RN57" s="782"/>
      <c r="RO57" s="782"/>
      <c r="RP57" s="782"/>
      <c r="RQ57" s="782"/>
      <c r="RR57" s="782"/>
      <c r="RS57" s="782"/>
      <c r="RT57" s="782"/>
      <c r="RU57" s="782"/>
      <c r="RV57" s="782"/>
      <c r="RW57" s="782"/>
      <c r="RX57" s="782"/>
    </row>
    <row r="58" spans="1:492" s="143" customFormat="1">
      <c r="A58" s="782"/>
      <c r="B58" s="782"/>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c r="AK58" s="782"/>
      <c r="AL58" s="782"/>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785"/>
      <c r="BI58" s="785"/>
      <c r="BJ58" s="785"/>
      <c r="BK58" s="785"/>
      <c r="BL58" s="785"/>
      <c r="BM58" s="785"/>
      <c r="BN58" s="785"/>
      <c r="BO58" s="785"/>
      <c r="BP58" s="785"/>
      <c r="BQ58" s="785"/>
      <c r="BR58" s="785"/>
      <c r="BS58" s="785"/>
      <c r="BT58" s="785"/>
      <c r="BU58" s="785"/>
      <c r="BV58" s="785"/>
      <c r="BW58" s="785"/>
      <c r="BX58" s="785"/>
      <c r="BY58" s="785"/>
      <c r="BZ58" s="785"/>
      <c r="CA58" s="782"/>
      <c r="CB58" s="782"/>
      <c r="CC58" s="782"/>
      <c r="CD58" s="782"/>
      <c r="CE58" s="782"/>
      <c r="CF58" s="782"/>
      <c r="CG58" s="782"/>
      <c r="CH58" s="782"/>
      <c r="CI58" s="782"/>
      <c r="CJ58" s="782"/>
      <c r="CK58" s="782"/>
      <c r="CL58" s="782"/>
      <c r="CM58" s="782"/>
      <c r="CN58" s="782"/>
      <c r="CO58" s="782"/>
      <c r="CP58" s="782"/>
      <c r="CQ58" s="782"/>
      <c r="CR58" s="782"/>
      <c r="CS58" s="782"/>
      <c r="CT58" s="782"/>
      <c r="CU58" s="782"/>
      <c r="CV58" s="782"/>
      <c r="CW58" s="782"/>
      <c r="CX58" s="782"/>
      <c r="CY58" s="782"/>
      <c r="CZ58" s="782"/>
      <c r="DA58" s="782"/>
      <c r="DB58" s="782"/>
      <c r="DC58" s="782"/>
      <c r="DD58" s="782"/>
      <c r="DE58" s="782"/>
      <c r="DF58" s="782"/>
      <c r="DG58" s="782"/>
      <c r="DH58" s="782"/>
      <c r="DI58" s="782"/>
      <c r="DJ58" s="782"/>
      <c r="DK58" s="782"/>
      <c r="DL58" s="782"/>
      <c r="DM58" s="782"/>
      <c r="DN58" s="782"/>
      <c r="DO58" s="782"/>
      <c r="DP58" s="782"/>
      <c r="DQ58" s="782"/>
      <c r="DR58" s="782"/>
      <c r="DS58" s="782"/>
      <c r="DT58" s="782"/>
      <c r="DU58" s="782"/>
      <c r="DV58" s="782"/>
      <c r="DW58" s="782"/>
      <c r="DX58" s="782"/>
      <c r="DY58" s="782"/>
      <c r="DZ58" s="782"/>
      <c r="EA58" s="782"/>
      <c r="EB58" s="782"/>
      <c r="EC58" s="782"/>
      <c r="ED58" s="782"/>
      <c r="EE58" s="782"/>
      <c r="EF58" s="782"/>
      <c r="EG58" s="782"/>
      <c r="EH58" s="782"/>
      <c r="EI58" s="782"/>
      <c r="EJ58" s="782"/>
      <c r="EK58" s="782"/>
      <c r="EL58" s="782"/>
      <c r="EM58" s="782"/>
      <c r="EN58" s="782"/>
      <c r="EO58" s="782"/>
      <c r="EP58" s="782"/>
      <c r="EQ58" s="782"/>
      <c r="ER58" s="782"/>
      <c r="ES58" s="782"/>
      <c r="ET58" s="782"/>
      <c r="EU58" s="782"/>
      <c r="EV58" s="782"/>
      <c r="EW58" s="782"/>
      <c r="EX58" s="782"/>
      <c r="EY58" s="782"/>
      <c r="EZ58" s="782"/>
      <c r="FA58" s="782"/>
      <c r="FB58" s="782"/>
      <c r="FC58" s="782"/>
      <c r="FD58" s="782"/>
      <c r="FE58" s="782"/>
      <c r="FF58" s="782"/>
      <c r="FG58" s="782"/>
      <c r="FH58" s="782"/>
      <c r="FI58" s="782"/>
      <c r="FJ58" s="782"/>
      <c r="FK58" s="782"/>
      <c r="FL58" s="782"/>
      <c r="FM58" s="782"/>
      <c r="FN58" s="782"/>
      <c r="FO58" s="782"/>
      <c r="FP58" s="782"/>
      <c r="FQ58" s="782"/>
      <c r="FR58" s="782"/>
      <c r="FS58" s="782"/>
      <c r="FT58" s="782"/>
      <c r="FU58" s="782"/>
      <c r="FV58" s="782"/>
      <c r="FW58" s="782"/>
      <c r="FX58" s="782"/>
      <c r="FY58" s="782"/>
      <c r="FZ58" s="782"/>
      <c r="GA58" s="782"/>
      <c r="GB58" s="782"/>
      <c r="GC58" s="782"/>
      <c r="GD58" s="782"/>
      <c r="GE58" s="782"/>
      <c r="GF58" s="782"/>
      <c r="GG58" s="782"/>
      <c r="GH58" s="782"/>
      <c r="GI58" s="782"/>
      <c r="GJ58" s="782"/>
      <c r="GK58" s="782"/>
      <c r="GL58" s="782"/>
      <c r="GM58" s="782"/>
      <c r="GN58" s="782"/>
      <c r="GO58" s="782"/>
      <c r="GP58" s="782"/>
      <c r="GQ58" s="782"/>
      <c r="GR58" s="782"/>
      <c r="GS58" s="782"/>
      <c r="GT58" s="782"/>
      <c r="GU58" s="782"/>
      <c r="GV58" s="782"/>
      <c r="GW58" s="782"/>
      <c r="GX58" s="782"/>
      <c r="GY58" s="782"/>
      <c r="GZ58" s="782"/>
      <c r="HA58" s="782"/>
      <c r="HB58" s="782"/>
      <c r="HC58" s="782"/>
      <c r="HD58" s="782"/>
      <c r="HE58" s="782"/>
      <c r="HF58" s="782"/>
      <c r="HG58" s="782"/>
      <c r="HH58" s="782"/>
      <c r="HI58" s="782"/>
      <c r="HJ58" s="782"/>
      <c r="HK58" s="782"/>
      <c r="HL58" s="782"/>
      <c r="HM58" s="782"/>
      <c r="HN58" s="782"/>
      <c r="HO58" s="782"/>
      <c r="HP58" s="782"/>
      <c r="HQ58" s="782"/>
      <c r="HR58" s="782"/>
      <c r="HS58" s="782"/>
      <c r="HT58" s="782"/>
      <c r="HU58" s="782"/>
      <c r="HV58" s="782"/>
      <c r="HW58" s="782"/>
      <c r="HX58" s="782"/>
      <c r="HY58" s="782"/>
      <c r="HZ58" s="782"/>
      <c r="IA58" s="782"/>
      <c r="IB58" s="782"/>
      <c r="IC58" s="782"/>
      <c r="ID58" s="782"/>
      <c r="IE58" s="782"/>
      <c r="IF58" s="782"/>
      <c r="IG58" s="782"/>
      <c r="IH58" s="782"/>
      <c r="II58" s="782"/>
      <c r="IJ58" s="782"/>
      <c r="IK58" s="782"/>
      <c r="IL58" s="782"/>
      <c r="IM58" s="782"/>
      <c r="IN58" s="782"/>
      <c r="IO58" s="782"/>
      <c r="IP58" s="782"/>
      <c r="IQ58" s="782"/>
      <c r="IR58" s="782"/>
      <c r="IS58" s="782"/>
      <c r="IT58" s="782"/>
      <c r="IU58" s="782"/>
      <c r="IV58" s="782"/>
      <c r="IW58" s="782"/>
      <c r="IX58" s="782"/>
      <c r="IY58" s="782"/>
      <c r="IZ58" s="782"/>
      <c r="JA58" s="782"/>
      <c r="JB58" s="782"/>
      <c r="JC58" s="782"/>
      <c r="JD58" s="782"/>
      <c r="JE58" s="782"/>
      <c r="JF58" s="782"/>
      <c r="JG58" s="782"/>
      <c r="JH58" s="782"/>
      <c r="JI58" s="782"/>
      <c r="JJ58" s="782"/>
      <c r="JK58" s="782"/>
      <c r="JL58" s="782"/>
      <c r="JM58" s="782"/>
      <c r="JN58" s="782"/>
      <c r="JO58" s="782"/>
      <c r="JP58" s="782"/>
      <c r="JQ58" s="782"/>
      <c r="JR58" s="782"/>
      <c r="JS58" s="782"/>
      <c r="JT58" s="782"/>
      <c r="JU58" s="782"/>
      <c r="JV58" s="782"/>
      <c r="JW58" s="782"/>
      <c r="JX58" s="782"/>
      <c r="JY58" s="782"/>
      <c r="JZ58" s="782"/>
      <c r="KA58" s="782"/>
      <c r="KB58" s="782"/>
      <c r="KC58" s="782"/>
      <c r="KD58" s="782"/>
      <c r="KE58" s="782"/>
      <c r="KF58" s="782"/>
      <c r="KG58" s="782"/>
      <c r="KH58" s="782"/>
      <c r="KI58" s="782"/>
      <c r="KJ58" s="782"/>
      <c r="KK58" s="782"/>
      <c r="KL58" s="782"/>
      <c r="KM58" s="782"/>
      <c r="KN58" s="782"/>
      <c r="KO58" s="782"/>
      <c r="KP58" s="782"/>
      <c r="KQ58" s="782"/>
      <c r="KR58" s="782"/>
      <c r="KS58" s="782"/>
      <c r="KT58" s="782"/>
      <c r="KU58" s="782"/>
      <c r="KV58" s="782"/>
      <c r="KW58" s="782"/>
      <c r="KX58" s="782"/>
      <c r="KY58" s="782"/>
      <c r="KZ58" s="782"/>
      <c r="LA58" s="782"/>
      <c r="LB58" s="782"/>
      <c r="LC58" s="782"/>
      <c r="LD58" s="782"/>
      <c r="LE58" s="782"/>
      <c r="LF58" s="782"/>
      <c r="LG58" s="782"/>
      <c r="LH58" s="782"/>
      <c r="LI58" s="782"/>
      <c r="LJ58" s="782"/>
      <c r="LK58" s="782"/>
      <c r="LL58" s="782"/>
      <c r="LM58" s="782"/>
      <c r="LN58" s="782"/>
      <c r="LO58" s="782"/>
      <c r="LP58" s="782"/>
      <c r="LQ58" s="782"/>
      <c r="LR58" s="782"/>
      <c r="LS58" s="782"/>
      <c r="LT58" s="782"/>
      <c r="LU58" s="782"/>
      <c r="LV58" s="782"/>
      <c r="LW58" s="782"/>
      <c r="LX58" s="782"/>
      <c r="LY58" s="782"/>
      <c r="LZ58" s="782"/>
      <c r="MA58" s="782"/>
      <c r="MB58" s="782"/>
      <c r="MC58" s="782"/>
      <c r="MD58" s="782"/>
      <c r="ME58" s="782"/>
      <c r="MF58" s="782"/>
      <c r="MG58" s="782"/>
      <c r="MH58" s="782"/>
      <c r="MI58" s="782"/>
      <c r="MJ58" s="782"/>
      <c r="MK58" s="782"/>
      <c r="ML58" s="782"/>
      <c r="MM58" s="782"/>
      <c r="MN58" s="782"/>
      <c r="MO58" s="782"/>
      <c r="MP58" s="782"/>
      <c r="MQ58" s="782"/>
      <c r="MR58" s="782"/>
      <c r="MS58" s="782"/>
      <c r="MT58" s="782"/>
      <c r="MU58" s="782"/>
      <c r="MV58" s="782"/>
      <c r="MW58" s="782"/>
      <c r="MX58" s="782"/>
      <c r="MY58" s="782"/>
      <c r="MZ58" s="782"/>
      <c r="NA58" s="782"/>
      <c r="NB58" s="782"/>
      <c r="NC58" s="782"/>
      <c r="ND58" s="782"/>
      <c r="NE58" s="782"/>
      <c r="NF58" s="782"/>
      <c r="NG58" s="782"/>
      <c r="NH58" s="782"/>
      <c r="NI58" s="782"/>
      <c r="NJ58" s="782"/>
      <c r="NK58" s="782"/>
      <c r="NL58" s="782"/>
      <c r="NM58" s="782"/>
      <c r="NN58" s="782"/>
      <c r="NO58" s="782"/>
      <c r="NP58" s="782"/>
      <c r="NQ58" s="782"/>
      <c r="NR58" s="782"/>
      <c r="NS58" s="782"/>
      <c r="NT58" s="782"/>
      <c r="NU58" s="782"/>
      <c r="NV58" s="782"/>
      <c r="NW58" s="782"/>
      <c r="NX58" s="782"/>
      <c r="NY58" s="782"/>
      <c r="NZ58" s="782"/>
      <c r="OA58" s="782"/>
      <c r="OB58" s="782"/>
      <c r="OC58" s="782"/>
      <c r="OD58" s="782"/>
      <c r="OE58" s="782"/>
      <c r="OF58" s="782"/>
      <c r="OG58" s="782"/>
      <c r="OH58" s="782"/>
      <c r="OI58" s="782"/>
      <c r="OJ58" s="782"/>
      <c r="OK58" s="782"/>
      <c r="OL58" s="782"/>
      <c r="OM58" s="782"/>
      <c r="ON58" s="782"/>
      <c r="OO58" s="782"/>
      <c r="OP58" s="782"/>
      <c r="OQ58" s="782"/>
      <c r="OR58" s="782"/>
      <c r="OS58" s="782"/>
      <c r="OT58" s="782"/>
      <c r="OU58" s="782"/>
      <c r="OV58" s="782"/>
      <c r="OW58" s="782"/>
      <c r="OX58" s="782"/>
      <c r="OY58" s="782"/>
      <c r="OZ58" s="782"/>
      <c r="PA58" s="782"/>
      <c r="PB58" s="782"/>
      <c r="PC58" s="782"/>
      <c r="PD58" s="782"/>
      <c r="PE58" s="782"/>
      <c r="PF58" s="782"/>
      <c r="PG58" s="782"/>
      <c r="PH58" s="782"/>
      <c r="PI58" s="782"/>
      <c r="PJ58" s="782"/>
      <c r="PK58" s="782"/>
      <c r="PL58" s="782"/>
      <c r="PM58" s="782"/>
      <c r="PN58" s="782"/>
      <c r="PO58" s="782"/>
      <c r="PP58" s="782"/>
      <c r="PQ58" s="782"/>
      <c r="PR58" s="782"/>
      <c r="PS58" s="782"/>
      <c r="PT58" s="782"/>
      <c r="PU58" s="782"/>
      <c r="PV58" s="782"/>
      <c r="PW58" s="782"/>
      <c r="PX58" s="782"/>
      <c r="PY58" s="782"/>
      <c r="PZ58" s="782"/>
      <c r="QA58" s="782"/>
      <c r="QB58" s="782"/>
      <c r="QC58" s="782"/>
      <c r="QD58" s="782"/>
      <c r="QE58" s="782"/>
      <c r="QF58" s="782"/>
      <c r="QG58" s="782"/>
      <c r="QH58" s="782"/>
      <c r="QI58" s="782"/>
      <c r="QJ58" s="782"/>
      <c r="QK58" s="782"/>
      <c r="QL58" s="782"/>
      <c r="QM58" s="782"/>
      <c r="QN58" s="782"/>
      <c r="QO58" s="782"/>
      <c r="QP58" s="782"/>
      <c r="QQ58" s="782"/>
      <c r="QR58" s="782"/>
      <c r="QS58" s="782"/>
      <c r="QT58" s="782"/>
      <c r="QU58" s="782"/>
      <c r="QV58" s="782"/>
      <c r="QW58" s="782"/>
      <c r="QX58" s="782"/>
      <c r="QY58" s="782"/>
      <c r="QZ58" s="782"/>
      <c r="RA58" s="782"/>
      <c r="RB58" s="782"/>
      <c r="RC58" s="782"/>
      <c r="RD58" s="782"/>
      <c r="RE58" s="782"/>
      <c r="RF58" s="782"/>
      <c r="RG58" s="782"/>
      <c r="RH58" s="782"/>
      <c r="RI58" s="782"/>
      <c r="RJ58" s="782"/>
      <c r="RK58" s="782"/>
      <c r="RL58" s="782"/>
      <c r="RM58" s="782"/>
      <c r="RN58" s="782"/>
      <c r="RO58" s="782"/>
      <c r="RP58" s="782"/>
      <c r="RQ58" s="782"/>
      <c r="RR58" s="782"/>
      <c r="RS58" s="782"/>
      <c r="RT58" s="782"/>
      <c r="RU58" s="782"/>
      <c r="RV58" s="782"/>
      <c r="RW58" s="782"/>
      <c r="RX58" s="782"/>
    </row>
    <row r="59" spans="1:492" s="143" customFormat="1">
      <c r="A59" s="782"/>
      <c r="B59" s="782"/>
      <c r="C59" s="782"/>
      <c r="D59" s="782"/>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c r="AK59" s="782"/>
      <c r="AL59" s="782"/>
      <c r="AM59" s="785"/>
      <c r="AN59" s="785"/>
      <c r="AO59" s="785"/>
      <c r="AP59" s="785"/>
      <c r="AQ59" s="785"/>
      <c r="AR59" s="785"/>
      <c r="AS59" s="785"/>
      <c r="AT59" s="785"/>
      <c r="AU59" s="785"/>
      <c r="AV59" s="785"/>
      <c r="AW59" s="785"/>
      <c r="AX59" s="785"/>
      <c r="AY59" s="785"/>
      <c r="AZ59" s="785"/>
      <c r="BA59" s="785"/>
      <c r="BB59" s="785"/>
      <c r="BC59" s="785"/>
      <c r="BD59" s="785"/>
      <c r="BE59" s="785"/>
      <c r="BF59" s="785"/>
      <c r="BG59" s="785"/>
      <c r="BH59" s="785"/>
      <c r="BI59" s="785"/>
      <c r="BJ59" s="785"/>
      <c r="BK59" s="785"/>
      <c r="BL59" s="785"/>
      <c r="BM59" s="785"/>
      <c r="BN59" s="785"/>
      <c r="BO59" s="785"/>
      <c r="BP59" s="785"/>
      <c r="BQ59" s="785"/>
      <c r="BR59" s="785"/>
      <c r="BS59" s="785"/>
      <c r="BT59" s="785"/>
      <c r="BU59" s="785"/>
      <c r="BV59" s="785"/>
      <c r="BW59" s="785"/>
      <c r="BX59" s="785"/>
      <c r="BY59" s="785"/>
      <c r="BZ59" s="785"/>
      <c r="CA59" s="782"/>
      <c r="CB59" s="782"/>
      <c r="CC59" s="782"/>
      <c r="CD59" s="782"/>
      <c r="CE59" s="782"/>
      <c r="CF59" s="782"/>
      <c r="CG59" s="782"/>
      <c r="CH59" s="782"/>
      <c r="CI59" s="782"/>
      <c r="CJ59" s="782"/>
      <c r="CK59" s="782"/>
      <c r="CL59" s="782"/>
      <c r="CM59" s="782"/>
      <c r="CN59" s="782"/>
      <c r="CO59" s="782"/>
      <c r="CP59" s="782"/>
      <c r="CQ59" s="782"/>
      <c r="CR59" s="782"/>
      <c r="CS59" s="782"/>
      <c r="CT59" s="782"/>
      <c r="CU59" s="782"/>
      <c r="CV59" s="782"/>
      <c r="CW59" s="782"/>
      <c r="CX59" s="782"/>
      <c r="CY59" s="782"/>
      <c r="CZ59" s="782"/>
      <c r="DA59" s="782"/>
      <c r="DB59" s="782"/>
      <c r="DC59" s="782"/>
      <c r="DD59" s="782"/>
      <c r="DE59" s="782"/>
      <c r="DF59" s="782"/>
      <c r="DG59" s="782"/>
      <c r="DH59" s="782"/>
      <c r="DI59" s="782"/>
      <c r="DJ59" s="782"/>
      <c r="DK59" s="782"/>
      <c r="DL59" s="782"/>
      <c r="DM59" s="782"/>
      <c r="DN59" s="782"/>
      <c r="DO59" s="782"/>
      <c r="DP59" s="782"/>
      <c r="DQ59" s="782"/>
      <c r="DR59" s="782"/>
      <c r="DS59" s="782"/>
      <c r="DT59" s="782"/>
      <c r="DU59" s="782"/>
      <c r="DV59" s="782"/>
      <c r="DW59" s="782"/>
      <c r="DX59" s="782"/>
      <c r="DY59" s="782"/>
      <c r="DZ59" s="782"/>
      <c r="EA59" s="782"/>
      <c r="EB59" s="782"/>
      <c r="EC59" s="782"/>
      <c r="ED59" s="782"/>
      <c r="EE59" s="782"/>
      <c r="EF59" s="782"/>
      <c r="EG59" s="782"/>
      <c r="EH59" s="782"/>
      <c r="EI59" s="782"/>
      <c r="EJ59" s="782"/>
      <c r="EK59" s="782"/>
      <c r="EL59" s="782"/>
      <c r="EM59" s="782"/>
      <c r="EN59" s="782"/>
      <c r="EO59" s="782"/>
      <c r="EP59" s="782"/>
      <c r="EQ59" s="782"/>
      <c r="ER59" s="782"/>
      <c r="ES59" s="782"/>
      <c r="ET59" s="782"/>
      <c r="EU59" s="782"/>
      <c r="EV59" s="782"/>
      <c r="EW59" s="782"/>
      <c r="EX59" s="782"/>
      <c r="EY59" s="782"/>
      <c r="EZ59" s="782"/>
      <c r="FA59" s="782"/>
      <c r="FB59" s="782"/>
      <c r="FC59" s="782"/>
      <c r="FD59" s="782"/>
      <c r="FE59" s="782"/>
      <c r="FF59" s="782"/>
      <c r="FG59" s="782"/>
      <c r="FH59" s="782"/>
      <c r="FI59" s="782"/>
      <c r="FJ59" s="782"/>
      <c r="FK59" s="782"/>
      <c r="FL59" s="782"/>
      <c r="FM59" s="782"/>
      <c r="FN59" s="782"/>
      <c r="FO59" s="782"/>
      <c r="FP59" s="782"/>
      <c r="FQ59" s="782"/>
      <c r="FR59" s="782"/>
      <c r="FS59" s="782"/>
      <c r="FT59" s="782"/>
      <c r="FU59" s="782"/>
      <c r="FV59" s="782"/>
      <c r="FW59" s="782"/>
      <c r="FX59" s="782"/>
      <c r="FY59" s="782"/>
      <c r="FZ59" s="782"/>
      <c r="GA59" s="782"/>
      <c r="GB59" s="782"/>
      <c r="GC59" s="782"/>
      <c r="GD59" s="782"/>
      <c r="GE59" s="782"/>
      <c r="GF59" s="782"/>
      <c r="GG59" s="782"/>
      <c r="GH59" s="782"/>
      <c r="GI59" s="782"/>
      <c r="GJ59" s="782"/>
      <c r="GK59" s="782"/>
      <c r="GL59" s="782"/>
      <c r="GM59" s="782"/>
      <c r="GN59" s="782"/>
      <c r="GO59" s="782"/>
      <c r="GP59" s="782"/>
      <c r="GQ59" s="782"/>
      <c r="GR59" s="782"/>
      <c r="GS59" s="782"/>
      <c r="GT59" s="782"/>
      <c r="GU59" s="782"/>
      <c r="GV59" s="782"/>
      <c r="GW59" s="782"/>
      <c r="GX59" s="782"/>
      <c r="GY59" s="782"/>
      <c r="GZ59" s="782"/>
      <c r="HA59" s="782"/>
      <c r="HB59" s="782"/>
      <c r="HC59" s="782"/>
      <c r="HD59" s="782"/>
      <c r="HE59" s="782"/>
      <c r="HF59" s="782"/>
      <c r="HG59" s="782"/>
      <c r="HH59" s="782"/>
      <c r="HI59" s="782"/>
      <c r="HJ59" s="782"/>
      <c r="HK59" s="782"/>
      <c r="HL59" s="782"/>
      <c r="HM59" s="782"/>
      <c r="HN59" s="782"/>
      <c r="HO59" s="782"/>
      <c r="HP59" s="782"/>
      <c r="HQ59" s="782"/>
      <c r="HR59" s="782"/>
      <c r="HS59" s="782"/>
      <c r="HT59" s="782"/>
      <c r="HU59" s="782"/>
      <c r="HV59" s="782"/>
      <c r="HW59" s="782"/>
      <c r="HX59" s="782"/>
      <c r="HY59" s="782"/>
      <c r="HZ59" s="782"/>
      <c r="IA59" s="782"/>
      <c r="IB59" s="782"/>
      <c r="IC59" s="782"/>
      <c r="ID59" s="782"/>
      <c r="IE59" s="782"/>
      <c r="IF59" s="782"/>
      <c r="IG59" s="782"/>
      <c r="IH59" s="782"/>
      <c r="II59" s="782"/>
      <c r="IJ59" s="782"/>
      <c r="IK59" s="782"/>
      <c r="IL59" s="782"/>
      <c r="IM59" s="782"/>
      <c r="IN59" s="782"/>
      <c r="IO59" s="782"/>
      <c r="IP59" s="782"/>
      <c r="IQ59" s="782"/>
      <c r="IR59" s="782"/>
      <c r="IS59" s="782"/>
      <c r="IT59" s="782"/>
      <c r="IU59" s="782"/>
      <c r="IV59" s="782"/>
      <c r="IW59" s="782"/>
      <c r="IX59" s="782"/>
      <c r="IY59" s="782"/>
      <c r="IZ59" s="782"/>
      <c r="JA59" s="782"/>
      <c r="JB59" s="782"/>
      <c r="JC59" s="782"/>
      <c r="JD59" s="782"/>
      <c r="JE59" s="782"/>
      <c r="JF59" s="782"/>
      <c r="JG59" s="782"/>
      <c r="JH59" s="782"/>
      <c r="JI59" s="782"/>
      <c r="JJ59" s="782"/>
      <c r="JK59" s="782"/>
      <c r="JL59" s="782"/>
      <c r="JM59" s="782"/>
      <c r="JN59" s="782"/>
      <c r="JO59" s="782"/>
      <c r="JP59" s="782"/>
      <c r="JQ59" s="782"/>
      <c r="JR59" s="782"/>
      <c r="JS59" s="782"/>
      <c r="JT59" s="782"/>
      <c r="JU59" s="782"/>
      <c r="JV59" s="782"/>
      <c r="JW59" s="782"/>
      <c r="JX59" s="782"/>
      <c r="JY59" s="782"/>
      <c r="JZ59" s="782"/>
      <c r="KA59" s="782"/>
      <c r="KB59" s="782"/>
      <c r="KC59" s="782"/>
      <c r="KD59" s="782"/>
      <c r="KE59" s="782"/>
      <c r="KF59" s="782"/>
      <c r="KG59" s="782"/>
      <c r="KH59" s="782"/>
      <c r="KI59" s="782"/>
      <c r="KJ59" s="782"/>
      <c r="KK59" s="782"/>
      <c r="KL59" s="782"/>
      <c r="KM59" s="782"/>
      <c r="KN59" s="782"/>
      <c r="KO59" s="782"/>
      <c r="KP59" s="782"/>
      <c r="KQ59" s="782"/>
      <c r="KR59" s="782"/>
      <c r="KS59" s="782"/>
      <c r="KT59" s="782"/>
      <c r="KU59" s="782"/>
      <c r="KV59" s="782"/>
      <c r="KW59" s="782"/>
      <c r="KX59" s="782"/>
      <c r="KY59" s="782"/>
      <c r="KZ59" s="782"/>
      <c r="LA59" s="782"/>
      <c r="LB59" s="782"/>
      <c r="LC59" s="782"/>
      <c r="LD59" s="782"/>
      <c r="LE59" s="782"/>
      <c r="LF59" s="782"/>
      <c r="LG59" s="782"/>
      <c r="LH59" s="782"/>
      <c r="LI59" s="782"/>
      <c r="LJ59" s="782"/>
      <c r="LK59" s="782"/>
      <c r="LL59" s="782"/>
      <c r="LM59" s="782"/>
      <c r="LN59" s="782"/>
      <c r="LO59" s="782"/>
      <c r="LP59" s="782"/>
      <c r="LQ59" s="782"/>
      <c r="LR59" s="782"/>
      <c r="LS59" s="782"/>
      <c r="LT59" s="782"/>
      <c r="LU59" s="782"/>
      <c r="LV59" s="782"/>
      <c r="LW59" s="782"/>
      <c r="LX59" s="782"/>
      <c r="LY59" s="782"/>
      <c r="LZ59" s="782"/>
      <c r="MA59" s="782"/>
      <c r="MB59" s="782"/>
      <c r="MC59" s="782"/>
      <c r="MD59" s="782"/>
      <c r="ME59" s="782"/>
      <c r="MF59" s="782"/>
      <c r="MG59" s="782"/>
      <c r="MH59" s="782"/>
      <c r="MI59" s="782"/>
      <c r="MJ59" s="782"/>
      <c r="MK59" s="782"/>
      <c r="ML59" s="782"/>
      <c r="MM59" s="782"/>
      <c r="MN59" s="782"/>
      <c r="MO59" s="782"/>
      <c r="MP59" s="782"/>
      <c r="MQ59" s="782"/>
      <c r="MR59" s="782"/>
      <c r="MS59" s="782"/>
      <c r="MT59" s="782"/>
      <c r="MU59" s="782"/>
      <c r="MV59" s="782"/>
      <c r="MW59" s="782"/>
      <c r="MX59" s="782"/>
      <c r="MY59" s="782"/>
      <c r="MZ59" s="782"/>
      <c r="NA59" s="782"/>
      <c r="NB59" s="782"/>
      <c r="NC59" s="782"/>
      <c r="ND59" s="782"/>
      <c r="NE59" s="782"/>
      <c r="NF59" s="782"/>
      <c r="NG59" s="782"/>
      <c r="NH59" s="782"/>
      <c r="NI59" s="782"/>
      <c r="NJ59" s="782"/>
      <c r="NK59" s="782"/>
      <c r="NL59" s="782"/>
      <c r="NM59" s="782"/>
      <c r="NN59" s="782"/>
      <c r="NO59" s="782"/>
      <c r="NP59" s="782"/>
      <c r="NQ59" s="782"/>
      <c r="NR59" s="782"/>
      <c r="NS59" s="782"/>
      <c r="NT59" s="782"/>
      <c r="NU59" s="782"/>
      <c r="NV59" s="782"/>
      <c r="NW59" s="782"/>
      <c r="NX59" s="782"/>
      <c r="NY59" s="782"/>
      <c r="NZ59" s="782"/>
      <c r="OA59" s="782"/>
      <c r="OB59" s="782"/>
      <c r="OC59" s="782"/>
      <c r="OD59" s="782"/>
      <c r="OE59" s="782"/>
      <c r="OF59" s="782"/>
      <c r="OG59" s="782"/>
      <c r="OH59" s="782"/>
      <c r="OI59" s="782"/>
      <c r="OJ59" s="782"/>
      <c r="OK59" s="782"/>
      <c r="OL59" s="782"/>
      <c r="OM59" s="782"/>
      <c r="ON59" s="782"/>
      <c r="OO59" s="782"/>
      <c r="OP59" s="782"/>
      <c r="OQ59" s="782"/>
      <c r="OR59" s="782"/>
      <c r="OS59" s="782"/>
      <c r="OT59" s="782"/>
      <c r="OU59" s="782"/>
      <c r="OV59" s="782"/>
      <c r="OW59" s="782"/>
      <c r="OX59" s="782"/>
      <c r="OY59" s="782"/>
      <c r="OZ59" s="782"/>
      <c r="PA59" s="782"/>
      <c r="PB59" s="782"/>
      <c r="PC59" s="782"/>
      <c r="PD59" s="782"/>
      <c r="PE59" s="782"/>
      <c r="PF59" s="782"/>
      <c r="PG59" s="782"/>
      <c r="PH59" s="782"/>
      <c r="PI59" s="782"/>
      <c r="PJ59" s="782"/>
      <c r="PK59" s="782"/>
      <c r="PL59" s="782"/>
      <c r="PM59" s="782"/>
      <c r="PN59" s="782"/>
      <c r="PO59" s="782"/>
      <c r="PP59" s="782"/>
      <c r="PQ59" s="782"/>
      <c r="PR59" s="782"/>
      <c r="PS59" s="782"/>
      <c r="PT59" s="782"/>
      <c r="PU59" s="782"/>
      <c r="PV59" s="782"/>
      <c r="PW59" s="782"/>
      <c r="PX59" s="782"/>
      <c r="PY59" s="782"/>
      <c r="PZ59" s="782"/>
      <c r="QA59" s="782"/>
      <c r="QB59" s="782"/>
      <c r="QC59" s="782"/>
      <c r="QD59" s="782"/>
      <c r="QE59" s="782"/>
      <c r="QF59" s="782"/>
      <c r="QG59" s="782"/>
      <c r="QH59" s="782"/>
      <c r="QI59" s="782"/>
      <c r="QJ59" s="782"/>
      <c r="QK59" s="782"/>
      <c r="QL59" s="782"/>
      <c r="QM59" s="782"/>
      <c r="QN59" s="782"/>
      <c r="QO59" s="782"/>
      <c r="QP59" s="782"/>
      <c r="QQ59" s="782"/>
      <c r="QR59" s="782"/>
      <c r="QS59" s="782"/>
      <c r="QT59" s="782"/>
      <c r="QU59" s="782"/>
      <c r="QV59" s="782"/>
      <c r="QW59" s="782"/>
      <c r="QX59" s="782"/>
      <c r="QY59" s="782"/>
      <c r="QZ59" s="782"/>
      <c r="RA59" s="782"/>
      <c r="RB59" s="782"/>
      <c r="RC59" s="782"/>
      <c r="RD59" s="782"/>
      <c r="RE59" s="782"/>
      <c r="RF59" s="782"/>
      <c r="RG59" s="782"/>
      <c r="RH59" s="782"/>
      <c r="RI59" s="782"/>
      <c r="RJ59" s="782"/>
      <c r="RK59" s="782"/>
      <c r="RL59" s="782"/>
      <c r="RM59" s="782"/>
      <c r="RN59" s="782"/>
      <c r="RO59" s="782"/>
      <c r="RP59" s="782"/>
      <c r="RQ59" s="782"/>
      <c r="RR59" s="782"/>
      <c r="RS59" s="782"/>
      <c r="RT59" s="782"/>
      <c r="RU59" s="782"/>
      <c r="RV59" s="782"/>
      <c r="RW59" s="782"/>
      <c r="RX59" s="782"/>
    </row>
    <row r="60" spans="1:492" s="143" customFormat="1">
      <c r="A60" s="782"/>
      <c r="B60" s="782"/>
      <c r="C60" s="782"/>
      <c r="D60" s="782"/>
      <c r="E60" s="782"/>
      <c r="F60" s="782"/>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5"/>
      <c r="AN60" s="785"/>
      <c r="AO60" s="785"/>
      <c r="AP60" s="785"/>
      <c r="AQ60" s="785"/>
      <c r="AR60" s="785"/>
      <c r="AS60" s="785"/>
      <c r="AT60" s="785"/>
      <c r="AU60" s="785"/>
      <c r="AV60" s="785"/>
      <c r="AW60" s="785"/>
      <c r="AX60" s="785"/>
      <c r="AY60" s="785"/>
      <c r="AZ60" s="785"/>
      <c r="BA60" s="785"/>
      <c r="BB60" s="785"/>
      <c r="BC60" s="785"/>
      <c r="BD60" s="785"/>
      <c r="BE60" s="785"/>
      <c r="BF60" s="785"/>
      <c r="BG60" s="785"/>
      <c r="BH60" s="785"/>
      <c r="BI60" s="785"/>
      <c r="BJ60" s="785"/>
      <c r="BK60" s="785"/>
      <c r="BL60" s="785"/>
      <c r="BM60" s="785"/>
      <c r="BN60" s="785"/>
      <c r="BO60" s="785"/>
      <c r="BP60" s="785"/>
      <c r="BQ60" s="785"/>
      <c r="BR60" s="785"/>
      <c r="BS60" s="785"/>
      <c r="BT60" s="785"/>
      <c r="BU60" s="785"/>
      <c r="BV60" s="785"/>
      <c r="BW60" s="785"/>
      <c r="BX60" s="785"/>
      <c r="BY60" s="785"/>
      <c r="BZ60" s="785"/>
      <c r="CA60" s="782"/>
      <c r="CB60" s="782"/>
      <c r="CC60" s="782"/>
      <c r="CD60" s="782"/>
      <c r="CE60" s="782"/>
      <c r="CF60" s="782"/>
      <c r="CG60" s="782"/>
      <c r="CH60" s="782"/>
      <c r="CI60" s="782"/>
      <c r="CJ60" s="782"/>
      <c r="CK60" s="782"/>
      <c r="CL60" s="782"/>
      <c r="CM60" s="782"/>
      <c r="CN60" s="782"/>
      <c r="CO60" s="782"/>
      <c r="CP60" s="782"/>
      <c r="CQ60" s="782"/>
      <c r="CR60" s="782"/>
      <c r="CS60" s="782"/>
      <c r="CT60" s="782"/>
      <c r="CU60" s="782"/>
      <c r="CV60" s="782"/>
      <c r="CW60" s="782"/>
      <c r="CX60" s="782"/>
      <c r="CY60" s="782"/>
      <c r="CZ60" s="782"/>
      <c r="DA60" s="782"/>
      <c r="DB60" s="782"/>
      <c r="DC60" s="782"/>
      <c r="DD60" s="782"/>
      <c r="DE60" s="782"/>
      <c r="DF60" s="782"/>
      <c r="DG60" s="782"/>
      <c r="DH60" s="782"/>
      <c r="DI60" s="782"/>
      <c r="DJ60" s="782"/>
      <c r="DK60" s="782"/>
      <c r="DL60" s="782"/>
      <c r="DM60" s="782"/>
      <c r="DN60" s="782"/>
      <c r="DO60" s="782"/>
      <c r="DP60" s="782"/>
      <c r="DQ60" s="782"/>
      <c r="DR60" s="782"/>
      <c r="DS60" s="782"/>
      <c r="DT60" s="782"/>
      <c r="DU60" s="782"/>
      <c r="DV60" s="782"/>
      <c r="DW60" s="782"/>
      <c r="DX60" s="782"/>
      <c r="DY60" s="782"/>
      <c r="DZ60" s="782"/>
      <c r="EA60" s="782"/>
      <c r="EB60" s="782"/>
      <c r="EC60" s="782"/>
      <c r="ED60" s="782"/>
      <c r="EE60" s="782"/>
      <c r="EF60" s="782"/>
      <c r="EG60" s="782"/>
      <c r="EH60" s="782"/>
      <c r="EI60" s="782"/>
      <c r="EJ60" s="782"/>
      <c r="EK60" s="782"/>
      <c r="EL60" s="782"/>
      <c r="EM60" s="782"/>
      <c r="EN60" s="782"/>
      <c r="EO60" s="782"/>
      <c r="EP60" s="782"/>
      <c r="EQ60" s="782"/>
      <c r="ER60" s="782"/>
      <c r="ES60" s="782"/>
      <c r="ET60" s="782"/>
      <c r="EU60" s="782"/>
      <c r="EV60" s="782"/>
      <c r="EW60" s="782"/>
      <c r="EX60" s="782"/>
      <c r="EY60" s="782"/>
      <c r="EZ60" s="782"/>
      <c r="FA60" s="782"/>
      <c r="FB60" s="782"/>
      <c r="FC60" s="782"/>
      <c r="FD60" s="782"/>
      <c r="FE60" s="782"/>
      <c r="FF60" s="782"/>
      <c r="FG60" s="782"/>
      <c r="FH60" s="782"/>
      <c r="FI60" s="782"/>
      <c r="FJ60" s="782"/>
      <c r="FK60" s="782"/>
      <c r="FL60" s="782"/>
      <c r="FM60" s="782"/>
      <c r="FN60" s="782"/>
      <c r="FO60" s="782"/>
      <c r="FP60" s="782"/>
      <c r="FQ60" s="782"/>
      <c r="FR60" s="782"/>
      <c r="FS60" s="782"/>
      <c r="FT60" s="782"/>
      <c r="FU60" s="782"/>
      <c r="FV60" s="782"/>
      <c r="FW60" s="782"/>
      <c r="FX60" s="782"/>
      <c r="FY60" s="782"/>
      <c r="FZ60" s="782"/>
      <c r="GA60" s="782"/>
      <c r="GB60" s="782"/>
      <c r="GC60" s="782"/>
      <c r="GD60" s="782"/>
      <c r="GE60" s="782"/>
      <c r="GF60" s="782"/>
      <c r="GG60" s="782"/>
      <c r="GH60" s="782"/>
      <c r="GI60" s="782"/>
      <c r="GJ60" s="782"/>
      <c r="GK60" s="782"/>
      <c r="GL60" s="782"/>
      <c r="GM60" s="782"/>
      <c r="GN60" s="782"/>
      <c r="GO60" s="782"/>
      <c r="GP60" s="782"/>
      <c r="GQ60" s="782"/>
      <c r="GR60" s="782"/>
      <c r="GS60" s="782"/>
      <c r="GT60" s="782"/>
      <c r="GU60" s="782"/>
      <c r="GV60" s="782"/>
      <c r="GW60" s="782"/>
      <c r="GX60" s="782"/>
      <c r="GY60" s="782"/>
      <c r="GZ60" s="782"/>
      <c r="HA60" s="782"/>
      <c r="HB60" s="782"/>
      <c r="HC60" s="782"/>
      <c r="HD60" s="782"/>
      <c r="HE60" s="782"/>
      <c r="HF60" s="782"/>
      <c r="HG60" s="782"/>
      <c r="HH60" s="782"/>
      <c r="HI60" s="782"/>
      <c r="HJ60" s="782"/>
      <c r="HK60" s="782"/>
      <c r="HL60" s="782"/>
      <c r="HM60" s="782"/>
      <c r="HN60" s="782"/>
      <c r="HO60" s="782"/>
      <c r="HP60" s="782"/>
      <c r="HQ60" s="782"/>
      <c r="HR60" s="782"/>
      <c r="HS60" s="782"/>
      <c r="HT60" s="782"/>
      <c r="HU60" s="782"/>
      <c r="HV60" s="782"/>
      <c r="HW60" s="782"/>
      <c r="HX60" s="782"/>
      <c r="HY60" s="782"/>
      <c r="HZ60" s="782"/>
      <c r="IA60" s="782"/>
      <c r="IB60" s="782"/>
      <c r="IC60" s="782"/>
      <c r="ID60" s="782"/>
      <c r="IE60" s="782"/>
      <c r="IF60" s="782"/>
      <c r="IG60" s="782"/>
      <c r="IH60" s="782"/>
      <c r="II60" s="782"/>
      <c r="IJ60" s="782"/>
      <c r="IK60" s="782"/>
      <c r="IL60" s="782"/>
      <c r="IM60" s="782"/>
      <c r="IN60" s="782"/>
      <c r="IO60" s="782"/>
      <c r="IP60" s="782"/>
      <c r="IQ60" s="782"/>
      <c r="IR60" s="782"/>
      <c r="IS60" s="782"/>
      <c r="IT60" s="782"/>
      <c r="IU60" s="782"/>
      <c r="IV60" s="782"/>
      <c r="IW60" s="782"/>
      <c r="IX60" s="782"/>
      <c r="IY60" s="782"/>
      <c r="IZ60" s="782"/>
      <c r="JA60" s="782"/>
      <c r="JB60" s="782"/>
      <c r="JC60" s="782"/>
      <c r="JD60" s="782"/>
      <c r="JE60" s="782"/>
      <c r="JF60" s="782"/>
      <c r="JG60" s="782"/>
      <c r="JH60" s="782"/>
      <c r="JI60" s="782"/>
      <c r="JJ60" s="782"/>
      <c r="JK60" s="782"/>
      <c r="JL60" s="782"/>
      <c r="JM60" s="782"/>
      <c r="JN60" s="782"/>
      <c r="JO60" s="782"/>
      <c r="JP60" s="782"/>
      <c r="JQ60" s="782"/>
      <c r="JR60" s="782"/>
      <c r="JS60" s="782"/>
      <c r="JT60" s="782"/>
      <c r="JU60" s="782"/>
      <c r="JV60" s="782"/>
      <c r="JW60" s="782"/>
      <c r="JX60" s="782"/>
      <c r="JY60" s="782"/>
      <c r="JZ60" s="782"/>
      <c r="KA60" s="782"/>
      <c r="KB60" s="782"/>
      <c r="KC60" s="782"/>
      <c r="KD60" s="782"/>
      <c r="KE60" s="782"/>
      <c r="KF60" s="782"/>
      <c r="KG60" s="782"/>
      <c r="KH60" s="782"/>
      <c r="KI60" s="782"/>
      <c r="KJ60" s="782"/>
      <c r="KK60" s="782"/>
      <c r="KL60" s="782"/>
      <c r="KM60" s="782"/>
      <c r="KN60" s="782"/>
      <c r="KO60" s="782"/>
      <c r="KP60" s="782"/>
      <c r="KQ60" s="782"/>
      <c r="KR60" s="782"/>
      <c r="KS60" s="782"/>
      <c r="KT60" s="782"/>
      <c r="KU60" s="782"/>
      <c r="KV60" s="782"/>
      <c r="KW60" s="782"/>
      <c r="KX60" s="782"/>
      <c r="KY60" s="782"/>
      <c r="KZ60" s="782"/>
      <c r="LA60" s="782"/>
      <c r="LB60" s="782"/>
      <c r="LC60" s="782"/>
      <c r="LD60" s="782"/>
      <c r="LE60" s="782"/>
      <c r="LF60" s="782"/>
      <c r="LG60" s="782"/>
      <c r="LH60" s="782"/>
      <c r="LI60" s="782"/>
      <c r="LJ60" s="782"/>
      <c r="LK60" s="782"/>
      <c r="LL60" s="782"/>
      <c r="LM60" s="782"/>
      <c r="LN60" s="782"/>
      <c r="LO60" s="782"/>
      <c r="LP60" s="782"/>
      <c r="LQ60" s="782"/>
      <c r="LR60" s="782"/>
      <c r="LS60" s="782"/>
      <c r="LT60" s="782"/>
      <c r="LU60" s="782"/>
      <c r="LV60" s="782"/>
      <c r="LW60" s="782"/>
      <c r="LX60" s="782"/>
      <c r="LY60" s="782"/>
      <c r="LZ60" s="782"/>
      <c r="MA60" s="782"/>
      <c r="MB60" s="782"/>
      <c r="MC60" s="782"/>
      <c r="MD60" s="782"/>
      <c r="ME60" s="782"/>
      <c r="MF60" s="782"/>
      <c r="MG60" s="782"/>
      <c r="MH60" s="782"/>
      <c r="MI60" s="782"/>
      <c r="MJ60" s="782"/>
      <c r="MK60" s="782"/>
      <c r="ML60" s="782"/>
      <c r="MM60" s="782"/>
      <c r="MN60" s="782"/>
      <c r="MO60" s="782"/>
      <c r="MP60" s="782"/>
      <c r="MQ60" s="782"/>
      <c r="MR60" s="782"/>
      <c r="MS60" s="782"/>
      <c r="MT60" s="782"/>
      <c r="MU60" s="782"/>
      <c r="MV60" s="782"/>
      <c r="MW60" s="782"/>
      <c r="MX60" s="782"/>
      <c r="MY60" s="782"/>
      <c r="MZ60" s="782"/>
      <c r="NA60" s="782"/>
      <c r="NB60" s="782"/>
      <c r="NC60" s="782"/>
      <c r="ND60" s="782"/>
      <c r="NE60" s="782"/>
      <c r="NF60" s="782"/>
      <c r="NG60" s="782"/>
      <c r="NH60" s="782"/>
      <c r="NI60" s="782"/>
      <c r="NJ60" s="782"/>
      <c r="NK60" s="782"/>
      <c r="NL60" s="782"/>
      <c r="NM60" s="782"/>
      <c r="NN60" s="782"/>
      <c r="NO60" s="782"/>
      <c r="NP60" s="782"/>
      <c r="NQ60" s="782"/>
      <c r="NR60" s="782"/>
      <c r="NS60" s="782"/>
      <c r="NT60" s="782"/>
      <c r="NU60" s="782"/>
      <c r="NV60" s="782"/>
      <c r="NW60" s="782"/>
      <c r="NX60" s="782"/>
      <c r="NY60" s="782"/>
      <c r="NZ60" s="782"/>
      <c r="OA60" s="782"/>
      <c r="OB60" s="782"/>
      <c r="OC60" s="782"/>
      <c r="OD60" s="782"/>
      <c r="OE60" s="782"/>
      <c r="OF60" s="782"/>
      <c r="OG60" s="782"/>
      <c r="OH60" s="782"/>
      <c r="OI60" s="782"/>
      <c r="OJ60" s="782"/>
      <c r="OK60" s="782"/>
      <c r="OL60" s="782"/>
      <c r="OM60" s="782"/>
      <c r="ON60" s="782"/>
      <c r="OO60" s="782"/>
      <c r="OP60" s="782"/>
      <c r="OQ60" s="782"/>
      <c r="OR60" s="782"/>
      <c r="OS60" s="782"/>
      <c r="OT60" s="782"/>
      <c r="OU60" s="782"/>
      <c r="OV60" s="782"/>
      <c r="OW60" s="782"/>
      <c r="OX60" s="782"/>
      <c r="OY60" s="782"/>
      <c r="OZ60" s="782"/>
      <c r="PA60" s="782"/>
      <c r="PB60" s="782"/>
      <c r="PC60" s="782"/>
      <c r="PD60" s="782"/>
      <c r="PE60" s="782"/>
      <c r="PF60" s="782"/>
      <c r="PG60" s="782"/>
      <c r="PH60" s="782"/>
      <c r="PI60" s="782"/>
      <c r="PJ60" s="782"/>
      <c r="PK60" s="782"/>
      <c r="PL60" s="782"/>
      <c r="PM60" s="782"/>
      <c r="PN60" s="782"/>
      <c r="PO60" s="782"/>
      <c r="PP60" s="782"/>
      <c r="PQ60" s="782"/>
      <c r="PR60" s="782"/>
      <c r="PS60" s="782"/>
      <c r="PT60" s="782"/>
      <c r="PU60" s="782"/>
      <c r="PV60" s="782"/>
      <c r="PW60" s="782"/>
      <c r="PX60" s="782"/>
      <c r="PY60" s="782"/>
      <c r="PZ60" s="782"/>
      <c r="QA60" s="782"/>
      <c r="QB60" s="782"/>
      <c r="QC60" s="782"/>
      <c r="QD60" s="782"/>
      <c r="QE60" s="782"/>
      <c r="QF60" s="782"/>
      <c r="QG60" s="782"/>
      <c r="QH60" s="782"/>
      <c r="QI60" s="782"/>
      <c r="QJ60" s="782"/>
      <c r="QK60" s="782"/>
      <c r="QL60" s="782"/>
      <c r="QM60" s="782"/>
      <c r="QN60" s="782"/>
      <c r="QO60" s="782"/>
      <c r="QP60" s="782"/>
      <c r="QQ60" s="782"/>
      <c r="QR60" s="782"/>
      <c r="QS60" s="782"/>
      <c r="QT60" s="782"/>
      <c r="QU60" s="782"/>
      <c r="QV60" s="782"/>
      <c r="QW60" s="782"/>
      <c r="QX60" s="782"/>
      <c r="QY60" s="782"/>
      <c r="QZ60" s="782"/>
      <c r="RA60" s="782"/>
      <c r="RB60" s="782"/>
      <c r="RC60" s="782"/>
      <c r="RD60" s="782"/>
      <c r="RE60" s="782"/>
      <c r="RF60" s="782"/>
      <c r="RG60" s="782"/>
      <c r="RH60" s="782"/>
      <c r="RI60" s="782"/>
      <c r="RJ60" s="782"/>
      <c r="RK60" s="782"/>
      <c r="RL60" s="782"/>
      <c r="RM60" s="782"/>
      <c r="RN60" s="782"/>
      <c r="RO60" s="782"/>
      <c r="RP60" s="782"/>
      <c r="RQ60" s="782"/>
      <c r="RR60" s="782"/>
      <c r="RS60" s="782"/>
      <c r="RT60" s="782"/>
      <c r="RU60" s="782"/>
      <c r="RV60" s="782"/>
      <c r="RW60" s="782"/>
      <c r="RX60" s="782"/>
    </row>
    <row r="61" spans="1:492" s="143" customFormat="1">
      <c r="A61" s="782"/>
      <c r="B61" s="782"/>
      <c r="C61" s="782"/>
      <c r="D61" s="782"/>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5"/>
      <c r="AN61" s="785"/>
      <c r="AO61" s="785"/>
      <c r="AP61" s="785"/>
      <c r="AQ61" s="785"/>
      <c r="AR61" s="785"/>
      <c r="AS61" s="785"/>
      <c r="AT61" s="785"/>
      <c r="AU61" s="785"/>
      <c r="AV61" s="785"/>
      <c r="AW61" s="785"/>
      <c r="AX61" s="785"/>
      <c r="AY61" s="785"/>
      <c r="AZ61" s="785"/>
      <c r="BA61" s="785"/>
      <c r="BB61" s="785"/>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785"/>
      <c r="BZ61" s="785"/>
      <c r="CA61" s="782"/>
      <c r="CB61" s="782"/>
      <c r="CC61" s="782"/>
      <c r="CD61" s="782"/>
      <c r="CE61" s="782"/>
      <c r="CF61" s="782"/>
      <c r="CG61" s="782"/>
      <c r="CH61" s="782"/>
      <c r="CI61" s="782"/>
      <c r="CJ61" s="782"/>
      <c r="CK61" s="782"/>
      <c r="CL61" s="782"/>
      <c r="CM61" s="782"/>
      <c r="CN61" s="782"/>
      <c r="CO61" s="782"/>
      <c r="CP61" s="782"/>
      <c r="CQ61" s="782"/>
      <c r="CR61" s="782"/>
      <c r="CS61" s="782"/>
      <c r="CT61" s="782"/>
      <c r="CU61" s="782"/>
      <c r="CV61" s="782"/>
      <c r="CW61" s="782"/>
      <c r="CX61" s="782"/>
      <c r="CY61" s="782"/>
      <c r="CZ61" s="782"/>
      <c r="DA61" s="782"/>
      <c r="DB61" s="782"/>
      <c r="DC61" s="782"/>
      <c r="DD61" s="782"/>
      <c r="DE61" s="782"/>
      <c r="DF61" s="782"/>
      <c r="DG61" s="782"/>
      <c r="DH61" s="782"/>
      <c r="DI61" s="782"/>
      <c r="DJ61" s="782"/>
      <c r="DK61" s="782"/>
      <c r="DL61" s="782"/>
      <c r="DM61" s="782"/>
      <c r="DN61" s="782"/>
      <c r="DO61" s="782"/>
      <c r="DP61" s="782"/>
      <c r="DQ61" s="782"/>
      <c r="DR61" s="782"/>
      <c r="DS61" s="782"/>
      <c r="DT61" s="782"/>
      <c r="DU61" s="782"/>
      <c r="DV61" s="782"/>
      <c r="DW61" s="782"/>
      <c r="DX61" s="782"/>
      <c r="DY61" s="782"/>
      <c r="DZ61" s="782"/>
      <c r="EA61" s="782"/>
      <c r="EB61" s="782"/>
      <c r="EC61" s="782"/>
      <c r="ED61" s="782"/>
      <c r="EE61" s="782"/>
      <c r="EF61" s="782"/>
      <c r="EG61" s="782"/>
      <c r="EH61" s="782"/>
      <c r="EI61" s="782"/>
      <c r="EJ61" s="782"/>
      <c r="EK61" s="782"/>
      <c r="EL61" s="782"/>
      <c r="EM61" s="782"/>
      <c r="EN61" s="782"/>
      <c r="EO61" s="782"/>
      <c r="EP61" s="782"/>
      <c r="EQ61" s="782"/>
      <c r="ER61" s="782"/>
      <c r="ES61" s="782"/>
      <c r="ET61" s="782"/>
      <c r="EU61" s="782"/>
      <c r="EV61" s="782"/>
      <c r="EW61" s="782"/>
      <c r="EX61" s="782"/>
      <c r="EY61" s="782"/>
      <c r="EZ61" s="782"/>
      <c r="FA61" s="782"/>
      <c r="FB61" s="782"/>
      <c r="FC61" s="782"/>
      <c r="FD61" s="782"/>
      <c r="FE61" s="782"/>
      <c r="FF61" s="782"/>
      <c r="FG61" s="782"/>
      <c r="FH61" s="782"/>
      <c r="FI61" s="782"/>
      <c r="FJ61" s="782"/>
      <c r="FK61" s="782"/>
      <c r="FL61" s="782"/>
      <c r="FM61" s="782"/>
      <c r="FN61" s="782"/>
      <c r="FO61" s="782"/>
      <c r="FP61" s="782"/>
      <c r="FQ61" s="782"/>
      <c r="FR61" s="782"/>
      <c r="FS61" s="782"/>
      <c r="FT61" s="782"/>
      <c r="FU61" s="782"/>
      <c r="FV61" s="782"/>
      <c r="FW61" s="782"/>
      <c r="FX61" s="782"/>
      <c r="FY61" s="782"/>
      <c r="FZ61" s="782"/>
      <c r="GA61" s="782"/>
      <c r="GB61" s="782"/>
      <c r="GC61" s="782"/>
      <c r="GD61" s="782"/>
      <c r="GE61" s="782"/>
      <c r="GF61" s="782"/>
      <c r="GG61" s="782"/>
      <c r="GH61" s="782"/>
      <c r="GI61" s="782"/>
      <c r="GJ61" s="782"/>
      <c r="GK61" s="782"/>
      <c r="GL61" s="782"/>
      <c r="GM61" s="782"/>
      <c r="GN61" s="782"/>
      <c r="GO61" s="782"/>
      <c r="GP61" s="782"/>
      <c r="GQ61" s="782"/>
      <c r="GR61" s="782"/>
      <c r="GS61" s="782"/>
      <c r="GT61" s="782"/>
      <c r="GU61" s="782"/>
      <c r="GV61" s="782"/>
      <c r="GW61" s="782"/>
      <c r="GX61" s="782"/>
      <c r="GY61" s="782"/>
      <c r="GZ61" s="782"/>
      <c r="HA61" s="782"/>
      <c r="HB61" s="782"/>
      <c r="HC61" s="782"/>
      <c r="HD61" s="782"/>
      <c r="HE61" s="782"/>
      <c r="HF61" s="782"/>
      <c r="HG61" s="782"/>
      <c r="HH61" s="782"/>
      <c r="HI61" s="782"/>
      <c r="HJ61" s="782"/>
      <c r="HK61" s="782"/>
      <c r="HL61" s="782"/>
      <c r="HM61" s="782"/>
      <c r="HN61" s="782"/>
      <c r="HO61" s="782"/>
      <c r="HP61" s="782"/>
      <c r="HQ61" s="782"/>
      <c r="HR61" s="782"/>
      <c r="HS61" s="782"/>
      <c r="HT61" s="782"/>
      <c r="HU61" s="782"/>
      <c r="HV61" s="782"/>
      <c r="HW61" s="782"/>
      <c r="HX61" s="782"/>
      <c r="HY61" s="782"/>
      <c r="HZ61" s="782"/>
      <c r="IA61" s="782"/>
      <c r="IB61" s="782"/>
      <c r="IC61" s="782"/>
      <c r="ID61" s="782"/>
      <c r="IE61" s="782"/>
      <c r="IF61" s="782"/>
      <c r="IG61" s="782"/>
      <c r="IH61" s="782"/>
      <c r="II61" s="782"/>
      <c r="IJ61" s="782"/>
      <c r="IK61" s="782"/>
      <c r="IL61" s="782"/>
      <c r="IM61" s="782"/>
      <c r="IN61" s="782"/>
      <c r="IO61" s="782"/>
      <c r="IP61" s="782"/>
      <c r="IQ61" s="782"/>
      <c r="IR61" s="782"/>
      <c r="IS61" s="782"/>
      <c r="IT61" s="782"/>
      <c r="IU61" s="782"/>
      <c r="IV61" s="782"/>
      <c r="IW61" s="782"/>
      <c r="IX61" s="782"/>
      <c r="IY61" s="782"/>
      <c r="IZ61" s="782"/>
      <c r="JA61" s="782"/>
      <c r="JB61" s="782"/>
      <c r="JC61" s="782"/>
      <c r="JD61" s="782"/>
      <c r="JE61" s="782"/>
      <c r="JF61" s="782"/>
      <c r="JG61" s="782"/>
      <c r="JH61" s="782"/>
      <c r="JI61" s="782"/>
      <c r="JJ61" s="782"/>
      <c r="JK61" s="782"/>
      <c r="JL61" s="782"/>
      <c r="JM61" s="782"/>
      <c r="JN61" s="782"/>
      <c r="JO61" s="782"/>
      <c r="JP61" s="782"/>
      <c r="JQ61" s="782"/>
      <c r="JR61" s="782"/>
      <c r="JS61" s="782"/>
      <c r="JT61" s="782"/>
      <c r="JU61" s="782"/>
      <c r="JV61" s="782"/>
      <c r="JW61" s="782"/>
      <c r="JX61" s="782"/>
      <c r="JY61" s="782"/>
      <c r="JZ61" s="782"/>
      <c r="KA61" s="782"/>
      <c r="KB61" s="782"/>
      <c r="KC61" s="782"/>
      <c r="KD61" s="782"/>
      <c r="KE61" s="782"/>
      <c r="KF61" s="782"/>
      <c r="KG61" s="782"/>
      <c r="KH61" s="782"/>
      <c r="KI61" s="782"/>
      <c r="KJ61" s="782"/>
      <c r="KK61" s="782"/>
      <c r="KL61" s="782"/>
      <c r="KM61" s="782"/>
      <c r="KN61" s="782"/>
      <c r="KO61" s="782"/>
      <c r="KP61" s="782"/>
      <c r="KQ61" s="782"/>
      <c r="KR61" s="782"/>
      <c r="KS61" s="782"/>
      <c r="KT61" s="782"/>
      <c r="KU61" s="782"/>
      <c r="KV61" s="782"/>
      <c r="KW61" s="782"/>
      <c r="KX61" s="782"/>
      <c r="KY61" s="782"/>
      <c r="KZ61" s="782"/>
      <c r="LA61" s="782"/>
      <c r="LB61" s="782"/>
      <c r="LC61" s="782"/>
      <c r="LD61" s="782"/>
      <c r="LE61" s="782"/>
      <c r="LF61" s="782"/>
      <c r="LG61" s="782"/>
      <c r="LH61" s="782"/>
      <c r="LI61" s="782"/>
      <c r="LJ61" s="782"/>
      <c r="LK61" s="782"/>
      <c r="LL61" s="782"/>
      <c r="LM61" s="782"/>
      <c r="LN61" s="782"/>
      <c r="LO61" s="782"/>
      <c r="LP61" s="782"/>
      <c r="LQ61" s="782"/>
      <c r="LR61" s="782"/>
      <c r="LS61" s="782"/>
      <c r="LT61" s="782"/>
      <c r="LU61" s="782"/>
      <c r="LV61" s="782"/>
      <c r="LW61" s="782"/>
      <c r="LX61" s="782"/>
      <c r="LY61" s="782"/>
      <c r="LZ61" s="782"/>
      <c r="MA61" s="782"/>
      <c r="MB61" s="782"/>
      <c r="MC61" s="782"/>
      <c r="MD61" s="782"/>
      <c r="ME61" s="782"/>
      <c r="MF61" s="782"/>
      <c r="MG61" s="782"/>
      <c r="MH61" s="782"/>
      <c r="MI61" s="782"/>
      <c r="MJ61" s="782"/>
      <c r="MK61" s="782"/>
      <c r="ML61" s="782"/>
      <c r="MM61" s="782"/>
      <c r="MN61" s="782"/>
      <c r="MO61" s="782"/>
      <c r="MP61" s="782"/>
      <c r="MQ61" s="782"/>
      <c r="MR61" s="782"/>
      <c r="MS61" s="782"/>
      <c r="MT61" s="782"/>
      <c r="MU61" s="782"/>
      <c r="MV61" s="782"/>
      <c r="MW61" s="782"/>
      <c r="MX61" s="782"/>
      <c r="MY61" s="782"/>
      <c r="MZ61" s="782"/>
      <c r="NA61" s="782"/>
      <c r="NB61" s="782"/>
      <c r="NC61" s="782"/>
      <c r="ND61" s="782"/>
      <c r="NE61" s="782"/>
      <c r="NF61" s="782"/>
      <c r="NG61" s="782"/>
      <c r="NH61" s="782"/>
      <c r="NI61" s="782"/>
      <c r="NJ61" s="782"/>
      <c r="NK61" s="782"/>
      <c r="NL61" s="782"/>
      <c r="NM61" s="782"/>
      <c r="NN61" s="782"/>
      <c r="NO61" s="782"/>
      <c r="NP61" s="782"/>
      <c r="NQ61" s="782"/>
      <c r="NR61" s="782"/>
      <c r="NS61" s="782"/>
      <c r="NT61" s="782"/>
      <c r="NU61" s="782"/>
      <c r="NV61" s="782"/>
      <c r="NW61" s="782"/>
      <c r="NX61" s="782"/>
      <c r="NY61" s="782"/>
      <c r="NZ61" s="782"/>
      <c r="OA61" s="782"/>
      <c r="OB61" s="782"/>
      <c r="OC61" s="782"/>
      <c r="OD61" s="782"/>
      <c r="OE61" s="782"/>
      <c r="OF61" s="782"/>
      <c r="OG61" s="782"/>
      <c r="OH61" s="782"/>
      <c r="OI61" s="782"/>
      <c r="OJ61" s="782"/>
      <c r="OK61" s="782"/>
      <c r="OL61" s="782"/>
      <c r="OM61" s="782"/>
      <c r="ON61" s="782"/>
      <c r="OO61" s="782"/>
      <c r="OP61" s="782"/>
      <c r="OQ61" s="782"/>
      <c r="OR61" s="782"/>
      <c r="OS61" s="782"/>
      <c r="OT61" s="782"/>
      <c r="OU61" s="782"/>
      <c r="OV61" s="782"/>
      <c r="OW61" s="782"/>
      <c r="OX61" s="782"/>
      <c r="OY61" s="782"/>
      <c r="OZ61" s="782"/>
      <c r="PA61" s="782"/>
      <c r="PB61" s="782"/>
      <c r="PC61" s="782"/>
      <c r="PD61" s="782"/>
      <c r="PE61" s="782"/>
      <c r="PF61" s="782"/>
      <c r="PG61" s="782"/>
      <c r="PH61" s="782"/>
      <c r="PI61" s="782"/>
      <c r="PJ61" s="782"/>
      <c r="PK61" s="782"/>
      <c r="PL61" s="782"/>
      <c r="PM61" s="782"/>
      <c r="PN61" s="782"/>
      <c r="PO61" s="782"/>
      <c r="PP61" s="782"/>
      <c r="PQ61" s="782"/>
      <c r="PR61" s="782"/>
      <c r="PS61" s="782"/>
      <c r="PT61" s="782"/>
      <c r="PU61" s="782"/>
      <c r="PV61" s="782"/>
      <c r="PW61" s="782"/>
      <c r="PX61" s="782"/>
      <c r="PY61" s="782"/>
      <c r="PZ61" s="782"/>
      <c r="QA61" s="782"/>
      <c r="QB61" s="782"/>
      <c r="QC61" s="782"/>
      <c r="QD61" s="782"/>
      <c r="QE61" s="782"/>
      <c r="QF61" s="782"/>
      <c r="QG61" s="782"/>
      <c r="QH61" s="782"/>
      <c r="QI61" s="782"/>
      <c r="QJ61" s="782"/>
      <c r="QK61" s="782"/>
      <c r="QL61" s="782"/>
      <c r="QM61" s="782"/>
      <c r="QN61" s="782"/>
      <c r="QO61" s="782"/>
      <c r="QP61" s="782"/>
      <c r="QQ61" s="782"/>
      <c r="QR61" s="782"/>
      <c r="QS61" s="782"/>
      <c r="QT61" s="782"/>
      <c r="QU61" s="782"/>
      <c r="QV61" s="782"/>
      <c r="QW61" s="782"/>
      <c r="QX61" s="782"/>
      <c r="QY61" s="782"/>
      <c r="QZ61" s="782"/>
      <c r="RA61" s="782"/>
      <c r="RB61" s="782"/>
      <c r="RC61" s="782"/>
      <c r="RD61" s="782"/>
      <c r="RE61" s="782"/>
      <c r="RF61" s="782"/>
      <c r="RG61" s="782"/>
      <c r="RH61" s="782"/>
      <c r="RI61" s="782"/>
      <c r="RJ61" s="782"/>
      <c r="RK61" s="782"/>
      <c r="RL61" s="782"/>
      <c r="RM61" s="782"/>
      <c r="RN61" s="782"/>
      <c r="RO61" s="782"/>
      <c r="RP61" s="782"/>
      <c r="RQ61" s="782"/>
      <c r="RR61" s="782"/>
      <c r="RS61" s="782"/>
      <c r="RT61" s="782"/>
      <c r="RU61" s="782"/>
      <c r="RV61" s="782"/>
      <c r="RW61" s="782"/>
      <c r="RX61" s="782"/>
    </row>
    <row r="62" spans="1:492" s="143" customFormat="1">
      <c r="A62" s="782"/>
      <c r="B62" s="782"/>
      <c r="C62" s="782"/>
      <c r="D62" s="782"/>
      <c r="E62" s="782"/>
      <c r="F62" s="782"/>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c r="AE62" s="782"/>
      <c r="AF62" s="782"/>
      <c r="AG62" s="782"/>
      <c r="AH62" s="782"/>
      <c r="AI62" s="782"/>
      <c r="AJ62" s="782"/>
      <c r="AK62" s="782"/>
      <c r="AL62" s="782"/>
      <c r="AM62" s="785"/>
      <c r="AN62" s="785"/>
      <c r="AO62" s="785"/>
      <c r="AP62" s="785"/>
      <c r="AQ62" s="785"/>
      <c r="AR62" s="785"/>
      <c r="AS62" s="785"/>
      <c r="AT62" s="785"/>
      <c r="AU62" s="785"/>
      <c r="AV62" s="785"/>
      <c r="AW62" s="785"/>
      <c r="AX62" s="785"/>
      <c r="AY62" s="785"/>
      <c r="AZ62" s="785"/>
      <c r="BA62" s="785"/>
      <c r="BB62" s="785"/>
      <c r="BC62" s="785"/>
      <c r="BD62" s="785"/>
      <c r="BE62" s="785"/>
      <c r="BF62" s="785"/>
      <c r="BG62" s="785"/>
      <c r="BH62" s="785"/>
      <c r="BI62" s="785"/>
      <c r="BJ62" s="785"/>
      <c r="BK62" s="785"/>
      <c r="BL62" s="785"/>
      <c r="BM62" s="785"/>
      <c r="BN62" s="785"/>
      <c r="BO62" s="785"/>
      <c r="BP62" s="785"/>
      <c r="BQ62" s="785"/>
      <c r="BR62" s="785"/>
      <c r="BS62" s="785"/>
      <c r="BT62" s="785"/>
      <c r="BU62" s="785"/>
      <c r="BV62" s="785"/>
      <c r="BW62" s="785"/>
      <c r="BX62" s="785"/>
      <c r="BY62" s="785"/>
      <c r="BZ62" s="785"/>
      <c r="CA62" s="782"/>
      <c r="CB62" s="782"/>
      <c r="CC62" s="782"/>
      <c r="CD62" s="782"/>
      <c r="CE62" s="782"/>
      <c r="CF62" s="782"/>
      <c r="CG62" s="782"/>
      <c r="CH62" s="782"/>
      <c r="CI62" s="782"/>
      <c r="CJ62" s="782"/>
      <c r="CK62" s="782"/>
      <c r="CL62" s="782"/>
      <c r="CM62" s="782"/>
      <c r="CN62" s="782"/>
      <c r="CO62" s="782"/>
      <c r="CP62" s="782"/>
      <c r="CQ62" s="782"/>
      <c r="CR62" s="782"/>
      <c r="CS62" s="782"/>
      <c r="CT62" s="782"/>
      <c r="CU62" s="782"/>
      <c r="CV62" s="782"/>
      <c r="CW62" s="782"/>
      <c r="CX62" s="782"/>
      <c r="CY62" s="782"/>
      <c r="CZ62" s="782"/>
      <c r="DA62" s="782"/>
      <c r="DB62" s="782"/>
      <c r="DC62" s="782"/>
      <c r="DD62" s="782"/>
      <c r="DE62" s="782"/>
      <c r="DF62" s="782"/>
      <c r="DG62" s="782"/>
      <c r="DH62" s="782"/>
      <c r="DI62" s="782"/>
      <c r="DJ62" s="782"/>
      <c r="DK62" s="782"/>
      <c r="DL62" s="782"/>
      <c r="DM62" s="782"/>
      <c r="DN62" s="782"/>
      <c r="DO62" s="782"/>
      <c r="DP62" s="782"/>
      <c r="DQ62" s="782"/>
      <c r="DR62" s="782"/>
      <c r="DS62" s="782"/>
      <c r="DT62" s="782"/>
      <c r="DU62" s="782"/>
      <c r="DV62" s="782"/>
      <c r="DW62" s="782"/>
      <c r="DX62" s="782"/>
      <c r="DY62" s="782"/>
      <c r="DZ62" s="782"/>
      <c r="EA62" s="782"/>
      <c r="EB62" s="782"/>
      <c r="EC62" s="782"/>
      <c r="ED62" s="782"/>
      <c r="EE62" s="782"/>
      <c r="EF62" s="782"/>
      <c r="EG62" s="782"/>
      <c r="EH62" s="782"/>
      <c r="EI62" s="782"/>
      <c r="EJ62" s="782"/>
      <c r="EK62" s="782"/>
      <c r="EL62" s="782"/>
      <c r="EM62" s="782"/>
      <c r="EN62" s="782"/>
      <c r="EO62" s="782"/>
      <c r="EP62" s="782"/>
      <c r="EQ62" s="782"/>
      <c r="ER62" s="782"/>
      <c r="ES62" s="782"/>
      <c r="ET62" s="782"/>
      <c r="EU62" s="782"/>
      <c r="EV62" s="782"/>
      <c r="EW62" s="782"/>
      <c r="EX62" s="782"/>
      <c r="EY62" s="782"/>
      <c r="EZ62" s="782"/>
      <c r="FA62" s="782"/>
      <c r="FB62" s="782"/>
      <c r="FC62" s="782"/>
      <c r="FD62" s="782"/>
      <c r="FE62" s="782"/>
      <c r="FF62" s="782"/>
      <c r="FG62" s="782"/>
      <c r="FH62" s="782"/>
      <c r="FI62" s="782"/>
      <c r="FJ62" s="782"/>
      <c r="FK62" s="782"/>
      <c r="FL62" s="782"/>
      <c r="FM62" s="782"/>
      <c r="FN62" s="782"/>
      <c r="FO62" s="782"/>
      <c r="FP62" s="782"/>
      <c r="FQ62" s="782"/>
      <c r="FR62" s="782"/>
      <c r="FS62" s="782"/>
      <c r="FT62" s="782"/>
      <c r="FU62" s="782"/>
      <c r="FV62" s="782"/>
      <c r="FW62" s="782"/>
      <c r="FX62" s="782"/>
      <c r="FY62" s="782"/>
      <c r="FZ62" s="782"/>
      <c r="GA62" s="782"/>
      <c r="GB62" s="782"/>
      <c r="GC62" s="782"/>
      <c r="GD62" s="782"/>
      <c r="GE62" s="782"/>
      <c r="GF62" s="782"/>
      <c r="GG62" s="782"/>
      <c r="GH62" s="782"/>
      <c r="GI62" s="782"/>
      <c r="GJ62" s="782"/>
      <c r="GK62" s="782"/>
      <c r="GL62" s="782"/>
      <c r="GM62" s="782"/>
      <c r="GN62" s="782"/>
      <c r="GO62" s="782"/>
      <c r="GP62" s="782"/>
      <c r="GQ62" s="782"/>
      <c r="GR62" s="782"/>
      <c r="GS62" s="782"/>
      <c r="GT62" s="782"/>
      <c r="GU62" s="782"/>
      <c r="GV62" s="782"/>
      <c r="GW62" s="782"/>
      <c r="GX62" s="782"/>
      <c r="GY62" s="782"/>
      <c r="GZ62" s="782"/>
      <c r="HA62" s="782"/>
      <c r="HB62" s="782"/>
      <c r="HC62" s="782"/>
      <c r="HD62" s="782"/>
      <c r="HE62" s="782"/>
      <c r="HF62" s="782"/>
      <c r="HG62" s="782"/>
      <c r="HH62" s="782"/>
      <c r="HI62" s="782"/>
      <c r="HJ62" s="782"/>
      <c r="HK62" s="782"/>
      <c r="HL62" s="782"/>
      <c r="HM62" s="782"/>
      <c r="HN62" s="782"/>
      <c r="HO62" s="782"/>
      <c r="HP62" s="782"/>
      <c r="HQ62" s="782"/>
      <c r="HR62" s="782"/>
      <c r="HS62" s="782"/>
      <c r="HT62" s="782"/>
      <c r="HU62" s="782"/>
      <c r="HV62" s="782"/>
      <c r="HW62" s="782"/>
      <c r="HX62" s="782"/>
      <c r="HY62" s="782"/>
      <c r="HZ62" s="782"/>
      <c r="IA62" s="782"/>
      <c r="IB62" s="782"/>
      <c r="IC62" s="782"/>
      <c r="ID62" s="782"/>
      <c r="IE62" s="782"/>
      <c r="IF62" s="782"/>
      <c r="IG62" s="782"/>
      <c r="IH62" s="782"/>
      <c r="II62" s="782"/>
      <c r="IJ62" s="782"/>
      <c r="IK62" s="782"/>
      <c r="IL62" s="782"/>
      <c r="IM62" s="782"/>
      <c r="IN62" s="782"/>
      <c r="IO62" s="782"/>
      <c r="IP62" s="782"/>
      <c r="IQ62" s="782"/>
      <c r="IR62" s="782"/>
      <c r="IS62" s="782"/>
      <c r="IT62" s="782"/>
      <c r="IU62" s="782"/>
      <c r="IV62" s="782"/>
      <c r="IW62" s="782"/>
      <c r="IX62" s="782"/>
      <c r="IY62" s="782"/>
      <c r="IZ62" s="782"/>
      <c r="JA62" s="782"/>
      <c r="JB62" s="782"/>
      <c r="JC62" s="782"/>
      <c r="JD62" s="782"/>
      <c r="JE62" s="782"/>
      <c r="JF62" s="782"/>
      <c r="JG62" s="782"/>
      <c r="JH62" s="782"/>
      <c r="JI62" s="782"/>
      <c r="JJ62" s="782"/>
      <c r="JK62" s="782"/>
      <c r="JL62" s="782"/>
      <c r="JM62" s="782"/>
      <c r="JN62" s="782"/>
      <c r="JO62" s="782"/>
      <c r="JP62" s="782"/>
      <c r="JQ62" s="782"/>
      <c r="JR62" s="782"/>
      <c r="JS62" s="782"/>
      <c r="JT62" s="782"/>
      <c r="JU62" s="782"/>
      <c r="JV62" s="782"/>
      <c r="JW62" s="782"/>
      <c r="JX62" s="782"/>
      <c r="JY62" s="782"/>
      <c r="JZ62" s="782"/>
      <c r="KA62" s="782"/>
      <c r="KB62" s="782"/>
      <c r="KC62" s="782"/>
      <c r="KD62" s="782"/>
      <c r="KE62" s="782"/>
      <c r="KF62" s="782"/>
      <c r="KG62" s="782"/>
      <c r="KH62" s="782"/>
      <c r="KI62" s="782"/>
      <c r="KJ62" s="782"/>
      <c r="KK62" s="782"/>
      <c r="KL62" s="782"/>
      <c r="KM62" s="782"/>
      <c r="KN62" s="782"/>
      <c r="KO62" s="782"/>
      <c r="KP62" s="782"/>
      <c r="KQ62" s="782"/>
      <c r="KR62" s="782"/>
      <c r="KS62" s="782"/>
      <c r="KT62" s="782"/>
      <c r="KU62" s="782"/>
      <c r="KV62" s="782"/>
      <c r="KW62" s="782"/>
      <c r="KX62" s="782"/>
      <c r="KY62" s="782"/>
      <c r="KZ62" s="782"/>
      <c r="LA62" s="782"/>
      <c r="LB62" s="782"/>
      <c r="LC62" s="782"/>
      <c r="LD62" s="782"/>
      <c r="LE62" s="782"/>
      <c r="LF62" s="782"/>
      <c r="LG62" s="782"/>
      <c r="LH62" s="782"/>
      <c r="LI62" s="782"/>
      <c r="LJ62" s="782"/>
      <c r="LK62" s="782"/>
      <c r="LL62" s="782"/>
      <c r="LM62" s="782"/>
      <c r="LN62" s="782"/>
      <c r="LO62" s="782"/>
      <c r="LP62" s="782"/>
      <c r="LQ62" s="782"/>
      <c r="LR62" s="782"/>
      <c r="LS62" s="782"/>
      <c r="LT62" s="782"/>
      <c r="LU62" s="782"/>
      <c r="LV62" s="782"/>
      <c r="LW62" s="782"/>
      <c r="LX62" s="782"/>
      <c r="LY62" s="782"/>
      <c r="LZ62" s="782"/>
      <c r="MA62" s="782"/>
      <c r="MB62" s="782"/>
      <c r="MC62" s="782"/>
      <c r="MD62" s="782"/>
      <c r="ME62" s="782"/>
      <c r="MF62" s="782"/>
      <c r="MG62" s="782"/>
      <c r="MH62" s="782"/>
      <c r="MI62" s="782"/>
      <c r="MJ62" s="782"/>
      <c r="MK62" s="782"/>
      <c r="ML62" s="782"/>
      <c r="MM62" s="782"/>
      <c r="MN62" s="782"/>
      <c r="MO62" s="782"/>
      <c r="MP62" s="782"/>
      <c r="MQ62" s="782"/>
      <c r="MR62" s="782"/>
      <c r="MS62" s="782"/>
      <c r="MT62" s="782"/>
      <c r="MU62" s="782"/>
      <c r="MV62" s="782"/>
      <c r="MW62" s="782"/>
      <c r="MX62" s="782"/>
      <c r="MY62" s="782"/>
      <c r="MZ62" s="782"/>
      <c r="NA62" s="782"/>
      <c r="NB62" s="782"/>
      <c r="NC62" s="782"/>
      <c r="ND62" s="782"/>
      <c r="NE62" s="782"/>
      <c r="NF62" s="782"/>
      <c r="NG62" s="782"/>
      <c r="NH62" s="782"/>
      <c r="NI62" s="782"/>
      <c r="NJ62" s="782"/>
      <c r="NK62" s="782"/>
      <c r="NL62" s="782"/>
      <c r="NM62" s="782"/>
      <c r="NN62" s="782"/>
      <c r="NO62" s="782"/>
      <c r="NP62" s="782"/>
      <c r="NQ62" s="782"/>
      <c r="NR62" s="782"/>
      <c r="NS62" s="782"/>
      <c r="NT62" s="782"/>
      <c r="NU62" s="782"/>
      <c r="NV62" s="782"/>
      <c r="NW62" s="782"/>
      <c r="NX62" s="782"/>
      <c r="NY62" s="782"/>
      <c r="NZ62" s="782"/>
      <c r="OA62" s="782"/>
      <c r="OB62" s="782"/>
      <c r="OC62" s="782"/>
      <c r="OD62" s="782"/>
      <c r="OE62" s="782"/>
      <c r="OF62" s="782"/>
      <c r="OG62" s="782"/>
      <c r="OH62" s="782"/>
      <c r="OI62" s="782"/>
      <c r="OJ62" s="782"/>
      <c r="OK62" s="782"/>
      <c r="OL62" s="782"/>
      <c r="OM62" s="782"/>
      <c r="ON62" s="782"/>
      <c r="OO62" s="782"/>
      <c r="OP62" s="782"/>
      <c r="OQ62" s="782"/>
      <c r="OR62" s="782"/>
      <c r="OS62" s="782"/>
      <c r="OT62" s="782"/>
      <c r="OU62" s="782"/>
      <c r="OV62" s="782"/>
      <c r="OW62" s="782"/>
      <c r="OX62" s="782"/>
      <c r="OY62" s="782"/>
      <c r="OZ62" s="782"/>
      <c r="PA62" s="782"/>
      <c r="PB62" s="782"/>
      <c r="PC62" s="782"/>
      <c r="PD62" s="782"/>
      <c r="PE62" s="782"/>
      <c r="PF62" s="782"/>
      <c r="PG62" s="782"/>
      <c r="PH62" s="782"/>
      <c r="PI62" s="782"/>
      <c r="PJ62" s="782"/>
      <c r="PK62" s="782"/>
      <c r="PL62" s="782"/>
      <c r="PM62" s="782"/>
      <c r="PN62" s="782"/>
      <c r="PO62" s="782"/>
      <c r="PP62" s="782"/>
      <c r="PQ62" s="782"/>
      <c r="PR62" s="782"/>
      <c r="PS62" s="782"/>
      <c r="PT62" s="782"/>
      <c r="PU62" s="782"/>
      <c r="PV62" s="782"/>
      <c r="PW62" s="782"/>
      <c r="PX62" s="782"/>
      <c r="PY62" s="782"/>
      <c r="PZ62" s="782"/>
      <c r="QA62" s="782"/>
      <c r="QB62" s="782"/>
      <c r="QC62" s="782"/>
      <c r="QD62" s="782"/>
      <c r="QE62" s="782"/>
      <c r="QF62" s="782"/>
      <c r="QG62" s="782"/>
      <c r="QH62" s="782"/>
      <c r="QI62" s="782"/>
      <c r="QJ62" s="782"/>
      <c r="QK62" s="782"/>
      <c r="QL62" s="782"/>
      <c r="QM62" s="782"/>
      <c r="QN62" s="782"/>
      <c r="QO62" s="782"/>
      <c r="QP62" s="782"/>
      <c r="QQ62" s="782"/>
      <c r="QR62" s="782"/>
      <c r="QS62" s="782"/>
      <c r="QT62" s="782"/>
      <c r="QU62" s="782"/>
      <c r="QV62" s="782"/>
      <c r="QW62" s="782"/>
      <c r="QX62" s="782"/>
      <c r="QY62" s="782"/>
      <c r="QZ62" s="782"/>
      <c r="RA62" s="782"/>
      <c r="RB62" s="782"/>
      <c r="RC62" s="782"/>
      <c r="RD62" s="782"/>
      <c r="RE62" s="782"/>
      <c r="RF62" s="782"/>
      <c r="RG62" s="782"/>
      <c r="RH62" s="782"/>
      <c r="RI62" s="782"/>
      <c r="RJ62" s="782"/>
      <c r="RK62" s="782"/>
      <c r="RL62" s="782"/>
      <c r="RM62" s="782"/>
      <c r="RN62" s="782"/>
      <c r="RO62" s="782"/>
      <c r="RP62" s="782"/>
      <c r="RQ62" s="782"/>
      <c r="RR62" s="782"/>
      <c r="RS62" s="782"/>
      <c r="RT62" s="782"/>
      <c r="RU62" s="782"/>
      <c r="RV62" s="782"/>
      <c r="RW62" s="782"/>
      <c r="RX62" s="782"/>
    </row>
    <row r="63" spans="1:492" s="143" customFormat="1">
      <c r="A63" s="782"/>
      <c r="B63" s="782"/>
      <c r="C63" s="782"/>
      <c r="D63" s="782"/>
      <c r="E63" s="782"/>
      <c r="F63" s="782"/>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2"/>
      <c r="AI63" s="782"/>
      <c r="AJ63" s="782"/>
      <c r="AK63" s="782"/>
      <c r="AL63" s="782"/>
      <c r="AM63" s="785"/>
      <c r="AN63" s="785"/>
      <c r="AO63" s="785"/>
      <c r="AP63" s="785"/>
      <c r="AQ63" s="785"/>
      <c r="AR63" s="785"/>
      <c r="AS63" s="785"/>
      <c r="AT63" s="785"/>
      <c r="AU63" s="785"/>
      <c r="AV63" s="785"/>
      <c r="AW63" s="785"/>
      <c r="AX63" s="785"/>
      <c r="AY63" s="785"/>
      <c r="AZ63" s="785"/>
      <c r="BA63" s="785"/>
      <c r="BB63" s="785"/>
      <c r="BC63" s="785"/>
      <c r="BD63" s="785"/>
      <c r="BE63" s="785"/>
      <c r="BF63" s="785"/>
      <c r="BG63" s="785"/>
      <c r="BH63" s="785"/>
      <c r="BI63" s="785"/>
      <c r="BJ63" s="785"/>
      <c r="BK63" s="785"/>
      <c r="BL63" s="785"/>
      <c r="BM63" s="785"/>
      <c r="BN63" s="785"/>
      <c r="BO63" s="785"/>
      <c r="BP63" s="785"/>
      <c r="BQ63" s="785"/>
      <c r="BR63" s="785"/>
      <c r="BS63" s="785"/>
      <c r="BT63" s="785"/>
      <c r="BU63" s="785"/>
      <c r="BV63" s="785"/>
      <c r="BW63" s="785"/>
      <c r="BX63" s="785"/>
      <c r="BY63" s="785"/>
      <c r="BZ63" s="785"/>
      <c r="CA63" s="782"/>
      <c r="CB63" s="782"/>
      <c r="CC63" s="782"/>
      <c r="CD63" s="782"/>
      <c r="CE63" s="782"/>
      <c r="CF63" s="782"/>
      <c r="CG63" s="782"/>
      <c r="CH63" s="782"/>
      <c r="CI63" s="782"/>
      <c r="CJ63" s="782"/>
      <c r="CK63" s="782"/>
      <c r="CL63" s="782"/>
      <c r="CM63" s="782"/>
      <c r="CN63" s="782"/>
      <c r="CO63" s="782"/>
      <c r="CP63" s="782"/>
      <c r="CQ63" s="782"/>
      <c r="CR63" s="782"/>
      <c r="CS63" s="782"/>
      <c r="CT63" s="782"/>
      <c r="CU63" s="782"/>
      <c r="CV63" s="782"/>
      <c r="CW63" s="782"/>
      <c r="CX63" s="782"/>
      <c r="CY63" s="782"/>
      <c r="CZ63" s="782"/>
      <c r="DA63" s="782"/>
      <c r="DB63" s="782"/>
      <c r="DC63" s="782"/>
      <c r="DD63" s="782"/>
      <c r="DE63" s="782"/>
      <c r="DF63" s="782"/>
      <c r="DG63" s="782"/>
      <c r="DH63" s="782"/>
      <c r="DI63" s="782"/>
      <c r="DJ63" s="782"/>
      <c r="DK63" s="782"/>
      <c r="DL63" s="782"/>
      <c r="DM63" s="782"/>
      <c r="DN63" s="782"/>
      <c r="DO63" s="782"/>
      <c r="DP63" s="782"/>
      <c r="DQ63" s="782"/>
      <c r="DR63" s="782"/>
      <c r="DS63" s="782"/>
      <c r="DT63" s="782"/>
      <c r="DU63" s="782"/>
      <c r="DV63" s="782"/>
      <c r="DW63" s="782"/>
      <c r="DX63" s="782"/>
      <c r="DY63" s="782"/>
      <c r="DZ63" s="782"/>
      <c r="EA63" s="782"/>
      <c r="EB63" s="782"/>
      <c r="EC63" s="782"/>
      <c r="ED63" s="782"/>
      <c r="EE63" s="782"/>
      <c r="EF63" s="782"/>
      <c r="EG63" s="782"/>
      <c r="EH63" s="782"/>
      <c r="EI63" s="782"/>
      <c r="EJ63" s="782"/>
      <c r="EK63" s="782"/>
      <c r="EL63" s="782"/>
      <c r="EM63" s="782"/>
      <c r="EN63" s="782"/>
      <c r="EO63" s="782"/>
      <c r="EP63" s="782"/>
      <c r="EQ63" s="782"/>
      <c r="ER63" s="782"/>
      <c r="ES63" s="782"/>
      <c r="ET63" s="782"/>
      <c r="EU63" s="782"/>
      <c r="EV63" s="782"/>
      <c r="EW63" s="782"/>
      <c r="EX63" s="782"/>
      <c r="EY63" s="782"/>
      <c r="EZ63" s="782"/>
      <c r="FA63" s="782"/>
      <c r="FB63" s="782"/>
      <c r="FC63" s="782"/>
      <c r="FD63" s="782"/>
      <c r="FE63" s="782"/>
      <c r="FF63" s="782"/>
      <c r="FG63" s="782"/>
      <c r="FH63" s="782"/>
      <c r="FI63" s="782"/>
      <c r="FJ63" s="782"/>
      <c r="FK63" s="782"/>
      <c r="FL63" s="782"/>
      <c r="FM63" s="782"/>
      <c r="FN63" s="782"/>
      <c r="FO63" s="782"/>
      <c r="FP63" s="782"/>
      <c r="FQ63" s="782"/>
      <c r="FR63" s="782"/>
      <c r="FS63" s="782"/>
      <c r="FT63" s="782"/>
      <c r="FU63" s="782"/>
      <c r="FV63" s="782"/>
      <c r="FW63" s="782"/>
      <c r="FX63" s="782"/>
      <c r="FY63" s="782"/>
      <c r="FZ63" s="782"/>
      <c r="GA63" s="782"/>
      <c r="GB63" s="782"/>
      <c r="GC63" s="782"/>
      <c r="GD63" s="782"/>
      <c r="GE63" s="782"/>
      <c r="GF63" s="782"/>
      <c r="GG63" s="782"/>
      <c r="GH63" s="782"/>
      <c r="GI63" s="782"/>
      <c r="GJ63" s="782"/>
      <c r="GK63" s="782"/>
      <c r="GL63" s="782"/>
      <c r="GM63" s="782"/>
      <c r="GN63" s="782"/>
      <c r="GO63" s="782"/>
      <c r="GP63" s="782"/>
      <c r="GQ63" s="782"/>
      <c r="GR63" s="782"/>
      <c r="GS63" s="782"/>
      <c r="GT63" s="782"/>
      <c r="GU63" s="782"/>
      <c r="GV63" s="782"/>
      <c r="GW63" s="782"/>
      <c r="GX63" s="782"/>
      <c r="GY63" s="782"/>
      <c r="GZ63" s="782"/>
      <c r="HA63" s="782"/>
      <c r="HB63" s="782"/>
      <c r="HC63" s="782"/>
      <c r="HD63" s="782"/>
      <c r="HE63" s="782"/>
      <c r="HF63" s="782"/>
      <c r="HG63" s="782"/>
      <c r="HH63" s="782"/>
      <c r="HI63" s="782"/>
      <c r="HJ63" s="782"/>
      <c r="HK63" s="782"/>
      <c r="HL63" s="782"/>
      <c r="HM63" s="782"/>
      <c r="HN63" s="782"/>
      <c r="HO63" s="782"/>
      <c r="HP63" s="782"/>
      <c r="HQ63" s="782"/>
      <c r="HR63" s="782"/>
      <c r="HS63" s="782"/>
      <c r="HT63" s="782"/>
      <c r="HU63" s="782"/>
      <c r="HV63" s="782"/>
      <c r="HW63" s="782"/>
      <c r="HX63" s="782"/>
      <c r="HY63" s="782"/>
      <c r="HZ63" s="782"/>
      <c r="IA63" s="782"/>
      <c r="IB63" s="782"/>
      <c r="IC63" s="782"/>
      <c r="ID63" s="782"/>
      <c r="IE63" s="782"/>
      <c r="IF63" s="782"/>
      <c r="IG63" s="782"/>
      <c r="IH63" s="782"/>
      <c r="II63" s="782"/>
      <c r="IJ63" s="782"/>
      <c r="IK63" s="782"/>
      <c r="IL63" s="782"/>
      <c r="IM63" s="782"/>
      <c r="IN63" s="782"/>
      <c r="IO63" s="782"/>
      <c r="IP63" s="782"/>
      <c r="IQ63" s="782"/>
      <c r="IR63" s="782"/>
      <c r="IS63" s="782"/>
      <c r="IT63" s="782"/>
      <c r="IU63" s="782"/>
      <c r="IV63" s="782"/>
      <c r="IW63" s="782"/>
      <c r="IX63" s="782"/>
      <c r="IY63" s="782"/>
      <c r="IZ63" s="782"/>
      <c r="JA63" s="782"/>
      <c r="JB63" s="782"/>
      <c r="JC63" s="782"/>
      <c r="JD63" s="782"/>
      <c r="JE63" s="782"/>
      <c r="JF63" s="782"/>
      <c r="JG63" s="782"/>
      <c r="JH63" s="782"/>
      <c r="JI63" s="782"/>
      <c r="JJ63" s="782"/>
      <c r="JK63" s="782"/>
      <c r="JL63" s="782"/>
      <c r="JM63" s="782"/>
      <c r="JN63" s="782"/>
      <c r="JO63" s="782"/>
      <c r="JP63" s="782"/>
      <c r="JQ63" s="782"/>
      <c r="JR63" s="782"/>
      <c r="JS63" s="782"/>
      <c r="JT63" s="782"/>
      <c r="JU63" s="782"/>
      <c r="JV63" s="782"/>
      <c r="JW63" s="782"/>
      <c r="JX63" s="782"/>
      <c r="JY63" s="782"/>
      <c r="JZ63" s="782"/>
      <c r="KA63" s="782"/>
      <c r="KB63" s="782"/>
      <c r="KC63" s="782"/>
      <c r="KD63" s="782"/>
      <c r="KE63" s="782"/>
      <c r="KF63" s="782"/>
      <c r="KG63" s="782"/>
      <c r="KH63" s="782"/>
      <c r="KI63" s="782"/>
      <c r="KJ63" s="782"/>
      <c r="KK63" s="782"/>
      <c r="KL63" s="782"/>
      <c r="KM63" s="782"/>
      <c r="KN63" s="782"/>
      <c r="KO63" s="782"/>
      <c r="KP63" s="782"/>
      <c r="KQ63" s="782"/>
      <c r="KR63" s="782"/>
      <c r="KS63" s="782"/>
      <c r="KT63" s="782"/>
      <c r="KU63" s="782"/>
      <c r="KV63" s="782"/>
      <c r="KW63" s="782"/>
      <c r="KX63" s="782"/>
      <c r="KY63" s="782"/>
      <c r="KZ63" s="782"/>
      <c r="LA63" s="782"/>
      <c r="LB63" s="782"/>
      <c r="LC63" s="782"/>
      <c r="LD63" s="782"/>
      <c r="LE63" s="782"/>
      <c r="LF63" s="782"/>
      <c r="LG63" s="782"/>
      <c r="LH63" s="782"/>
      <c r="LI63" s="782"/>
      <c r="LJ63" s="782"/>
      <c r="LK63" s="782"/>
      <c r="LL63" s="782"/>
      <c r="LM63" s="782"/>
      <c r="LN63" s="782"/>
      <c r="LO63" s="782"/>
      <c r="LP63" s="782"/>
      <c r="LQ63" s="782"/>
      <c r="LR63" s="782"/>
      <c r="LS63" s="782"/>
      <c r="LT63" s="782"/>
      <c r="LU63" s="782"/>
      <c r="LV63" s="782"/>
      <c r="LW63" s="782"/>
      <c r="LX63" s="782"/>
      <c r="LY63" s="782"/>
      <c r="LZ63" s="782"/>
      <c r="MA63" s="782"/>
      <c r="MB63" s="782"/>
      <c r="MC63" s="782"/>
      <c r="MD63" s="782"/>
      <c r="ME63" s="782"/>
      <c r="MF63" s="782"/>
      <c r="MG63" s="782"/>
      <c r="MH63" s="782"/>
      <c r="MI63" s="782"/>
      <c r="MJ63" s="782"/>
      <c r="MK63" s="782"/>
      <c r="ML63" s="782"/>
      <c r="MM63" s="782"/>
      <c r="MN63" s="782"/>
      <c r="MO63" s="782"/>
      <c r="MP63" s="782"/>
      <c r="MQ63" s="782"/>
      <c r="MR63" s="782"/>
      <c r="MS63" s="782"/>
      <c r="MT63" s="782"/>
      <c r="MU63" s="782"/>
      <c r="MV63" s="782"/>
      <c r="MW63" s="782"/>
      <c r="MX63" s="782"/>
      <c r="MY63" s="782"/>
      <c r="MZ63" s="782"/>
      <c r="NA63" s="782"/>
      <c r="NB63" s="782"/>
      <c r="NC63" s="782"/>
      <c r="ND63" s="782"/>
      <c r="NE63" s="782"/>
      <c r="NF63" s="782"/>
      <c r="NG63" s="782"/>
      <c r="NH63" s="782"/>
      <c r="NI63" s="782"/>
      <c r="NJ63" s="782"/>
      <c r="NK63" s="782"/>
      <c r="NL63" s="782"/>
      <c r="NM63" s="782"/>
      <c r="NN63" s="782"/>
      <c r="NO63" s="782"/>
      <c r="NP63" s="782"/>
      <c r="NQ63" s="782"/>
      <c r="NR63" s="782"/>
      <c r="NS63" s="782"/>
      <c r="NT63" s="782"/>
      <c r="NU63" s="782"/>
      <c r="NV63" s="782"/>
      <c r="NW63" s="782"/>
      <c r="NX63" s="782"/>
      <c r="NY63" s="782"/>
      <c r="NZ63" s="782"/>
      <c r="OA63" s="782"/>
      <c r="OB63" s="782"/>
      <c r="OC63" s="782"/>
      <c r="OD63" s="782"/>
      <c r="OE63" s="782"/>
      <c r="OF63" s="782"/>
      <c r="OG63" s="782"/>
      <c r="OH63" s="782"/>
      <c r="OI63" s="782"/>
      <c r="OJ63" s="782"/>
      <c r="OK63" s="782"/>
      <c r="OL63" s="782"/>
      <c r="OM63" s="782"/>
      <c r="ON63" s="782"/>
      <c r="OO63" s="782"/>
      <c r="OP63" s="782"/>
      <c r="OQ63" s="782"/>
      <c r="OR63" s="782"/>
      <c r="OS63" s="782"/>
      <c r="OT63" s="782"/>
      <c r="OU63" s="782"/>
      <c r="OV63" s="782"/>
      <c r="OW63" s="782"/>
      <c r="OX63" s="782"/>
      <c r="OY63" s="782"/>
      <c r="OZ63" s="782"/>
      <c r="PA63" s="782"/>
      <c r="PB63" s="782"/>
      <c r="PC63" s="782"/>
      <c r="PD63" s="782"/>
      <c r="PE63" s="782"/>
      <c r="PF63" s="782"/>
      <c r="PG63" s="782"/>
      <c r="PH63" s="782"/>
      <c r="PI63" s="782"/>
      <c r="PJ63" s="782"/>
      <c r="PK63" s="782"/>
      <c r="PL63" s="782"/>
      <c r="PM63" s="782"/>
      <c r="PN63" s="782"/>
      <c r="PO63" s="782"/>
      <c r="PP63" s="782"/>
      <c r="PQ63" s="782"/>
      <c r="PR63" s="782"/>
      <c r="PS63" s="782"/>
      <c r="PT63" s="782"/>
      <c r="PU63" s="782"/>
      <c r="PV63" s="782"/>
      <c r="PW63" s="782"/>
      <c r="PX63" s="782"/>
      <c r="PY63" s="782"/>
      <c r="PZ63" s="782"/>
      <c r="QA63" s="782"/>
      <c r="QB63" s="782"/>
      <c r="QC63" s="782"/>
      <c r="QD63" s="782"/>
      <c r="QE63" s="782"/>
      <c r="QF63" s="782"/>
      <c r="QG63" s="782"/>
      <c r="QH63" s="782"/>
      <c r="QI63" s="782"/>
      <c r="QJ63" s="782"/>
      <c r="QK63" s="782"/>
      <c r="QL63" s="782"/>
      <c r="QM63" s="782"/>
      <c r="QN63" s="782"/>
      <c r="QO63" s="782"/>
      <c r="QP63" s="782"/>
      <c r="QQ63" s="782"/>
      <c r="QR63" s="782"/>
      <c r="QS63" s="782"/>
      <c r="QT63" s="782"/>
      <c r="QU63" s="782"/>
      <c r="QV63" s="782"/>
      <c r="QW63" s="782"/>
      <c r="QX63" s="782"/>
      <c r="QY63" s="782"/>
      <c r="QZ63" s="782"/>
      <c r="RA63" s="782"/>
      <c r="RB63" s="782"/>
      <c r="RC63" s="782"/>
      <c r="RD63" s="782"/>
      <c r="RE63" s="782"/>
      <c r="RF63" s="782"/>
      <c r="RG63" s="782"/>
      <c r="RH63" s="782"/>
      <c r="RI63" s="782"/>
      <c r="RJ63" s="782"/>
      <c r="RK63" s="782"/>
      <c r="RL63" s="782"/>
      <c r="RM63" s="782"/>
      <c r="RN63" s="782"/>
      <c r="RO63" s="782"/>
      <c r="RP63" s="782"/>
      <c r="RQ63" s="782"/>
      <c r="RR63" s="782"/>
      <c r="RS63" s="782"/>
      <c r="RT63" s="782"/>
      <c r="RU63" s="782"/>
      <c r="RV63" s="782"/>
      <c r="RW63" s="782"/>
      <c r="RX63" s="782"/>
    </row>
    <row r="64" spans="1:492" s="143" customFormat="1">
      <c r="A64" s="782"/>
      <c r="B64" s="782"/>
      <c r="C64" s="782"/>
      <c r="D64" s="782"/>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785"/>
      <c r="AN64" s="785"/>
      <c r="AO64" s="785"/>
      <c r="AP64" s="785"/>
      <c r="AQ64" s="785"/>
      <c r="AR64" s="785"/>
      <c r="AS64" s="785"/>
      <c r="AT64" s="785"/>
      <c r="AU64" s="785"/>
      <c r="AV64" s="785"/>
      <c r="AW64" s="785"/>
      <c r="AX64" s="785"/>
      <c r="AY64" s="785"/>
      <c r="AZ64" s="785"/>
      <c r="BA64" s="785"/>
      <c r="BB64" s="785"/>
      <c r="BC64" s="785"/>
      <c r="BD64" s="785"/>
      <c r="BE64" s="785"/>
      <c r="BF64" s="785"/>
      <c r="BG64" s="785"/>
      <c r="BH64" s="785"/>
      <c r="BI64" s="785"/>
      <c r="BJ64" s="785"/>
      <c r="BK64" s="785"/>
      <c r="BL64" s="785"/>
      <c r="BM64" s="785"/>
      <c r="BN64" s="785"/>
      <c r="BO64" s="785"/>
      <c r="BP64" s="785"/>
      <c r="BQ64" s="785"/>
      <c r="BR64" s="785"/>
      <c r="BS64" s="785"/>
      <c r="BT64" s="785"/>
      <c r="BU64" s="785"/>
      <c r="BV64" s="785"/>
      <c r="BW64" s="785"/>
      <c r="BX64" s="785"/>
      <c r="BY64" s="785"/>
      <c r="BZ64" s="785"/>
      <c r="CA64" s="782"/>
      <c r="CB64" s="782"/>
      <c r="CC64" s="782"/>
      <c r="CD64" s="782"/>
      <c r="CE64" s="782"/>
      <c r="CF64" s="782"/>
      <c r="CG64" s="782"/>
      <c r="CH64" s="782"/>
      <c r="CI64" s="782"/>
      <c r="CJ64" s="782"/>
      <c r="CK64" s="782"/>
      <c r="CL64" s="782"/>
      <c r="CM64" s="782"/>
      <c r="CN64" s="782"/>
      <c r="CO64" s="782"/>
      <c r="CP64" s="782"/>
      <c r="CQ64" s="782"/>
      <c r="CR64" s="782"/>
      <c r="CS64" s="782"/>
      <c r="CT64" s="782"/>
      <c r="CU64" s="782"/>
      <c r="CV64" s="782"/>
      <c r="CW64" s="782"/>
      <c r="CX64" s="782"/>
      <c r="CY64" s="782"/>
      <c r="CZ64" s="782"/>
      <c r="DA64" s="782"/>
      <c r="DB64" s="782"/>
      <c r="DC64" s="782"/>
      <c r="DD64" s="782"/>
      <c r="DE64" s="782"/>
      <c r="DF64" s="782"/>
      <c r="DG64" s="782"/>
      <c r="DH64" s="782"/>
      <c r="DI64" s="782"/>
      <c r="DJ64" s="782"/>
      <c r="DK64" s="782"/>
      <c r="DL64" s="782"/>
      <c r="DM64" s="782"/>
      <c r="DN64" s="782"/>
      <c r="DO64" s="782"/>
      <c r="DP64" s="782"/>
      <c r="DQ64" s="782"/>
      <c r="DR64" s="782"/>
      <c r="DS64" s="782"/>
      <c r="DT64" s="782"/>
      <c r="DU64" s="782"/>
      <c r="DV64" s="782"/>
      <c r="DW64" s="782"/>
      <c r="DX64" s="782"/>
      <c r="DY64" s="782"/>
      <c r="DZ64" s="782"/>
      <c r="EA64" s="782"/>
      <c r="EB64" s="782"/>
      <c r="EC64" s="782"/>
      <c r="ED64" s="782"/>
      <c r="EE64" s="782"/>
      <c r="EF64" s="782"/>
      <c r="EG64" s="782"/>
      <c r="EH64" s="782"/>
      <c r="EI64" s="782"/>
      <c r="EJ64" s="782"/>
      <c r="EK64" s="782"/>
      <c r="EL64" s="782"/>
      <c r="EM64" s="782"/>
      <c r="EN64" s="782"/>
      <c r="EO64" s="782"/>
      <c r="EP64" s="782"/>
      <c r="EQ64" s="782"/>
      <c r="ER64" s="782"/>
      <c r="ES64" s="782"/>
      <c r="ET64" s="782"/>
      <c r="EU64" s="782"/>
      <c r="EV64" s="782"/>
      <c r="EW64" s="782"/>
      <c r="EX64" s="782"/>
      <c r="EY64" s="782"/>
      <c r="EZ64" s="782"/>
      <c r="FA64" s="782"/>
      <c r="FB64" s="782"/>
      <c r="FC64" s="782"/>
      <c r="FD64" s="782"/>
      <c r="FE64" s="782"/>
      <c r="FF64" s="782"/>
      <c r="FG64" s="782"/>
      <c r="FH64" s="782"/>
      <c r="FI64" s="782"/>
      <c r="FJ64" s="782"/>
      <c r="FK64" s="782"/>
      <c r="FL64" s="782"/>
      <c r="FM64" s="782"/>
      <c r="FN64" s="782"/>
      <c r="FO64" s="782"/>
      <c r="FP64" s="782"/>
      <c r="FQ64" s="782"/>
      <c r="FR64" s="782"/>
      <c r="FS64" s="782"/>
      <c r="FT64" s="782"/>
      <c r="FU64" s="782"/>
      <c r="FV64" s="782"/>
      <c r="FW64" s="782"/>
      <c r="FX64" s="782"/>
      <c r="FY64" s="782"/>
      <c r="FZ64" s="782"/>
      <c r="GA64" s="782"/>
      <c r="GB64" s="782"/>
      <c r="GC64" s="782"/>
      <c r="GD64" s="782"/>
      <c r="GE64" s="782"/>
      <c r="GF64" s="782"/>
      <c r="GG64" s="782"/>
      <c r="GH64" s="782"/>
      <c r="GI64" s="782"/>
      <c r="GJ64" s="782"/>
      <c r="GK64" s="782"/>
      <c r="GL64" s="782"/>
      <c r="GM64" s="782"/>
      <c r="GN64" s="782"/>
      <c r="GO64" s="782"/>
      <c r="GP64" s="782"/>
      <c r="GQ64" s="782"/>
      <c r="GR64" s="782"/>
      <c r="GS64" s="782"/>
      <c r="GT64" s="782"/>
      <c r="GU64" s="782"/>
      <c r="GV64" s="782"/>
      <c r="GW64" s="782"/>
      <c r="GX64" s="782"/>
      <c r="GY64" s="782"/>
      <c r="GZ64" s="782"/>
      <c r="HA64" s="782"/>
      <c r="HB64" s="782"/>
      <c r="HC64" s="782"/>
      <c r="HD64" s="782"/>
      <c r="HE64" s="782"/>
      <c r="HF64" s="782"/>
      <c r="HG64" s="782"/>
      <c r="HH64" s="782"/>
      <c r="HI64" s="782"/>
      <c r="HJ64" s="782"/>
      <c r="HK64" s="782"/>
      <c r="HL64" s="782"/>
      <c r="HM64" s="782"/>
      <c r="HN64" s="782"/>
      <c r="HO64" s="782"/>
      <c r="HP64" s="782"/>
      <c r="HQ64" s="782"/>
      <c r="HR64" s="782"/>
      <c r="HS64" s="782"/>
      <c r="HT64" s="782"/>
      <c r="HU64" s="782"/>
      <c r="HV64" s="782"/>
      <c r="HW64" s="782"/>
      <c r="HX64" s="782"/>
      <c r="HY64" s="782"/>
      <c r="HZ64" s="782"/>
      <c r="IA64" s="782"/>
      <c r="IB64" s="782"/>
      <c r="IC64" s="782"/>
      <c r="ID64" s="782"/>
      <c r="IE64" s="782"/>
      <c r="IF64" s="782"/>
      <c r="IG64" s="782"/>
      <c r="IH64" s="782"/>
      <c r="II64" s="782"/>
      <c r="IJ64" s="782"/>
      <c r="IK64" s="782"/>
      <c r="IL64" s="782"/>
      <c r="IM64" s="782"/>
      <c r="IN64" s="782"/>
      <c r="IO64" s="782"/>
      <c r="IP64" s="782"/>
      <c r="IQ64" s="782"/>
      <c r="IR64" s="782"/>
      <c r="IS64" s="782"/>
      <c r="IT64" s="782"/>
      <c r="IU64" s="782"/>
      <c r="IV64" s="782"/>
      <c r="IW64" s="782"/>
      <c r="IX64" s="782"/>
      <c r="IY64" s="782"/>
      <c r="IZ64" s="782"/>
      <c r="JA64" s="782"/>
      <c r="JB64" s="782"/>
      <c r="JC64" s="782"/>
      <c r="JD64" s="782"/>
      <c r="JE64" s="782"/>
      <c r="JF64" s="782"/>
      <c r="JG64" s="782"/>
      <c r="JH64" s="782"/>
      <c r="JI64" s="782"/>
      <c r="JJ64" s="782"/>
      <c r="JK64" s="782"/>
      <c r="JL64" s="782"/>
      <c r="JM64" s="782"/>
      <c r="JN64" s="782"/>
      <c r="JO64" s="782"/>
      <c r="JP64" s="782"/>
      <c r="JQ64" s="782"/>
      <c r="JR64" s="782"/>
      <c r="JS64" s="782"/>
      <c r="JT64" s="782"/>
      <c r="JU64" s="782"/>
      <c r="JV64" s="782"/>
      <c r="JW64" s="782"/>
      <c r="JX64" s="782"/>
      <c r="JY64" s="782"/>
      <c r="JZ64" s="782"/>
      <c r="KA64" s="782"/>
      <c r="KB64" s="782"/>
      <c r="KC64" s="782"/>
      <c r="KD64" s="782"/>
      <c r="KE64" s="782"/>
      <c r="KF64" s="782"/>
      <c r="KG64" s="782"/>
      <c r="KH64" s="782"/>
      <c r="KI64" s="782"/>
      <c r="KJ64" s="782"/>
      <c r="KK64" s="782"/>
      <c r="KL64" s="782"/>
      <c r="KM64" s="782"/>
      <c r="KN64" s="782"/>
      <c r="KO64" s="782"/>
      <c r="KP64" s="782"/>
      <c r="KQ64" s="782"/>
      <c r="KR64" s="782"/>
      <c r="KS64" s="782"/>
      <c r="KT64" s="782"/>
      <c r="KU64" s="782"/>
      <c r="KV64" s="782"/>
      <c r="KW64" s="782"/>
      <c r="KX64" s="782"/>
      <c r="KY64" s="782"/>
      <c r="KZ64" s="782"/>
      <c r="LA64" s="782"/>
      <c r="LB64" s="782"/>
      <c r="LC64" s="782"/>
      <c r="LD64" s="782"/>
      <c r="LE64" s="782"/>
      <c r="LF64" s="782"/>
      <c r="LG64" s="782"/>
      <c r="LH64" s="782"/>
      <c r="LI64" s="782"/>
      <c r="LJ64" s="782"/>
      <c r="LK64" s="782"/>
      <c r="LL64" s="782"/>
      <c r="LM64" s="782"/>
      <c r="LN64" s="782"/>
      <c r="LO64" s="782"/>
      <c r="LP64" s="782"/>
      <c r="LQ64" s="782"/>
      <c r="LR64" s="782"/>
      <c r="LS64" s="782"/>
      <c r="LT64" s="782"/>
      <c r="LU64" s="782"/>
      <c r="LV64" s="782"/>
      <c r="LW64" s="782"/>
      <c r="LX64" s="782"/>
      <c r="LY64" s="782"/>
      <c r="LZ64" s="782"/>
      <c r="MA64" s="782"/>
      <c r="MB64" s="782"/>
      <c r="MC64" s="782"/>
      <c r="MD64" s="782"/>
      <c r="ME64" s="782"/>
      <c r="MF64" s="782"/>
      <c r="MG64" s="782"/>
      <c r="MH64" s="782"/>
      <c r="MI64" s="782"/>
      <c r="MJ64" s="782"/>
      <c r="MK64" s="782"/>
      <c r="ML64" s="782"/>
      <c r="MM64" s="782"/>
      <c r="MN64" s="782"/>
      <c r="MO64" s="782"/>
      <c r="MP64" s="782"/>
      <c r="MQ64" s="782"/>
      <c r="MR64" s="782"/>
      <c r="MS64" s="782"/>
      <c r="MT64" s="782"/>
      <c r="MU64" s="782"/>
      <c r="MV64" s="782"/>
      <c r="MW64" s="782"/>
      <c r="MX64" s="782"/>
      <c r="MY64" s="782"/>
      <c r="MZ64" s="782"/>
      <c r="NA64" s="782"/>
      <c r="NB64" s="782"/>
      <c r="NC64" s="782"/>
      <c r="ND64" s="782"/>
      <c r="NE64" s="782"/>
      <c r="NF64" s="782"/>
      <c r="NG64" s="782"/>
      <c r="NH64" s="782"/>
      <c r="NI64" s="782"/>
      <c r="NJ64" s="782"/>
      <c r="NK64" s="782"/>
      <c r="NL64" s="782"/>
      <c r="NM64" s="782"/>
      <c r="NN64" s="782"/>
      <c r="NO64" s="782"/>
      <c r="NP64" s="782"/>
      <c r="NQ64" s="782"/>
      <c r="NR64" s="782"/>
      <c r="NS64" s="782"/>
      <c r="NT64" s="782"/>
      <c r="NU64" s="782"/>
      <c r="NV64" s="782"/>
      <c r="NW64" s="782"/>
      <c r="NX64" s="782"/>
      <c r="NY64" s="782"/>
      <c r="NZ64" s="782"/>
      <c r="OA64" s="782"/>
      <c r="OB64" s="782"/>
      <c r="OC64" s="782"/>
      <c r="OD64" s="782"/>
      <c r="OE64" s="782"/>
      <c r="OF64" s="782"/>
      <c r="OG64" s="782"/>
      <c r="OH64" s="782"/>
      <c r="OI64" s="782"/>
      <c r="OJ64" s="782"/>
      <c r="OK64" s="782"/>
      <c r="OL64" s="782"/>
      <c r="OM64" s="782"/>
      <c r="ON64" s="782"/>
      <c r="OO64" s="782"/>
      <c r="OP64" s="782"/>
      <c r="OQ64" s="782"/>
      <c r="OR64" s="782"/>
      <c r="OS64" s="782"/>
      <c r="OT64" s="782"/>
      <c r="OU64" s="782"/>
      <c r="OV64" s="782"/>
      <c r="OW64" s="782"/>
      <c r="OX64" s="782"/>
      <c r="OY64" s="782"/>
      <c r="OZ64" s="782"/>
      <c r="PA64" s="782"/>
      <c r="PB64" s="782"/>
      <c r="PC64" s="782"/>
      <c r="PD64" s="782"/>
      <c r="PE64" s="782"/>
      <c r="PF64" s="782"/>
      <c r="PG64" s="782"/>
      <c r="PH64" s="782"/>
      <c r="PI64" s="782"/>
      <c r="PJ64" s="782"/>
      <c r="PK64" s="782"/>
      <c r="PL64" s="782"/>
      <c r="PM64" s="782"/>
      <c r="PN64" s="782"/>
      <c r="PO64" s="782"/>
      <c r="PP64" s="782"/>
      <c r="PQ64" s="782"/>
      <c r="PR64" s="782"/>
      <c r="PS64" s="782"/>
      <c r="PT64" s="782"/>
      <c r="PU64" s="782"/>
      <c r="PV64" s="782"/>
      <c r="PW64" s="782"/>
      <c r="PX64" s="782"/>
      <c r="PY64" s="782"/>
      <c r="PZ64" s="782"/>
      <c r="QA64" s="782"/>
      <c r="QB64" s="782"/>
      <c r="QC64" s="782"/>
      <c r="QD64" s="782"/>
      <c r="QE64" s="782"/>
      <c r="QF64" s="782"/>
      <c r="QG64" s="782"/>
      <c r="QH64" s="782"/>
      <c r="QI64" s="782"/>
      <c r="QJ64" s="782"/>
      <c r="QK64" s="782"/>
      <c r="QL64" s="782"/>
      <c r="QM64" s="782"/>
      <c r="QN64" s="782"/>
      <c r="QO64" s="782"/>
      <c r="QP64" s="782"/>
      <c r="QQ64" s="782"/>
      <c r="QR64" s="782"/>
      <c r="QS64" s="782"/>
      <c r="QT64" s="782"/>
      <c r="QU64" s="782"/>
      <c r="QV64" s="782"/>
      <c r="QW64" s="782"/>
      <c r="QX64" s="782"/>
      <c r="QY64" s="782"/>
      <c r="QZ64" s="782"/>
      <c r="RA64" s="782"/>
      <c r="RB64" s="782"/>
      <c r="RC64" s="782"/>
      <c r="RD64" s="782"/>
      <c r="RE64" s="782"/>
      <c r="RF64" s="782"/>
      <c r="RG64" s="782"/>
      <c r="RH64" s="782"/>
      <c r="RI64" s="782"/>
      <c r="RJ64" s="782"/>
      <c r="RK64" s="782"/>
      <c r="RL64" s="782"/>
      <c r="RM64" s="782"/>
      <c r="RN64" s="782"/>
      <c r="RO64" s="782"/>
      <c r="RP64" s="782"/>
      <c r="RQ64" s="782"/>
      <c r="RR64" s="782"/>
      <c r="RS64" s="782"/>
      <c r="RT64" s="782"/>
      <c r="RU64" s="782"/>
      <c r="RV64" s="782"/>
      <c r="RW64" s="782"/>
      <c r="RX64" s="782"/>
    </row>
    <row r="65" spans="1:492" s="143" customFormat="1">
      <c r="A65" s="782"/>
      <c r="B65" s="782"/>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c r="AJ65" s="782"/>
      <c r="AK65" s="782"/>
      <c r="AL65" s="782"/>
      <c r="AM65" s="785"/>
      <c r="AN65" s="785"/>
      <c r="AO65" s="785"/>
      <c r="AP65" s="785"/>
      <c r="AQ65" s="785"/>
      <c r="AR65" s="785"/>
      <c r="AS65" s="785"/>
      <c r="AT65" s="785"/>
      <c r="AU65" s="785"/>
      <c r="AV65" s="785"/>
      <c r="AW65" s="785"/>
      <c r="AX65" s="785"/>
      <c r="AY65" s="785"/>
      <c r="AZ65" s="785"/>
      <c r="BA65" s="785"/>
      <c r="BB65" s="785"/>
      <c r="BC65" s="785"/>
      <c r="BD65" s="785"/>
      <c r="BE65" s="785"/>
      <c r="BF65" s="785"/>
      <c r="BG65" s="785"/>
      <c r="BH65" s="785"/>
      <c r="BI65" s="785"/>
      <c r="BJ65" s="785"/>
      <c r="BK65" s="785"/>
      <c r="BL65" s="785"/>
      <c r="BM65" s="785"/>
      <c r="BN65" s="785"/>
      <c r="BO65" s="785"/>
      <c r="BP65" s="785"/>
      <c r="BQ65" s="785"/>
      <c r="BR65" s="785"/>
      <c r="BS65" s="785"/>
      <c r="BT65" s="785"/>
      <c r="BU65" s="785"/>
      <c r="BV65" s="785"/>
      <c r="BW65" s="785"/>
      <c r="BX65" s="785"/>
      <c r="BY65" s="785"/>
      <c r="BZ65" s="785"/>
      <c r="CA65" s="782"/>
      <c r="CB65" s="782"/>
      <c r="CC65" s="782"/>
      <c r="CD65" s="782"/>
      <c r="CE65" s="782"/>
      <c r="CF65" s="782"/>
      <c r="CG65" s="782"/>
      <c r="CH65" s="782"/>
      <c r="CI65" s="782"/>
      <c r="CJ65" s="782"/>
      <c r="CK65" s="782"/>
      <c r="CL65" s="782"/>
      <c r="CM65" s="782"/>
      <c r="CN65" s="782"/>
      <c r="CO65" s="782"/>
      <c r="CP65" s="782"/>
      <c r="CQ65" s="782"/>
      <c r="CR65" s="782"/>
      <c r="CS65" s="782"/>
      <c r="CT65" s="782"/>
      <c r="CU65" s="782"/>
      <c r="CV65" s="782"/>
      <c r="CW65" s="782"/>
      <c r="CX65" s="782"/>
      <c r="CY65" s="782"/>
      <c r="CZ65" s="782"/>
      <c r="DA65" s="782"/>
      <c r="DB65" s="782"/>
      <c r="DC65" s="782"/>
      <c r="DD65" s="782"/>
      <c r="DE65" s="782"/>
      <c r="DF65" s="782"/>
      <c r="DG65" s="782"/>
      <c r="DH65" s="782"/>
      <c r="DI65" s="782"/>
      <c r="DJ65" s="782"/>
      <c r="DK65" s="782"/>
      <c r="DL65" s="782"/>
      <c r="DM65" s="782"/>
      <c r="DN65" s="782"/>
      <c r="DO65" s="782"/>
      <c r="DP65" s="782"/>
      <c r="DQ65" s="782"/>
      <c r="DR65" s="782"/>
      <c r="DS65" s="782"/>
      <c r="DT65" s="782"/>
      <c r="DU65" s="782"/>
      <c r="DV65" s="782"/>
      <c r="DW65" s="782"/>
      <c r="DX65" s="782"/>
      <c r="DY65" s="782"/>
      <c r="DZ65" s="782"/>
      <c r="EA65" s="782"/>
      <c r="EB65" s="782"/>
      <c r="EC65" s="782"/>
      <c r="ED65" s="782"/>
      <c r="EE65" s="782"/>
      <c r="EF65" s="782"/>
      <c r="EG65" s="782"/>
      <c r="EH65" s="782"/>
      <c r="EI65" s="782"/>
      <c r="EJ65" s="782"/>
      <c r="EK65" s="782"/>
      <c r="EL65" s="782"/>
      <c r="EM65" s="782"/>
      <c r="EN65" s="782"/>
      <c r="EO65" s="782"/>
      <c r="EP65" s="782"/>
      <c r="EQ65" s="782"/>
      <c r="ER65" s="782"/>
      <c r="ES65" s="782"/>
      <c r="ET65" s="782"/>
      <c r="EU65" s="782"/>
      <c r="EV65" s="782"/>
      <c r="EW65" s="782"/>
      <c r="EX65" s="782"/>
      <c r="EY65" s="782"/>
      <c r="EZ65" s="782"/>
      <c r="FA65" s="782"/>
      <c r="FB65" s="782"/>
      <c r="FC65" s="782"/>
      <c r="FD65" s="782"/>
      <c r="FE65" s="782"/>
      <c r="FF65" s="782"/>
      <c r="FG65" s="782"/>
      <c r="FH65" s="782"/>
      <c r="FI65" s="782"/>
      <c r="FJ65" s="782"/>
      <c r="FK65" s="782"/>
      <c r="FL65" s="782"/>
      <c r="FM65" s="782"/>
      <c r="FN65" s="782"/>
      <c r="FO65" s="782"/>
      <c r="FP65" s="782"/>
      <c r="FQ65" s="782"/>
      <c r="FR65" s="782"/>
      <c r="FS65" s="782"/>
      <c r="FT65" s="782"/>
      <c r="FU65" s="782"/>
      <c r="FV65" s="782"/>
      <c r="FW65" s="782"/>
      <c r="FX65" s="782"/>
      <c r="FY65" s="782"/>
      <c r="FZ65" s="782"/>
      <c r="GA65" s="782"/>
      <c r="GB65" s="782"/>
      <c r="GC65" s="782"/>
      <c r="GD65" s="782"/>
      <c r="GE65" s="782"/>
      <c r="GF65" s="782"/>
      <c r="GG65" s="782"/>
      <c r="GH65" s="782"/>
      <c r="GI65" s="782"/>
      <c r="GJ65" s="782"/>
      <c r="GK65" s="782"/>
      <c r="GL65" s="782"/>
      <c r="GM65" s="782"/>
      <c r="GN65" s="782"/>
      <c r="GO65" s="782"/>
      <c r="GP65" s="782"/>
      <c r="GQ65" s="782"/>
      <c r="GR65" s="782"/>
      <c r="GS65" s="782"/>
      <c r="GT65" s="782"/>
      <c r="GU65" s="782"/>
      <c r="GV65" s="782"/>
      <c r="GW65" s="782"/>
      <c r="GX65" s="782"/>
      <c r="GY65" s="782"/>
      <c r="GZ65" s="782"/>
      <c r="HA65" s="782"/>
      <c r="HB65" s="782"/>
      <c r="HC65" s="782"/>
      <c r="HD65" s="782"/>
      <c r="HE65" s="782"/>
      <c r="HF65" s="782"/>
      <c r="HG65" s="782"/>
      <c r="HH65" s="782"/>
      <c r="HI65" s="782"/>
      <c r="HJ65" s="782"/>
      <c r="HK65" s="782"/>
      <c r="HL65" s="782"/>
      <c r="HM65" s="782"/>
      <c r="HN65" s="782"/>
      <c r="HO65" s="782"/>
      <c r="HP65" s="782"/>
      <c r="HQ65" s="782"/>
      <c r="HR65" s="782"/>
      <c r="HS65" s="782"/>
      <c r="HT65" s="782"/>
      <c r="HU65" s="782"/>
      <c r="HV65" s="782"/>
      <c r="HW65" s="782"/>
      <c r="HX65" s="782"/>
      <c r="HY65" s="782"/>
      <c r="HZ65" s="782"/>
      <c r="IA65" s="782"/>
      <c r="IB65" s="782"/>
      <c r="IC65" s="782"/>
      <c r="ID65" s="782"/>
      <c r="IE65" s="782"/>
      <c r="IF65" s="782"/>
      <c r="IG65" s="782"/>
      <c r="IH65" s="782"/>
      <c r="II65" s="782"/>
      <c r="IJ65" s="782"/>
      <c r="IK65" s="782"/>
      <c r="IL65" s="782"/>
      <c r="IM65" s="782"/>
      <c r="IN65" s="782"/>
      <c r="IO65" s="782"/>
      <c r="IP65" s="782"/>
      <c r="IQ65" s="782"/>
      <c r="IR65" s="782"/>
      <c r="IS65" s="782"/>
      <c r="IT65" s="782"/>
      <c r="IU65" s="782"/>
      <c r="IV65" s="782"/>
      <c r="IW65" s="782"/>
      <c r="IX65" s="782"/>
      <c r="IY65" s="782"/>
      <c r="IZ65" s="782"/>
      <c r="JA65" s="782"/>
      <c r="JB65" s="782"/>
      <c r="JC65" s="782"/>
      <c r="JD65" s="782"/>
      <c r="JE65" s="782"/>
      <c r="JF65" s="782"/>
      <c r="JG65" s="782"/>
      <c r="JH65" s="782"/>
      <c r="JI65" s="782"/>
      <c r="JJ65" s="782"/>
      <c r="JK65" s="782"/>
      <c r="JL65" s="782"/>
      <c r="JM65" s="782"/>
      <c r="JN65" s="782"/>
      <c r="JO65" s="782"/>
      <c r="JP65" s="782"/>
      <c r="JQ65" s="782"/>
      <c r="JR65" s="782"/>
      <c r="JS65" s="782"/>
      <c r="JT65" s="782"/>
      <c r="JU65" s="782"/>
      <c r="JV65" s="782"/>
      <c r="JW65" s="782"/>
      <c r="JX65" s="782"/>
      <c r="JY65" s="782"/>
      <c r="JZ65" s="782"/>
      <c r="KA65" s="782"/>
      <c r="KB65" s="782"/>
      <c r="KC65" s="782"/>
      <c r="KD65" s="782"/>
      <c r="KE65" s="782"/>
      <c r="KF65" s="782"/>
      <c r="KG65" s="782"/>
      <c r="KH65" s="782"/>
      <c r="KI65" s="782"/>
      <c r="KJ65" s="782"/>
      <c r="KK65" s="782"/>
      <c r="KL65" s="782"/>
      <c r="KM65" s="782"/>
      <c r="KN65" s="782"/>
      <c r="KO65" s="782"/>
      <c r="KP65" s="782"/>
      <c r="KQ65" s="782"/>
      <c r="KR65" s="782"/>
      <c r="KS65" s="782"/>
      <c r="KT65" s="782"/>
      <c r="KU65" s="782"/>
      <c r="KV65" s="782"/>
      <c r="KW65" s="782"/>
      <c r="KX65" s="782"/>
      <c r="KY65" s="782"/>
      <c r="KZ65" s="782"/>
      <c r="LA65" s="782"/>
      <c r="LB65" s="782"/>
      <c r="LC65" s="782"/>
      <c r="LD65" s="782"/>
      <c r="LE65" s="782"/>
      <c r="LF65" s="782"/>
      <c r="LG65" s="782"/>
      <c r="LH65" s="782"/>
      <c r="LI65" s="782"/>
      <c r="LJ65" s="782"/>
      <c r="LK65" s="782"/>
      <c r="LL65" s="782"/>
      <c r="LM65" s="782"/>
      <c r="LN65" s="782"/>
      <c r="LO65" s="782"/>
      <c r="LP65" s="782"/>
      <c r="LQ65" s="782"/>
      <c r="LR65" s="782"/>
      <c r="LS65" s="782"/>
      <c r="LT65" s="782"/>
      <c r="LU65" s="782"/>
      <c r="LV65" s="782"/>
      <c r="LW65" s="782"/>
      <c r="LX65" s="782"/>
      <c r="LY65" s="782"/>
      <c r="LZ65" s="782"/>
      <c r="MA65" s="782"/>
      <c r="MB65" s="782"/>
      <c r="MC65" s="782"/>
      <c r="MD65" s="782"/>
      <c r="ME65" s="782"/>
      <c r="MF65" s="782"/>
      <c r="MG65" s="782"/>
      <c r="MH65" s="782"/>
      <c r="MI65" s="782"/>
      <c r="MJ65" s="782"/>
      <c r="MK65" s="782"/>
      <c r="ML65" s="782"/>
      <c r="MM65" s="782"/>
      <c r="MN65" s="782"/>
      <c r="MO65" s="782"/>
      <c r="MP65" s="782"/>
      <c r="MQ65" s="782"/>
      <c r="MR65" s="782"/>
      <c r="MS65" s="782"/>
      <c r="MT65" s="782"/>
      <c r="MU65" s="782"/>
      <c r="MV65" s="782"/>
      <c r="MW65" s="782"/>
      <c r="MX65" s="782"/>
      <c r="MY65" s="782"/>
      <c r="MZ65" s="782"/>
      <c r="NA65" s="782"/>
      <c r="NB65" s="782"/>
      <c r="NC65" s="782"/>
      <c r="ND65" s="782"/>
      <c r="NE65" s="782"/>
      <c r="NF65" s="782"/>
      <c r="NG65" s="782"/>
      <c r="NH65" s="782"/>
      <c r="NI65" s="782"/>
      <c r="NJ65" s="782"/>
      <c r="NK65" s="782"/>
      <c r="NL65" s="782"/>
      <c r="NM65" s="782"/>
      <c r="NN65" s="782"/>
      <c r="NO65" s="782"/>
      <c r="NP65" s="782"/>
      <c r="NQ65" s="782"/>
      <c r="NR65" s="782"/>
      <c r="NS65" s="782"/>
      <c r="NT65" s="782"/>
      <c r="NU65" s="782"/>
      <c r="NV65" s="782"/>
      <c r="NW65" s="782"/>
      <c r="NX65" s="782"/>
      <c r="NY65" s="782"/>
      <c r="NZ65" s="782"/>
      <c r="OA65" s="782"/>
      <c r="OB65" s="782"/>
      <c r="OC65" s="782"/>
      <c r="OD65" s="782"/>
      <c r="OE65" s="782"/>
      <c r="OF65" s="782"/>
      <c r="OG65" s="782"/>
      <c r="OH65" s="782"/>
      <c r="OI65" s="782"/>
      <c r="OJ65" s="782"/>
      <c r="OK65" s="782"/>
      <c r="OL65" s="782"/>
      <c r="OM65" s="782"/>
      <c r="ON65" s="782"/>
      <c r="OO65" s="782"/>
      <c r="OP65" s="782"/>
      <c r="OQ65" s="782"/>
      <c r="OR65" s="782"/>
      <c r="OS65" s="782"/>
      <c r="OT65" s="782"/>
      <c r="OU65" s="782"/>
      <c r="OV65" s="782"/>
      <c r="OW65" s="782"/>
      <c r="OX65" s="782"/>
      <c r="OY65" s="782"/>
      <c r="OZ65" s="782"/>
      <c r="PA65" s="782"/>
      <c r="PB65" s="782"/>
      <c r="PC65" s="782"/>
      <c r="PD65" s="782"/>
      <c r="PE65" s="782"/>
      <c r="PF65" s="782"/>
      <c r="PG65" s="782"/>
      <c r="PH65" s="782"/>
      <c r="PI65" s="782"/>
      <c r="PJ65" s="782"/>
      <c r="PK65" s="782"/>
      <c r="PL65" s="782"/>
      <c r="PM65" s="782"/>
      <c r="PN65" s="782"/>
      <c r="PO65" s="782"/>
      <c r="PP65" s="782"/>
      <c r="PQ65" s="782"/>
      <c r="PR65" s="782"/>
      <c r="PS65" s="782"/>
      <c r="PT65" s="782"/>
      <c r="PU65" s="782"/>
      <c r="PV65" s="782"/>
      <c r="PW65" s="782"/>
      <c r="PX65" s="782"/>
      <c r="PY65" s="782"/>
      <c r="PZ65" s="782"/>
      <c r="QA65" s="782"/>
      <c r="QB65" s="782"/>
      <c r="QC65" s="782"/>
      <c r="QD65" s="782"/>
      <c r="QE65" s="782"/>
      <c r="QF65" s="782"/>
      <c r="QG65" s="782"/>
      <c r="QH65" s="782"/>
      <c r="QI65" s="782"/>
      <c r="QJ65" s="782"/>
      <c r="QK65" s="782"/>
      <c r="QL65" s="782"/>
      <c r="QM65" s="782"/>
      <c r="QN65" s="782"/>
      <c r="QO65" s="782"/>
      <c r="QP65" s="782"/>
      <c r="QQ65" s="782"/>
      <c r="QR65" s="782"/>
      <c r="QS65" s="782"/>
      <c r="QT65" s="782"/>
      <c r="QU65" s="782"/>
      <c r="QV65" s="782"/>
      <c r="QW65" s="782"/>
      <c r="QX65" s="782"/>
      <c r="QY65" s="782"/>
      <c r="QZ65" s="782"/>
      <c r="RA65" s="782"/>
      <c r="RB65" s="782"/>
      <c r="RC65" s="782"/>
      <c r="RD65" s="782"/>
      <c r="RE65" s="782"/>
      <c r="RF65" s="782"/>
      <c r="RG65" s="782"/>
      <c r="RH65" s="782"/>
      <c r="RI65" s="782"/>
      <c r="RJ65" s="782"/>
      <c r="RK65" s="782"/>
      <c r="RL65" s="782"/>
      <c r="RM65" s="782"/>
      <c r="RN65" s="782"/>
      <c r="RO65" s="782"/>
      <c r="RP65" s="782"/>
      <c r="RQ65" s="782"/>
      <c r="RR65" s="782"/>
      <c r="RS65" s="782"/>
      <c r="RT65" s="782"/>
      <c r="RU65" s="782"/>
      <c r="RV65" s="782"/>
      <c r="RW65" s="782"/>
      <c r="RX65" s="782"/>
    </row>
    <row r="66" spans="1:492" s="143" customFormat="1">
      <c r="A66" s="782"/>
      <c r="B66" s="782"/>
      <c r="C66" s="782"/>
      <c r="D66" s="782"/>
      <c r="E66" s="782"/>
      <c r="F66" s="782"/>
      <c r="G66" s="782"/>
      <c r="H66" s="782"/>
      <c r="I66" s="782"/>
      <c r="J66" s="782"/>
      <c r="K66" s="782"/>
      <c r="L66" s="782"/>
      <c r="M66" s="782"/>
      <c r="N66" s="782"/>
      <c r="O66" s="782"/>
      <c r="P66" s="782"/>
      <c r="Q66" s="782"/>
      <c r="R66" s="782"/>
      <c r="S66" s="782"/>
      <c r="T66" s="782"/>
      <c r="U66" s="782"/>
      <c r="V66" s="782"/>
      <c r="W66" s="782"/>
      <c r="X66" s="782"/>
      <c r="Y66" s="782"/>
      <c r="Z66" s="782"/>
      <c r="AA66" s="782"/>
      <c r="AB66" s="782"/>
      <c r="AC66" s="782"/>
      <c r="AD66" s="782"/>
      <c r="AE66" s="782"/>
      <c r="AF66" s="782"/>
      <c r="AG66" s="782"/>
      <c r="AH66" s="782"/>
      <c r="AI66" s="782"/>
      <c r="AJ66" s="782"/>
      <c r="AK66" s="782"/>
      <c r="AL66" s="782"/>
      <c r="AM66" s="785"/>
      <c r="AN66" s="785"/>
      <c r="AO66" s="785"/>
      <c r="AP66" s="785"/>
      <c r="AQ66" s="785"/>
      <c r="AR66" s="785"/>
      <c r="AS66" s="785"/>
      <c r="AT66" s="785"/>
      <c r="AU66" s="785"/>
      <c r="AV66" s="785"/>
      <c r="AW66" s="785"/>
      <c r="AX66" s="785"/>
      <c r="AY66" s="785"/>
      <c r="AZ66" s="785"/>
      <c r="BA66" s="785"/>
      <c r="BB66" s="785"/>
      <c r="BC66" s="785"/>
      <c r="BD66" s="785"/>
      <c r="BE66" s="785"/>
      <c r="BF66" s="785"/>
      <c r="BG66" s="785"/>
      <c r="BH66" s="785"/>
      <c r="BI66" s="785"/>
      <c r="BJ66" s="785"/>
      <c r="BK66" s="785"/>
      <c r="BL66" s="785"/>
      <c r="BM66" s="785"/>
      <c r="BN66" s="785"/>
      <c r="BO66" s="785"/>
      <c r="BP66" s="785"/>
      <c r="BQ66" s="785"/>
      <c r="BR66" s="785"/>
      <c r="BS66" s="785"/>
      <c r="BT66" s="785"/>
      <c r="BU66" s="785"/>
      <c r="BV66" s="785"/>
      <c r="BW66" s="785"/>
      <c r="BX66" s="785"/>
      <c r="BY66" s="785"/>
      <c r="BZ66" s="785"/>
      <c r="CA66" s="782"/>
      <c r="CB66" s="782"/>
      <c r="CC66" s="782"/>
      <c r="CD66" s="782"/>
      <c r="CE66" s="782"/>
      <c r="CF66" s="782"/>
      <c r="CG66" s="782"/>
      <c r="CH66" s="782"/>
      <c r="CI66" s="782"/>
      <c r="CJ66" s="782"/>
      <c r="CK66" s="782"/>
      <c r="CL66" s="782"/>
      <c r="CM66" s="782"/>
      <c r="CN66" s="782"/>
      <c r="CO66" s="782"/>
      <c r="CP66" s="782"/>
      <c r="CQ66" s="782"/>
      <c r="CR66" s="782"/>
      <c r="CS66" s="782"/>
      <c r="CT66" s="782"/>
      <c r="CU66" s="782"/>
      <c r="CV66" s="782"/>
      <c r="CW66" s="782"/>
      <c r="CX66" s="782"/>
      <c r="CY66" s="782"/>
      <c r="CZ66" s="782"/>
      <c r="DA66" s="782"/>
      <c r="DB66" s="782"/>
      <c r="DC66" s="782"/>
      <c r="DD66" s="782"/>
      <c r="DE66" s="782"/>
      <c r="DF66" s="782"/>
      <c r="DG66" s="782"/>
      <c r="DH66" s="782"/>
      <c r="DI66" s="782"/>
      <c r="DJ66" s="782"/>
      <c r="DK66" s="782"/>
      <c r="DL66" s="782"/>
      <c r="DM66" s="782"/>
      <c r="DN66" s="782"/>
      <c r="DO66" s="782"/>
      <c r="DP66" s="782"/>
      <c r="DQ66" s="782"/>
      <c r="DR66" s="782"/>
      <c r="DS66" s="782"/>
      <c r="DT66" s="782"/>
      <c r="DU66" s="782"/>
      <c r="DV66" s="782"/>
      <c r="DW66" s="782"/>
      <c r="DX66" s="782"/>
      <c r="DY66" s="782"/>
      <c r="DZ66" s="782"/>
      <c r="EA66" s="782"/>
      <c r="EB66" s="782"/>
      <c r="EC66" s="782"/>
      <c r="ED66" s="782"/>
      <c r="EE66" s="782"/>
      <c r="EF66" s="782"/>
      <c r="EG66" s="782"/>
      <c r="EH66" s="782"/>
      <c r="EI66" s="782"/>
      <c r="EJ66" s="782"/>
      <c r="EK66" s="782"/>
      <c r="EL66" s="782"/>
      <c r="EM66" s="782"/>
      <c r="EN66" s="782"/>
      <c r="EO66" s="782"/>
      <c r="EP66" s="782"/>
      <c r="EQ66" s="782"/>
      <c r="ER66" s="782"/>
      <c r="ES66" s="782"/>
      <c r="ET66" s="782"/>
      <c r="EU66" s="782"/>
      <c r="EV66" s="782"/>
      <c r="EW66" s="782"/>
      <c r="EX66" s="782"/>
      <c r="EY66" s="782"/>
      <c r="EZ66" s="782"/>
      <c r="FA66" s="782"/>
      <c r="FB66" s="782"/>
      <c r="FC66" s="782"/>
      <c r="FD66" s="782"/>
      <c r="FE66" s="782"/>
      <c r="FF66" s="782"/>
      <c r="FG66" s="782"/>
      <c r="FH66" s="782"/>
      <c r="FI66" s="782"/>
      <c r="FJ66" s="782"/>
      <c r="FK66" s="782"/>
      <c r="FL66" s="782"/>
      <c r="FM66" s="782"/>
      <c r="FN66" s="782"/>
      <c r="FO66" s="782"/>
      <c r="FP66" s="782"/>
      <c r="FQ66" s="782"/>
      <c r="FR66" s="782"/>
      <c r="FS66" s="782"/>
      <c r="FT66" s="782"/>
      <c r="FU66" s="782"/>
      <c r="FV66" s="782"/>
      <c r="FW66" s="782"/>
      <c r="FX66" s="782"/>
      <c r="FY66" s="782"/>
      <c r="FZ66" s="782"/>
      <c r="GA66" s="782"/>
      <c r="GB66" s="782"/>
      <c r="GC66" s="782"/>
      <c r="GD66" s="782"/>
      <c r="GE66" s="782"/>
      <c r="GF66" s="782"/>
      <c r="GG66" s="782"/>
      <c r="GH66" s="782"/>
      <c r="GI66" s="782"/>
      <c r="GJ66" s="782"/>
      <c r="GK66" s="782"/>
      <c r="GL66" s="782"/>
      <c r="GM66" s="782"/>
      <c r="GN66" s="782"/>
      <c r="GO66" s="782"/>
      <c r="GP66" s="782"/>
      <c r="GQ66" s="782"/>
      <c r="GR66" s="782"/>
      <c r="GS66" s="782"/>
      <c r="GT66" s="782"/>
      <c r="GU66" s="782"/>
      <c r="GV66" s="782"/>
      <c r="GW66" s="782"/>
      <c r="GX66" s="782"/>
      <c r="GY66" s="782"/>
      <c r="GZ66" s="782"/>
      <c r="HA66" s="782"/>
      <c r="HB66" s="782"/>
      <c r="HC66" s="782"/>
      <c r="HD66" s="782"/>
      <c r="HE66" s="782"/>
      <c r="HF66" s="782"/>
      <c r="HG66" s="782"/>
      <c r="HH66" s="782"/>
      <c r="HI66" s="782"/>
      <c r="HJ66" s="782"/>
      <c r="HK66" s="782"/>
      <c r="HL66" s="782"/>
      <c r="HM66" s="782"/>
      <c r="HN66" s="782"/>
      <c r="HO66" s="782"/>
      <c r="HP66" s="782"/>
      <c r="HQ66" s="782"/>
      <c r="HR66" s="782"/>
      <c r="HS66" s="782"/>
      <c r="HT66" s="782"/>
      <c r="HU66" s="782"/>
      <c r="HV66" s="782"/>
      <c r="HW66" s="782"/>
      <c r="HX66" s="782"/>
      <c r="HY66" s="782"/>
      <c r="HZ66" s="782"/>
      <c r="IA66" s="782"/>
      <c r="IB66" s="782"/>
      <c r="IC66" s="782"/>
      <c r="ID66" s="782"/>
      <c r="IE66" s="782"/>
      <c r="IF66" s="782"/>
      <c r="IG66" s="782"/>
      <c r="IH66" s="782"/>
      <c r="II66" s="782"/>
      <c r="IJ66" s="782"/>
      <c r="IK66" s="782"/>
      <c r="IL66" s="782"/>
      <c r="IM66" s="782"/>
      <c r="IN66" s="782"/>
      <c r="IO66" s="782"/>
      <c r="IP66" s="782"/>
      <c r="IQ66" s="782"/>
      <c r="IR66" s="782"/>
      <c r="IS66" s="782"/>
      <c r="IT66" s="782"/>
      <c r="IU66" s="782"/>
      <c r="IV66" s="782"/>
      <c r="IW66" s="782"/>
      <c r="IX66" s="782"/>
      <c r="IY66" s="782"/>
      <c r="IZ66" s="782"/>
      <c r="JA66" s="782"/>
      <c r="JB66" s="782"/>
      <c r="JC66" s="782"/>
      <c r="JD66" s="782"/>
      <c r="JE66" s="782"/>
      <c r="JF66" s="782"/>
      <c r="JG66" s="782"/>
      <c r="JH66" s="782"/>
      <c r="JI66" s="782"/>
      <c r="JJ66" s="782"/>
      <c r="JK66" s="782"/>
      <c r="JL66" s="782"/>
      <c r="JM66" s="782"/>
      <c r="JN66" s="782"/>
      <c r="JO66" s="782"/>
      <c r="JP66" s="782"/>
      <c r="JQ66" s="782"/>
      <c r="JR66" s="782"/>
      <c r="JS66" s="782"/>
      <c r="JT66" s="782"/>
      <c r="JU66" s="782"/>
      <c r="JV66" s="782"/>
      <c r="JW66" s="782"/>
      <c r="JX66" s="782"/>
      <c r="JY66" s="782"/>
      <c r="JZ66" s="782"/>
      <c r="KA66" s="782"/>
      <c r="KB66" s="782"/>
      <c r="KC66" s="782"/>
      <c r="KD66" s="782"/>
      <c r="KE66" s="782"/>
      <c r="KF66" s="782"/>
      <c r="KG66" s="782"/>
      <c r="KH66" s="782"/>
      <c r="KI66" s="782"/>
      <c r="KJ66" s="782"/>
      <c r="KK66" s="782"/>
      <c r="KL66" s="782"/>
      <c r="KM66" s="782"/>
      <c r="KN66" s="782"/>
      <c r="KO66" s="782"/>
      <c r="KP66" s="782"/>
      <c r="KQ66" s="782"/>
      <c r="KR66" s="782"/>
      <c r="KS66" s="782"/>
      <c r="KT66" s="782"/>
      <c r="KU66" s="782"/>
      <c r="KV66" s="782"/>
      <c r="KW66" s="782"/>
      <c r="KX66" s="782"/>
      <c r="KY66" s="782"/>
      <c r="KZ66" s="782"/>
      <c r="LA66" s="782"/>
      <c r="LB66" s="782"/>
      <c r="LC66" s="782"/>
      <c r="LD66" s="782"/>
      <c r="LE66" s="782"/>
      <c r="LF66" s="782"/>
      <c r="LG66" s="782"/>
      <c r="LH66" s="782"/>
      <c r="LI66" s="782"/>
      <c r="LJ66" s="782"/>
      <c r="LK66" s="782"/>
      <c r="LL66" s="782"/>
      <c r="LM66" s="782"/>
      <c r="LN66" s="782"/>
      <c r="LO66" s="782"/>
      <c r="LP66" s="782"/>
      <c r="LQ66" s="782"/>
      <c r="LR66" s="782"/>
      <c r="LS66" s="782"/>
      <c r="LT66" s="782"/>
      <c r="LU66" s="782"/>
      <c r="LV66" s="782"/>
      <c r="LW66" s="782"/>
      <c r="LX66" s="782"/>
      <c r="LY66" s="782"/>
      <c r="LZ66" s="782"/>
      <c r="MA66" s="782"/>
      <c r="MB66" s="782"/>
      <c r="MC66" s="782"/>
      <c r="MD66" s="782"/>
      <c r="ME66" s="782"/>
      <c r="MF66" s="782"/>
      <c r="MG66" s="782"/>
      <c r="MH66" s="782"/>
      <c r="MI66" s="782"/>
      <c r="MJ66" s="782"/>
      <c r="MK66" s="782"/>
      <c r="ML66" s="782"/>
      <c r="MM66" s="782"/>
      <c r="MN66" s="782"/>
      <c r="MO66" s="782"/>
      <c r="MP66" s="782"/>
      <c r="MQ66" s="782"/>
      <c r="MR66" s="782"/>
      <c r="MS66" s="782"/>
      <c r="MT66" s="782"/>
      <c r="MU66" s="782"/>
      <c r="MV66" s="782"/>
      <c r="MW66" s="782"/>
      <c r="MX66" s="782"/>
      <c r="MY66" s="782"/>
      <c r="MZ66" s="782"/>
      <c r="NA66" s="782"/>
      <c r="NB66" s="782"/>
      <c r="NC66" s="782"/>
      <c r="ND66" s="782"/>
      <c r="NE66" s="782"/>
      <c r="NF66" s="782"/>
      <c r="NG66" s="782"/>
      <c r="NH66" s="782"/>
      <c r="NI66" s="782"/>
      <c r="NJ66" s="782"/>
      <c r="NK66" s="782"/>
      <c r="NL66" s="782"/>
      <c r="NM66" s="782"/>
      <c r="NN66" s="782"/>
      <c r="NO66" s="782"/>
      <c r="NP66" s="782"/>
      <c r="NQ66" s="782"/>
      <c r="NR66" s="782"/>
      <c r="NS66" s="782"/>
      <c r="NT66" s="782"/>
      <c r="NU66" s="782"/>
      <c r="NV66" s="782"/>
      <c r="NW66" s="782"/>
      <c r="NX66" s="782"/>
      <c r="NY66" s="782"/>
      <c r="NZ66" s="782"/>
      <c r="OA66" s="782"/>
      <c r="OB66" s="782"/>
      <c r="OC66" s="782"/>
      <c r="OD66" s="782"/>
      <c r="OE66" s="782"/>
      <c r="OF66" s="782"/>
      <c r="OG66" s="782"/>
      <c r="OH66" s="782"/>
      <c r="OI66" s="782"/>
      <c r="OJ66" s="782"/>
      <c r="OK66" s="782"/>
      <c r="OL66" s="782"/>
      <c r="OM66" s="782"/>
      <c r="ON66" s="782"/>
      <c r="OO66" s="782"/>
      <c r="OP66" s="782"/>
      <c r="OQ66" s="782"/>
      <c r="OR66" s="782"/>
      <c r="OS66" s="782"/>
      <c r="OT66" s="782"/>
      <c r="OU66" s="782"/>
      <c r="OV66" s="782"/>
      <c r="OW66" s="782"/>
      <c r="OX66" s="782"/>
      <c r="OY66" s="782"/>
      <c r="OZ66" s="782"/>
      <c r="PA66" s="782"/>
      <c r="PB66" s="782"/>
      <c r="PC66" s="782"/>
      <c r="PD66" s="782"/>
      <c r="PE66" s="782"/>
      <c r="PF66" s="782"/>
      <c r="PG66" s="782"/>
      <c r="PH66" s="782"/>
      <c r="PI66" s="782"/>
      <c r="PJ66" s="782"/>
      <c r="PK66" s="782"/>
      <c r="PL66" s="782"/>
      <c r="PM66" s="782"/>
      <c r="PN66" s="782"/>
      <c r="PO66" s="782"/>
      <c r="PP66" s="782"/>
      <c r="PQ66" s="782"/>
      <c r="PR66" s="782"/>
      <c r="PS66" s="782"/>
      <c r="PT66" s="782"/>
      <c r="PU66" s="782"/>
      <c r="PV66" s="782"/>
      <c r="PW66" s="782"/>
      <c r="PX66" s="782"/>
      <c r="PY66" s="782"/>
      <c r="PZ66" s="782"/>
      <c r="QA66" s="782"/>
      <c r="QB66" s="782"/>
      <c r="QC66" s="782"/>
      <c r="QD66" s="782"/>
      <c r="QE66" s="782"/>
      <c r="QF66" s="782"/>
      <c r="QG66" s="782"/>
      <c r="QH66" s="782"/>
      <c r="QI66" s="782"/>
      <c r="QJ66" s="782"/>
      <c r="QK66" s="782"/>
      <c r="QL66" s="782"/>
      <c r="QM66" s="782"/>
      <c r="QN66" s="782"/>
      <c r="QO66" s="782"/>
      <c r="QP66" s="782"/>
      <c r="QQ66" s="782"/>
      <c r="QR66" s="782"/>
      <c r="QS66" s="782"/>
      <c r="QT66" s="782"/>
      <c r="QU66" s="782"/>
      <c r="QV66" s="782"/>
      <c r="QW66" s="782"/>
      <c r="QX66" s="782"/>
      <c r="QY66" s="782"/>
      <c r="QZ66" s="782"/>
      <c r="RA66" s="782"/>
      <c r="RB66" s="782"/>
      <c r="RC66" s="782"/>
      <c r="RD66" s="782"/>
      <c r="RE66" s="782"/>
      <c r="RF66" s="782"/>
      <c r="RG66" s="782"/>
      <c r="RH66" s="782"/>
      <c r="RI66" s="782"/>
      <c r="RJ66" s="782"/>
      <c r="RK66" s="782"/>
      <c r="RL66" s="782"/>
      <c r="RM66" s="782"/>
      <c r="RN66" s="782"/>
      <c r="RO66" s="782"/>
      <c r="RP66" s="782"/>
      <c r="RQ66" s="782"/>
      <c r="RR66" s="782"/>
      <c r="RS66" s="782"/>
      <c r="RT66" s="782"/>
      <c r="RU66" s="782"/>
      <c r="RV66" s="782"/>
      <c r="RW66" s="782"/>
      <c r="RX66" s="782"/>
    </row>
    <row r="67" spans="1:492" s="143" customFormat="1">
      <c r="A67" s="782"/>
      <c r="B67" s="782"/>
      <c r="C67" s="782"/>
      <c r="D67" s="782"/>
      <c r="E67" s="782"/>
      <c r="F67" s="782"/>
      <c r="G67" s="782"/>
      <c r="H67" s="782"/>
      <c r="I67" s="782"/>
      <c r="J67" s="782"/>
      <c r="K67" s="782"/>
      <c r="L67" s="782"/>
      <c r="M67" s="782"/>
      <c r="N67" s="782"/>
      <c r="O67" s="782"/>
      <c r="P67" s="782"/>
      <c r="Q67" s="782"/>
      <c r="R67" s="782"/>
      <c r="S67" s="782"/>
      <c r="T67" s="782"/>
      <c r="U67" s="782"/>
      <c r="V67" s="782"/>
      <c r="W67" s="782"/>
      <c r="X67" s="782"/>
      <c r="Y67" s="782"/>
      <c r="Z67" s="782"/>
      <c r="AA67" s="782"/>
      <c r="AB67" s="782"/>
      <c r="AC67" s="782"/>
      <c r="AD67" s="782"/>
      <c r="AE67" s="782"/>
      <c r="AF67" s="782"/>
      <c r="AG67" s="782"/>
      <c r="AH67" s="782"/>
      <c r="AI67" s="782"/>
      <c r="AJ67" s="782"/>
      <c r="AK67" s="782"/>
      <c r="AL67" s="782"/>
      <c r="AM67" s="785"/>
      <c r="AN67" s="785"/>
      <c r="AO67" s="785"/>
      <c r="AP67" s="785"/>
      <c r="AQ67" s="785"/>
      <c r="AR67" s="785"/>
      <c r="AS67" s="785"/>
      <c r="AT67" s="785"/>
      <c r="AU67" s="785"/>
      <c r="AV67" s="785"/>
      <c r="AW67" s="785"/>
      <c r="AX67" s="785"/>
      <c r="AY67" s="785"/>
      <c r="AZ67" s="785"/>
      <c r="BA67" s="785"/>
      <c r="BB67" s="785"/>
      <c r="BC67" s="785"/>
      <c r="BD67" s="785"/>
      <c r="BE67" s="785"/>
      <c r="BF67" s="785"/>
      <c r="BG67" s="785"/>
      <c r="BH67" s="785"/>
      <c r="BI67" s="785"/>
      <c r="BJ67" s="785"/>
      <c r="BK67" s="785"/>
      <c r="BL67" s="785"/>
      <c r="BM67" s="785"/>
      <c r="BN67" s="785"/>
      <c r="BO67" s="785"/>
      <c r="BP67" s="785"/>
      <c r="BQ67" s="785"/>
      <c r="BR67" s="785"/>
      <c r="BS67" s="785"/>
      <c r="BT67" s="785"/>
      <c r="BU67" s="785"/>
      <c r="BV67" s="785"/>
      <c r="BW67" s="785"/>
      <c r="BX67" s="785"/>
      <c r="BY67" s="785"/>
      <c r="BZ67" s="785"/>
      <c r="CA67" s="782"/>
      <c r="CB67" s="782"/>
      <c r="CC67" s="782"/>
      <c r="CD67" s="782"/>
      <c r="CE67" s="782"/>
      <c r="CF67" s="782"/>
      <c r="CG67" s="782"/>
      <c r="CH67" s="782"/>
      <c r="CI67" s="782"/>
      <c r="CJ67" s="782"/>
      <c r="CK67" s="782"/>
      <c r="CL67" s="782"/>
      <c r="CM67" s="782"/>
      <c r="CN67" s="782"/>
      <c r="CO67" s="782"/>
      <c r="CP67" s="782"/>
      <c r="CQ67" s="782"/>
      <c r="CR67" s="782"/>
      <c r="CS67" s="782"/>
      <c r="CT67" s="782"/>
      <c r="CU67" s="782"/>
      <c r="CV67" s="782"/>
      <c r="CW67" s="782"/>
      <c r="CX67" s="782"/>
      <c r="CY67" s="782"/>
      <c r="CZ67" s="782"/>
      <c r="DA67" s="782"/>
      <c r="DB67" s="782"/>
      <c r="DC67" s="782"/>
      <c r="DD67" s="782"/>
      <c r="DE67" s="782"/>
      <c r="DF67" s="782"/>
      <c r="DG67" s="782"/>
      <c r="DH67" s="782"/>
      <c r="DI67" s="782"/>
      <c r="DJ67" s="782"/>
      <c r="DK67" s="782"/>
      <c r="DL67" s="782"/>
      <c r="DM67" s="782"/>
      <c r="DN67" s="782"/>
      <c r="DO67" s="782"/>
      <c r="DP67" s="782"/>
      <c r="DQ67" s="782"/>
      <c r="DR67" s="782"/>
      <c r="DS67" s="782"/>
      <c r="DT67" s="782"/>
      <c r="DU67" s="782"/>
      <c r="DV67" s="782"/>
      <c r="DW67" s="782"/>
      <c r="DX67" s="782"/>
      <c r="DY67" s="782"/>
      <c r="DZ67" s="782"/>
      <c r="EA67" s="782"/>
      <c r="EB67" s="782"/>
      <c r="EC67" s="782"/>
      <c r="ED67" s="782"/>
      <c r="EE67" s="782"/>
      <c r="EF67" s="782"/>
      <c r="EG67" s="782"/>
      <c r="EH67" s="782"/>
      <c r="EI67" s="782"/>
      <c r="EJ67" s="782"/>
      <c r="EK67" s="782"/>
      <c r="EL67" s="782"/>
      <c r="EM67" s="782"/>
      <c r="EN67" s="782"/>
      <c r="EO67" s="782"/>
      <c r="EP67" s="782"/>
      <c r="EQ67" s="782"/>
      <c r="ER67" s="782"/>
      <c r="ES67" s="782"/>
      <c r="ET67" s="782"/>
      <c r="EU67" s="782"/>
      <c r="EV67" s="782"/>
      <c r="EW67" s="782"/>
      <c r="EX67" s="782"/>
      <c r="EY67" s="782"/>
      <c r="EZ67" s="782"/>
      <c r="FA67" s="782"/>
      <c r="FB67" s="782"/>
      <c r="FC67" s="782"/>
      <c r="FD67" s="782"/>
      <c r="FE67" s="782"/>
      <c r="FF67" s="782"/>
      <c r="FG67" s="782"/>
      <c r="FH67" s="782"/>
      <c r="FI67" s="782"/>
      <c r="FJ67" s="782"/>
      <c r="FK67" s="782"/>
      <c r="FL67" s="782"/>
      <c r="FM67" s="782"/>
      <c r="FN67" s="782"/>
      <c r="FO67" s="782"/>
      <c r="FP67" s="782"/>
      <c r="FQ67" s="782"/>
      <c r="FR67" s="782"/>
      <c r="FS67" s="782"/>
      <c r="FT67" s="782"/>
      <c r="FU67" s="782"/>
      <c r="FV67" s="782"/>
      <c r="FW67" s="782"/>
      <c r="FX67" s="782"/>
      <c r="FY67" s="782"/>
      <c r="FZ67" s="782"/>
      <c r="GA67" s="782"/>
      <c r="GB67" s="782"/>
      <c r="GC67" s="782"/>
      <c r="GD67" s="782"/>
      <c r="GE67" s="782"/>
      <c r="GF67" s="782"/>
      <c r="GG67" s="782"/>
      <c r="GH67" s="782"/>
      <c r="GI67" s="782"/>
      <c r="GJ67" s="782"/>
      <c r="GK67" s="782"/>
      <c r="GL67" s="782"/>
      <c r="GM67" s="782"/>
      <c r="GN67" s="782"/>
      <c r="GO67" s="782"/>
      <c r="GP67" s="782"/>
      <c r="GQ67" s="782"/>
      <c r="GR67" s="782"/>
      <c r="GS67" s="782"/>
      <c r="GT67" s="782"/>
      <c r="GU67" s="782"/>
      <c r="GV67" s="782"/>
      <c r="GW67" s="782"/>
      <c r="GX67" s="782"/>
      <c r="GY67" s="782"/>
      <c r="GZ67" s="782"/>
      <c r="HA67" s="782"/>
      <c r="HB67" s="782"/>
      <c r="HC67" s="782"/>
      <c r="HD67" s="782"/>
      <c r="HE67" s="782"/>
      <c r="HF67" s="782"/>
      <c r="HG67" s="782"/>
      <c r="HH67" s="782"/>
      <c r="HI67" s="782"/>
      <c r="HJ67" s="782"/>
      <c r="HK67" s="782"/>
      <c r="HL67" s="782"/>
      <c r="HM67" s="782"/>
      <c r="HN67" s="782"/>
      <c r="HO67" s="782"/>
      <c r="HP67" s="782"/>
      <c r="HQ67" s="782"/>
      <c r="HR67" s="782"/>
      <c r="HS67" s="782"/>
      <c r="HT67" s="782"/>
      <c r="HU67" s="782"/>
      <c r="HV67" s="782"/>
      <c r="HW67" s="782"/>
      <c r="HX67" s="782"/>
      <c r="HY67" s="782"/>
      <c r="HZ67" s="782"/>
      <c r="IA67" s="782"/>
      <c r="IB67" s="782"/>
      <c r="IC67" s="782"/>
      <c r="ID67" s="782"/>
      <c r="IE67" s="782"/>
      <c r="IF67" s="782"/>
      <c r="IG67" s="782"/>
      <c r="IH67" s="782"/>
      <c r="II67" s="782"/>
      <c r="IJ67" s="782"/>
      <c r="IK67" s="782"/>
      <c r="IL67" s="782"/>
      <c r="IM67" s="782"/>
      <c r="IN67" s="782"/>
      <c r="IO67" s="782"/>
      <c r="IP67" s="782"/>
      <c r="IQ67" s="782"/>
      <c r="IR67" s="782"/>
      <c r="IS67" s="782"/>
      <c r="IT67" s="782"/>
      <c r="IU67" s="782"/>
      <c r="IV67" s="782"/>
      <c r="IW67" s="782"/>
      <c r="IX67" s="782"/>
      <c r="IY67" s="782"/>
      <c r="IZ67" s="782"/>
      <c r="JA67" s="782"/>
      <c r="JB67" s="782"/>
      <c r="JC67" s="782"/>
      <c r="JD67" s="782"/>
      <c r="JE67" s="782"/>
      <c r="JF67" s="782"/>
      <c r="JG67" s="782"/>
      <c r="JH67" s="782"/>
      <c r="JI67" s="782"/>
      <c r="JJ67" s="782"/>
      <c r="JK67" s="782"/>
      <c r="JL67" s="782"/>
      <c r="JM67" s="782"/>
      <c r="JN67" s="782"/>
      <c r="JO67" s="782"/>
      <c r="JP67" s="782"/>
      <c r="JQ67" s="782"/>
      <c r="JR67" s="782"/>
      <c r="JS67" s="782"/>
      <c r="JT67" s="782"/>
      <c r="JU67" s="782"/>
      <c r="JV67" s="782"/>
      <c r="JW67" s="782"/>
      <c r="JX67" s="782"/>
      <c r="JY67" s="782"/>
      <c r="JZ67" s="782"/>
      <c r="KA67" s="782"/>
      <c r="KB67" s="782"/>
      <c r="KC67" s="782"/>
      <c r="KD67" s="782"/>
      <c r="KE67" s="782"/>
      <c r="KF67" s="782"/>
      <c r="KG67" s="782"/>
      <c r="KH67" s="782"/>
      <c r="KI67" s="782"/>
      <c r="KJ67" s="782"/>
      <c r="KK67" s="782"/>
      <c r="KL67" s="782"/>
      <c r="KM67" s="782"/>
      <c r="KN67" s="782"/>
      <c r="KO67" s="782"/>
      <c r="KP67" s="782"/>
      <c r="KQ67" s="782"/>
      <c r="KR67" s="782"/>
      <c r="KS67" s="782"/>
      <c r="KT67" s="782"/>
      <c r="KU67" s="782"/>
      <c r="KV67" s="782"/>
      <c r="KW67" s="782"/>
      <c r="KX67" s="782"/>
      <c r="KY67" s="782"/>
      <c r="KZ67" s="782"/>
      <c r="LA67" s="782"/>
      <c r="LB67" s="782"/>
      <c r="LC67" s="782"/>
      <c r="LD67" s="782"/>
      <c r="LE67" s="782"/>
      <c r="LF67" s="782"/>
      <c r="LG67" s="782"/>
      <c r="LH67" s="782"/>
      <c r="LI67" s="782"/>
      <c r="LJ67" s="782"/>
      <c r="LK67" s="782"/>
      <c r="LL67" s="782"/>
      <c r="LM67" s="782"/>
      <c r="LN67" s="782"/>
      <c r="LO67" s="782"/>
      <c r="LP67" s="782"/>
      <c r="LQ67" s="782"/>
      <c r="LR67" s="782"/>
      <c r="LS67" s="782"/>
      <c r="LT67" s="782"/>
      <c r="LU67" s="782"/>
      <c r="LV67" s="782"/>
      <c r="LW67" s="782"/>
      <c r="LX67" s="782"/>
      <c r="LY67" s="782"/>
      <c r="LZ67" s="782"/>
      <c r="MA67" s="782"/>
      <c r="MB67" s="782"/>
      <c r="MC67" s="782"/>
      <c r="MD67" s="782"/>
      <c r="ME67" s="782"/>
      <c r="MF67" s="782"/>
      <c r="MG67" s="782"/>
      <c r="MH67" s="782"/>
      <c r="MI67" s="782"/>
      <c r="MJ67" s="782"/>
      <c r="MK67" s="782"/>
      <c r="ML67" s="782"/>
      <c r="MM67" s="782"/>
      <c r="MN67" s="782"/>
      <c r="MO67" s="782"/>
      <c r="MP67" s="782"/>
      <c r="MQ67" s="782"/>
      <c r="MR67" s="782"/>
      <c r="MS67" s="782"/>
      <c r="MT67" s="782"/>
      <c r="MU67" s="782"/>
      <c r="MV67" s="782"/>
      <c r="MW67" s="782"/>
      <c r="MX67" s="782"/>
      <c r="MY67" s="782"/>
      <c r="MZ67" s="782"/>
      <c r="NA67" s="782"/>
      <c r="NB67" s="782"/>
      <c r="NC67" s="782"/>
      <c r="ND67" s="782"/>
      <c r="NE67" s="782"/>
      <c r="NF67" s="782"/>
      <c r="NG67" s="782"/>
      <c r="NH67" s="782"/>
      <c r="NI67" s="782"/>
      <c r="NJ67" s="782"/>
      <c r="NK67" s="782"/>
      <c r="NL67" s="782"/>
      <c r="NM67" s="782"/>
      <c r="NN67" s="782"/>
      <c r="NO67" s="782"/>
      <c r="NP67" s="782"/>
      <c r="NQ67" s="782"/>
      <c r="NR67" s="782"/>
      <c r="NS67" s="782"/>
      <c r="NT67" s="782"/>
      <c r="NU67" s="782"/>
      <c r="NV67" s="782"/>
      <c r="NW67" s="782"/>
      <c r="NX67" s="782"/>
      <c r="NY67" s="782"/>
      <c r="NZ67" s="782"/>
      <c r="OA67" s="782"/>
      <c r="OB67" s="782"/>
      <c r="OC67" s="782"/>
      <c r="OD67" s="782"/>
      <c r="OE67" s="782"/>
      <c r="OF67" s="782"/>
      <c r="OG67" s="782"/>
      <c r="OH67" s="782"/>
      <c r="OI67" s="782"/>
      <c r="OJ67" s="782"/>
      <c r="OK67" s="782"/>
      <c r="OL67" s="782"/>
      <c r="OM67" s="782"/>
      <c r="ON67" s="782"/>
      <c r="OO67" s="782"/>
      <c r="OP67" s="782"/>
      <c r="OQ67" s="782"/>
      <c r="OR67" s="782"/>
      <c r="OS67" s="782"/>
      <c r="OT67" s="782"/>
      <c r="OU67" s="782"/>
      <c r="OV67" s="782"/>
      <c r="OW67" s="782"/>
      <c r="OX67" s="782"/>
      <c r="OY67" s="782"/>
      <c r="OZ67" s="782"/>
      <c r="PA67" s="782"/>
      <c r="PB67" s="782"/>
      <c r="PC67" s="782"/>
      <c r="PD67" s="782"/>
      <c r="PE67" s="782"/>
      <c r="PF67" s="782"/>
      <c r="PG67" s="782"/>
      <c r="PH67" s="782"/>
      <c r="PI67" s="782"/>
      <c r="PJ67" s="782"/>
      <c r="PK67" s="782"/>
      <c r="PL67" s="782"/>
      <c r="PM67" s="782"/>
      <c r="PN67" s="782"/>
      <c r="PO67" s="782"/>
      <c r="PP67" s="782"/>
      <c r="PQ67" s="782"/>
      <c r="PR67" s="782"/>
      <c r="PS67" s="782"/>
      <c r="PT67" s="782"/>
      <c r="PU67" s="782"/>
      <c r="PV67" s="782"/>
      <c r="PW67" s="782"/>
      <c r="PX67" s="782"/>
      <c r="PY67" s="782"/>
      <c r="PZ67" s="782"/>
      <c r="QA67" s="782"/>
      <c r="QB67" s="782"/>
      <c r="QC67" s="782"/>
      <c r="QD67" s="782"/>
      <c r="QE67" s="782"/>
      <c r="QF67" s="782"/>
      <c r="QG67" s="782"/>
      <c r="QH67" s="782"/>
      <c r="QI67" s="782"/>
      <c r="QJ67" s="782"/>
      <c r="QK67" s="782"/>
      <c r="QL67" s="782"/>
      <c r="QM67" s="782"/>
      <c r="QN67" s="782"/>
      <c r="QO67" s="782"/>
      <c r="QP67" s="782"/>
      <c r="QQ67" s="782"/>
      <c r="QR67" s="782"/>
      <c r="QS67" s="782"/>
      <c r="QT67" s="782"/>
      <c r="QU67" s="782"/>
      <c r="QV67" s="782"/>
      <c r="QW67" s="782"/>
      <c r="QX67" s="782"/>
      <c r="QY67" s="782"/>
      <c r="QZ67" s="782"/>
      <c r="RA67" s="782"/>
      <c r="RB67" s="782"/>
      <c r="RC67" s="782"/>
      <c r="RD67" s="782"/>
      <c r="RE67" s="782"/>
      <c r="RF67" s="782"/>
      <c r="RG67" s="782"/>
      <c r="RH67" s="782"/>
      <c r="RI67" s="782"/>
      <c r="RJ67" s="782"/>
      <c r="RK67" s="782"/>
      <c r="RL67" s="782"/>
      <c r="RM67" s="782"/>
      <c r="RN67" s="782"/>
      <c r="RO67" s="782"/>
      <c r="RP67" s="782"/>
      <c r="RQ67" s="782"/>
      <c r="RR67" s="782"/>
      <c r="RS67" s="782"/>
      <c r="RT67" s="782"/>
      <c r="RU67" s="782"/>
      <c r="RV67" s="782"/>
      <c r="RW67" s="782"/>
      <c r="RX67" s="782"/>
    </row>
    <row r="68" spans="1:492" s="143" customFormat="1">
      <c r="A68" s="782"/>
      <c r="B68" s="782"/>
      <c r="C68" s="782"/>
      <c r="D68" s="782"/>
      <c r="E68" s="782"/>
      <c r="F68" s="782"/>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2"/>
      <c r="AL68" s="782"/>
      <c r="AM68" s="785"/>
      <c r="AN68" s="785"/>
      <c r="AO68" s="785"/>
      <c r="AP68" s="785"/>
      <c r="AQ68" s="785"/>
      <c r="AR68" s="785"/>
      <c r="AS68" s="785"/>
      <c r="AT68" s="785"/>
      <c r="AU68" s="785"/>
      <c r="AV68" s="785"/>
      <c r="AW68" s="785"/>
      <c r="AX68" s="785"/>
      <c r="AY68" s="785"/>
      <c r="AZ68" s="785"/>
      <c r="BA68" s="785"/>
      <c r="BB68" s="785"/>
      <c r="BC68" s="785"/>
      <c r="BD68" s="785"/>
      <c r="BE68" s="785"/>
      <c r="BF68" s="785"/>
      <c r="BG68" s="785"/>
      <c r="BH68" s="785"/>
      <c r="BI68" s="785"/>
      <c r="BJ68" s="785"/>
      <c r="BK68" s="785"/>
      <c r="BL68" s="785"/>
      <c r="BM68" s="785"/>
      <c r="BN68" s="785"/>
      <c r="BO68" s="785"/>
      <c r="BP68" s="785"/>
      <c r="BQ68" s="785"/>
      <c r="BR68" s="785"/>
      <c r="BS68" s="785"/>
      <c r="BT68" s="785"/>
      <c r="BU68" s="785"/>
      <c r="BV68" s="785"/>
      <c r="BW68" s="785"/>
      <c r="BX68" s="785"/>
      <c r="BY68" s="785"/>
      <c r="BZ68" s="785"/>
      <c r="CA68" s="782"/>
      <c r="CB68" s="782"/>
      <c r="CC68" s="782"/>
      <c r="CD68" s="782"/>
      <c r="CE68" s="782"/>
      <c r="CF68" s="782"/>
      <c r="CG68" s="782"/>
      <c r="CH68" s="782"/>
      <c r="CI68" s="782"/>
      <c r="CJ68" s="782"/>
      <c r="CK68" s="782"/>
      <c r="CL68" s="782"/>
      <c r="CM68" s="782"/>
      <c r="CN68" s="782"/>
      <c r="CO68" s="782"/>
      <c r="CP68" s="782"/>
      <c r="CQ68" s="782"/>
      <c r="CR68" s="782"/>
      <c r="CS68" s="782"/>
      <c r="CT68" s="782"/>
      <c r="CU68" s="782"/>
      <c r="CV68" s="782"/>
      <c r="CW68" s="782"/>
      <c r="CX68" s="782"/>
      <c r="CY68" s="782"/>
      <c r="CZ68" s="782"/>
      <c r="DA68" s="782"/>
      <c r="DB68" s="782"/>
      <c r="DC68" s="782"/>
      <c r="DD68" s="782"/>
      <c r="DE68" s="782"/>
      <c r="DF68" s="782"/>
      <c r="DG68" s="782"/>
      <c r="DH68" s="782"/>
      <c r="DI68" s="782"/>
      <c r="DJ68" s="782"/>
      <c r="DK68" s="782"/>
      <c r="DL68" s="782"/>
      <c r="DM68" s="782"/>
      <c r="DN68" s="782"/>
      <c r="DO68" s="782"/>
      <c r="DP68" s="782"/>
      <c r="DQ68" s="782"/>
      <c r="DR68" s="782"/>
      <c r="DS68" s="782"/>
      <c r="DT68" s="782"/>
      <c r="DU68" s="782"/>
      <c r="DV68" s="782"/>
      <c r="DW68" s="782"/>
      <c r="DX68" s="782"/>
      <c r="DY68" s="782"/>
      <c r="DZ68" s="782"/>
      <c r="EA68" s="782"/>
      <c r="EB68" s="782"/>
      <c r="EC68" s="782"/>
      <c r="ED68" s="782"/>
      <c r="EE68" s="782"/>
      <c r="EF68" s="782"/>
      <c r="EG68" s="782"/>
      <c r="EH68" s="782"/>
      <c r="EI68" s="782"/>
      <c r="EJ68" s="782"/>
      <c r="EK68" s="782"/>
      <c r="EL68" s="782"/>
      <c r="EM68" s="782"/>
      <c r="EN68" s="782"/>
      <c r="EO68" s="782"/>
      <c r="EP68" s="782"/>
      <c r="EQ68" s="782"/>
      <c r="ER68" s="782"/>
      <c r="ES68" s="782"/>
      <c r="ET68" s="782"/>
      <c r="EU68" s="782"/>
      <c r="EV68" s="782"/>
      <c r="EW68" s="782"/>
      <c r="EX68" s="782"/>
      <c r="EY68" s="782"/>
      <c r="EZ68" s="782"/>
      <c r="FA68" s="782"/>
      <c r="FB68" s="782"/>
      <c r="FC68" s="782"/>
      <c r="FD68" s="782"/>
      <c r="FE68" s="782"/>
      <c r="FF68" s="782"/>
      <c r="FG68" s="782"/>
      <c r="FH68" s="782"/>
      <c r="FI68" s="782"/>
      <c r="FJ68" s="782"/>
      <c r="FK68" s="782"/>
      <c r="FL68" s="782"/>
      <c r="FM68" s="782"/>
      <c r="FN68" s="782"/>
      <c r="FO68" s="782"/>
      <c r="FP68" s="782"/>
      <c r="FQ68" s="782"/>
      <c r="FR68" s="782"/>
      <c r="FS68" s="782"/>
      <c r="FT68" s="782"/>
      <c r="FU68" s="782"/>
      <c r="FV68" s="782"/>
      <c r="FW68" s="782"/>
      <c r="FX68" s="782"/>
      <c r="FY68" s="782"/>
      <c r="FZ68" s="782"/>
      <c r="GA68" s="782"/>
      <c r="GB68" s="782"/>
      <c r="GC68" s="782"/>
      <c r="GD68" s="782"/>
      <c r="GE68" s="782"/>
      <c r="GF68" s="782"/>
      <c r="GG68" s="782"/>
      <c r="GH68" s="782"/>
      <c r="GI68" s="782"/>
      <c r="GJ68" s="782"/>
      <c r="GK68" s="782"/>
      <c r="GL68" s="782"/>
      <c r="GM68" s="782"/>
      <c r="GN68" s="782"/>
      <c r="GO68" s="782"/>
      <c r="GP68" s="782"/>
      <c r="GQ68" s="782"/>
      <c r="GR68" s="782"/>
      <c r="GS68" s="782"/>
      <c r="GT68" s="782"/>
      <c r="GU68" s="782"/>
      <c r="GV68" s="782"/>
      <c r="GW68" s="782"/>
      <c r="GX68" s="782"/>
      <c r="GY68" s="782"/>
      <c r="GZ68" s="782"/>
      <c r="HA68" s="782"/>
      <c r="HB68" s="782"/>
      <c r="HC68" s="782"/>
      <c r="HD68" s="782"/>
      <c r="HE68" s="782"/>
      <c r="HF68" s="782"/>
      <c r="HG68" s="782"/>
      <c r="HH68" s="782"/>
      <c r="HI68" s="782"/>
      <c r="HJ68" s="782"/>
      <c r="HK68" s="782"/>
      <c r="HL68" s="782"/>
      <c r="HM68" s="782"/>
      <c r="HN68" s="782"/>
      <c r="HO68" s="782"/>
      <c r="HP68" s="782"/>
      <c r="HQ68" s="782"/>
      <c r="HR68" s="782"/>
      <c r="HS68" s="782"/>
      <c r="HT68" s="782"/>
      <c r="HU68" s="782"/>
      <c r="HV68" s="782"/>
      <c r="HW68" s="782"/>
      <c r="HX68" s="782"/>
      <c r="HY68" s="782"/>
      <c r="HZ68" s="782"/>
      <c r="IA68" s="782"/>
      <c r="IB68" s="782"/>
      <c r="IC68" s="782"/>
      <c r="ID68" s="782"/>
      <c r="IE68" s="782"/>
      <c r="IF68" s="782"/>
      <c r="IG68" s="782"/>
      <c r="IH68" s="782"/>
      <c r="II68" s="782"/>
      <c r="IJ68" s="782"/>
      <c r="IK68" s="782"/>
      <c r="IL68" s="782"/>
      <c r="IM68" s="782"/>
      <c r="IN68" s="782"/>
      <c r="IO68" s="782"/>
      <c r="IP68" s="782"/>
      <c r="IQ68" s="782"/>
      <c r="IR68" s="782"/>
      <c r="IS68" s="782"/>
      <c r="IT68" s="782"/>
      <c r="IU68" s="782"/>
      <c r="IV68" s="782"/>
      <c r="IW68" s="782"/>
      <c r="IX68" s="782"/>
      <c r="IY68" s="782"/>
      <c r="IZ68" s="782"/>
      <c r="JA68" s="782"/>
      <c r="JB68" s="782"/>
      <c r="JC68" s="782"/>
      <c r="JD68" s="782"/>
      <c r="JE68" s="782"/>
      <c r="JF68" s="782"/>
      <c r="JG68" s="782"/>
      <c r="JH68" s="782"/>
      <c r="JI68" s="782"/>
      <c r="JJ68" s="782"/>
      <c r="JK68" s="782"/>
      <c r="JL68" s="782"/>
      <c r="JM68" s="782"/>
      <c r="JN68" s="782"/>
      <c r="JO68" s="782"/>
      <c r="JP68" s="782"/>
      <c r="JQ68" s="782"/>
      <c r="JR68" s="782"/>
      <c r="JS68" s="782"/>
      <c r="JT68" s="782"/>
      <c r="JU68" s="782"/>
      <c r="JV68" s="782"/>
      <c r="JW68" s="782"/>
      <c r="JX68" s="782"/>
      <c r="JY68" s="782"/>
      <c r="JZ68" s="782"/>
      <c r="KA68" s="782"/>
      <c r="KB68" s="782"/>
      <c r="KC68" s="782"/>
      <c r="KD68" s="782"/>
      <c r="KE68" s="782"/>
      <c r="KF68" s="782"/>
      <c r="KG68" s="782"/>
      <c r="KH68" s="782"/>
      <c r="KI68" s="782"/>
      <c r="KJ68" s="782"/>
      <c r="KK68" s="782"/>
      <c r="KL68" s="782"/>
      <c r="KM68" s="782"/>
      <c r="KN68" s="782"/>
      <c r="KO68" s="782"/>
      <c r="KP68" s="782"/>
      <c r="KQ68" s="782"/>
      <c r="KR68" s="782"/>
      <c r="KS68" s="782"/>
      <c r="KT68" s="782"/>
      <c r="KU68" s="782"/>
      <c r="KV68" s="782"/>
      <c r="KW68" s="782"/>
      <c r="KX68" s="782"/>
      <c r="KY68" s="782"/>
      <c r="KZ68" s="782"/>
      <c r="LA68" s="782"/>
      <c r="LB68" s="782"/>
      <c r="LC68" s="782"/>
      <c r="LD68" s="782"/>
      <c r="LE68" s="782"/>
      <c r="LF68" s="782"/>
      <c r="LG68" s="782"/>
      <c r="LH68" s="782"/>
      <c r="LI68" s="782"/>
      <c r="LJ68" s="782"/>
      <c r="LK68" s="782"/>
      <c r="LL68" s="782"/>
      <c r="LM68" s="782"/>
      <c r="LN68" s="782"/>
      <c r="LO68" s="782"/>
      <c r="LP68" s="782"/>
      <c r="LQ68" s="782"/>
      <c r="LR68" s="782"/>
      <c r="LS68" s="782"/>
      <c r="LT68" s="782"/>
      <c r="LU68" s="782"/>
      <c r="LV68" s="782"/>
      <c r="LW68" s="782"/>
      <c r="LX68" s="782"/>
      <c r="LY68" s="782"/>
      <c r="LZ68" s="782"/>
      <c r="MA68" s="782"/>
      <c r="MB68" s="782"/>
      <c r="MC68" s="782"/>
      <c r="MD68" s="782"/>
      <c r="ME68" s="782"/>
      <c r="MF68" s="782"/>
      <c r="MG68" s="782"/>
      <c r="MH68" s="782"/>
      <c r="MI68" s="782"/>
      <c r="MJ68" s="782"/>
      <c r="MK68" s="782"/>
      <c r="ML68" s="782"/>
      <c r="MM68" s="782"/>
      <c r="MN68" s="782"/>
      <c r="MO68" s="782"/>
      <c r="MP68" s="782"/>
      <c r="MQ68" s="782"/>
      <c r="MR68" s="782"/>
      <c r="MS68" s="782"/>
      <c r="MT68" s="782"/>
      <c r="MU68" s="782"/>
      <c r="MV68" s="782"/>
      <c r="MW68" s="782"/>
      <c r="MX68" s="782"/>
      <c r="MY68" s="782"/>
      <c r="MZ68" s="782"/>
      <c r="NA68" s="782"/>
      <c r="NB68" s="782"/>
      <c r="NC68" s="782"/>
      <c r="ND68" s="782"/>
      <c r="NE68" s="782"/>
      <c r="NF68" s="782"/>
      <c r="NG68" s="782"/>
      <c r="NH68" s="782"/>
      <c r="NI68" s="782"/>
      <c r="NJ68" s="782"/>
      <c r="NK68" s="782"/>
      <c r="NL68" s="782"/>
      <c r="NM68" s="782"/>
      <c r="NN68" s="782"/>
      <c r="NO68" s="782"/>
      <c r="NP68" s="782"/>
      <c r="NQ68" s="782"/>
      <c r="NR68" s="782"/>
      <c r="NS68" s="782"/>
      <c r="NT68" s="782"/>
      <c r="NU68" s="782"/>
      <c r="NV68" s="782"/>
      <c r="NW68" s="782"/>
      <c r="NX68" s="782"/>
      <c r="NY68" s="782"/>
      <c r="NZ68" s="782"/>
      <c r="OA68" s="782"/>
      <c r="OB68" s="782"/>
      <c r="OC68" s="782"/>
      <c r="OD68" s="782"/>
      <c r="OE68" s="782"/>
      <c r="OF68" s="782"/>
      <c r="OG68" s="782"/>
      <c r="OH68" s="782"/>
      <c r="OI68" s="782"/>
      <c r="OJ68" s="782"/>
      <c r="OK68" s="782"/>
      <c r="OL68" s="782"/>
      <c r="OM68" s="782"/>
      <c r="ON68" s="782"/>
      <c r="OO68" s="782"/>
      <c r="OP68" s="782"/>
      <c r="OQ68" s="782"/>
      <c r="OR68" s="782"/>
      <c r="OS68" s="782"/>
      <c r="OT68" s="782"/>
      <c r="OU68" s="782"/>
      <c r="OV68" s="782"/>
      <c r="OW68" s="782"/>
      <c r="OX68" s="782"/>
      <c r="OY68" s="782"/>
      <c r="OZ68" s="782"/>
      <c r="PA68" s="782"/>
      <c r="PB68" s="782"/>
      <c r="PC68" s="782"/>
      <c r="PD68" s="782"/>
      <c r="PE68" s="782"/>
      <c r="PF68" s="782"/>
      <c r="PG68" s="782"/>
      <c r="PH68" s="782"/>
      <c r="PI68" s="782"/>
      <c r="PJ68" s="782"/>
      <c r="PK68" s="782"/>
      <c r="PL68" s="782"/>
      <c r="PM68" s="782"/>
      <c r="PN68" s="782"/>
      <c r="PO68" s="782"/>
      <c r="PP68" s="782"/>
      <c r="PQ68" s="782"/>
      <c r="PR68" s="782"/>
      <c r="PS68" s="782"/>
      <c r="PT68" s="782"/>
      <c r="PU68" s="782"/>
      <c r="PV68" s="782"/>
      <c r="PW68" s="782"/>
      <c r="PX68" s="782"/>
      <c r="PY68" s="782"/>
      <c r="PZ68" s="782"/>
      <c r="QA68" s="782"/>
      <c r="QB68" s="782"/>
      <c r="QC68" s="782"/>
      <c r="QD68" s="782"/>
      <c r="QE68" s="782"/>
      <c r="QF68" s="782"/>
      <c r="QG68" s="782"/>
      <c r="QH68" s="782"/>
      <c r="QI68" s="782"/>
      <c r="QJ68" s="782"/>
      <c r="QK68" s="782"/>
      <c r="QL68" s="782"/>
      <c r="QM68" s="782"/>
      <c r="QN68" s="782"/>
      <c r="QO68" s="782"/>
      <c r="QP68" s="782"/>
      <c r="QQ68" s="782"/>
      <c r="QR68" s="782"/>
      <c r="QS68" s="782"/>
      <c r="QT68" s="782"/>
      <c r="QU68" s="782"/>
      <c r="QV68" s="782"/>
      <c r="QW68" s="782"/>
      <c r="QX68" s="782"/>
      <c r="QY68" s="782"/>
      <c r="QZ68" s="782"/>
      <c r="RA68" s="782"/>
      <c r="RB68" s="782"/>
      <c r="RC68" s="782"/>
      <c r="RD68" s="782"/>
      <c r="RE68" s="782"/>
      <c r="RF68" s="782"/>
      <c r="RG68" s="782"/>
      <c r="RH68" s="782"/>
      <c r="RI68" s="782"/>
      <c r="RJ68" s="782"/>
      <c r="RK68" s="782"/>
      <c r="RL68" s="782"/>
      <c r="RM68" s="782"/>
      <c r="RN68" s="782"/>
      <c r="RO68" s="782"/>
      <c r="RP68" s="782"/>
      <c r="RQ68" s="782"/>
      <c r="RR68" s="782"/>
      <c r="RS68" s="782"/>
      <c r="RT68" s="782"/>
      <c r="RU68" s="782"/>
      <c r="RV68" s="782"/>
      <c r="RW68" s="782"/>
      <c r="RX68" s="782"/>
    </row>
    <row r="69" spans="1:492" s="143" customFormat="1">
      <c r="A69" s="782"/>
      <c r="B69" s="782"/>
      <c r="C69" s="782"/>
      <c r="D69" s="782"/>
      <c r="E69" s="782"/>
      <c r="F69" s="782"/>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c r="AI69" s="782"/>
      <c r="AJ69" s="782"/>
      <c r="AK69" s="782"/>
      <c r="AL69" s="782"/>
      <c r="AM69" s="785"/>
      <c r="AN69" s="785"/>
      <c r="AO69" s="785"/>
      <c r="AP69" s="785"/>
      <c r="AQ69" s="785"/>
      <c r="AR69" s="785"/>
      <c r="AS69" s="785"/>
      <c r="AT69" s="785"/>
      <c r="AU69" s="785"/>
      <c r="AV69" s="785"/>
      <c r="AW69" s="785"/>
      <c r="AX69" s="785"/>
      <c r="AY69" s="785"/>
      <c r="AZ69" s="785"/>
      <c r="BA69" s="785"/>
      <c r="BB69" s="785"/>
      <c r="BC69" s="785"/>
      <c r="BD69" s="785"/>
      <c r="BE69" s="785"/>
      <c r="BF69" s="785"/>
      <c r="BG69" s="785"/>
      <c r="BH69" s="785"/>
      <c r="BI69" s="785"/>
      <c r="BJ69" s="785"/>
      <c r="BK69" s="785"/>
      <c r="BL69" s="785"/>
      <c r="BM69" s="785"/>
      <c r="BN69" s="785"/>
      <c r="BO69" s="785"/>
      <c r="BP69" s="785"/>
      <c r="BQ69" s="785"/>
      <c r="BR69" s="785"/>
      <c r="BS69" s="785"/>
      <c r="BT69" s="785"/>
      <c r="BU69" s="785"/>
      <c r="BV69" s="785"/>
      <c r="BW69" s="785"/>
      <c r="BX69" s="785"/>
      <c r="BY69" s="785"/>
      <c r="BZ69" s="785"/>
      <c r="CA69" s="782"/>
      <c r="CB69" s="782"/>
      <c r="CC69" s="782"/>
      <c r="CD69" s="782"/>
      <c r="CE69" s="782"/>
      <c r="CF69" s="782"/>
      <c r="CG69" s="782"/>
      <c r="CH69" s="782"/>
      <c r="CI69" s="782"/>
      <c r="CJ69" s="782"/>
      <c r="CK69" s="782"/>
      <c r="CL69" s="782"/>
      <c r="CM69" s="782"/>
      <c r="CN69" s="782"/>
      <c r="CO69" s="782"/>
      <c r="CP69" s="782"/>
      <c r="CQ69" s="782"/>
      <c r="CR69" s="782"/>
      <c r="CS69" s="782"/>
      <c r="CT69" s="782"/>
      <c r="CU69" s="782"/>
      <c r="CV69" s="782"/>
      <c r="CW69" s="782"/>
      <c r="CX69" s="782"/>
      <c r="CY69" s="782"/>
      <c r="CZ69" s="782"/>
      <c r="DA69" s="782"/>
      <c r="DB69" s="782"/>
      <c r="DC69" s="782"/>
      <c r="DD69" s="782"/>
      <c r="DE69" s="782"/>
      <c r="DF69" s="782"/>
      <c r="DG69" s="782"/>
      <c r="DH69" s="782"/>
      <c r="DI69" s="782"/>
      <c r="DJ69" s="782"/>
      <c r="DK69" s="782"/>
      <c r="DL69" s="782"/>
      <c r="DM69" s="782"/>
      <c r="DN69" s="782"/>
      <c r="DO69" s="782"/>
      <c r="DP69" s="782"/>
      <c r="DQ69" s="782"/>
      <c r="DR69" s="782"/>
      <c r="DS69" s="782"/>
      <c r="DT69" s="782"/>
      <c r="DU69" s="782"/>
      <c r="DV69" s="782"/>
      <c r="DW69" s="782"/>
      <c r="DX69" s="782"/>
      <c r="DY69" s="782"/>
      <c r="DZ69" s="782"/>
      <c r="EA69" s="782"/>
      <c r="EB69" s="782"/>
      <c r="EC69" s="782"/>
      <c r="ED69" s="782"/>
      <c r="EE69" s="782"/>
      <c r="EF69" s="782"/>
      <c r="EG69" s="782"/>
      <c r="EH69" s="782"/>
      <c r="EI69" s="782"/>
      <c r="EJ69" s="782"/>
      <c r="EK69" s="782"/>
      <c r="EL69" s="782"/>
      <c r="EM69" s="782"/>
      <c r="EN69" s="782"/>
      <c r="EO69" s="782"/>
      <c r="EP69" s="782"/>
      <c r="EQ69" s="782"/>
      <c r="ER69" s="782"/>
      <c r="ES69" s="782"/>
      <c r="ET69" s="782"/>
      <c r="EU69" s="782"/>
      <c r="EV69" s="782"/>
      <c r="EW69" s="782"/>
      <c r="EX69" s="782"/>
      <c r="EY69" s="782"/>
      <c r="EZ69" s="782"/>
      <c r="FA69" s="782"/>
      <c r="FB69" s="782"/>
      <c r="FC69" s="782"/>
      <c r="FD69" s="782"/>
      <c r="FE69" s="782"/>
      <c r="FF69" s="782"/>
      <c r="FG69" s="782"/>
      <c r="FH69" s="782"/>
      <c r="FI69" s="782"/>
      <c r="FJ69" s="782"/>
      <c r="FK69" s="782"/>
      <c r="FL69" s="782"/>
      <c r="FM69" s="782"/>
      <c r="FN69" s="782"/>
      <c r="FO69" s="782"/>
      <c r="FP69" s="782"/>
      <c r="FQ69" s="782"/>
      <c r="FR69" s="782"/>
      <c r="FS69" s="782"/>
      <c r="FT69" s="782"/>
      <c r="FU69" s="782"/>
      <c r="FV69" s="782"/>
      <c r="FW69" s="782"/>
      <c r="FX69" s="782"/>
      <c r="FY69" s="782"/>
      <c r="FZ69" s="782"/>
      <c r="GA69" s="782"/>
      <c r="GB69" s="782"/>
      <c r="GC69" s="782"/>
      <c r="GD69" s="782"/>
      <c r="GE69" s="782"/>
      <c r="GF69" s="782"/>
      <c r="GG69" s="782"/>
      <c r="GH69" s="782"/>
      <c r="GI69" s="782"/>
      <c r="GJ69" s="782"/>
      <c r="GK69" s="782"/>
      <c r="GL69" s="782"/>
      <c r="GM69" s="782"/>
      <c r="GN69" s="782"/>
      <c r="GO69" s="782"/>
      <c r="GP69" s="782"/>
      <c r="GQ69" s="782"/>
      <c r="GR69" s="782"/>
      <c r="GS69" s="782"/>
      <c r="GT69" s="782"/>
      <c r="GU69" s="782"/>
      <c r="GV69" s="782"/>
      <c r="GW69" s="782"/>
      <c r="GX69" s="782"/>
      <c r="GY69" s="782"/>
      <c r="GZ69" s="782"/>
      <c r="HA69" s="782"/>
      <c r="HB69" s="782"/>
      <c r="HC69" s="782"/>
      <c r="HD69" s="782"/>
      <c r="HE69" s="782"/>
      <c r="HF69" s="782"/>
      <c r="HG69" s="782"/>
      <c r="HH69" s="782"/>
      <c r="HI69" s="782"/>
      <c r="HJ69" s="782"/>
      <c r="HK69" s="782"/>
      <c r="HL69" s="782"/>
      <c r="HM69" s="782"/>
      <c r="HN69" s="782"/>
      <c r="HO69" s="782"/>
      <c r="HP69" s="782"/>
      <c r="HQ69" s="782"/>
      <c r="HR69" s="782"/>
      <c r="HS69" s="782"/>
      <c r="HT69" s="782"/>
      <c r="HU69" s="782"/>
      <c r="HV69" s="782"/>
      <c r="HW69" s="782"/>
      <c r="HX69" s="782"/>
      <c r="HY69" s="782"/>
      <c r="HZ69" s="782"/>
      <c r="IA69" s="782"/>
      <c r="IB69" s="782"/>
      <c r="IC69" s="782"/>
      <c r="ID69" s="782"/>
      <c r="IE69" s="782"/>
      <c r="IF69" s="782"/>
      <c r="IG69" s="782"/>
      <c r="IH69" s="782"/>
      <c r="II69" s="782"/>
      <c r="IJ69" s="782"/>
      <c r="IK69" s="782"/>
      <c r="IL69" s="782"/>
      <c r="IM69" s="782"/>
      <c r="IN69" s="782"/>
      <c r="IO69" s="782"/>
      <c r="IP69" s="782"/>
      <c r="IQ69" s="782"/>
      <c r="IR69" s="782"/>
      <c r="IS69" s="782"/>
      <c r="IT69" s="782"/>
      <c r="IU69" s="782"/>
      <c r="IV69" s="782"/>
      <c r="IW69" s="782"/>
      <c r="IX69" s="782"/>
      <c r="IY69" s="782"/>
      <c r="IZ69" s="782"/>
      <c r="JA69" s="782"/>
      <c r="JB69" s="782"/>
      <c r="JC69" s="782"/>
      <c r="JD69" s="782"/>
      <c r="JE69" s="782"/>
      <c r="JF69" s="782"/>
      <c r="JG69" s="782"/>
      <c r="JH69" s="782"/>
      <c r="JI69" s="782"/>
      <c r="JJ69" s="782"/>
      <c r="JK69" s="782"/>
      <c r="JL69" s="782"/>
      <c r="JM69" s="782"/>
      <c r="JN69" s="782"/>
      <c r="JO69" s="782"/>
      <c r="JP69" s="782"/>
      <c r="JQ69" s="782"/>
      <c r="JR69" s="782"/>
      <c r="JS69" s="782"/>
      <c r="JT69" s="782"/>
      <c r="JU69" s="782"/>
      <c r="JV69" s="782"/>
      <c r="JW69" s="782"/>
      <c r="JX69" s="782"/>
      <c r="JY69" s="782"/>
      <c r="JZ69" s="782"/>
      <c r="KA69" s="782"/>
      <c r="KB69" s="782"/>
      <c r="KC69" s="782"/>
      <c r="KD69" s="782"/>
      <c r="KE69" s="782"/>
      <c r="KF69" s="782"/>
      <c r="KG69" s="782"/>
      <c r="KH69" s="782"/>
      <c r="KI69" s="782"/>
      <c r="KJ69" s="782"/>
      <c r="KK69" s="782"/>
      <c r="KL69" s="782"/>
      <c r="KM69" s="782"/>
      <c r="KN69" s="782"/>
      <c r="KO69" s="782"/>
      <c r="KP69" s="782"/>
      <c r="KQ69" s="782"/>
      <c r="KR69" s="782"/>
      <c r="KS69" s="782"/>
      <c r="KT69" s="782"/>
      <c r="KU69" s="782"/>
      <c r="KV69" s="782"/>
      <c r="KW69" s="782"/>
      <c r="KX69" s="782"/>
      <c r="KY69" s="782"/>
      <c r="KZ69" s="782"/>
      <c r="LA69" s="782"/>
      <c r="LB69" s="782"/>
      <c r="LC69" s="782"/>
      <c r="LD69" s="782"/>
      <c r="LE69" s="782"/>
      <c r="LF69" s="782"/>
      <c r="LG69" s="782"/>
      <c r="LH69" s="782"/>
      <c r="LI69" s="782"/>
      <c r="LJ69" s="782"/>
      <c r="LK69" s="782"/>
      <c r="LL69" s="782"/>
      <c r="LM69" s="782"/>
      <c r="LN69" s="782"/>
      <c r="LO69" s="782"/>
      <c r="LP69" s="782"/>
      <c r="LQ69" s="782"/>
      <c r="LR69" s="782"/>
      <c r="LS69" s="782"/>
      <c r="LT69" s="782"/>
      <c r="LU69" s="782"/>
      <c r="LV69" s="782"/>
      <c r="LW69" s="782"/>
      <c r="LX69" s="782"/>
      <c r="LY69" s="782"/>
      <c r="LZ69" s="782"/>
      <c r="MA69" s="782"/>
      <c r="MB69" s="782"/>
      <c r="MC69" s="782"/>
      <c r="MD69" s="782"/>
      <c r="ME69" s="782"/>
      <c r="MF69" s="782"/>
      <c r="MG69" s="782"/>
      <c r="MH69" s="782"/>
      <c r="MI69" s="782"/>
      <c r="MJ69" s="782"/>
      <c r="MK69" s="782"/>
      <c r="ML69" s="782"/>
      <c r="MM69" s="782"/>
      <c r="MN69" s="782"/>
      <c r="MO69" s="782"/>
      <c r="MP69" s="782"/>
      <c r="MQ69" s="782"/>
      <c r="MR69" s="782"/>
      <c r="MS69" s="782"/>
      <c r="MT69" s="782"/>
      <c r="MU69" s="782"/>
      <c r="MV69" s="782"/>
      <c r="MW69" s="782"/>
      <c r="MX69" s="782"/>
      <c r="MY69" s="782"/>
      <c r="MZ69" s="782"/>
      <c r="NA69" s="782"/>
      <c r="NB69" s="782"/>
      <c r="NC69" s="782"/>
      <c r="ND69" s="782"/>
      <c r="NE69" s="782"/>
      <c r="NF69" s="782"/>
      <c r="NG69" s="782"/>
      <c r="NH69" s="782"/>
      <c r="NI69" s="782"/>
      <c r="NJ69" s="782"/>
      <c r="NK69" s="782"/>
      <c r="NL69" s="782"/>
      <c r="NM69" s="782"/>
      <c r="NN69" s="782"/>
      <c r="NO69" s="782"/>
      <c r="NP69" s="782"/>
      <c r="NQ69" s="782"/>
      <c r="NR69" s="782"/>
      <c r="NS69" s="782"/>
      <c r="NT69" s="782"/>
      <c r="NU69" s="782"/>
      <c r="NV69" s="782"/>
      <c r="NW69" s="782"/>
      <c r="NX69" s="782"/>
      <c r="NY69" s="782"/>
      <c r="NZ69" s="782"/>
      <c r="OA69" s="782"/>
      <c r="OB69" s="782"/>
      <c r="OC69" s="782"/>
      <c r="OD69" s="782"/>
      <c r="OE69" s="782"/>
      <c r="OF69" s="782"/>
      <c r="OG69" s="782"/>
      <c r="OH69" s="782"/>
      <c r="OI69" s="782"/>
      <c r="OJ69" s="782"/>
      <c r="OK69" s="782"/>
      <c r="OL69" s="782"/>
      <c r="OM69" s="782"/>
      <c r="ON69" s="782"/>
      <c r="OO69" s="782"/>
      <c r="OP69" s="782"/>
      <c r="OQ69" s="782"/>
      <c r="OR69" s="782"/>
      <c r="OS69" s="782"/>
      <c r="OT69" s="782"/>
      <c r="OU69" s="782"/>
      <c r="OV69" s="782"/>
      <c r="OW69" s="782"/>
      <c r="OX69" s="782"/>
      <c r="OY69" s="782"/>
      <c r="OZ69" s="782"/>
      <c r="PA69" s="782"/>
      <c r="PB69" s="782"/>
      <c r="PC69" s="782"/>
      <c r="PD69" s="782"/>
      <c r="PE69" s="782"/>
      <c r="PF69" s="782"/>
      <c r="PG69" s="782"/>
      <c r="PH69" s="782"/>
      <c r="PI69" s="782"/>
      <c r="PJ69" s="782"/>
      <c r="PK69" s="782"/>
      <c r="PL69" s="782"/>
      <c r="PM69" s="782"/>
      <c r="PN69" s="782"/>
      <c r="PO69" s="782"/>
      <c r="PP69" s="782"/>
      <c r="PQ69" s="782"/>
      <c r="PR69" s="782"/>
      <c r="PS69" s="782"/>
      <c r="PT69" s="782"/>
      <c r="PU69" s="782"/>
      <c r="PV69" s="782"/>
      <c r="PW69" s="782"/>
      <c r="PX69" s="782"/>
      <c r="PY69" s="782"/>
      <c r="PZ69" s="782"/>
      <c r="QA69" s="782"/>
      <c r="QB69" s="782"/>
      <c r="QC69" s="782"/>
      <c r="QD69" s="782"/>
      <c r="QE69" s="782"/>
      <c r="QF69" s="782"/>
      <c r="QG69" s="782"/>
      <c r="QH69" s="782"/>
      <c r="QI69" s="782"/>
      <c r="QJ69" s="782"/>
      <c r="QK69" s="782"/>
      <c r="QL69" s="782"/>
      <c r="QM69" s="782"/>
      <c r="QN69" s="782"/>
      <c r="QO69" s="782"/>
      <c r="QP69" s="782"/>
      <c r="QQ69" s="782"/>
      <c r="QR69" s="782"/>
      <c r="QS69" s="782"/>
      <c r="QT69" s="782"/>
      <c r="QU69" s="782"/>
      <c r="QV69" s="782"/>
      <c r="QW69" s="782"/>
      <c r="QX69" s="782"/>
      <c r="QY69" s="782"/>
      <c r="QZ69" s="782"/>
      <c r="RA69" s="782"/>
      <c r="RB69" s="782"/>
      <c r="RC69" s="782"/>
      <c r="RD69" s="782"/>
      <c r="RE69" s="782"/>
      <c r="RF69" s="782"/>
      <c r="RG69" s="782"/>
      <c r="RH69" s="782"/>
      <c r="RI69" s="782"/>
      <c r="RJ69" s="782"/>
      <c r="RK69" s="782"/>
      <c r="RL69" s="782"/>
      <c r="RM69" s="782"/>
      <c r="RN69" s="782"/>
      <c r="RO69" s="782"/>
      <c r="RP69" s="782"/>
      <c r="RQ69" s="782"/>
      <c r="RR69" s="782"/>
      <c r="RS69" s="782"/>
      <c r="RT69" s="782"/>
      <c r="RU69" s="782"/>
      <c r="RV69" s="782"/>
      <c r="RW69" s="782"/>
      <c r="RX69" s="782"/>
    </row>
    <row r="70" spans="1:492" s="143" customFormat="1">
      <c r="A70" s="782"/>
      <c r="B70" s="782"/>
      <c r="C70" s="782"/>
      <c r="D70" s="782"/>
      <c r="E70" s="782"/>
      <c r="F70" s="782"/>
      <c r="G70" s="782"/>
      <c r="H70" s="782"/>
      <c r="I70" s="782"/>
      <c r="J70" s="782"/>
      <c r="K70" s="782"/>
      <c r="L70" s="782"/>
      <c r="M70" s="782"/>
      <c r="N70" s="782"/>
      <c r="O70" s="782"/>
      <c r="P70" s="782"/>
      <c r="Q70" s="782"/>
      <c r="R70" s="782"/>
      <c r="S70" s="782"/>
      <c r="T70" s="782"/>
      <c r="U70" s="782"/>
      <c r="V70" s="782"/>
      <c r="W70" s="782"/>
      <c r="X70" s="782"/>
      <c r="Y70" s="782"/>
      <c r="Z70" s="782"/>
      <c r="AA70" s="782"/>
      <c r="AB70" s="782"/>
      <c r="AC70" s="782"/>
      <c r="AD70" s="782"/>
      <c r="AE70" s="782"/>
      <c r="AF70" s="782"/>
      <c r="AG70" s="782"/>
      <c r="AH70" s="782"/>
      <c r="AI70" s="782"/>
      <c r="AJ70" s="782"/>
      <c r="AK70" s="782"/>
      <c r="AL70" s="782"/>
      <c r="AM70" s="785"/>
      <c r="AN70" s="785"/>
      <c r="AO70" s="785"/>
      <c r="AP70" s="785"/>
      <c r="AQ70" s="785"/>
      <c r="AR70" s="785"/>
      <c r="AS70" s="785"/>
      <c r="AT70" s="785"/>
      <c r="AU70" s="785"/>
      <c r="AV70" s="785"/>
      <c r="AW70" s="785"/>
      <c r="AX70" s="785"/>
      <c r="AY70" s="785"/>
      <c r="AZ70" s="785"/>
      <c r="BA70" s="785"/>
      <c r="BB70" s="785"/>
      <c r="BC70" s="785"/>
      <c r="BD70" s="785"/>
      <c r="BE70" s="785"/>
      <c r="BF70" s="785"/>
      <c r="BG70" s="785"/>
      <c r="BH70" s="785"/>
      <c r="BI70" s="785"/>
      <c r="BJ70" s="785"/>
      <c r="BK70" s="785"/>
      <c r="BL70" s="785"/>
      <c r="BM70" s="785"/>
      <c r="BN70" s="785"/>
      <c r="BO70" s="785"/>
      <c r="BP70" s="785"/>
      <c r="BQ70" s="785"/>
      <c r="BR70" s="785"/>
      <c r="BS70" s="785"/>
      <c r="BT70" s="785"/>
      <c r="BU70" s="785"/>
      <c r="BV70" s="785"/>
      <c r="BW70" s="785"/>
      <c r="BX70" s="785"/>
      <c r="BY70" s="785"/>
      <c r="BZ70" s="785"/>
      <c r="CA70" s="782"/>
      <c r="CB70" s="782"/>
      <c r="CC70" s="782"/>
      <c r="CD70" s="782"/>
      <c r="CE70" s="782"/>
      <c r="CF70" s="782"/>
      <c r="CG70" s="782"/>
      <c r="CH70" s="782"/>
      <c r="CI70" s="782"/>
      <c r="CJ70" s="782"/>
      <c r="CK70" s="782"/>
      <c r="CL70" s="782"/>
      <c r="CM70" s="782"/>
      <c r="CN70" s="782"/>
      <c r="CO70" s="782"/>
      <c r="CP70" s="782"/>
      <c r="CQ70" s="782"/>
      <c r="CR70" s="782"/>
      <c r="CS70" s="782"/>
      <c r="CT70" s="782"/>
      <c r="CU70" s="782"/>
      <c r="CV70" s="782"/>
      <c r="CW70" s="782"/>
      <c r="CX70" s="782"/>
      <c r="CY70" s="782"/>
      <c r="CZ70" s="782"/>
      <c r="DA70" s="782"/>
      <c r="DB70" s="782"/>
      <c r="DC70" s="782"/>
      <c r="DD70" s="782"/>
      <c r="DE70" s="782"/>
      <c r="DF70" s="782"/>
      <c r="DG70" s="782"/>
      <c r="DH70" s="782"/>
      <c r="DI70" s="782"/>
      <c r="DJ70" s="782"/>
      <c r="DK70" s="782"/>
      <c r="DL70" s="782"/>
      <c r="DM70" s="782"/>
      <c r="DN70" s="782"/>
      <c r="DO70" s="782"/>
      <c r="DP70" s="782"/>
      <c r="DQ70" s="782"/>
      <c r="DR70" s="782"/>
      <c r="DS70" s="782"/>
      <c r="DT70" s="782"/>
      <c r="DU70" s="782"/>
      <c r="DV70" s="782"/>
      <c r="DW70" s="782"/>
      <c r="DX70" s="782"/>
      <c r="DY70" s="782"/>
      <c r="DZ70" s="782"/>
      <c r="EA70" s="782"/>
      <c r="EB70" s="782"/>
      <c r="EC70" s="782"/>
      <c r="ED70" s="782"/>
      <c r="EE70" s="782"/>
      <c r="EF70" s="782"/>
      <c r="EG70" s="782"/>
      <c r="EH70" s="782"/>
      <c r="EI70" s="782"/>
      <c r="EJ70" s="782"/>
      <c r="EK70" s="782"/>
      <c r="EL70" s="782"/>
      <c r="EM70" s="782"/>
      <c r="EN70" s="782"/>
      <c r="EO70" s="782"/>
      <c r="EP70" s="782"/>
      <c r="EQ70" s="782"/>
      <c r="ER70" s="782"/>
      <c r="ES70" s="782"/>
      <c r="ET70" s="782"/>
      <c r="EU70" s="782"/>
      <c r="EV70" s="782"/>
      <c r="EW70" s="782"/>
      <c r="EX70" s="782"/>
      <c r="EY70" s="782"/>
      <c r="EZ70" s="782"/>
      <c r="FA70" s="782"/>
      <c r="FB70" s="782"/>
      <c r="FC70" s="782"/>
      <c r="FD70" s="782"/>
      <c r="FE70" s="782"/>
      <c r="FF70" s="782"/>
      <c r="FG70" s="782"/>
      <c r="FH70" s="782"/>
      <c r="FI70" s="782"/>
      <c r="FJ70" s="782"/>
      <c r="FK70" s="782"/>
      <c r="FL70" s="782"/>
      <c r="FM70" s="782"/>
      <c r="FN70" s="782"/>
      <c r="FO70" s="782"/>
      <c r="FP70" s="782"/>
      <c r="FQ70" s="782"/>
      <c r="FR70" s="782"/>
      <c r="FS70" s="782"/>
      <c r="FT70" s="782"/>
      <c r="FU70" s="782"/>
      <c r="FV70" s="782"/>
      <c r="FW70" s="782"/>
      <c r="FX70" s="782"/>
      <c r="FY70" s="782"/>
      <c r="FZ70" s="782"/>
      <c r="GA70" s="782"/>
      <c r="GB70" s="782"/>
      <c r="GC70" s="782"/>
      <c r="GD70" s="782"/>
      <c r="GE70" s="782"/>
      <c r="GF70" s="782"/>
      <c r="GG70" s="782"/>
      <c r="GH70" s="782"/>
      <c r="GI70" s="782"/>
      <c r="GJ70" s="782"/>
      <c r="GK70" s="782"/>
      <c r="GL70" s="782"/>
      <c r="GM70" s="782"/>
      <c r="GN70" s="782"/>
      <c r="GO70" s="782"/>
      <c r="GP70" s="782"/>
      <c r="GQ70" s="782"/>
      <c r="GR70" s="782"/>
      <c r="GS70" s="782"/>
      <c r="GT70" s="782"/>
      <c r="GU70" s="782"/>
      <c r="GV70" s="782"/>
      <c r="GW70" s="782"/>
      <c r="GX70" s="782"/>
      <c r="GY70" s="782"/>
      <c r="GZ70" s="782"/>
      <c r="HA70" s="782"/>
      <c r="HB70" s="782"/>
      <c r="HC70" s="782"/>
      <c r="HD70" s="782"/>
      <c r="HE70" s="782"/>
      <c r="HF70" s="782"/>
      <c r="HG70" s="782"/>
      <c r="HH70" s="782"/>
      <c r="HI70" s="782"/>
      <c r="HJ70" s="782"/>
      <c r="HK70" s="782"/>
      <c r="HL70" s="782"/>
      <c r="HM70" s="782"/>
      <c r="HN70" s="782"/>
      <c r="HO70" s="782"/>
      <c r="HP70" s="782"/>
      <c r="HQ70" s="782"/>
      <c r="HR70" s="782"/>
      <c r="HS70" s="782"/>
      <c r="HT70" s="782"/>
      <c r="HU70" s="782"/>
      <c r="HV70" s="782"/>
      <c r="HW70" s="782"/>
      <c r="HX70" s="782"/>
      <c r="HY70" s="782"/>
      <c r="HZ70" s="782"/>
      <c r="IA70" s="782"/>
      <c r="IB70" s="782"/>
      <c r="IC70" s="782"/>
      <c r="ID70" s="782"/>
      <c r="IE70" s="782"/>
      <c r="IF70" s="782"/>
      <c r="IG70" s="782"/>
      <c r="IH70" s="782"/>
      <c r="II70" s="782"/>
      <c r="IJ70" s="782"/>
      <c r="IK70" s="782"/>
      <c r="IL70" s="782"/>
      <c r="IM70" s="782"/>
      <c r="IN70" s="782"/>
      <c r="IO70" s="782"/>
      <c r="IP70" s="782"/>
      <c r="IQ70" s="782"/>
      <c r="IR70" s="782"/>
      <c r="IS70" s="782"/>
      <c r="IT70" s="782"/>
      <c r="IU70" s="782"/>
      <c r="IV70" s="782"/>
      <c r="IW70" s="782"/>
      <c r="IX70" s="782"/>
      <c r="IY70" s="782"/>
      <c r="IZ70" s="782"/>
      <c r="JA70" s="782"/>
      <c r="JB70" s="782"/>
      <c r="JC70" s="782"/>
      <c r="JD70" s="782"/>
      <c r="JE70" s="782"/>
      <c r="JF70" s="782"/>
      <c r="JG70" s="782"/>
      <c r="JH70" s="782"/>
      <c r="JI70" s="782"/>
      <c r="JJ70" s="782"/>
      <c r="JK70" s="782"/>
      <c r="JL70" s="782"/>
      <c r="JM70" s="782"/>
      <c r="JN70" s="782"/>
      <c r="JO70" s="782"/>
      <c r="JP70" s="782"/>
      <c r="JQ70" s="782"/>
      <c r="JR70" s="782"/>
      <c r="JS70" s="782"/>
      <c r="JT70" s="782"/>
      <c r="JU70" s="782"/>
      <c r="JV70" s="782"/>
      <c r="JW70" s="782"/>
      <c r="JX70" s="782"/>
      <c r="JY70" s="782"/>
      <c r="JZ70" s="782"/>
      <c r="KA70" s="782"/>
      <c r="KB70" s="782"/>
      <c r="KC70" s="782"/>
      <c r="KD70" s="782"/>
      <c r="KE70" s="782"/>
      <c r="KF70" s="782"/>
      <c r="KG70" s="782"/>
      <c r="KH70" s="782"/>
      <c r="KI70" s="782"/>
      <c r="KJ70" s="782"/>
      <c r="KK70" s="782"/>
      <c r="KL70" s="782"/>
      <c r="KM70" s="782"/>
      <c r="KN70" s="782"/>
      <c r="KO70" s="782"/>
      <c r="KP70" s="782"/>
      <c r="KQ70" s="782"/>
      <c r="KR70" s="782"/>
      <c r="KS70" s="782"/>
      <c r="KT70" s="782"/>
      <c r="KU70" s="782"/>
      <c r="KV70" s="782"/>
      <c r="KW70" s="782"/>
      <c r="KX70" s="782"/>
      <c r="KY70" s="782"/>
      <c r="KZ70" s="782"/>
      <c r="LA70" s="782"/>
      <c r="LB70" s="782"/>
      <c r="LC70" s="782"/>
      <c r="LD70" s="782"/>
      <c r="LE70" s="782"/>
      <c r="LF70" s="782"/>
      <c r="LG70" s="782"/>
      <c r="LH70" s="782"/>
      <c r="LI70" s="782"/>
      <c r="LJ70" s="782"/>
      <c r="LK70" s="782"/>
      <c r="LL70" s="782"/>
      <c r="LM70" s="782"/>
      <c r="LN70" s="782"/>
      <c r="LO70" s="782"/>
      <c r="LP70" s="782"/>
      <c r="LQ70" s="782"/>
      <c r="LR70" s="782"/>
      <c r="LS70" s="782"/>
      <c r="LT70" s="782"/>
      <c r="LU70" s="782"/>
      <c r="LV70" s="782"/>
      <c r="LW70" s="782"/>
      <c r="LX70" s="782"/>
      <c r="LY70" s="782"/>
      <c r="LZ70" s="782"/>
      <c r="MA70" s="782"/>
      <c r="MB70" s="782"/>
      <c r="MC70" s="782"/>
      <c r="MD70" s="782"/>
      <c r="ME70" s="782"/>
      <c r="MF70" s="782"/>
      <c r="MG70" s="782"/>
      <c r="MH70" s="782"/>
      <c r="MI70" s="782"/>
      <c r="MJ70" s="782"/>
      <c r="MK70" s="782"/>
      <c r="ML70" s="782"/>
      <c r="MM70" s="782"/>
      <c r="MN70" s="782"/>
      <c r="MO70" s="782"/>
      <c r="MP70" s="782"/>
      <c r="MQ70" s="782"/>
      <c r="MR70" s="782"/>
      <c r="MS70" s="782"/>
      <c r="MT70" s="782"/>
      <c r="MU70" s="782"/>
      <c r="MV70" s="782"/>
      <c r="MW70" s="782"/>
      <c r="MX70" s="782"/>
      <c r="MY70" s="782"/>
      <c r="MZ70" s="782"/>
      <c r="NA70" s="782"/>
      <c r="NB70" s="782"/>
      <c r="NC70" s="782"/>
      <c r="ND70" s="782"/>
      <c r="NE70" s="782"/>
      <c r="NF70" s="782"/>
      <c r="NG70" s="782"/>
      <c r="NH70" s="782"/>
      <c r="NI70" s="782"/>
      <c r="NJ70" s="782"/>
      <c r="NK70" s="782"/>
      <c r="NL70" s="782"/>
      <c r="NM70" s="782"/>
      <c r="NN70" s="782"/>
      <c r="NO70" s="782"/>
      <c r="NP70" s="782"/>
      <c r="NQ70" s="782"/>
      <c r="NR70" s="782"/>
      <c r="NS70" s="782"/>
      <c r="NT70" s="782"/>
      <c r="NU70" s="782"/>
      <c r="NV70" s="782"/>
      <c r="NW70" s="782"/>
      <c r="NX70" s="782"/>
      <c r="NY70" s="782"/>
      <c r="NZ70" s="782"/>
      <c r="OA70" s="782"/>
      <c r="OB70" s="782"/>
      <c r="OC70" s="782"/>
      <c r="OD70" s="782"/>
      <c r="OE70" s="782"/>
      <c r="OF70" s="782"/>
      <c r="OG70" s="782"/>
      <c r="OH70" s="782"/>
      <c r="OI70" s="782"/>
      <c r="OJ70" s="782"/>
      <c r="OK70" s="782"/>
      <c r="OL70" s="782"/>
      <c r="OM70" s="782"/>
      <c r="ON70" s="782"/>
      <c r="OO70" s="782"/>
      <c r="OP70" s="782"/>
      <c r="OQ70" s="782"/>
      <c r="OR70" s="782"/>
      <c r="OS70" s="782"/>
      <c r="OT70" s="782"/>
      <c r="OU70" s="782"/>
      <c r="OV70" s="782"/>
      <c r="OW70" s="782"/>
      <c r="OX70" s="782"/>
      <c r="OY70" s="782"/>
      <c r="OZ70" s="782"/>
      <c r="PA70" s="782"/>
      <c r="PB70" s="782"/>
      <c r="PC70" s="782"/>
      <c r="PD70" s="782"/>
      <c r="PE70" s="782"/>
      <c r="PF70" s="782"/>
      <c r="PG70" s="782"/>
      <c r="PH70" s="782"/>
      <c r="PI70" s="782"/>
      <c r="PJ70" s="782"/>
      <c r="PK70" s="782"/>
      <c r="PL70" s="782"/>
      <c r="PM70" s="782"/>
      <c r="PN70" s="782"/>
      <c r="PO70" s="782"/>
      <c r="PP70" s="782"/>
      <c r="PQ70" s="782"/>
      <c r="PR70" s="782"/>
      <c r="PS70" s="782"/>
      <c r="PT70" s="782"/>
      <c r="PU70" s="782"/>
      <c r="PV70" s="782"/>
      <c r="PW70" s="782"/>
      <c r="PX70" s="782"/>
      <c r="PY70" s="782"/>
      <c r="PZ70" s="782"/>
      <c r="QA70" s="782"/>
      <c r="QB70" s="782"/>
      <c r="QC70" s="782"/>
      <c r="QD70" s="782"/>
      <c r="QE70" s="782"/>
      <c r="QF70" s="782"/>
      <c r="QG70" s="782"/>
      <c r="QH70" s="782"/>
      <c r="QI70" s="782"/>
      <c r="QJ70" s="782"/>
      <c r="QK70" s="782"/>
      <c r="QL70" s="782"/>
      <c r="QM70" s="782"/>
      <c r="QN70" s="782"/>
      <c r="QO70" s="782"/>
      <c r="QP70" s="782"/>
      <c r="QQ70" s="782"/>
      <c r="QR70" s="782"/>
      <c r="QS70" s="782"/>
      <c r="QT70" s="782"/>
      <c r="QU70" s="782"/>
      <c r="QV70" s="782"/>
      <c r="QW70" s="782"/>
      <c r="QX70" s="782"/>
      <c r="QY70" s="782"/>
      <c r="QZ70" s="782"/>
      <c r="RA70" s="782"/>
      <c r="RB70" s="782"/>
      <c r="RC70" s="782"/>
      <c r="RD70" s="782"/>
      <c r="RE70" s="782"/>
      <c r="RF70" s="782"/>
      <c r="RG70" s="782"/>
      <c r="RH70" s="782"/>
      <c r="RI70" s="782"/>
      <c r="RJ70" s="782"/>
      <c r="RK70" s="782"/>
      <c r="RL70" s="782"/>
      <c r="RM70" s="782"/>
      <c r="RN70" s="782"/>
      <c r="RO70" s="782"/>
      <c r="RP70" s="782"/>
      <c r="RQ70" s="782"/>
      <c r="RR70" s="782"/>
      <c r="RS70" s="782"/>
      <c r="RT70" s="782"/>
      <c r="RU70" s="782"/>
      <c r="RV70" s="782"/>
      <c r="RW70" s="782"/>
      <c r="RX70" s="782"/>
    </row>
    <row r="71" spans="1:492" s="143" customFormat="1">
      <c r="A71" s="782"/>
      <c r="B71" s="782"/>
      <c r="C71" s="782"/>
      <c r="D71" s="782"/>
      <c r="E71" s="782"/>
      <c r="F71" s="782"/>
      <c r="G71" s="782"/>
      <c r="H71" s="782"/>
      <c r="I71" s="782"/>
      <c r="J71" s="782"/>
      <c r="K71" s="782"/>
      <c r="L71" s="782"/>
      <c r="M71" s="782"/>
      <c r="N71" s="782"/>
      <c r="O71" s="782"/>
      <c r="P71" s="782"/>
      <c r="Q71" s="782"/>
      <c r="R71" s="782"/>
      <c r="S71" s="782"/>
      <c r="T71" s="782"/>
      <c r="U71" s="782"/>
      <c r="V71" s="782"/>
      <c r="W71" s="782"/>
      <c r="X71" s="782"/>
      <c r="Y71" s="782"/>
      <c r="Z71" s="782"/>
      <c r="AA71" s="782"/>
      <c r="AB71" s="782"/>
      <c r="AC71" s="782"/>
      <c r="AD71" s="782"/>
      <c r="AE71" s="782"/>
      <c r="AF71" s="782"/>
      <c r="AG71" s="782"/>
      <c r="AH71" s="782"/>
      <c r="AI71" s="782"/>
      <c r="AJ71" s="782"/>
      <c r="AK71" s="782"/>
      <c r="AL71" s="782"/>
      <c r="AM71" s="785"/>
      <c r="AN71" s="785"/>
      <c r="AO71" s="785"/>
      <c r="AP71" s="785"/>
      <c r="AQ71" s="785"/>
      <c r="AR71" s="785"/>
      <c r="AS71" s="785"/>
      <c r="AT71" s="785"/>
      <c r="AU71" s="785"/>
      <c r="AV71" s="785"/>
      <c r="AW71" s="785"/>
      <c r="AX71" s="785"/>
      <c r="AY71" s="785"/>
      <c r="AZ71" s="785"/>
      <c r="BA71" s="785"/>
      <c r="BB71" s="785"/>
      <c r="BC71" s="785"/>
      <c r="BD71" s="785"/>
      <c r="BE71" s="785"/>
      <c r="BF71" s="785"/>
      <c r="BG71" s="785"/>
      <c r="BH71" s="785"/>
      <c r="BI71" s="785"/>
      <c r="BJ71" s="785"/>
      <c r="BK71" s="785"/>
      <c r="BL71" s="785"/>
      <c r="BM71" s="785"/>
      <c r="BN71" s="785"/>
      <c r="BO71" s="785"/>
      <c r="BP71" s="785"/>
      <c r="BQ71" s="785"/>
      <c r="BR71" s="785"/>
      <c r="BS71" s="785"/>
      <c r="BT71" s="785"/>
      <c r="BU71" s="785"/>
      <c r="BV71" s="785"/>
      <c r="BW71" s="785"/>
      <c r="BX71" s="785"/>
      <c r="BY71" s="785"/>
      <c r="BZ71" s="785"/>
      <c r="CA71" s="782"/>
      <c r="CB71" s="782"/>
      <c r="CC71" s="782"/>
      <c r="CD71" s="782"/>
      <c r="CE71" s="782"/>
      <c r="CF71" s="782"/>
      <c r="CG71" s="782"/>
      <c r="CH71" s="782"/>
      <c r="CI71" s="782"/>
      <c r="CJ71" s="782"/>
      <c r="CK71" s="782"/>
      <c r="CL71" s="782"/>
      <c r="CM71" s="782"/>
      <c r="CN71" s="782"/>
      <c r="CO71" s="782"/>
      <c r="CP71" s="782"/>
      <c r="CQ71" s="782"/>
      <c r="CR71" s="782"/>
      <c r="CS71" s="782"/>
      <c r="CT71" s="782"/>
      <c r="CU71" s="782"/>
      <c r="CV71" s="782"/>
      <c r="CW71" s="782"/>
      <c r="CX71" s="782"/>
      <c r="CY71" s="782"/>
      <c r="CZ71" s="782"/>
      <c r="DA71" s="782"/>
      <c r="DB71" s="782"/>
      <c r="DC71" s="782"/>
      <c r="DD71" s="782"/>
      <c r="DE71" s="782"/>
      <c r="DF71" s="782"/>
      <c r="DG71" s="782"/>
      <c r="DH71" s="782"/>
      <c r="DI71" s="782"/>
      <c r="DJ71" s="782"/>
      <c r="DK71" s="782"/>
      <c r="DL71" s="782"/>
      <c r="DM71" s="782"/>
      <c r="DN71" s="782"/>
      <c r="DO71" s="782"/>
      <c r="DP71" s="782"/>
      <c r="DQ71" s="782"/>
      <c r="DR71" s="782"/>
      <c r="DS71" s="782"/>
      <c r="DT71" s="782"/>
      <c r="DU71" s="782"/>
      <c r="DV71" s="782"/>
      <c r="DW71" s="782"/>
      <c r="DX71" s="782"/>
      <c r="DY71" s="782"/>
      <c r="DZ71" s="782"/>
      <c r="EA71" s="782"/>
      <c r="EB71" s="782"/>
      <c r="EC71" s="782"/>
      <c r="ED71" s="782"/>
      <c r="EE71" s="782"/>
      <c r="EF71" s="782"/>
      <c r="EG71" s="782"/>
      <c r="EH71" s="782"/>
      <c r="EI71" s="782"/>
      <c r="EJ71" s="782"/>
      <c r="EK71" s="782"/>
      <c r="EL71" s="782"/>
      <c r="EM71" s="782"/>
      <c r="EN71" s="782"/>
      <c r="EO71" s="782"/>
      <c r="EP71" s="782"/>
      <c r="EQ71" s="782"/>
      <c r="ER71" s="782"/>
      <c r="ES71" s="782"/>
      <c r="ET71" s="782"/>
      <c r="EU71" s="782"/>
      <c r="EV71" s="782"/>
      <c r="EW71" s="782"/>
      <c r="EX71" s="782"/>
      <c r="EY71" s="782"/>
      <c r="EZ71" s="782"/>
      <c r="FA71" s="782"/>
      <c r="FB71" s="782"/>
      <c r="FC71" s="782"/>
      <c r="FD71" s="782"/>
      <c r="FE71" s="782"/>
      <c r="FF71" s="782"/>
      <c r="FG71" s="782"/>
      <c r="FH71" s="782"/>
      <c r="FI71" s="782"/>
      <c r="FJ71" s="782"/>
      <c r="FK71" s="782"/>
      <c r="FL71" s="782"/>
      <c r="FM71" s="782"/>
      <c r="FN71" s="782"/>
      <c r="FO71" s="782"/>
      <c r="FP71" s="782"/>
      <c r="FQ71" s="782"/>
      <c r="FR71" s="782"/>
      <c r="FS71" s="782"/>
      <c r="FT71" s="782"/>
      <c r="FU71" s="782"/>
      <c r="FV71" s="782"/>
      <c r="FW71" s="782"/>
      <c r="FX71" s="782"/>
      <c r="FY71" s="782"/>
      <c r="FZ71" s="782"/>
      <c r="GA71" s="782"/>
      <c r="GB71" s="782"/>
      <c r="GC71" s="782"/>
      <c r="GD71" s="782"/>
      <c r="GE71" s="782"/>
      <c r="GF71" s="782"/>
      <c r="GG71" s="782"/>
      <c r="GH71" s="782"/>
      <c r="GI71" s="782"/>
      <c r="GJ71" s="782"/>
      <c r="GK71" s="782"/>
      <c r="GL71" s="782"/>
      <c r="GM71" s="782"/>
      <c r="GN71" s="782"/>
      <c r="GO71" s="782"/>
      <c r="GP71" s="782"/>
      <c r="GQ71" s="782"/>
      <c r="GR71" s="782"/>
      <c r="GS71" s="782"/>
      <c r="GT71" s="782"/>
      <c r="GU71" s="782"/>
      <c r="GV71" s="782"/>
      <c r="GW71" s="782"/>
      <c r="GX71" s="782"/>
      <c r="GY71" s="782"/>
      <c r="GZ71" s="782"/>
      <c r="HA71" s="782"/>
      <c r="HB71" s="782"/>
      <c r="HC71" s="782"/>
      <c r="HD71" s="782"/>
      <c r="HE71" s="782"/>
      <c r="HF71" s="782"/>
      <c r="HG71" s="782"/>
      <c r="HH71" s="782"/>
      <c r="HI71" s="782"/>
      <c r="HJ71" s="782"/>
      <c r="HK71" s="782"/>
      <c r="HL71" s="782"/>
      <c r="HM71" s="782"/>
      <c r="HN71" s="782"/>
      <c r="HO71" s="782"/>
      <c r="HP71" s="782"/>
      <c r="HQ71" s="782"/>
      <c r="HR71" s="782"/>
      <c r="HS71" s="782"/>
      <c r="HT71" s="782"/>
      <c r="HU71" s="782"/>
      <c r="HV71" s="782"/>
      <c r="HW71" s="782"/>
      <c r="HX71" s="782"/>
      <c r="HY71" s="782"/>
      <c r="HZ71" s="782"/>
      <c r="IA71" s="782"/>
      <c r="IB71" s="782"/>
      <c r="IC71" s="782"/>
      <c r="ID71" s="782"/>
      <c r="IE71" s="782"/>
      <c r="IF71" s="782"/>
      <c r="IG71" s="782"/>
      <c r="IH71" s="782"/>
      <c r="II71" s="782"/>
      <c r="IJ71" s="782"/>
      <c r="IK71" s="782"/>
      <c r="IL71" s="782"/>
      <c r="IM71" s="782"/>
      <c r="IN71" s="782"/>
      <c r="IO71" s="782"/>
      <c r="IP71" s="782"/>
      <c r="IQ71" s="782"/>
      <c r="IR71" s="782"/>
      <c r="IS71" s="782"/>
      <c r="IT71" s="782"/>
      <c r="IU71" s="782"/>
      <c r="IV71" s="782"/>
      <c r="IW71" s="782"/>
      <c r="IX71" s="782"/>
      <c r="IY71" s="782"/>
      <c r="IZ71" s="782"/>
      <c r="JA71" s="782"/>
      <c r="JB71" s="782"/>
      <c r="JC71" s="782"/>
      <c r="JD71" s="782"/>
      <c r="JE71" s="782"/>
      <c r="JF71" s="782"/>
      <c r="JG71" s="782"/>
      <c r="JH71" s="782"/>
      <c r="JI71" s="782"/>
      <c r="JJ71" s="782"/>
      <c r="JK71" s="782"/>
      <c r="JL71" s="782"/>
      <c r="JM71" s="782"/>
      <c r="JN71" s="782"/>
      <c r="JO71" s="782"/>
      <c r="JP71" s="782"/>
      <c r="JQ71" s="782"/>
      <c r="JR71" s="782"/>
      <c r="JS71" s="782"/>
      <c r="JT71" s="782"/>
      <c r="JU71" s="782"/>
      <c r="JV71" s="782"/>
      <c r="JW71" s="782"/>
      <c r="JX71" s="782"/>
      <c r="JY71" s="782"/>
      <c r="JZ71" s="782"/>
      <c r="KA71" s="782"/>
      <c r="KB71" s="782"/>
      <c r="KC71" s="782"/>
      <c r="KD71" s="782"/>
      <c r="KE71" s="782"/>
      <c r="KF71" s="782"/>
      <c r="KG71" s="782"/>
      <c r="KH71" s="782"/>
      <c r="KI71" s="782"/>
      <c r="KJ71" s="782"/>
      <c r="KK71" s="782"/>
      <c r="KL71" s="782"/>
      <c r="KM71" s="782"/>
      <c r="KN71" s="782"/>
      <c r="KO71" s="782"/>
      <c r="KP71" s="782"/>
      <c r="KQ71" s="782"/>
      <c r="KR71" s="782"/>
      <c r="KS71" s="782"/>
      <c r="KT71" s="782"/>
      <c r="KU71" s="782"/>
      <c r="KV71" s="782"/>
      <c r="KW71" s="782"/>
      <c r="KX71" s="782"/>
      <c r="KY71" s="782"/>
      <c r="KZ71" s="782"/>
      <c r="LA71" s="782"/>
      <c r="LB71" s="782"/>
      <c r="LC71" s="782"/>
      <c r="LD71" s="782"/>
      <c r="LE71" s="782"/>
      <c r="LF71" s="782"/>
      <c r="LG71" s="782"/>
      <c r="LH71" s="782"/>
      <c r="LI71" s="782"/>
      <c r="LJ71" s="782"/>
      <c r="LK71" s="782"/>
      <c r="LL71" s="782"/>
      <c r="LM71" s="782"/>
      <c r="LN71" s="782"/>
      <c r="LO71" s="782"/>
      <c r="LP71" s="782"/>
      <c r="LQ71" s="782"/>
      <c r="LR71" s="782"/>
      <c r="LS71" s="782"/>
      <c r="LT71" s="782"/>
      <c r="LU71" s="782"/>
      <c r="LV71" s="782"/>
      <c r="LW71" s="782"/>
      <c r="LX71" s="782"/>
      <c r="LY71" s="782"/>
      <c r="LZ71" s="782"/>
      <c r="MA71" s="782"/>
      <c r="MB71" s="782"/>
      <c r="MC71" s="782"/>
      <c r="MD71" s="782"/>
      <c r="ME71" s="782"/>
      <c r="MF71" s="782"/>
      <c r="MG71" s="782"/>
      <c r="MH71" s="782"/>
      <c r="MI71" s="782"/>
      <c r="MJ71" s="782"/>
      <c r="MK71" s="782"/>
      <c r="ML71" s="782"/>
      <c r="MM71" s="782"/>
      <c r="MN71" s="782"/>
      <c r="MO71" s="782"/>
      <c r="MP71" s="782"/>
      <c r="MQ71" s="782"/>
      <c r="MR71" s="782"/>
      <c r="MS71" s="782"/>
      <c r="MT71" s="782"/>
      <c r="MU71" s="782"/>
      <c r="MV71" s="782"/>
      <c r="MW71" s="782"/>
      <c r="MX71" s="782"/>
      <c r="MY71" s="782"/>
      <c r="MZ71" s="782"/>
      <c r="NA71" s="782"/>
      <c r="NB71" s="782"/>
      <c r="NC71" s="782"/>
      <c r="ND71" s="782"/>
      <c r="NE71" s="782"/>
      <c r="NF71" s="782"/>
      <c r="NG71" s="782"/>
      <c r="NH71" s="782"/>
      <c r="NI71" s="782"/>
      <c r="NJ71" s="782"/>
      <c r="NK71" s="782"/>
      <c r="NL71" s="782"/>
      <c r="NM71" s="782"/>
      <c r="NN71" s="782"/>
      <c r="NO71" s="782"/>
      <c r="NP71" s="782"/>
      <c r="NQ71" s="782"/>
      <c r="NR71" s="782"/>
      <c r="NS71" s="782"/>
      <c r="NT71" s="782"/>
      <c r="NU71" s="782"/>
      <c r="NV71" s="782"/>
      <c r="NW71" s="782"/>
      <c r="NX71" s="782"/>
      <c r="NY71" s="782"/>
      <c r="NZ71" s="782"/>
      <c r="OA71" s="782"/>
      <c r="OB71" s="782"/>
      <c r="OC71" s="782"/>
      <c r="OD71" s="782"/>
      <c r="OE71" s="782"/>
      <c r="OF71" s="782"/>
      <c r="OG71" s="782"/>
      <c r="OH71" s="782"/>
      <c r="OI71" s="782"/>
      <c r="OJ71" s="782"/>
      <c r="OK71" s="782"/>
      <c r="OL71" s="782"/>
      <c r="OM71" s="782"/>
      <c r="ON71" s="782"/>
      <c r="OO71" s="782"/>
      <c r="OP71" s="782"/>
      <c r="OQ71" s="782"/>
      <c r="OR71" s="782"/>
      <c r="OS71" s="782"/>
      <c r="OT71" s="782"/>
      <c r="OU71" s="782"/>
      <c r="OV71" s="782"/>
      <c r="OW71" s="782"/>
      <c r="OX71" s="782"/>
      <c r="OY71" s="782"/>
      <c r="OZ71" s="782"/>
      <c r="PA71" s="782"/>
      <c r="PB71" s="782"/>
      <c r="PC71" s="782"/>
      <c r="PD71" s="782"/>
      <c r="PE71" s="782"/>
      <c r="PF71" s="782"/>
      <c r="PG71" s="782"/>
      <c r="PH71" s="782"/>
      <c r="PI71" s="782"/>
      <c r="PJ71" s="782"/>
      <c r="PK71" s="782"/>
      <c r="PL71" s="782"/>
      <c r="PM71" s="782"/>
      <c r="PN71" s="782"/>
      <c r="PO71" s="782"/>
      <c r="PP71" s="782"/>
      <c r="PQ71" s="782"/>
      <c r="PR71" s="782"/>
      <c r="PS71" s="782"/>
      <c r="PT71" s="782"/>
      <c r="PU71" s="782"/>
      <c r="PV71" s="782"/>
      <c r="PW71" s="782"/>
      <c r="PX71" s="782"/>
      <c r="PY71" s="782"/>
      <c r="PZ71" s="782"/>
      <c r="QA71" s="782"/>
      <c r="QB71" s="782"/>
      <c r="QC71" s="782"/>
      <c r="QD71" s="782"/>
      <c r="QE71" s="782"/>
      <c r="QF71" s="782"/>
      <c r="QG71" s="782"/>
      <c r="QH71" s="782"/>
      <c r="QI71" s="782"/>
      <c r="QJ71" s="782"/>
      <c r="QK71" s="782"/>
      <c r="QL71" s="782"/>
      <c r="QM71" s="782"/>
      <c r="QN71" s="782"/>
      <c r="QO71" s="782"/>
      <c r="QP71" s="782"/>
      <c r="QQ71" s="782"/>
      <c r="QR71" s="782"/>
      <c r="QS71" s="782"/>
      <c r="QT71" s="782"/>
      <c r="QU71" s="782"/>
      <c r="QV71" s="782"/>
      <c r="QW71" s="782"/>
      <c r="QX71" s="782"/>
      <c r="QY71" s="782"/>
      <c r="QZ71" s="782"/>
      <c r="RA71" s="782"/>
      <c r="RB71" s="782"/>
      <c r="RC71" s="782"/>
      <c r="RD71" s="782"/>
      <c r="RE71" s="782"/>
      <c r="RF71" s="782"/>
      <c r="RG71" s="782"/>
      <c r="RH71" s="782"/>
      <c r="RI71" s="782"/>
      <c r="RJ71" s="782"/>
      <c r="RK71" s="782"/>
      <c r="RL71" s="782"/>
      <c r="RM71" s="782"/>
      <c r="RN71" s="782"/>
      <c r="RO71" s="782"/>
      <c r="RP71" s="782"/>
      <c r="RQ71" s="782"/>
      <c r="RR71" s="782"/>
      <c r="RS71" s="782"/>
      <c r="RT71" s="782"/>
      <c r="RU71" s="782"/>
      <c r="RV71" s="782"/>
      <c r="RW71" s="782"/>
      <c r="RX71" s="782"/>
    </row>
    <row r="72" spans="1:492" s="143" customFormat="1">
      <c r="A72" s="782"/>
      <c r="B72" s="782"/>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5"/>
      <c r="AN72" s="785"/>
      <c r="AO72" s="785"/>
      <c r="AP72" s="785"/>
      <c r="AQ72" s="785"/>
      <c r="AR72" s="785"/>
      <c r="AS72" s="785"/>
      <c r="AT72" s="785"/>
      <c r="AU72" s="785"/>
      <c r="AV72" s="785"/>
      <c r="AW72" s="785"/>
      <c r="AX72" s="785"/>
      <c r="AY72" s="785"/>
      <c r="AZ72" s="785"/>
      <c r="BA72" s="785"/>
      <c r="BB72" s="785"/>
      <c r="BC72" s="785"/>
      <c r="BD72" s="785"/>
      <c r="BE72" s="785"/>
      <c r="BF72" s="785"/>
      <c r="BG72" s="785"/>
      <c r="BH72" s="785"/>
      <c r="BI72" s="785"/>
      <c r="BJ72" s="785"/>
      <c r="BK72" s="785"/>
      <c r="BL72" s="785"/>
      <c r="BM72" s="785"/>
      <c r="BN72" s="785"/>
      <c r="BO72" s="785"/>
      <c r="BP72" s="785"/>
      <c r="BQ72" s="785"/>
      <c r="BR72" s="785"/>
      <c r="BS72" s="785"/>
      <c r="BT72" s="785"/>
      <c r="BU72" s="785"/>
      <c r="BV72" s="785"/>
      <c r="BW72" s="785"/>
      <c r="BX72" s="785"/>
      <c r="BY72" s="785"/>
      <c r="BZ72" s="785"/>
      <c r="CA72" s="782"/>
      <c r="CB72" s="782"/>
      <c r="CC72" s="782"/>
      <c r="CD72" s="782"/>
      <c r="CE72" s="782"/>
      <c r="CF72" s="782"/>
      <c r="CG72" s="782"/>
      <c r="CH72" s="782"/>
      <c r="CI72" s="782"/>
      <c r="CJ72" s="782"/>
      <c r="CK72" s="782"/>
      <c r="CL72" s="782"/>
      <c r="CM72" s="782"/>
      <c r="CN72" s="782"/>
      <c r="CO72" s="782"/>
      <c r="CP72" s="782"/>
      <c r="CQ72" s="782"/>
      <c r="CR72" s="782"/>
      <c r="CS72" s="782"/>
      <c r="CT72" s="782"/>
      <c r="CU72" s="782"/>
      <c r="CV72" s="782"/>
      <c r="CW72" s="782"/>
      <c r="CX72" s="782"/>
      <c r="CY72" s="782"/>
      <c r="CZ72" s="782"/>
      <c r="DA72" s="782"/>
      <c r="DB72" s="782"/>
      <c r="DC72" s="782"/>
      <c r="DD72" s="782"/>
      <c r="DE72" s="782"/>
      <c r="DF72" s="782"/>
      <c r="DG72" s="782"/>
      <c r="DH72" s="782"/>
      <c r="DI72" s="782"/>
      <c r="DJ72" s="782"/>
      <c r="DK72" s="782"/>
      <c r="DL72" s="782"/>
      <c r="DM72" s="782"/>
      <c r="DN72" s="782"/>
      <c r="DO72" s="782"/>
      <c r="DP72" s="782"/>
      <c r="DQ72" s="782"/>
      <c r="DR72" s="782"/>
      <c r="DS72" s="782"/>
      <c r="DT72" s="782"/>
      <c r="DU72" s="782"/>
      <c r="DV72" s="782"/>
      <c r="DW72" s="782"/>
      <c r="DX72" s="782"/>
      <c r="DY72" s="782"/>
      <c r="DZ72" s="782"/>
      <c r="EA72" s="782"/>
      <c r="EB72" s="782"/>
      <c r="EC72" s="782"/>
      <c r="ED72" s="782"/>
      <c r="EE72" s="782"/>
      <c r="EF72" s="782"/>
      <c r="EG72" s="782"/>
      <c r="EH72" s="782"/>
      <c r="EI72" s="782"/>
      <c r="EJ72" s="782"/>
      <c r="EK72" s="782"/>
      <c r="EL72" s="782"/>
      <c r="EM72" s="782"/>
      <c r="EN72" s="782"/>
      <c r="EO72" s="782"/>
      <c r="EP72" s="782"/>
      <c r="EQ72" s="782"/>
      <c r="ER72" s="782"/>
      <c r="ES72" s="782"/>
      <c r="ET72" s="782"/>
      <c r="EU72" s="782"/>
      <c r="EV72" s="782"/>
      <c r="EW72" s="782"/>
      <c r="EX72" s="782"/>
      <c r="EY72" s="782"/>
      <c r="EZ72" s="782"/>
      <c r="FA72" s="782"/>
      <c r="FB72" s="782"/>
      <c r="FC72" s="782"/>
      <c r="FD72" s="782"/>
      <c r="FE72" s="782"/>
      <c r="FF72" s="782"/>
      <c r="FG72" s="782"/>
      <c r="FH72" s="782"/>
      <c r="FI72" s="782"/>
      <c r="FJ72" s="782"/>
      <c r="FK72" s="782"/>
      <c r="FL72" s="782"/>
      <c r="FM72" s="782"/>
      <c r="FN72" s="782"/>
      <c r="FO72" s="782"/>
      <c r="FP72" s="782"/>
      <c r="FQ72" s="782"/>
      <c r="FR72" s="782"/>
      <c r="FS72" s="782"/>
      <c r="FT72" s="782"/>
      <c r="FU72" s="782"/>
      <c r="FV72" s="782"/>
      <c r="FW72" s="782"/>
      <c r="FX72" s="782"/>
      <c r="FY72" s="782"/>
      <c r="FZ72" s="782"/>
      <c r="GA72" s="782"/>
      <c r="GB72" s="782"/>
      <c r="GC72" s="782"/>
      <c r="GD72" s="782"/>
      <c r="GE72" s="782"/>
      <c r="GF72" s="782"/>
      <c r="GG72" s="782"/>
      <c r="GH72" s="782"/>
      <c r="GI72" s="782"/>
      <c r="GJ72" s="782"/>
      <c r="GK72" s="782"/>
      <c r="GL72" s="782"/>
      <c r="GM72" s="782"/>
      <c r="GN72" s="782"/>
      <c r="GO72" s="782"/>
      <c r="GP72" s="782"/>
      <c r="GQ72" s="782"/>
      <c r="GR72" s="782"/>
      <c r="GS72" s="782"/>
      <c r="GT72" s="782"/>
      <c r="GU72" s="782"/>
      <c r="GV72" s="782"/>
      <c r="GW72" s="782"/>
      <c r="GX72" s="782"/>
      <c r="GY72" s="782"/>
      <c r="GZ72" s="782"/>
      <c r="HA72" s="782"/>
      <c r="HB72" s="782"/>
      <c r="HC72" s="782"/>
      <c r="HD72" s="782"/>
      <c r="HE72" s="782"/>
      <c r="HF72" s="782"/>
      <c r="HG72" s="782"/>
      <c r="HH72" s="782"/>
      <c r="HI72" s="782"/>
      <c r="HJ72" s="782"/>
      <c r="HK72" s="782"/>
      <c r="HL72" s="782"/>
      <c r="HM72" s="782"/>
      <c r="HN72" s="782"/>
      <c r="HO72" s="782"/>
      <c r="HP72" s="782"/>
      <c r="HQ72" s="782"/>
      <c r="HR72" s="782"/>
      <c r="HS72" s="782"/>
      <c r="HT72" s="782"/>
      <c r="HU72" s="782"/>
      <c r="HV72" s="782"/>
      <c r="HW72" s="782"/>
      <c r="HX72" s="782"/>
      <c r="HY72" s="782"/>
      <c r="HZ72" s="782"/>
      <c r="IA72" s="782"/>
      <c r="IB72" s="782"/>
      <c r="IC72" s="782"/>
      <c r="ID72" s="782"/>
      <c r="IE72" s="782"/>
      <c r="IF72" s="782"/>
      <c r="IG72" s="782"/>
      <c r="IH72" s="782"/>
      <c r="II72" s="782"/>
      <c r="IJ72" s="782"/>
      <c r="IK72" s="782"/>
      <c r="IL72" s="782"/>
      <c r="IM72" s="782"/>
      <c r="IN72" s="782"/>
      <c r="IO72" s="782"/>
      <c r="IP72" s="782"/>
      <c r="IQ72" s="782"/>
      <c r="IR72" s="782"/>
      <c r="IS72" s="782"/>
      <c r="IT72" s="782"/>
      <c r="IU72" s="782"/>
      <c r="IV72" s="782"/>
      <c r="IW72" s="782"/>
      <c r="IX72" s="782"/>
      <c r="IY72" s="782"/>
      <c r="IZ72" s="782"/>
      <c r="JA72" s="782"/>
      <c r="JB72" s="782"/>
      <c r="JC72" s="782"/>
      <c r="JD72" s="782"/>
      <c r="JE72" s="782"/>
      <c r="JF72" s="782"/>
      <c r="JG72" s="782"/>
      <c r="JH72" s="782"/>
      <c r="JI72" s="782"/>
      <c r="JJ72" s="782"/>
      <c r="JK72" s="782"/>
      <c r="JL72" s="782"/>
      <c r="JM72" s="782"/>
      <c r="JN72" s="782"/>
      <c r="JO72" s="782"/>
      <c r="JP72" s="782"/>
      <c r="JQ72" s="782"/>
      <c r="JR72" s="782"/>
      <c r="JS72" s="782"/>
      <c r="JT72" s="782"/>
      <c r="JU72" s="782"/>
      <c r="JV72" s="782"/>
      <c r="JW72" s="782"/>
      <c r="JX72" s="782"/>
      <c r="JY72" s="782"/>
      <c r="JZ72" s="782"/>
      <c r="KA72" s="782"/>
      <c r="KB72" s="782"/>
      <c r="KC72" s="782"/>
      <c r="KD72" s="782"/>
      <c r="KE72" s="782"/>
      <c r="KF72" s="782"/>
      <c r="KG72" s="782"/>
      <c r="KH72" s="782"/>
      <c r="KI72" s="782"/>
      <c r="KJ72" s="782"/>
      <c r="KK72" s="782"/>
      <c r="KL72" s="782"/>
      <c r="KM72" s="782"/>
      <c r="KN72" s="782"/>
      <c r="KO72" s="782"/>
      <c r="KP72" s="782"/>
      <c r="KQ72" s="782"/>
      <c r="KR72" s="782"/>
      <c r="KS72" s="782"/>
      <c r="KT72" s="782"/>
      <c r="KU72" s="782"/>
      <c r="KV72" s="782"/>
      <c r="KW72" s="782"/>
      <c r="KX72" s="782"/>
      <c r="KY72" s="782"/>
      <c r="KZ72" s="782"/>
      <c r="LA72" s="782"/>
      <c r="LB72" s="782"/>
      <c r="LC72" s="782"/>
      <c r="LD72" s="782"/>
      <c r="LE72" s="782"/>
      <c r="LF72" s="782"/>
      <c r="LG72" s="782"/>
      <c r="LH72" s="782"/>
      <c r="LI72" s="782"/>
      <c r="LJ72" s="782"/>
      <c r="LK72" s="782"/>
      <c r="LL72" s="782"/>
      <c r="LM72" s="782"/>
      <c r="LN72" s="782"/>
      <c r="LO72" s="782"/>
      <c r="LP72" s="782"/>
      <c r="LQ72" s="782"/>
      <c r="LR72" s="782"/>
      <c r="LS72" s="782"/>
      <c r="LT72" s="782"/>
      <c r="LU72" s="782"/>
      <c r="LV72" s="782"/>
      <c r="LW72" s="782"/>
      <c r="LX72" s="782"/>
      <c r="LY72" s="782"/>
      <c r="LZ72" s="782"/>
      <c r="MA72" s="782"/>
      <c r="MB72" s="782"/>
      <c r="MC72" s="782"/>
      <c r="MD72" s="782"/>
      <c r="ME72" s="782"/>
      <c r="MF72" s="782"/>
      <c r="MG72" s="782"/>
      <c r="MH72" s="782"/>
      <c r="MI72" s="782"/>
      <c r="MJ72" s="782"/>
      <c r="MK72" s="782"/>
      <c r="ML72" s="782"/>
      <c r="MM72" s="782"/>
      <c r="MN72" s="782"/>
      <c r="MO72" s="782"/>
      <c r="MP72" s="782"/>
      <c r="MQ72" s="782"/>
      <c r="MR72" s="782"/>
      <c r="MS72" s="782"/>
      <c r="MT72" s="782"/>
      <c r="MU72" s="782"/>
      <c r="MV72" s="782"/>
      <c r="MW72" s="782"/>
      <c r="MX72" s="782"/>
      <c r="MY72" s="782"/>
      <c r="MZ72" s="782"/>
      <c r="NA72" s="782"/>
      <c r="NB72" s="782"/>
      <c r="NC72" s="782"/>
      <c r="ND72" s="782"/>
      <c r="NE72" s="782"/>
      <c r="NF72" s="782"/>
      <c r="NG72" s="782"/>
      <c r="NH72" s="782"/>
      <c r="NI72" s="782"/>
      <c r="NJ72" s="782"/>
      <c r="NK72" s="782"/>
      <c r="NL72" s="782"/>
      <c r="NM72" s="782"/>
      <c r="NN72" s="782"/>
      <c r="NO72" s="782"/>
      <c r="NP72" s="782"/>
      <c r="NQ72" s="782"/>
      <c r="NR72" s="782"/>
      <c r="NS72" s="782"/>
      <c r="NT72" s="782"/>
      <c r="NU72" s="782"/>
      <c r="NV72" s="782"/>
      <c r="NW72" s="782"/>
      <c r="NX72" s="782"/>
      <c r="NY72" s="782"/>
      <c r="NZ72" s="782"/>
      <c r="OA72" s="782"/>
      <c r="OB72" s="782"/>
      <c r="OC72" s="782"/>
      <c r="OD72" s="782"/>
      <c r="OE72" s="782"/>
      <c r="OF72" s="782"/>
      <c r="OG72" s="782"/>
      <c r="OH72" s="782"/>
      <c r="OI72" s="782"/>
      <c r="OJ72" s="782"/>
      <c r="OK72" s="782"/>
      <c r="OL72" s="782"/>
      <c r="OM72" s="782"/>
      <c r="ON72" s="782"/>
      <c r="OO72" s="782"/>
      <c r="OP72" s="782"/>
      <c r="OQ72" s="782"/>
      <c r="OR72" s="782"/>
      <c r="OS72" s="782"/>
      <c r="OT72" s="782"/>
      <c r="OU72" s="782"/>
      <c r="OV72" s="782"/>
      <c r="OW72" s="782"/>
      <c r="OX72" s="782"/>
      <c r="OY72" s="782"/>
      <c r="OZ72" s="782"/>
      <c r="PA72" s="782"/>
      <c r="PB72" s="782"/>
      <c r="PC72" s="782"/>
      <c r="PD72" s="782"/>
      <c r="PE72" s="782"/>
      <c r="PF72" s="782"/>
      <c r="PG72" s="782"/>
      <c r="PH72" s="782"/>
      <c r="PI72" s="782"/>
      <c r="PJ72" s="782"/>
      <c r="PK72" s="782"/>
      <c r="PL72" s="782"/>
      <c r="PM72" s="782"/>
      <c r="PN72" s="782"/>
      <c r="PO72" s="782"/>
      <c r="PP72" s="782"/>
      <c r="PQ72" s="782"/>
      <c r="PR72" s="782"/>
      <c r="PS72" s="782"/>
      <c r="PT72" s="782"/>
      <c r="PU72" s="782"/>
      <c r="PV72" s="782"/>
      <c r="PW72" s="782"/>
      <c r="PX72" s="782"/>
      <c r="PY72" s="782"/>
      <c r="PZ72" s="782"/>
      <c r="QA72" s="782"/>
      <c r="QB72" s="782"/>
      <c r="QC72" s="782"/>
      <c r="QD72" s="782"/>
      <c r="QE72" s="782"/>
      <c r="QF72" s="782"/>
      <c r="QG72" s="782"/>
      <c r="QH72" s="782"/>
      <c r="QI72" s="782"/>
      <c r="QJ72" s="782"/>
      <c r="QK72" s="782"/>
      <c r="QL72" s="782"/>
      <c r="QM72" s="782"/>
      <c r="QN72" s="782"/>
      <c r="QO72" s="782"/>
      <c r="QP72" s="782"/>
      <c r="QQ72" s="782"/>
      <c r="QR72" s="782"/>
      <c r="QS72" s="782"/>
      <c r="QT72" s="782"/>
      <c r="QU72" s="782"/>
      <c r="QV72" s="782"/>
      <c r="QW72" s="782"/>
      <c r="QX72" s="782"/>
      <c r="QY72" s="782"/>
      <c r="QZ72" s="782"/>
      <c r="RA72" s="782"/>
      <c r="RB72" s="782"/>
      <c r="RC72" s="782"/>
      <c r="RD72" s="782"/>
      <c r="RE72" s="782"/>
      <c r="RF72" s="782"/>
      <c r="RG72" s="782"/>
      <c r="RH72" s="782"/>
      <c r="RI72" s="782"/>
      <c r="RJ72" s="782"/>
      <c r="RK72" s="782"/>
      <c r="RL72" s="782"/>
      <c r="RM72" s="782"/>
      <c r="RN72" s="782"/>
      <c r="RO72" s="782"/>
      <c r="RP72" s="782"/>
      <c r="RQ72" s="782"/>
      <c r="RR72" s="782"/>
      <c r="RS72" s="782"/>
      <c r="RT72" s="782"/>
      <c r="RU72" s="782"/>
      <c r="RV72" s="782"/>
      <c r="RW72" s="782"/>
      <c r="RX72" s="782"/>
    </row>
    <row r="73" spans="1:492" s="143" customFormat="1">
      <c r="A73" s="782"/>
      <c r="B73" s="782"/>
      <c r="C73" s="782"/>
      <c r="D73" s="782"/>
      <c r="E73" s="782"/>
      <c r="F73" s="782"/>
      <c r="G73" s="782"/>
      <c r="H73" s="782"/>
      <c r="I73" s="782"/>
      <c r="J73" s="782"/>
      <c r="K73" s="782"/>
      <c r="L73" s="782"/>
      <c r="M73" s="782"/>
      <c r="N73" s="782"/>
      <c r="O73" s="782"/>
      <c r="P73" s="782"/>
      <c r="Q73" s="782"/>
      <c r="R73" s="782"/>
      <c r="S73" s="782"/>
      <c r="T73" s="782"/>
      <c r="U73" s="782"/>
      <c r="V73" s="782"/>
      <c r="W73" s="782"/>
      <c r="X73" s="782"/>
      <c r="Y73" s="782"/>
      <c r="Z73" s="782"/>
      <c r="AA73" s="782"/>
      <c r="AB73" s="782"/>
      <c r="AC73" s="782"/>
      <c r="AD73" s="782"/>
      <c r="AE73" s="782"/>
      <c r="AF73" s="782"/>
      <c r="AG73" s="782"/>
      <c r="AH73" s="782"/>
      <c r="AI73" s="782"/>
      <c r="AJ73" s="782"/>
      <c r="AK73" s="782"/>
      <c r="AL73" s="782"/>
      <c r="AM73" s="785"/>
      <c r="AN73" s="785"/>
      <c r="AO73" s="785"/>
      <c r="AP73" s="785"/>
      <c r="AQ73" s="785"/>
      <c r="AR73" s="785"/>
      <c r="AS73" s="785"/>
      <c r="AT73" s="785"/>
      <c r="AU73" s="785"/>
      <c r="AV73" s="785"/>
      <c r="AW73" s="785"/>
      <c r="AX73" s="785"/>
      <c r="AY73" s="785"/>
      <c r="AZ73" s="785"/>
      <c r="BA73" s="785"/>
      <c r="BB73" s="785"/>
      <c r="BC73" s="785"/>
      <c r="BD73" s="785"/>
      <c r="BE73" s="785"/>
      <c r="BF73" s="785"/>
      <c r="BG73" s="785"/>
      <c r="BH73" s="785"/>
      <c r="BI73" s="785"/>
      <c r="BJ73" s="785"/>
      <c r="BK73" s="785"/>
      <c r="BL73" s="785"/>
      <c r="BM73" s="785"/>
      <c r="BN73" s="785"/>
      <c r="BO73" s="785"/>
      <c r="BP73" s="785"/>
      <c r="BQ73" s="785"/>
      <c r="BR73" s="785"/>
      <c r="BS73" s="785"/>
      <c r="BT73" s="785"/>
      <c r="BU73" s="785"/>
      <c r="BV73" s="785"/>
      <c r="BW73" s="785"/>
      <c r="BX73" s="785"/>
      <c r="BY73" s="785"/>
      <c r="BZ73" s="785"/>
      <c r="CA73" s="782"/>
      <c r="CB73" s="782"/>
      <c r="CC73" s="782"/>
      <c r="CD73" s="782"/>
      <c r="CE73" s="782"/>
      <c r="CF73" s="782"/>
      <c r="CG73" s="782"/>
      <c r="CH73" s="782"/>
      <c r="CI73" s="782"/>
      <c r="CJ73" s="782"/>
      <c r="CK73" s="782"/>
      <c r="CL73" s="782"/>
      <c r="CM73" s="782"/>
      <c r="CN73" s="782"/>
      <c r="CO73" s="782"/>
      <c r="CP73" s="782"/>
      <c r="CQ73" s="782"/>
      <c r="CR73" s="782"/>
      <c r="CS73" s="782"/>
      <c r="CT73" s="782"/>
      <c r="CU73" s="782"/>
      <c r="CV73" s="782"/>
      <c r="CW73" s="782"/>
      <c r="CX73" s="782"/>
      <c r="CY73" s="782"/>
      <c r="CZ73" s="782"/>
      <c r="DA73" s="782"/>
      <c r="DB73" s="782"/>
      <c r="DC73" s="782"/>
      <c r="DD73" s="782"/>
      <c r="DE73" s="782"/>
      <c r="DF73" s="782"/>
      <c r="DG73" s="782"/>
      <c r="DH73" s="782"/>
      <c r="DI73" s="782"/>
      <c r="DJ73" s="782"/>
      <c r="DK73" s="782"/>
      <c r="DL73" s="782"/>
      <c r="DM73" s="782"/>
      <c r="DN73" s="782"/>
      <c r="DO73" s="782"/>
      <c r="DP73" s="782"/>
      <c r="DQ73" s="782"/>
      <c r="DR73" s="782"/>
      <c r="DS73" s="782"/>
      <c r="DT73" s="782"/>
      <c r="DU73" s="782"/>
      <c r="DV73" s="782"/>
      <c r="DW73" s="782"/>
      <c r="DX73" s="782"/>
      <c r="DY73" s="782"/>
      <c r="DZ73" s="782"/>
      <c r="EA73" s="782"/>
      <c r="EB73" s="782"/>
      <c r="EC73" s="782"/>
      <c r="ED73" s="782"/>
      <c r="EE73" s="782"/>
      <c r="EF73" s="782"/>
      <c r="EG73" s="782"/>
      <c r="EH73" s="782"/>
      <c r="EI73" s="782"/>
      <c r="EJ73" s="782"/>
      <c r="EK73" s="782"/>
      <c r="EL73" s="782"/>
      <c r="EM73" s="782"/>
      <c r="EN73" s="782"/>
      <c r="EO73" s="782"/>
      <c r="EP73" s="782"/>
      <c r="EQ73" s="782"/>
      <c r="ER73" s="782"/>
      <c r="ES73" s="782"/>
      <c r="ET73" s="782"/>
      <c r="EU73" s="782"/>
      <c r="EV73" s="782"/>
      <c r="EW73" s="782"/>
      <c r="EX73" s="782"/>
      <c r="EY73" s="782"/>
      <c r="EZ73" s="782"/>
      <c r="FA73" s="782"/>
      <c r="FB73" s="782"/>
      <c r="FC73" s="782"/>
      <c r="FD73" s="782"/>
      <c r="FE73" s="782"/>
      <c r="FF73" s="782"/>
      <c r="FG73" s="782"/>
      <c r="FH73" s="782"/>
      <c r="FI73" s="782"/>
      <c r="FJ73" s="782"/>
      <c r="FK73" s="782"/>
      <c r="FL73" s="782"/>
      <c r="FM73" s="782"/>
      <c r="FN73" s="782"/>
      <c r="FO73" s="782"/>
      <c r="FP73" s="782"/>
      <c r="FQ73" s="782"/>
      <c r="FR73" s="782"/>
      <c r="FS73" s="782"/>
      <c r="FT73" s="782"/>
      <c r="FU73" s="782"/>
      <c r="FV73" s="782"/>
      <c r="FW73" s="782"/>
      <c r="FX73" s="782"/>
      <c r="FY73" s="782"/>
      <c r="FZ73" s="782"/>
      <c r="GA73" s="782"/>
      <c r="GB73" s="782"/>
      <c r="GC73" s="782"/>
      <c r="GD73" s="782"/>
      <c r="GE73" s="782"/>
      <c r="GF73" s="782"/>
      <c r="GG73" s="782"/>
      <c r="GH73" s="782"/>
      <c r="GI73" s="782"/>
      <c r="GJ73" s="782"/>
      <c r="GK73" s="782"/>
      <c r="GL73" s="782"/>
      <c r="GM73" s="782"/>
      <c r="GN73" s="782"/>
      <c r="GO73" s="782"/>
      <c r="GP73" s="782"/>
      <c r="GQ73" s="782"/>
      <c r="GR73" s="782"/>
      <c r="GS73" s="782"/>
      <c r="GT73" s="782"/>
      <c r="GU73" s="782"/>
      <c r="GV73" s="782"/>
      <c r="GW73" s="782"/>
      <c r="GX73" s="782"/>
      <c r="GY73" s="782"/>
      <c r="GZ73" s="782"/>
      <c r="HA73" s="782"/>
      <c r="HB73" s="782"/>
      <c r="HC73" s="782"/>
      <c r="HD73" s="782"/>
      <c r="HE73" s="782"/>
      <c r="HF73" s="782"/>
      <c r="HG73" s="782"/>
      <c r="HH73" s="782"/>
      <c r="HI73" s="782"/>
      <c r="HJ73" s="782"/>
      <c r="HK73" s="782"/>
      <c r="HL73" s="782"/>
      <c r="HM73" s="782"/>
      <c r="HN73" s="782"/>
      <c r="HO73" s="782"/>
      <c r="HP73" s="782"/>
      <c r="HQ73" s="782"/>
      <c r="HR73" s="782"/>
      <c r="HS73" s="782"/>
      <c r="HT73" s="782"/>
      <c r="HU73" s="782"/>
      <c r="HV73" s="782"/>
      <c r="HW73" s="782"/>
      <c r="HX73" s="782"/>
      <c r="HY73" s="782"/>
      <c r="HZ73" s="782"/>
      <c r="IA73" s="782"/>
      <c r="IB73" s="782"/>
      <c r="IC73" s="782"/>
      <c r="ID73" s="782"/>
      <c r="IE73" s="782"/>
      <c r="IF73" s="782"/>
      <c r="IG73" s="782"/>
      <c r="IH73" s="782"/>
      <c r="II73" s="782"/>
      <c r="IJ73" s="782"/>
      <c r="IK73" s="782"/>
      <c r="IL73" s="782"/>
      <c r="IM73" s="782"/>
      <c r="IN73" s="782"/>
      <c r="IO73" s="782"/>
      <c r="IP73" s="782"/>
      <c r="IQ73" s="782"/>
      <c r="IR73" s="782"/>
      <c r="IS73" s="782"/>
      <c r="IT73" s="782"/>
      <c r="IU73" s="782"/>
      <c r="IV73" s="782"/>
      <c r="IW73" s="782"/>
      <c r="IX73" s="782"/>
      <c r="IY73" s="782"/>
      <c r="IZ73" s="782"/>
      <c r="JA73" s="782"/>
      <c r="JB73" s="782"/>
      <c r="JC73" s="782"/>
      <c r="JD73" s="782"/>
      <c r="JE73" s="782"/>
      <c r="JF73" s="782"/>
      <c r="JG73" s="782"/>
      <c r="JH73" s="782"/>
      <c r="JI73" s="782"/>
      <c r="JJ73" s="782"/>
      <c r="JK73" s="782"/>
      <c r="JL73" s="782"/>
      <c r="JM73" s="782"/>
      <c r="JN73" s="782"/>
      <c r="JO73" s="782"/>
      <c r="JP73" s="782"/>
      <c r="JQ73" s="782"/>
      <c r="JR73" s="782"/>
      <c r="JS73" s="782"/>
      <c r="JT73" s="782"/>
      <c r="JU73" s="782"/>
      <c r="JV73" s="782"/>
      <c r="JW73" s="782"/>
      <c r="JX73" s="782"/>
      <c r="JY73" s="782"/>
      <c r="JZ73" s="782"/>
      <c r="KA73" s="782"/>
      <c r="KB73" s="782"/>
      <c r="KC73" s="782"/>
      <c r="KD73" s="782"/>
      <c r="KE73" s="782"/>
      <c r="KF73" s="782"/>
      <c r="KG73" s="782"/>
      <c r="KH73" s="782"/>
      <c r="KI73" s="782"/>
      <c r="KJ73" s="782"/>
      <c r="KK73" s="782"/>
      <c r="KL73" s="782"/>
      <c r="KM73" s="782"/>
      <c r="KN73" s="782"/>
      <c r="KO73" s="782"/>
      <c r="KP73" s="782"/>
      <c r="KQ73" s="782"/>
      <c r="KR73" s="782"/>
      <c r="KS73" s="782"/>
      <c r="KT73" s="782"/>
      <c r="KU73" s="782"/>
      <c r="KV73" s="782"/>
      <c r="KW73" s="782"/>
      <c r="KX73" s="782"/>
      <c r="KY73" s="782"/>
      <c r="KZ73" s="782"/>
      <c r="LA73" s="782"/>
      <c r="LB73" s="782"/>
      <c r="LC73" s="782"/>
      <c r="LD73" s="782"/>
      <c r="LE73" s="782"/>
      <c r="LF73" s="782"/>
      <c r="LG73" s="782"/>
      <c r="LH73" s="782"/>
      <c r="LI73" s="782"/>
      <c r="LJ73" s="782"/>
      <c r="LK73" s="782"/>
      <c r="LL73" s="782"/>
      <c r="LM73" s="782"/>
      <c r="LN73" s="782"/>
      <c r="LO73" s="782"/>
      <c r="LP73" s="782"/>
      <c r="LQ73" s="782"/>
      <c r="LR73" s="782"/>
      <c r="LS73" s="782"/>
      <c r="LT73" s="782"/>
      <c r="LU73" s="782"/>
      <c r="LV73" s="782"/>
      <c r="LW73" s="782"/>
      <c r="LX73" s="782"/>
      <c r="LY73" s="782"/>
      <c r="LZ73" s="782"/>
      <c r="MA73" s="782"/>
      <c r="MB73" s="782"/>
      <c r="MC73" s="782"/>
      <c r="MD73" s="782"/>
      <c r="ME73" s="782"/>
      <c r="MF73" s="782"/>
      <c r="MG73" s="782"/>
      <c r="MH73" s="782"/>
      <c r="MI73" s="782"/>
      <c r="MJ73" s="782"/>
      <c r="MK73" s="782"/>
      <c r="ML73" s="782"/>
      <c r="MM73" s="782"/>
      <c r="MN73" s="782"/>
      <c r="MO73" s="782"/>
      <c r="MP73" s="782"/>
      <c r="MQ73" s="782"/>
      <c r="MR73" s="782"/>
      <c r="MS73" s="782"/>
      <c r="MT73" s="782"/>
      <c r="MU73" s="782"/>
      <c r="MV73" s="782"/>
      <c r="MW73" s="782"/>
      <c r="MX73" s="782"/>
      <c r="MY73" s="782"/>
      <c r="MZ73" s="782"/>
      <c r="NA73" s="782"/>
      <c r="NB73" s="782"/>
      <c r="NC73" s="782"/>
      <c r="ND73" s="782"/>
      <c r="NE73" s="782"/>
      <c r="NF73" s="782"/>
      <c r="NG73" s="782"/>
      <c r="NH73" s="782"/>
      <c r="NI73" s="782"/>
      <c r="NJ73" s="782"/>
      <c r="NK73" s="782"/>
      <c r="NL73" s="782"/>
      <c r="NM73" s="782"/>
      <c r="NN73" s="782"/>
      <c r="NO73" s="782"/>
      <c r="NP73" s="782"/>
      <c r="NQ73" s="782"/>
      <c r="NR73" s="782"/>
      <c r="NS73" s="782"/>
      <c r="NT73" s="782"/>
      <c r="NU73" s="782"/>
      <c r="NV73" s="782"/>
      <c r="NW73" s="782"/>
      <c r="NX73" s="782"/>
      <c r="NY73" s="782"/>
      <c r="NZ73" s="782"/>
      <c r="OA73" s="782"/>
      <c r="OB73" s="782"/>
      <c r="OC73" s="782"/>
      <c r="OD73" s="782"/>
      <c r="OE73" s="782"/>
      <c r="OF73" s="782"/>
      <c r="OG73" s="782"/>
      <c r="OH73" s="782"/>
      <c r="OI73" s="782"/>
      <c r="OJ73" s="782"/>
      <c r="OK73" s="782"/>
      <c r="OL73" s="782"/>
      <c r="OM73" s="782"/>
      <c r="ON73" s="782"/>
      <c r="OO73" s="782"/>
      <c r="OP73" s="782"/>
      <c r="OQ73" s="782"/>
      <c r="OR73" s="782"/>
      <c r="OS73" s="782"/>
      <c r="OT73" s="782"/>
      <c r="OU73" s="782"/>
      <c r="OV73" s="782"/>
      <c r="OW73" s="782"/>
      <c r="OX73" s="782"/>
      <c r="OY73" s="782"/>
      <c r="OZ73" s="782"/>
      <c r="PA73" s="782"/>
      <c r="PB73" s="782"/>
      <c r="PC73" s="782"/>
      <c r="PD73" s="782"/>
      <c r="PE73" s="782"/>
      <c r="PF73" s="782"/>
      <c r="PG73" s="782"/>
      <c r="PH73" s="782"/>
      <c r="PI73" s="782"/>
      <c r="PJ73" s="782"/>
      <c r="PK73" s="782"/>
      <c r="PL73" s="782"/>
      <c r="PM73" s="782"/>
      <c r="PN73" s="782"/>
      <c r="PO73" s="782"/>
      <c r="PP73" s="782"/>
      <c r="PQ73" s="782"/>
      <c r="PR73" s="782"/>
      <c r="PS73" s="782"/>
      <c r="PT73" s="782"/>
      <c r="PU73" s="782"/>
      <c r="PV73" s="782"/>
      <c r="PW73" s="782"/>
      <c r="PX73" s="782"/>
      <c r="PY73" s="782"/>
      <c r="PZ73" s="782"/>
      <c r="QA73" s="782"/>
      <c r="QB73" s="782"/>
      <c r="QC73" s="782"/>
      <c r="QD73" s="782"/>
      <c r="QE73" s="782"/>
      <c r="QF73" s="782"/>
      <c r="QG73" s="782"/>
      <c r="QH73" s="782"/>
      <c r="QI73" s="782"/>
      <c r="QJ73" s="782"/>
      <c r="QK73" s="782"/>
      <c r="QL73" s="782"/>
      <c r="QM73" s="782"/>
      <c r="QN73" s="782"/>
      <c r="QO73" s="782"/>
      <c r="QP73" s="782"/>
      <c r="QQ73" s="782"/>
      <c r="QR73" s="782"/>
      <c r="QS73" s="782"/>
      <c r="QT73" s="782"/>
      <c r="QU73" s="782"/>
      <c r="QV73" s="782"/>
      <c r="QW73" s="782"/>
      <c r="QX73" s="782"/>
      <c r="QY73" s="782"/>
      <c r="QZ73" s="782"/>
      <c r="RA73" s="782"/>
      <c r="RB73" s="782"/>
      <c r="RC73" s="782"/>
      <c r="RD73" s="782"/>
      <c r="RE73" s="782"/>
      <c r="RF73" s="782"/>
      <c r="RG73" s="782"/>
      <c r="RH73" s="782"/>
      <c r="RI73" s="782"/>
      <c r="RJ73" s="782"/>
      <c r="RK73" s="782"/>
      <c r="RL73" s="782"/>
      <c r="RM73" s="782"/>
      <c r="RN73" s="782"/>
      <c r="RO73" s="782"/>
      <c r="RP73" s="782"/>
      <c r="RQ73" s="782"/>
      <c r="RR73" s="782"/>
      <c r="RS73" s="782"/>
      <c r="RT73" s="782"/>
      <c r="RU73" s="782"/>
      <c r="RV73" s="782"/>
      <c r="RW73" s="782"/>
      <c r="RX73" s="782"/>
    </row>
    <row r="74" spans="1:492" s="143" customFormat="1">
      <c r="A74" s="782"/>
      <c r="B74" s="782"/>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c r="AJ74" s="782"/>
      <c r="AK74" s="782"/>
      <c r="AL74" s="782"/>
      <c r="AM74" s="785"/>
      <c r="AN74" s="785"/>
      <c r="AO74" s="785"/>
      <c r="AP74" s="785"/>
      <c r="AQ74" s="785"/>
      <c r="AR74" s="785"/>
      <c r="AS74" s="785"/>
      <c r="AT74" s="785"/>
      <c r="AU74" s="785"/>
      <c r="AV74" s="785"/>
      <c r="AW74" s="785"/>
      <c r="AX74" s="785"/>
      <c r="AY74" s="785"/>
      <c r="AZ74" s="785"/>
      <c r="BA74" s="785"/>
      <c r="BB74" s="785"/>
      <c r="BC74" s="785"/>
      <c r="BD74" s="785"/>
      <c r="BE74" s="785"/>
      <c r="BF74" s="785"/>
      <c r="BG74" s="785"/>
      <c r="BH74" s="785"/>
      <c r="BI74" s="785"/>
      <c r="BJ74" s="785"/>
      <c r="BK74" s="785"/>
      <c r="BL74" s="785"/>
      <c r="BM74" s="785"/>
      <c r="BN74" s="785"/>
      <c r="BO74" s="785"/>
      <c r="BP74" s="785"/>
      <c r="BQ74" s="785"/>
      <c r="BR74" s="785"/>
      <c r="BS74" s="785"/>
      <c r="BT74" s="785"/>
      <c r="BU74" s="785"/>
      <c r="BV74" s="785"/>
      <c r="BW74" s="785"/>
      <c r="BX74" s="785"/>
      <c r="BY74" s="785"/>
      <c r="BZ74" s="785"/>
      <c r="CA74" s="782"/>
      <c r="CB74" s="782"/>
      <c r="CC74" s="782"/>
      <c r="CD74" s="782"/>
      <c r="CE74" s="782"/>
      <c r="CF74" s="782"/>
      <c r="CG74" s="782"/>
      <c r="CH74" s="782"/>
      <c r="CI74" s="782"/>
      <c r="CJ74" s="782"/>
      <c r="CK74" s="782"/>
      <c r="CL74" s="782"/>
      <c r="CM74" s="782"/>
      <c r="CN74" s="782"/>
      <c r="CO74" s="782"/>
      <c r="CP74" s="782"/>
      <c r="CQ74" s="782"/>
      <c r="CR74" s="782"/>
      <c r="CS74" s="782"/>
      <c r="CT74" s="782"/>
      <c r="CU74" s="782"/>
      <c r="CV74" s="782"/>
      <c r="CW74" s="782"/>
      <c r="CX74" s="782"/>
      <c r="CY74" s="782"/>
      <c r="CZ74" s="782"/>
      <c r="DA74" s="782"/>
      <c r="DB74" s="782"/>
      <c r="DC74" s="782"/>
      <c r="DD74" s="782"/>
      <c r="DE74" s="782"/>
      <c r="DF74" s="782"/>
      <c r="DG74" s="782"/>
      <c r="DH74" s="782"/>
      <c r="DI74" s="782"/>
      <c r="DJ74" s="782"/>
      <c r="DK74" s="782"/>
      <c r="DL74" s="782"/>
      <c r="DM74" s="782"/>
      <c r="DN74" s="782"/>
      <c r="DO74" s="782"/>
      <c r="DP74" s="782"/>
      <c r="DQ74" s="782"/>
      <c r="DR74" s="782"/>
      <c r="DS74" s="782"/>
      <c r="DT74" s="782"/>
      <c r="DU74" s="782"/>
      <c r="DV74" s="782"/>
      <c r="DW74" s="782"/>
      <c r="DX74" s="782"/>
      <c r="DY74" s="782"/>
      <c r="DZ74" s="782"/>
      <c r="EA74" s="782"/>
      <c r="EB74" s="782"/>
      <c r="EC74" s="782"/>
      <c r="ED74" s="782"/>
      <c r="EE74" s="782"/>
      <c r="EF74" s="782"/>
      <c r="EG74" s="782"/>
      <c r="EH74" s="782"/>
      <c r="EI74" s="782"/>
      <c r="EJ74" s="782"/>
      <c r="EK74" s="782"/>
      <c r="EL74" s="782"/>
      <c r="EM74" s="782"/>
      <c r="EN74" s="782"/>
      <c r="EO74" s="782"/>
      <c r="EP74" s="782"/>
      <c r="EQ74" s="782"/>
      <c r="ER74" s="782"/>
      <c r="ES74" s="782"/>
      <c r="ET74" s="782"/>
      <c r="EU74" s="782"/>
      <c r="EV74" s="782"/>
      <c r="EW74" s="782"/>
      <c r="EX74" s="782"/>
      <c r="EY74" s="782"/>
      <c r="EZ74" s="782"/>
      <c r="FA74" s="782"/>
      <c r="FB74" s="782"/>
      <c r="FC74" s="782"/>
      <c r="FD74" s="782"/>
      <c r="FE74" s="782"/>
      <c r="FF74" s="782"/>
      <c r="FG74" s="782"/>
      <c r="FH74" s="782"/>
      <c r="FI74" s="782"/>
      <c r="FJ74" s="782"/>
      <c r="FK74" s="782"/>
      <c r="FL74" s="782"/>
      <c r="FM74" s="782"/>
      <c r="FN74" s="782"/>
      <c r="FO74" s="782"/>
      <c r="FP74" s="782"/>
      <c r="FQ74" s="782"/>
      <c r="FR74" s="782"/>
      <c r="FS74" s="782"/>
      <c r="FT74" s="782"/>
      <c r="FU74" s="782"/>
      <c r="FV74" s="782"/>
      <c r="FW74" s="782"/>
      <c r="FX74" s="782"/>
      <c r="FY74" s="782"/>
      <c r="FZ74" s="782"/>
      <c r="GA74" s="782"/>
      <c r="GB74" s="782"/>
      <c r="GC74" s="782"/>
      <c r="GD74" s="782"/>
      <c r="GE74" s="782"/>
      <c r="GF74" s="782"/>
      <c r="GG74" s="782"/>
      <c r="GH74" s="782"/>
      <c r="GI74" s="782"/>
      <c r="GJ74" s="782"/>
      <c r="GK74" s="782"/>
      <c r="GL74" s="782"/>
      <c r="GM74" s="782"/>
      <c r="GN74" s="782"/>
      <c r="GO74" s="782"/>
      <c r="GP74" s="782"/>
      <c r="GQ74" s="782"/>
      <c r="GR74" s="782"/>
      <c r="GS74" s="782"/>
      <c r="GT74" s="782"/>
      <c r="GU74" s="782"/>
      <c r="GV74" s="782"/>
      <c r="GW74" s="782"/>
      <c r="GX74" s="782"/>
      <c r="GY74" s="782"/>
      <c r="GZ74" s="782"/>
      <c r="HA74" s="782"/>
      <c r="HB74" s="782"/>
      <c r="HC74" s="782"/>
      <c r="HD74" s="782"/>
      <c r="HE74" s="782"/>
      <c r="HF74" s="782"/>
      <c r="HG74" s="782"/>
      <c r="HH74" s="782"/>
      <c r="HI74" s="782"/>
      <c r="HJ74" s="782"/>
      <c r="HK74" s="782"/>
      <c r="HL74" s="782"/>
      <c r="HM74" s="782"/>
      <c r="HN74" s="782"/>
      <c r="HO74" s="782"/>
      <c r="HP74" s="782"/>
      <c r="HQ74" s="782"/>
      <c r="HR74" s="782"/>
      <c r="HS74" s="782"/>
      <c r="HT74" s="782"/>
      <c r="HU74" s="782"/>
      <c r="HV74" s="782"/>
      <c r="HW74" s="782"/>
      <c r="HX74" s="782"/>
      <c r="HY74" s="782"/>
      <c r="HZ74" s="782"/>
      <c r="IA74" s="782"/>
      <c r="IB74" s="782"/>
      <c r="IC74" s="782"/>
      <c r="ID74" s="782"/>
      <c r="IE74" s="782"/>
      <c r="IF74" s="782"/>
      <c r="IG74" s="782"/>
      <c r="IH74" s="782"/>
      <c r="II74" s="782"/>
      <c r="IJ74" s="782"/>
      <c r="IK74" s="782"/>
      <c r="IL74" s="782"/>
      <c r="IM74" s="782"/>
      <c r="IN74" s="782"/>
      <c r="IO74" s="782"/>
      <c r="IP74" s="782"/>
      <c r="IQ74" s="782"/>
      <c r="IR74" s="782"/>
      <c r="IS74" s="782"/>
      <c r="IT74" s="782"/>
      <c r="IU74" s="782"/>
      <c r="IV74" s="782"/>
      <c r="IW74" s="782"/>
      <c r="IX74" s="782"/>
      <c r="IY74" s="782"/>
      <c r="IZ74" s="782"/>
      <c r="JA74" s="782"/>
      <c r="JB74" s="782"/>
      <c r="JC74" s="782"/>
      <c r="JD74" s="782"/>
      <c r="JE74" s="782"/>
      <c r="JF74" s="782"/>
      <c r="JG74" s="782"/>
      <c r="JH74" s="782"/>
      <c r="JI74" s="782"/>
      <c r="JJ74" s="782"/>
      <c r="JK74" s="782"/>
      <c r="JL74" s="782"/>
      <c r="JM74" s="782"/>
      <c r="JN74" s="782"/>
      <c r="JO74" s="782"/>
      <c r="JP74" s="782"/>
      <c r="JQ74" s="782"/>
      <c r="JR74" s="782"/>
      <c r="JS74" s="782"/>
      <c r="JT74" s="782"/>
      <c r="JU74" s="782"/>
      <c r="JV74" s="782"/>
      <c r="JW74" s="782"/>
      <c r="JX74" s="782"/>
      <c r="JY74" s="782"/>
      <c r="JZ74" s="782"/>
      <c r="KA74" s="782"/>
      <c r="KB74" s="782"/>
      <c r="KC74" s="782"/>
      <c r="KD74" s="782"/>
      <c r="KE74" s="782"/>
      <c r="KF74" s="782"/>
      <c r="KG74" s="782"/>
      <c r="KH74" s="782"/>
      <c r="KI74" s="782"/>
      <c r="KJ74" s="782"/>
      <c r="KK74" s="782"/>
      <c r="KL74" s="782"/>
      <c r="KM74" s="782"/>
      <c r="KN74" s="782"/>
      <c r="KO74" s="782"/>
      <c r="KP74" s="782"/>
      <c r="KQ74" s="782"/>
      <c r="KR74" s="782"/>
      <c r="KS74" s="782"/>
      <c r="KT74" s="782"/>
      <c r="KU74" s="782"/>
      <c r="KV74" s="782"/>
      <c r="KW74" s="782"/>
      <c r="KX74" s="782"/>
      <c r="KY74" s="782"/>
      <c r="KZ74" s="782"/>
      <c r="LA74" s="782"/>
      <c r="LB74" s="782"/>
      <c r="LC74" s="782"/>
      <c r="LD74" s="782"/>
      <c r="LE74" s="782"/>
      <c r="LF74" s="782"/>
      <c r="LG74" s="782"/>
      <c r="LH74" s="782"/>
      <c r="LI74" s="782"/>
      <c r="LJ74" s="782"/>
      <c r="LK74" s="782"/>
      <c r="LL74" s="782"/>
      <c r="LM74" s="782"/>
      <c r="LN74" s="782"/>
      <c r="LO74" s="782"/>
      <c r="LP74" s="782"/>
      <c r="LQ74" s="782"/>
      <c r="LR74" s="782"/>
      <c r="LS74" s="782"/>
      <c r="LT74" s="782"/>
      <c r="LU74" s="782"/>
      <c r="LV74" s="782"/>
      <c r="LW74" s="782"/>
      <c r="LX74" s="782"/>
      <c r="LY74" s="782"/>
      <c r="LZ74" s="782"/>
      <c r="MA74" s="782"/>
      <c r="MB74" s="782"/>
      <c r="MC74" s="782"/>
      <c r="MD74" s="782"/>
      <c r="ME74" s="782"/>
      <c r="MF74" s="782"/>
      <c r="MG74" s="782"/>
      <c r="MH74" s="782"/>
      <c r="MI74" s="782"/>
      <c r="MJ74" s="782"/>
      <c r="MK74" s="782"/>
      <c r="ML74" s="782"/>
      <c r="MM74" s="782"/>
      <c r="MN74" s="782"/>
      <c r="MO74" s="782"/>
      <c r="MP74" s="782"/>
      <c r="MQ74" s="782"/>
      <c r="MR74" s="782"/>
      <c r="MS74" s="782"/>
      <c r="MT74" s="782"/>
      <c r="MU74" s="782"/>
      <c r="MV74" s="782"/>
      <c r="MW74" s="782"/>
      <c r="MX74" s="782"/>
      <c r="MY74" s="782"/>
      <c r="MZ74" s="782"/>
      <c r="NA74" s="782"/>
      <c r="NB74" s="782"/>
      <c r="NC74" s="782"/>
      <c r="ND74" s="782"/>
      <c r="NE74" s="782"/>
      <c r="NF74" s="782"/>
      <c r="NG74" s="782"/>
      <c r="NH74" s="782"/>
      <c r="NI74" s="782"/>
      <c r="NJ74" s="782"/>
      <c r="NK74" s="782"/>
      <c r="NL74" s="782"/>
      <c r="NM74" s="782"/>
      <c r="NN74" s="782"/>
      <c r="NO74" s="782"/>
      <c r="NP74" s="782"/>
      <c r="NQ74" s="782"/>
      <c r="NR74" s="782"/>
      <c r="NS74" s="782"/>
      <c r="NT74" s="782"/>
      <c r="NU74" s="782"/>
      <c r="NV74" s="782"/>
      <c r="NW74" s="782"/>
      <c r="NX74" s="782"/>
      <c r="NY74" s="782"/>
      <c r="NZ74" s="782"/>
      <c r="OA74" s="782"/>
      <c r="OB74" s="782"/>
      <c r="OC74" s="782"/>
      <c r="OD74" s="782"/>
      <c r="OE74" s="782"/>
      <c r="OF74" s="782"/>
      <c r="OG74" s="782"/>
      <c r="OH74" s="782"/>
      <c r="OI74" s="782"/>
      <c r="OJ74" s="782"/>
      <c r="OK74" s="782"/>
      <c r="OL74" s="782"/>
      <c r="OM74" s="782"/>
      <c r="ON74" s="782"/>
      <c r="OO74" s="782"/>
      <c r="OP74" s="782"/>
      <c r="OQ74" s="782"/>
      <c r="OR74" s="782"/>
      <c r="OS74" s="782"/>
      <c r="OT74" s="782"/>
      <c r="OU74" s="782"/>
      <c r="OV74" s="782"/>
      <c r="OW74" s="782"/>
      <c r="OX74" s="782"/>
      <c r="OY74" s="782"/>
      <c r="OZ74" s="782"/>
      <c r="PA74" s="782"/>
      <c r="PB74" s="782"/>
      <c r="PC74" s="782"/>
      <c r="PD74" s="782"/>
      <c r="PE74" s="782"/>
      <c r="PF74" s="782"/>
      <c r="PG74" s="782"/>
      <c r="PH74" s="782"/>
      <c r="PI74" s="782"/>
      <c r="PJ74" s="782"/>
      <c r="PK74" s="782"/>
      <c r="PL74" s="782"/>
      <c r="PM74" s="782"/>
      <c r="PN74" s="782"/>
      <c r="PO74" s="782"/>
      <c r="PP74" s="782"/>
      <c r="PQ74" s="782"/>
      <c r="PR74" s="782"/>
      <c r="PS74" s="782"/>
      <c r="PT74" s="782"/>
      <c r="PU74" s="782"/>
      <c r="PV74" s="782"/>
      <c r="PW74" s="782"/>
      <c r="PX74" s="782"/>
      <c r="PY74" s="782"/>
      <c r="PZ74" s="782"/>
      <c r="QA74" s="782"/>
      <c r="QB74" s="782"/>
      <c r="QC74" s="782"/>
      <c r="QD74" s="782"/>
      <c r="QE74" s="782"/>
      <c r="QF74" s="782"/>
      <c r="QG74" s="782"/>
      <c r="QH74" s="782"/>
      <c r="QI74" s="782"/>
      <c r="QJ74" s="782"/>
      <c r="QK74" s="782"/>
      <c r="QL74" s="782"/>
      <c r="QM74" s="782"/>
      <c r="QN74" s="782"/>
      <c r="QO74" s="782"/>
      <c r="QP74" s="782"/>
      <c r="QQ74" s="782"/>
      <c r="QR74" s="782"/>
      <c r="QS74" s="782"/>
      <c r="QT74" s="782"/>
      <c r="QU74" s="782"/>
      <c r="QV74" s="782"/>
      <c r="QW74" s="782"/>
      <c r="QX74" s="782"/>
      <c r="QY74" s="782"/>
      <c r="QZ74" s="782"/>
      <c r="RA74" s="782"/>
      <c r="RB74" s="782"/>
      <c r="RC74" s="782"/>
      <c r="RD74" s="782"/>
      <c r="RE74" s="782"/>
      <c r="RF74" s="782"/>
      <c r="RG74" s="782"/>
      <c r="RH74" s="782"/>
      <c r="RI74" s="782"/>
      <c r="RJ74" s="782"/>
      <c r="RK74" s="782"/>
      <c r="RL74" s="782"/>
      <c r="RM74" s="782"/>
      <c r="RN74" s="782"/>
      <c r="RO74" s="782"/>
      <c r="RP74" s="782"/>
      <c r="RQ74" s="782"/>
      <c r="RR74" s="782"/>
      <c r="RS74" s="782"/>
      <c r="RT74" s="782"/>
      <c r="RU74" s="782"/>
      <c r="RV74" s="782"/>
      <c r="RW74" s="782"/>
      <c r="RX74" s="782"/>
    </row>
    <row r="75" spans="1:492" s="143" customFormat="1">
      <c r="A75" s="782"/>
      <c r="B75" s="782"/>
      <c r="C75" s="78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c r="AJ75" s="782"/>
      <c r="AK75" s="782"/>
      <c r="AL75" s="782"/>
      <c r="AM75" s="785"/>
      <c r="AN75" s="785"/>
      <c r="AO75" s="785"/>
      <c r="AP75" s="785"/>
      <c r="AQ75" s="785"/>
      <c r="AR75" s="785"/>
      <c r="AS75" s="785"/>
      <c r="AT75" s="785"/>
      <c r="AU75" s="785"/>
      <c r="AV75" s="785"/>
      <c r="AW75" s="785"/>
      <c r="AX75" s="785"/>
      <c r="AY75" s="785"/>
      <c r="AZ75" s="785"/>
      <c r="BA75" s="785"/>
      <c r="BB75" s="785"/>
      <c r="BC75" s="785"/>
      <c r="BD75" s="785"/>
      <c r="BE75" s="785"/>
      <c r="BF75" s="785"/>
      <c r="BG75" s="785"/>
      <c r="BH75" s="785"/>
      <c r="BI75" s="785"/>
      <c r="BJ75" s="785"/>
      <c r="BK75" s="785"/>
      <c r="BL75" s="785"/>
      <c r="BM75" s="785"/>
      <c r="BN75" s="785"/>
      <c r="BO75" s="785"/>
      <c r="BP75" s="785"/>
      <c r="BQ75" s="785"/>
      <c r="BR75" s="785"/>
      <c r="BS75" s="785"/>
      <c r="BT75" s="785"/>
      <c r="BU75" s="785"/>
      <c r="BV75" s="785"/>
      <c r="BW75" s="785"/>
      <c r="BX75" s="785"/>
      <c r="BY75" s="785"/>
      <c r="BZ75" s="785"/>
      <c r="CA75" s="782"/>
      <c r="CB75" s="782"/>
      <c r="CC75" s="782"/>
      <c r="CD75" s="782"/>
      <c r="CE75" s="782"/>
      <c r="CF75" s="782"/>
      <c r="CG75" s="782"/>
      <c r="CH75" s="782"/>
      <c r="CI75" s="782"/>
      <c r="CJ75" s="782"/>
      <c r="CK75" s="782"/>
      <c r="CL75" s="782"/>
      <c r="CM75" s="782"/>
      <c r="CN75" s="782"/>
      <c r="CO75" s="782"/>
      <c r="CP75" s="782"/>
      <c r="CQ75" s="782"/>
      <c r="CR75" s="782"/>
      <c r="CS75" s="782"/>
      <c r="CT75" s="782"/>
      <c r="CU75" s="782"/>
      <c r="CV75" s="782"/>
      <c r="CW75" s="782"/>
      <c r="CX75" s="782"/>
      <c r="CY75" s="782"/>
      <c r="CZ75" s="782"/>
      <c r="DA75" s="782"/>
      <c r="DB75" s="782"/>
      <c r="DC75" s="782"/>
      <c r="DD75" s="782"/>
      <c r="DE75" s="782"/>
      <c r="DF75" s="782"/>
      <c r="DG75" s="782"/>
      <c r="DH75" s="782"/>
      <c r="DI75" s="782"/>
      <c r="DJ75" s="782"/>
      <c r="DK75" s="782"/>
      <c r="DL75" s="782"/>
      <c r="DM75" s="782"/>
      <c r="DN75" s="782"/>
      <c r="DO75" s="782"/>
      <c r="DP75" s="782"/>
      <c r="DQ75" s="782"/>
      <c r="DR75" s="782"/>
      <c r="DS75" s="782"/>
      <c r="DT75" s="782"/>
      <c r="DU75" s="782"/>
      <c r="DV75" s="782"/>
      <c r="DW75" s="782"/>
      <c r="DX75" s="782"/>
      <c r="DY75" s="782"/>
      <c r="DZ75" s="782"/>
      <c r="EA75" s="782"/>
      <c r="EB75" s="782"/>
      <c r="EC75" s="782"/>
      <c r="ED75" s="782"/>
      <c r="EE75" s="782"/>
      <c r="EF75" s="782"/>
      <c r="EG75" s="782"/>
      <c r="EH75" s="782"/>
      <c r="EI75" s="782"/>
      <c r="EJ75" s="782"/>
      <c r="EK75" s="782"/>
      <c r="EL75" s="782"/>
      <c r="EM75" s="782"/>
      <c r="EN75" s="782"/>
      <c r="EO75" s="782"/>
      <c r="EP75" s="782"/>
      <c r="EQ75" s="782"/>
      <c r="ER75" s="782"/>
      <c r="ES75" s="782"/>
      <c r="ET75" s="782"/>
      <c r="EU75" s="782"/>
      <c r="EV75" s="782"/>
      <c r="EW75" s="782"/>
      <c r="EX75" s="782"/>
      <c r="EY75" s="782"/>
      <c r="EZ75" s="782"/>
      <c r="FA75" s="782"/>
      <c r="FB75" s="782"/>
      <c r="FC75" s="782"/>
      <c r="FD75" s="782"/>
      <c r="FE75" s="782"/>
      <c r="FF75" s="782"/>
      <c r="FG75" s="782"/>
      <c r="FH75" s="782"/>
      <c r="FI75" s="782"/>
      <c r="FJ75" s="782"/>
      <c r="FK75" s="782"/>
      <c r="FL75" s="782"/>
      <c r="FM75" s="782"/>
      <c r="FN75" s="782"/>
      <c r="FO75" s="782"/>
      <c r="FP75" s="782"/>
      <c r="FQ75" s="782"/>
      <c r="FR75" s="782"/>
      <c r="FS75" s="782"/>
      <c r="FT75" s="782"/>
      <c r="FU75" s="782"/>
      <c r="FV75" s="782"/>
      <c r="FW75" s="782"/>
      <c r="FX75" s="782"/>
      <c r="FY75" s="782"/>
      <c r="FZ75" s="782"/>
      <c r="GA75" s="782"/>
      <c r="GB75" s="782"/>
      <c r="GC75" s="782"/>
      <c r="GD75" s="782"/>
      <c r="GE75" s="782"/>
      <c r="GF75" s="782"/>
      <c r="GG75" s="782"/>
      <c r="GH75" s="782"/>
      <c r="GI75" s="782"/>
      <c r="GJ75" s="782"/>
      <c r="GK75" s="782"/>
      <c r="GL75" s="782"/>
      <c r="GM75" s="782"/>
      <c r="GN75" s="782"/>
      <c r="GO75" s="782"/>
      <c r="GP75" s="782"/>
      <c r="GQ75" s="782"/>
      <c r="GR75" s="782"/>
      <c r="GS75" s="782"/>
      <c r="GT75" s="782"/>
      <c r="GU75" s="782"/>
      <c r="GV75" s="782"/>
      <c r="GW75" s="782"/>
      <c r="GX75" s="782"/>
      <c r="GY75" s="782"/>
      <c r="GZ75" s="782"/>
      <c r="HA75" s="782"/>
      <c r="HB75" s="782"/>
      <c r="HC75" s="782"/>
      <c r="HD75" s="782"/>
      <c r="HE75" s="782"/>
      <c r="HF75" s="782"/>
      <c r="HG75" s="782"/>
      <c r="HH75" s="782"/>
      <c r="HI75" s="782"/>
      <c r="HJ75" s="782"/>
      <c r="HK75" s="782"/>
      <c r="HL75" s="782"/>
      <c r="HM75" s="782"/>
      <c r="HN75" s="782"/>
      <c r="HO75" s="782"/>
      <c r="HP75" s="782"/>
      <c r="HQ75" s="782"/>
      <c r="HR75" s="782"/>
      <c r="HS75" s="782"/>
      <c r="HT75" s="782"/>
      <c r="HU75" s="782"/>
      <c r="HV75" s="782"/>
      <c r="HW75" s="782"/>
      <c r="HX75" s="782"/>
      <c r="HY75" s="782"/>
      <c r="HZ75" s="782"/>
      <c r="IA75" s="782"/>
      <c r="IB75" s="782"/>
      <c r="IC75" s="782"/>
      <c r="ID75" s="782"/>
      <c r="IE75" s="782"/>
      <c r="IF75" s="782"/>
      <c r="IG75" s="782"/>
      <c r="IH75" s="782"/>
      <c r="II75" s="782"/>
      <c r="IJ75" s="782"/>
      <c r="IK75" s="782"/>
      <c r="IL75" s="782"/>
      <c r="IM75" s="782"/>
      <c r="IN75" s="782"/>
      <c r="IO75" s="782"/>
      <c r="IP75" s="782"/>
      <c r="IQ75" s="782"/>
      <c r="IR75" s="782"/>
      <c r="IS75" s="782"/>
      <c r="IT75" s="782"/>
      <c r="IU75" s="782"/>
      <c r="IV75" s="782"/>
      <c r="IW75" s="782"/>
      <c r="IX75" s="782"/>
      <c r="IY75" s="782"/>
      <c r="IZ75" s="782"/>
      <c r="JA75" s="782"/>
      <c r="JB75" s="782"/>
      <c r="JC75" s="782"/>
      <c r="JD75" s="782"/>
      <c r="JE75" s="782"/>
      <c r="JF75" s="782"/>
      <c r="JG75" s="782"/>
      <c r="JH75" s="782"/>
      <c r="JI75" s="782"/>
      <c r="JJ75" s="782"/>
      <c r="JK75" s="782"/>
      <c r="JL75" s="782"/>
      <c r="JM75" s="782"/>
      <c r="JN75" s="782"/>
      <c r="JO75" s="782"/>
      <c r="JP75" s="782"/>
      <c r="JQ75" s="782"/>
      <c r="JR75" s="782"/>
      <c r="JS75" s="782"/>
      <c r="JT75" s="782"/>
      <c r="JU75" s="782"/>
      <c r="JV75" s="782"/>
      <c r="JW75" s="782"/>
      <c r="JX75" s="782"/>
      <c r="JY75" s="782"/>
      <c r="JZ75" s="782"/>
      <c r="KA75" s="782"/>
      <c r="KB75" s="782"/>
      <c r="KC75" s="782"/>
      <c r="KD75" s="782"/>
      <c r="KE75" s="782"/>
      <c r="KF75" s="782"/>
      <c r="KG75" s="782"/>
      <c r="KH75" s="782"/>
      <c r="KI75" s="782"/>
      <c r="KJ75" s="782"/>
      <c r="KK75" s="782"/>
      <c r="KL75" s="782"/>
      <c r="KM75" s="782"/>
      <c r="KN75" s="782"/>
      <c r="KO75" s="782"/>
      <c r="KP75" s="782"/>
      <c r="KQ75" s="782"/>
      <c r="KR75" s="782"/>
      <c r="KS75" s="782"/>
      <c r="KT75" s="782"/>
      <c r="KU75" s="782"/>
      <c r="KV75" s="782"/>
      <c r="KW75" s="782"/>
      <c r="KX75" s="782"/>
      <c r="KY75" s="782"/>
      <c r="KZ75" s="782"/>
      <c r="LA75" s="782"/>
      <c r="LB75" s="782"/>
      <c r="LC75" s="782"/>
      <c r="LD75" s="782"/>
      <c r="LE75" s="782"/>
      <c r="LF75" s="782"/>
      <c r="LG75" s="782"/>
      <c r="LH75" s="782"/>
      <c r="LI75" s="782"/>
      <c r="LJ75" s="782"/>
      <c r="LK75" s="782"/>
      <c r="LL75" s="782"/>
      <c r="LM75" s="782"/>
      <c r="LN75" s="782"/>
      <c r="LO75" s="782"/>
      <c r="LP75" s="782"/>
      <c r="LQ75" s="782"/>
      <c r="LR75" s="782"/>
      <c r="LS75" s="782"/>
      <c r="LT75" s="782"/>
      <c r="LU75" s="782"/>
      <c r="LV75" s="782"/>
      <c r="LW75" s="782"/>
      <c r="LX75" s="782"/>
      <c r="LY75" s="782"/>
      <c r="LZ75" s="782"/>
      <c r="MA75" s="782"/>
      <c r="MB75" s="782"/>
      <c r="MC75" s="782"/>
      <c r="MD75" s="782"/>
      <c r="ME75" s="782"/>
      <c r="MF75" s="782"/>
      <c r="MG75" s="782"/>
      <c r="MH75" s="782"/>
      <c r="MI75" s="782"/>
      <c r="MJ75" s="782"/>
      <c r="MK75" s="782"/>
      <c r="ML75" s="782"/>
      <c r="MM75" s="782"/>
      <c r="MN75" s="782"/>
      <c r="MO75" s="782"/>
      <c r="MP75" s="782"/>
      <c r="MQ75" s="782"/>
      <c r="MR75" s="782"/>
      <c r="MS75" s="782"/>
      <c r="MT75" s="782"/>
      <c r="MU75" s="782"/>
      <c r="MV75" s="782"/>
      <c r="MW75" s="782"/>
      <c r="MX75" s="782"/>
      <c r="MY75" s="782"/>
      <c r="MZ75" s="782"/>
      <c r="NA75" s="782"/>
      <c r="NB75" s="782"/>
      <c r="NC75" s="782"/>
      <c r="ND75" s="782"/>
      <c r="NE75" s="782"/>
      <c r="NF75" s="782"/>
      <c r="NG75" s="782"/>
      <c r="NH75" s="782"/>
      <c r="NI75" s="782"/>
      <c r="NJ75" s="782"/>
      <c r="NK75" s="782"/>
      <c r="NL75" s="782"/>
      <c r="NM75" s="782"/>
      <c r="NN75" s="782"/>
      <c r="NO75" s="782"/>
      <c r="NP75" s="782"/>
      <c r="NQ75" s="782"/>
      <c r="NR75" s="782"/>
      <c r="NS75" s="782"/>
      <c r="NT75" s="782"/>
      <c r="NU75" s="782"/>
      <c r="NV75" s="782"/>
      <c r="NW75" s="782"/>
      <c r="NX75" s="782"/>
      <c r="NY75" s="782"/>
      <c r="NZ75" s="782"/>
      <c r="OA75" s="782"/>
      <c r="OB75" s="782"/>
      <c r="OC75" s="782"/>
      <c r="OD75" s="782"/>
      <c r="OE75" s="782"/>
      <c r="OF75" s="782"/>
      <c r="OG75" s="782"/>
      <c r="OH75" s="782"/>
      <c r="OI75" s="782"/>
      <c r="OJ75" s="782"/>
      <c r="OK75" s="782"/>
      <c r="OL75" s="782"/>
      <c r="OM75" s="782"/>
      <c r="ON75" s="782"/>
      <c r="OO75" s="782"/>
      <c r="OP75" s="782"/>
      <c r="OQ75" s="782"/>
      <c r="OR75" s="782"/>
      <c r="OS75" s="782"/>
      <c r="OT75" s="782"/>
      <c r="OU75" s="782"/>
      <c r="OV75" s="782"/>
      <c r="OW75" s="782"/>
      <c r="OX75" s="782"/>
      <c r="OY75" s="782"/>
      <c r="OZ75" s="782"/>
      <c r="PA75" s="782"/>
      <c r="PB75" s="782"/>
      <c r="PC75" s="782"/>
      <c r="PD75" s="782"/>
      <c r="PE75" s="782"/>
      <c r="PF75" s="782"/>
      <c r="PG75" s="782"/>
      <c r="PH75" s="782"/>
      <c r="PI75" s="782"/>
      <c r="PJ75" s="782"/>
      <c r="PK75" s="782"/>
      <c r="PL75" s="782"/>
      <c r="PM75" s="782"/>
      <c r="PN75" s="782"/>
      <c r="PO75" s="782"/>
      <c r="PP75" s="782"/>
      <c r="PQ75" s="782"/>
      <c r="PR75" s="782"/>
      <c r="PS75" s="782"/>
      <c r="PT75" s="782"/>
      <c r="PU75" s="782"/>
      <c r="PV75" s="782"/>
      <c r="PW75" s="782"/>
      <c r="PX75" s="782"/>
      <c r="PY75" s="782"/>
      <c r="PZ75" s="782"/>
      <c r="QA75" s="782"/>
      <c r="QB75" s="782"/>
      <c r="QC75" s="782"/>
      <c r="QD75" s="782"/>
      <c r="QE75" s="782"/>
      <c r="QF75" s="782"/>
      <c r="QG75" s="782"/>
      <c r="QH75" s="782"/>
      <c r="QI75" s="782"/>
      <c r="QJ75" s="782"/>
      <c r="QK75" s="782"/>
      <c r="QL75" s="782"/>
      <c r="QM75" s="782"/>
      <c r="QN75" s="782"/>
      <c r="QO75" s="782"/>
      <c r="QP75" s="782"/>
      <c r="QQ75" s="782"/>
      <c r="QR75" s="782"/>
      <c r="QS75" s="782"/>
      <c r="QT75" s="782"/>
      <c r="QU75" s="782"/>
      <c r="QV75" s="782"/>
      <c r="QW75" s="782"/>
      <c r="QX75" s="782"/>
      <c r="QY75" s="782"/>
      <c r="QZ75" s="782"/>
      <c r="RA75" s="782"/>
      <c r="RB75" s="782"/>
      <c r="RC75" s="782"/>
      <c r="RD75" s="782"/>
      <c r="RE75" s="782"/>
      <c r="RF75" s="782"/>
      <c r="RG75" s="782"/>
      <c r="RH75" s="782"/>
      <c r="RI75" s="782"/>
      <c r="RJ75" s="782"/>
      <c r="RK75" s="782"/>
      <c r="RL75" s="782"/>
      <c r="RM75" s="782"/>
      <c r="RN75" s="782"/>
      <c r="RO75" s="782"/>
      <c r="RP75" s="782"/>
      <c r="RQ75" s="782"/>
      <c r="RR75" s="782"/>
      <c r="RS75" s="782"/>
      <c r="RT75" s="782"/>
      <c r="RU75" s="782"/>
      <c r="RV75" s="782"/>
      <c r="RW75" s="782"/>
      <c r="RX75" s="782"/>
    </row>
    <row r="76" spans="1:492" s="143" customFormat="1">
      <c r="A76" s="782"/>
      <c r="B76" s="782"/>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c r="AJ76" s="782"/>
      <c r="AK76" s="782"/>
      <c r="AL76" s="782"/>
      <c r="AM76" s="785"/>
      <c r="AN76" s="785"/>
      <c r="AO76" s="785"/>
      <c r="AP76" s="785"/>
      <c r="AQ76" s="785"/>
      <c r="AR76" s="785"/>
      <c r="AS76" s="785"/>
      <c r="AT76" s="785"/>
      <c r="AU76" s="785"/>
      <c r="AV76" s="785"/>
      <c r="AW76" s="785"/>
      <c r="AX76" s="785"/>
      <c r="AY76" s="785"/>
      <c r="AZ76" s="785"/>
      <c r="BA76" s="785"/>
      <c r="BB76" s="785"/>
      <c r="BC76" s="785"/>
      <c r="BD76" s="785"/>
      <c r="BE76" s="785"/>
      <c r="BF76" s="785"/>
      <c r="BG76" s="785"/>
      <c r="BH76" s="785"/>
      <c r="BI76" s="785"/>
      <c r="BJ76" s="785"/>
      <c r="BK76" s="785"/>
      <c r="BL76" s="785"/>
      <c r="BM76" s="785"/>
      <c r="BN76" s="785"/>
      <c r="BO76" s="785"/>
      <c r="BP76" s="785"/>
      <c r="BQ76" s="785"/>
      <c r="BR76" s="785"/>
      <c r="BS76" s="785"/>
      <c r="BT76" s="785"/>
      <c r="BU76" s="785"/>
      <c r="BV76" s="785"/>
      <c r="BW76" s="785"/>
      <c r="BX76" s="785"/>
      <c r="BY76" s="785"/>
      <c r="BZ76" s="785"/>
      <c r="CA76" s="782"/>
      <c r="CB76" s="782"/>
      <c r="CC76" s="782"/>
      <c r="CD76" s="782"/>
      <c r="CE76" s="782"/>
      <c r="CF76" s="782"/>
      <c r="CG76" s="782"/>
      <c r="CH76" s="782"/>
      <c r="CI76" s="782"/>
      <c r="CJ76" s="782"/>
      <c r="CK76" s="782"/>
      <c r="CL76" s="782"/>
      <c r="CM76" s="782"/>
      <c r="CN76" s="782"/>
      <c r="CO76" s="782"/>
      <c r="CP76" s="782"/>
      <c r="CQ76" s="782"/>
      <c r="CR76" s="782"/>
      <c r="CS76" s="782"/>
      <c r="CT76" s="782"/>
      <c r="CU76" s="782"/>
      <c r="CV76" s="782"/>
      <c r="CW76" s="782"/>
      <c r="CX76" s="782"/>
      <c r="CY76" s="782"/>
      <c r="CZ76" s="782"/>
      <c r="DA76" s="782"/>
      <c r="DB76" s="782"/>
      <c r="DC76" s="782"/>
      <c r="DD76" s="782"/>
      <c r="DE76" s="782"/>
      <c r="DF76" s="782"/>
      <c r="DG76" s="782"/>
      <c r="DH76" s="782"/>
      <c r="DI76" s="782"/>
      <c r="DJ76" s="782"/>
      <c r="DK76" s="782"/>
      <c r="DL76" s="782"/>
      <c r="DM76" s="782"/>
      <c r="DN76" s="782"/>
      <c r="DO76" s="782"/>
      <c r="DP76" s="782"/>
      <c r="DQ76" s="782"/>
      <c r="DR76" s="782"/>
      <c r="DS76" s="782"/>
      <c r="DT76" s="782"/>
      <c r="DU76" s="782"/>
      <c r="DV76" s="782"/>
      <c r="DW76" s="782"/>
      <c r="DX76" s="782"/>
      <c r="DY76" s="782"/>
      <c r="DZ76" s="782"/>
      <c r="EA76" s="782"/>
      <c r="EB76" s="782"/>
      <c r="EC76" s="782"/>
      <c r="ED76" s="782"/>
      <c r="EE76" s="782"/>
      <c r="EF76" s="782"/>
      <c r="EG76" s="782"/>
      <c r="EH76" s="782"/>
      <c r="EI76" s="782"/>
      <c r="EJ76" s="782"/>
      <c r="EK76" s="782"/>
      <c r="EL76" s="782"/>
      <c r="EM76" s="782"/>
      <c r="EN76" s="782"/>
      <c r="EO76" s="782"/>
      <c r="EP76" s="782"/>
      <c r="EQ76" s="782"/>
      <c r="ER76" s="782"/>
      <c r="ES76" s="782"/>
      <c r="ET76" s="782"/>
      <c r="EU76" s="782"/>
      <c r="EV76" s="782"/>
      <c r="EW76" s="782"/>
      <c r="EX76" s="782"/>
      <c r="EY76" s="782"/>
      <c r="EZ76" s="782"/>
      <c r="FA76" s="782"/>
      <c r="FB76" s="782"/>
      <c r="FC76" s="782"/>
      <c r="FD76" s="782"/>
      <c r="FE76" s="782"/>
      <c r="FF76" s="782"/>
      <c r="FG76" s="782"/>
      <c r="FH76" s="782"/>
      <c r="FI76" s="782"/>
      <c r="FJ76" s="782"/>
      <c r="FK76" s="782"/>
      <c r="FL76" s="782"/>
      <c r="FM76" s="782"/>
      <c r="FN76" s="782"/>
      <c r="FO76" s="782"/>
      <c r="FP76" s="782"/>
      <c r="FQ76" s="782"/>
      <c r="FR76" s="782"/>
      <c r="FS76" s="782"/>
      <c r="FT76" s="782"/>
      <c r="FU76" s="782"/>
      <c r="FV76" s="782"/>
      <c r="FW76" s="782"/>
      <c r="FX76" s="782"/>
      <c r="FY76" s="782"/>
      <c r="FZ76" s="782"/>
      <c r="GA76" s="782"/>
      <c r="GB76" s="782"/>
      <c r="GC76" s="782"/>
      <c r="GD76" s="782"/>
      <c r="GE76" s="782"/>
      <c r="GF76" s="782"/>
      <c r="GG76" s="782"/>
      <c r="GH76" s="782"/>
      <c r="GI76" s="782"/>
      <c r="GJ76" s="782"/>
      <c r="GK76" s="782"/>
      <c r="GL76" s="782"/>
      <c r="GM76" s="782"/>
      <c r="GN76" s="782"/>
      <c r="GO76" s="782"/>
      <c r="GP76" s="782"/>
      <c r="GQ76" s="782"/>
      <c r="GR76" s="782"/>
      <c r="GS76" s="782"/>
      <c r="GT76" s="782"/>
      <c r="GU76" s="782"/>
      <c r="GV76" s="782"/>
      <c r="GW76" s="782"/>
      <c r="GX76" s="782"/>
      <c r="GY76" s="782"/>
      <c r="GZ76" s="782"/>
      <c r="HA76" s="782"/>
      <c r="HB76" s="782"/>
      <c r="HC76" s="782"/>
      <c r="HD76" s="782"/>
      <c r="HE76" s="782"/>
      <c r="HF76" s="782"/>
      <c r="HG76" s="782"/>
      <c r="HH76" s="782"/>
      <c r="HI76" s="782"/>
      <c r="HJ76" s="782"/>
      <c r="HK76" s="782"/>
      <c r="HL76" s="782"/>
      <c r="HM76" s="782"/>
      <c r="HN76" s="782"/>
      <c r="HO76" s="782"/>
      <c r="HP76" s="782"/>
      <c r="HQ76" s="782"/>
      <c r="HR76" s="782"/>
      <c r="HS76" s="782"/>
      <c r="HT76" s="782"/>
      <c r="HU76" s="782"/>
      <c r="HV76" s="782"/>
      <c r="HW76" s="782"/>
      <c r="HX76" s="782"/>
      <c r="HY76" s="782"/>
      <c r="HZ76" s="782"/>
      <c r="IA76" s="782"/>
      <c r="IB76" s="782"/>
      <c r="IC76" s="782"/>
      <c r="ID76" s="782"/>
      <c r="IE76" s="782"/>
      <c r="IF76" s="782"/>
      <c r="IG76" s="782"/>
      <c r="IH76" s="782"/>
      <c r="II76" s="782"/>
      <c r="IJ76" s="782"/>
      <c r="IK76" s="782"/>
      <c r="IL76" s="782"/>
      <c r="IM76" s="782"/>
      <c r="IN76" s="782"/>
      <c r="IO76" s="782"/>
      <c r="IP76" s="782"/>
      <c r="IQ76" s="782"/>
      <c r="IR76" s="782"/>
      <c r="IS76" s="782"/>
      <c r="IT76" s="782"/>
      <c r="IU76" s="782"/>
      <c r="IV76" s="782"/>
      <c r="IW76" s="782"/>
      <c r="IX76" s="782"/>
      <c r="IY76" s="782"/>
      <c r="IZ76" s="782"/>
      <c r="JA76" s="782"/>
      <c r="JB76" s="782"/>
      <c r="JC76" s="782"/>
      <c r="JD76" s="782"/>
      <c r="JE76" s="782"/>
      <c r="JF76" s="782"/>
      <c r="JG76" s="782"/>
      <c r="JH76" s="782"/>
      <c r="JI76" s="782"/>
      <c r="JJ76" s="782"/>
      <c r="JK76" s="782"/>
      <c r="JL76" s="782"/>
      <c r="JM76" s="782"/>
      <c r="JN76" s="782"/>
      <c r="JO76" s="782"/>
      <c r="JP76" s="782"/>
      <c r="JQ76" s="782"/>
      <c r="JR76" s="782"/>
      <c r="JS76" s="782"/>
      <c r="JT76" s="782"/>
      <c r="JU76" s="782"/>
      <c r="JV76" s="782"/>
      <c r="JW76" s="782"/>
      <c r="JX76" s="782"/>
      <c r="JY76" s="782"/>
      <c r="JZ76" s="782"/>
      <c r="KA76" s="782"/>
      <c r="KB76" s="782"/>
      <c r="KC76" s="782"/>
      <c r="KD76" s="782"/>
      <c r="KE76" s="782"/>
      <c r="KF76" s="782"/>
      <c r="KG76" s="782"/>
      <c r="KH76" s="782"/>
      <c r="KI76" s="782"/>
      <c r="KJ76" s="782"/>
      <c r="KK76" s="782"/>
      <c r="KL76" s="782"/>
      <c r="KM76" s="782"/>
      <c r="KN76" s="782"/>
      <c r="KO76" s="782"/>
      <c r="KP76" s="782"/>
      <c r="KQ76" s="782"/>
      <c r="KR76" s="782"/>
      <c r="KS76" s="782"/>
      <c r="KT76" s="782"/>
      <c r="KU76" s="782"/>
      <c r="KV76" s="782"/>
      <c r="KW76" s="782"/>
      <c r="KX76" s="782"/>
      <c r="KY76" s="782"/>
      <c r="KZ76" s="782"/>
      <c r="LA76" s="782"/>
      <c r="LB76" s="782"/>
      <c r="LC76" s="782"/>
      <c r="LD76" s="782"/>
      <c r="LE76" s="782"/>
      <c r="LF76" s="782"/>
      <c r="LG76" s="782"/>
      <c r="LH76" s="782"/>
      <c r="LI76" s="782"/>
      <c r="LJ76" s="782"/>
      <c r="LK76" s="782"/>
      <c r="LL76" s="782"/>
      <c r="LM76" s="782"/>
      <c r="LN76" s="782"/>
      <c r="LO76" s="782"/>
      <c r="LP76" s="782"/>
      <c r="LQ76" s="782"/>
      <c r="LR76" s="782"/>
      <c r="LS76" s="782"/>
      <c r="LT76" s="782"/>
      <c r="LU76" s="782"/>
      <c r="LV76" s="782"/>
      <c r="LW76" s="782"/>
      <c r="LX76" s="782"/>
      <c r="LY76" s="782"/>
      <c r="LZ76" s="782"/>
      <c r="MA76" s="782"/>
      <c r="MB76" s="782"/>
      <c r="MC76" s="782"/>
      <c r="MD76" s="782"/>
      <c r="ME76" s="782"/>
      <c r="MF76" s="782"/>
      <c r="MG76" s="782"/>
      <c r="MH76" s="782"/>
      <c r="MI76" s="782"/>
      <c r="MJ76" s="782"/>
      <c r="MK76" s="782"/>
      <c r="ML76" s="782"/>
      <c r="MM76" s="782"/>
      <c r="MN76" s="782"/>
      <c r="MO76" s="782"/>
      <c r="MP76" s="782"/>
      <c r="MQ76" s="782"/>
      <c r="MR76" s="782"/>
      <c r="MS76" s="782"/>
      <c r="MT76" s="782"/>
      <c r="MU76" s="782"/>
      <c r="MV76" s="782"/>
      <c r="MW76" s="782"/>
      <c r="MX76" s="782"/>
      <c r="MY76" s="782"/>
      <c r="MZ76" s="782"/>
      <c r="NA76" s="782"/>
      <c r="NB76" s="782"/>
      <c r="NC76" s="782"/>
      <c r="ND76" s="782"/>
      <c r="NE76" s="782"/>
      <c r="NF76" s="782"/>
      <c r="NG76" s="782"/>
      <c r="NH76" s="782"/>
      <c r="NI76" s="782"/>
      <c r="NJ76" s="782"/>
      <c r="NK76" s="782"/>
      <c r="NL76" s="782"/>
      <c r="NM76" s="782"/>
      <c r="NN76" s="782"/>
      <c r="NO76" s="782"/>
      <c r="NP76" s="782"/>
      <c r="NQ76" s="782"/>
      <c r="NR76" s="782"/>
      <c r="NS76" s="782"/>
      <c r="NT76" s="782"/>
      <c r="NU76" s="782"/>
      <c r="NV76" s="782"/>
      <c r="NW76" s="782"/>
      <c r="NX76" s="782"/>
      <c r="NY76" s="782"/>
      <c r="NZ76" s="782"/>
      <c r="OA76" s="782"/>
      <c r="OB76" s="782"/>
      <c r="OC76" s="782"/>
      <c r="OD76" s="782"/>
      <c r="OE76" s="782"/>
      <c r="OF76" s="782"/>
      <c r="OG76" s="782"/>
      <c r="OH76" s="782"/>
      <c r="OI76" s="782"/>
      <c r="OJ76" s="782"/>
      <c r="OK76" s="782"/>
      <c r="OL76" s="782"/>
      <c r="OM76" s="782"/>
      <c r="ON76" s="782"/>
      <c r="OO76" s="782"/>
      <c r="OP76" s="782"/>
      <c r="OQ76" s="782"/>
      <c r="OR76" s="782"/>
      <c r="OS76" s="782"/>
      <c r="OT76" s="782"/>
      <c r="OU76" s="782"/>
      <c r="OV76" s="782"/>
      <c r="OW76" s="782"/>
      <c r="OX76" s="782"/>
      <c r="OY76" s="782"/>
      <c r="OZ76" s="782"/>
      <c r="PA76" s="782"/>
      <c r="PB76" s="782"/>
      <c r="PC76" s="782"/>
      <c r="PD76" s="782"/>
      <c r="PE76" s="782"/>
      <c r="PF76" s="782"/>
      <c r="PG76" s="782"/>
      <c r="PH76" s="782"/>
      <c r="PI76" s="782"/>
      <c r="PJ76" s="782"/>
      <c r="PK76" s="782"/>
      <c r="PL76" s="782"/>
      <c r="PM76" s="782"/>
      <c r="PN76" s="782"/>
      <c r="PO76" s="782"/>
      <c r="PP76" s="782"/>
      <c r="PQ76" s="782"/>
      <c r="PR76" s="782"/>
      <c r="PS76" s="782"/>
      <c r="PT76" s="782"/>
      <c r="PU76" s="782"/>
      <c r="PV76" s="782"/>
      <c r="PW76" s="782"/>
      <c r="PX76" s="782"/>
      <c r="PY76" s="782"/>
      <c r="PZ76" s="782"/>
      <c r="QA76" s="782"/>
      <c r="QB76" s="782"/>
      <c r="QC76" s="782"/>
      <c r="QD76" s="782"/>
      <c r="QE76" s="782"/>
      <c r="QF76" s="782"/>
      <c r="QG76" s="782"/>
      <c r="QH76" s="782"/>
      <c r="QI76" s="782"/>
      <c r="QJ76" s="782"/>
      <c r="QK76" s="782"/>
      <c r="QL76" s="782"/>
      <c r="QM76" s="782"/>
      <c r="QN76" s="782"/>
      <c r="QO76" s="782"/>
      <c r="QP76" s="782"/>
      <c r="QQ76" s="782"/>
      <c r="QR76" s="782"/>
      <c r="QS76" s="782"/>
      <c r="QT76" s="782"/>
      <c r="QU76" s="782"/>
      <c r="QV76" s="782"/>
      <c r="QW76" s="782"/>
      <c r="QX76" s="782"/>
      <c r="QY76" s="782"/>
      <c r="QZ76" s="782"/>
      <c r="RA76" s="782"/>
      <c r="RB76" s="782"/>
      <c r="RC76" s="782"/>
      <c r="RD76" s="782"/>
      <c r="RE76" s="782"/>
      <c r="RF76" s="782"/>
      <c r="RG76" s="782"/>
      <c r="RH76" s="782"/>
      <c r="RI76" s="782"/>
      <c r="RJ76" s="782"/>
      <c r="RK76" s="782"/>
      <c r="RL76" s="782"/>
      <c r="RM76" s="782"/>
      <c r="RN76" s="782"/>
      <c r="RO76" s="782"/>
      <c r="RP76" s="782"/>
      <c r="RQ76" s="782"/>
      <c r="RR76" s="782"/>
      <c r="RS76" s="782"/>
      <c r="RT76" s="782"/>
      <c r="RU76" s="782"/>
      <c r="RV76" s="782"/>
      <c r="RW76" s="782"/>
      <c r="RX76" s="782"/>
    </row>
    <row r="77" spans="1:492" s="143" customFormat="1">
      <c r="A77" s="782"/>
      <c r="B77" s="782"/>
      <c r="C77" s="782"/>
      <c r="D77" s="782"/>
      <c r="E77" s="782"/>
      <c r="F77" s="782"/>
      <c r="G77" s="782"/>
      <c r="H77" s="782"/>
      <c r="I77" s="782"/>
      <c r="J77" s="782"/>
      <c r="K77" s="782"/>
      <c r="L77" s="782"/>
      <c r="M77" s="782"/>
      <c r="N77" s="782"/>
      <c r="O77" s="782"/>
      <c r="P77" s="782"/>
      <c r="Q77" s="782"/>
      <c r="R77" s="782"/>
      <c r="S77" s="782"/>
      <c r="T77" s="782"/>
      <c r="U77" s="782"/>
      <c r="V77" s="782"/>
      <c r="W77" s="782"/>
      <c r="X77" s="782"/>
      <c r="Y77" s="782"/>
      <c r="Z77" s="782"/>
      <c r="AA77" s="782"/>
      <c r="AB77" s="782"/>
      <c r="AC77" s="782"/>
      <c r="AD77" s="782"/>
      <c r="AE77" s="782"/>
      <c r="AF77" s="782"/>
      <c r="AG77" s="782"/>
      <c r="AH77" s="782"/>
      <c r="AI77" s="782"/>
      <c r="AJ77" s="782"/>
      <c r="AK77" s="782"/>
      <c r="AL77" s="782"/>
      <c r="AM77" s="785"/>
      <c r="AN77" s="785"/>
      <c r="AO77" s="785"/>
      <c r="AP77" s="785"/>
      <c r="AQ77" s="785"/>
      <c r="AR77" s="785"/>
      <c r="AS77" s="785"/>
      <c r="AT77" s="785"/>
      <c r="AU77" s="785"/>
      <c r="AV77" s="785"/>
      <c r="AW77" s="785"/>
      <c r="AX77" s="785"/>
      <c r="AY77" s="785"/>
      <c r="AZ77" s="785"/>
      <c r="BA77" s="785"/>
      <c r="BB77" s="785"/>
      <c r="BC77" s="785"/>
      <c r="BD77" s="785"/>
      <c r="BE77" s="785"/>
      <c r="BF77" s="785"/>
      <c r="BG77" s="785"/>
      <c r="BH77" s="785"/>
      <c r="BI77" s="785"/>
      <c r="BJ77" s="785"/>
      <c r="BK77" s="785"/>
      <c r="BL77" s="785"/>
      <c r="BM77" s="785"/>
      <c r="BN77" s="785"/>
      <c r="BO77" s="785"/>
      <c r="BP77" s="785"/>
      <c r="BQ77" s="785"/>
      <c r="BR77" s="785"/>
      <c r="BS77" s="785"/>
      <c r="BT77" s="785"/>
      <c r="BU77" s="785"/>
      <c r="BV77" s="785"/>
      <c r="BW77" s="785"/>
      <c r="BX77" s="785"/>
      <c r="BY77" s="785"/>
      <c r="BZ77" s="785"/>
      <c r="CA77" s="782"/>
      <c r="CB77" s="782"/>
      <c r="CC77" s="782"/>
      <c r="CD77" s="782"/>
      <c r="CE77" s="782"/>
      <c r="CF77" s="782"/>
      <c r="CG77" s="782"/>
      <c r="CH77" s="782"/>
      <c r="CI77" s="782"/>
      <c r="CJ77" s="782"/>
      <c r="CK77" s="782"/>
      <c r="CL77" s="782"/>
      <c r="CM77" s="782"/>
      <c r="CN77" s="782"/>
      <c r="CO77" s="782"/>
      <c r="CP77" s="782"/>
      <c r="CQ77" s="782"/>
      <c r="CR77" s="782"/>
      <c r="CS77" s="782"/>
      <c r="CT77" s="782"/>
      <c r="CU77" s="782"/>
      <c r="CV77" s="782"/>
      <c r="CW77" s="782"/>
      <c r="CX77" s="782"/>
      <c r="CY77" s="782"/>
      <c r="CZ77" s="782"/>
      <c r="DA77" s="782"/>
      <c r="DB77" s="782"/>
      <c r="DC77" s="782"/>
      <c r="DD77" s="782"/>
      <c r="DE77" s="782"/>
      <c r="DF77" s="782"/>
      <c r="DG77" s="782"/>
      <c r="DH77" s="782"/>
      <c r="DI77" s="782"/>
      <c r="DJ77" s="782"/>
      <c r="DK77" s="782"/>
      <c r="DL77" s="782"/>
      <c r="DM77" s="782"/>
      <c r="DN77" s="782"/>
      <c r="DO77" s="782"/>
      <c r="DP77" s="782"/>
      <c r="DQ77" s="782"/>
      <c r="DR77" s="782"/>
      <c r="DS77" s="782"/>
      <c r="DT77" s="782"/>
      <c r="DU77" s="782"/>
      <c r="DV77" s="782"/>
      <c r="DW77" s="782"/>
      <c r="DX77" s="782"/>
      <c r="DY77" s="782"/>
      <c r="DZ77" s="782"/>
      <c r="EA77" s="782"/>
      <c r="EB77" s="782"/>
      <c r="EC77" s="782"/>
      <c r="ED77" s="782"/>
      <c r="EE77" s="782"/>
      <c r="EF77" s="782"/>
      <c r="EG77" s="782"/>
      <c r="EH77" s="782"/>
      <c r="EI77" s="782"/>
      <c r="EJ77" s="782"/>
      <c r="EK77" s="782"/>
      <c r="EL77" s="782"/>
      <c r="EM77" s="782"/>
      <c r="EN77" s="782"/>
      <c r="EO77" s="782"/>
      <c r="EP77" s="782"/>
      <c r="EQ77" s="782"/>
      <c r="ER77" s="782"/>
      <c r="ES77" s="782"/>
      <c r="ET77" s="782"/>
      <c r="EU77" s="782"/>
      <c r="EV77" s="782"/>
      <c r="EW77" s="782"/>
      <c r="EX77" s="782"/>
      <c r="EY77" s="782"/>
      <c r="EZ77" s="782"/>
      <c r="FA77" s="782"/>
      <c r="FB77" s="782"/>
      <c r="FC77" s="782"/>
      <c r="FD77" s="782"/>
      <c r="FE77" s="782"/>
      <c r="FF77" s="782"/>
      <c r="FG77" s="782"/>
      <c r="FH77" s="782"/>
      <c r="FI77" s="782"/>
      <c r="FJ77" s="782"/>
      <c r="FK77" s="782"/>
      <c r="FL77" s="782"/>
      <c r="FM77" s="782"/>
      <c r="FN77" s="782"/>
      <c r="FO77" s="782"/>
      <c r="FP77" s="782"/>
      <c r="FQ77" s="782"/>
      <c r="FR77" s="782"/>
      <c r="FS77" s="782"/>
      <c r="FT77" s="782"/>
      <c r="FU77" s="782"/>
      <c r="FV77" s="782"/>
      <c r="FW77" s="782"/>
      <c r="FX77" s="782"/>
      <c r="FY77" s="782"/>
      <c r="FZ77" s="782"/>
      <c r="GA77" s="782"/>
      <c r="GB77" s="782"/>
      <c r="GC77" s="782"/>
      <c r="GD77" s="782"/>
      <c r="GE77" s="782"/>
      <c r="GF77" s="782"/>
      <c r="GG77" s="782"/>
      <c r="GH77" s="782"/>
      <c r="GI77" s="782"/>
      <c r="GJ77" s="782"/>
      <c r="GK77" s="782"/>
      <c r="GL77" s="782"/>
      <c r="GM77" s="782"/>
      <c r="GN77" s="782"/>
      <c r="GO77" s="782"/>
      <c r="GP77" s="782"/>
      <c r="GQ77" s="782"/>
      <c r="GR77" s="782"/>
      <c r="GS77" s="782"/>
      <c r="GT77" s="782"/>
      <c r="GU77" s="782"/>
      <c r="GV77" s="782"/>
      <c r="GW77" s="782"/>
      <c r="GX77" s="782"/>
      <c r="GY77" s="782"/>
      <c r="GZ77" s="782"/>
      <c r="HA77" s="782"/>
      <c r="HB77" s="782"/>
      <c r="HC77" s="782"/>
      <c r="HD77" s="782"/>
      <c r="HE77" s="782"/>
      <c r="HF77" s="782"/>
      <c r="HG77" s="782"/>
      <c r="HH77" s="782"/>
      <c r="HI77" s="782"/>
      <c r="HJ77" s="782"/>
      <c r="HK77" s="782"/>
      <c r="HL77" s="782"/>
      <c r="HM77" s="782"/>
      <c r="HN77" s="782"/>
      <c r="HO77" s="782"/>
      <c r="HP77" s="782"/>
      <c r="HQ77" s="782"/>
      <c r="HR77" s="782"/>
      <c r="HS77" s="782"/>
      <c r="HT77" s="782"/>
      <c r="HU77" s="782"/>
      <c r="HV77" s="782"/>
      <c r="HW77" s="782"/>
      <c r="HX77" s="782"/>
      <c r="HY77" s="782"/>
      <c r="HZ77" s="782"/>
      <c r="IA77" s="782"/>
      <c r="IB77" s="782"/>
      <c r="IC77" s="782"/>
      <c r="ID77" s="782"/>
      <c r="IE77" s="782"/>
      <c r="IF77" s="782"/>
      <c r="IG77" s="782"/>
      <c r="IH77" s="782"/>
      <c r="II77" s="782"/>
      <c r="IJ77" s="782"/>
      <c r="IK77" s="782"/>
      <c r="IL77" s="782"/>
      <c r="IM77" s="782"/>
      <c r="IN77" s="782"/>
      <c r="IO77" s="782"/>
      <c r="IP77" s="782"/>
      <c r="IQ77" s="782"/>
      <c r="IR77" s="782"/>
      <c r="IS77" s="782"/>
      <c r="IT77" s="782"/>
      <c r="IU77" s="782"/>
      <c r="IV77" s="782"/>
      <c r="IW77" s="782"/>
      <c r="IX77" s="782"/>
      <c r="IY77" s="782"/>
      <c r="IZ77" s="782"/>
      <c r="JA77" s="782"/>
      <c r="JB77" s="782"/>
      <c r="JC77" s="782"/>
      <c r="JD77" s="782"/>
      <c r="JE77" s="782"/>
      <c r="JF77" s="782"/>
      <c r="JG77" s="782"/>
      <c r="JH77" s="782"/>
      <c r="JI77" s="782"/>
      <c r="JJ77" s="782"/>
      <c r="JK77" s="782"/>
      <c r="JL77" s="782"/>
      <c r="JM77" s="782"/>
      <c r="JN77" s="782"/>
      <c r="JO77" s="782"/>
      <c r="JP77" s="782"/>
      <c r="JQ77" s="782"/>
      <c r="JR77" s="782"/>
      <c r="JS77" s="782"/>
      <c r="JT77" s="782"/>
      <c r="JU77" s="782"/>
      <c r="JV77" s="782"/>
      <c r="JW77" s="782"/>
      <c r="JX77" s="782"/>
      <c r="JY77" s="782"/>
      <c r="JZ77" s="782"/>
      <c r="KA77" s="782"/>
      <c r="KB77" s="782"/>
      <c r="KC77" s="782"/>
      <c r="KD77" s="782"/>
      <c r="KE77" s="782"/>
      <c r="KF77" s="782"/>
      <c r="KG77" s="782"/>
      <c r="KH77" s="782"/>
      <c r="KI77" s="782"/>
      <c r="KJ77" s="782"/>
      <c r="KK77" s="782"/>
      <c r="KL77" s="782"/>
      <c r="KM77" s="782"/>
      <c r="KN77" s="782"/>
      <c r="KO77" s="782"/>
      <c r="KP77" s="782"/>
      <c r="KQ77" s="782"/>
      <c r="KR77" s="782"/>
      <c r="KS77" s="782"/>
      <c r="KT77" s="782"/>
      <c r="KU77" s="782"/>
      <c r="KV77" s="782"/>
      <c r="KW77" s="782"/>
      <c r="KX77" s="782"/>
      <c r="KY77" s="782"/>
      <c r="KZ77" s="782"/>
      <c r="LA77" s="782"/>
      <c r="LB77" s="782"/>
      <c r="LC77" s="782"/>
      <c r="LD77" s="782"/>
      <c r="LE77" s="782"/>
      <c r="LF77" s="782"/>
      <c r="LG77" s="782"/>
      <c r="LH77" s="782"/>
      <c r="LI77" s="782"/>
      <c r="LJ77" s="782"/>
      <c r="LK77" s="782"/>
      <c r="LL77" s="782"/>
      <c r="LM77" s="782"/>
      <c r="LN77" s="782"/>
      <c r="LO77" s="782"/>
      <c r="LP77" s="782"/>
      <c r="LQ77" s="782"/>
      <c r="LR77" s="782"/>
      <c r="LS77" s="782"/>
      <c r="LT77" s="782"/>
      <c r="LU77" s="782"/>
      <c r="LV77" s="782"/>
      <c r="LW77" s="782"/>
      <c r="LX77" s="782"/>
      <c r="LY77" s="782"/>
      <c r="LZ77" s="782"/>
      <c r="MA77" s="782"/>
      <c r="MB77" s="782"/>
      <c r="MC77" s="782"/>
      <c r="MD77" s="782"/>
      <c r="ME77" s="782"/>
      <c r="MF77" s="782"/>
      <c r="MG77" s="782"/>
      <c r="MH77" s="782"/>
      <c r="MI77" s="782"/>
      <c r="MJ77" s="782"/>
      <c r="MK77" s="782"/>
      <c r="ML77" s="782"/>
      <c r="MM77" s="782"/>
      <c r="MN77" s="782"/>
      <c r="MO77" s="782"/>
      <c r="MP77" s="782"/>
      <c r="MQ77" s="782"/>
      <c r="MR77" s="782"/>
      <c r="MS77" s="782"/>
      <c r="MT77" s="782"/>
      <c r="MU77" s="782"/>
      <c r="MV77" s="782"/>
      <c r="MW77" s="782"/>
      <c r="MX77" s="782"/>
      <c r="MY77" s="782"/>
      <c r="MZ77" s="782"/>
      <c r="NA77" s="782"/>
      <c r="NB77" s="782"/>
      <c r="NC77" s="782"/>
      <c r="ND77" s="782"/>
      <c r="NE77" s="782"/>
      <c r="NF77" s="782"/>
      <c r="NG77" s="782"/>
      <c r="NH77" s="782"/>
      <c r="NI77" s="782"/>
      <c r="NJ77" s="782"/>
      <c r="NK77" s="782"/>
      <c r="NL77" s="782"/>
      <c r="NM77" s="782"/>
      <c r="NN77" s="782"/>
      <c r="NO77" s="782"/>
      <c r="NP77" s="782"/>
      <c r="NQ77" s="782"/>
      <c r="NR77" s="782"/>
      <c r="NS77" s="782"/>
      <c r="NT77" s="782"/>
      <c r="NU77" s="782"/>
      <c r="NV77" s="782"/>
      <c r="NW77" s="782"/>
      <c r="NX77" s="782"/>
      <c r="NY77" s="782"/>
      <c r="NZ77" s="782"/>
      <c r="OA77" s="782"/>
      <c r="OB77" s="782"/>
      <c r="OC77" s="782"/>
      <c r="OD77" s="782"/>
      <c r="OE77" s="782"/>
      <c r="OF77" s="782"/>
      <c r="OG77" s="782"/>
      <c r="OH77" s="782"/>
      <c r="OI77" s="782"/>
      <c r="OJ77" s="782"/>
      <c r="OK77" s="782"/>
      <c r="OL77" s="782"/>
      <c r="OM77" s="782"/>
      <c r="ON77" s="782"/>
      <c r="OO77" s="782"/>
      <c r="OP77" s="782"/>
      <c r="OQ77" s="782"/>
      <c r="OR77" s="782"/>
      <c r="OS77" s="782"/>
      <c r="OT77" s="782"/>
      <c r="OU77" s="782"/>
      <c r="OV77" s="782"/>
      <c r="OW77" s="782"/>
      <c r="OX77" s="782"/>
      <c r="OY77" s="782"/>
      <c r="OZ77" s="782"/>
      <c r="PA77" s="782"/>
      <c r="PB77" s="782"/>
      <c r="PC77" s="782"/>
      <c r="PD77" s="782"/>
      <c r="PE77" s="782"/>
      <c r="PF77" s="782"/>
      <c r="PG77" s="782"/>
      <c r="PH77" s="782"/>
      <c r="PI77" s="782"/>
      <c r="PJ77" s="782"/>
      <c r="PK77" s="782"/>
      <c r="PL77" s="782"/>
      <c r="PM77" s="782"/>
      <c r="PN77" s="782"/>
      <c r="PO77" s="782"/>
      <c r="PP77" s="782"/>
      <c r="PQ77" s="782"/>
      <c r="PR77" s="782"/>
      <c r="PS77" s="782"/>
      <c r="PT77" s="782"/>
      <c r="PU77" s="782"/>
      <c r="PV77" s="782"/>
      <c r="PW77" s="782"/>
      <c r="PX77" s="782"/>
      <c r="PY77" s="782"/>
      <c r="PZ77" s="782"/>
      <c r="QA77" s="782"/>
      <c r="QB77" s="782"/>
      <c r="QC77" s="782"/>
      <c r="QD77" s="782"/>
      <c r="QE77" s="782"/>
      <c r="QF77" s="782"/>
      <c r="QG77" s="782"/>
      <c r="QH77" s="782"/>
      <c r="QI77" s="782"/>
      <c r="QJ77" s="782"/>
      <c r="QK77" s="782"/>
      <c r="QL77" s="782"/>
      <c r="QM77" s="782"/>
      <c r="QN77" s="782"/>
      <c r="QO77" s="782"/>
      <c r="QP77" s="782"/>
      <c r="QQ77" s="782"/>
      <c r="QR77" s="782"/>
      <c r="QS77" s="782"/>
      <c r="QT77" s="782"/>
      <c r="QU77" s="782"/>
      <c r="QV77" s="782"/>
      <c r="QW77" s="782"/>
      <c r="QX77" s="782"/>
      <c r="QY77" s="782"/>
      <c r="QZ77" s="782"/>
      <c r="RA77" s="782"/>
      <c r="RB77" s="782"/>
      <c r="RC77" s="782"/>
      <c r="RD77" s="782"/>
      <c r="RE77" s="782"/>
      <c r="RF77" s="782"/>
      <c r="RG77" s="782"/>
      <c r="RH77" s="782"/>
      <c r="RI77" s="782"/>
      <c r="RJ77" s="782"/>
      <c r="RK77" s="782"/>
      <c r="RL77" s="782"/>
      <c r="RM77" s="782"/>
      <c r="RN77" s="782"/>
      <c r="RO77" s="782"/>
      <c r="RP77" s="782"/>
      <c r="RQ77" s="782"/>
      <c r="RR77" s="782"/>
      <c r="RS77" s="782"/>
      <c r="RT77" s="782"/>
      <c r="RU77" s="782"/>
      <c r="RV77" s="782"/>
      <c r="RW77" s="782"/>
      <c r="RX77" s="782"/>
    </row>
    <row r="78" spans="1:492" s="143" customFormat="1">
      <c r="A78" s="782"/>
      <c r="B78" s="782"/>
      <c r="C78" s="782"/>
      <c r="D78" s="782"/>
      <c r="E78" s="782"/>
      <c r="F78" s="782"/>
      <c r="G78" s="782"/>
      <c r="H78" s="782"/>
      <c r="I78" s="782"/>
      <c r="J78" s="782"/>
      <c r="K78" s="782"/>
      <c r="L78" s="782"/>
      <c r="M78" s="782"/>
      <c r="N78" s="782"/>
      <c r="O78" s="782"/>
      <c r="P78" s="782"/>
      <c r="Q78" s="782"/>
      <c r="R78" s="782"/>
      <c r="S78" s="782"/>
      <c r="T78" s="782"/>
      <c r="U78" s="782"/>
      <c r="V78" s="782"/>
      <c r="W78" s="782"/>
      <c r="X78" s="782"/>
      <c r="Y78" s="782"/>
      <c r="Z78" s="782"/>
      <c r="AA78" s="782"/>
      <c r="AB78" s="782"/>
      <c r="AC78" s="782"/>
      <c r="AD78" s="782"/>
      <c r="AE78" s="782"/>
      <c r="AF78" s="782"/>
      <c r="AG78" s="782"/>
      <c r="AH78" s="782"/>
      <c r="AI78" s="782"/>
      <c r="AJ78" s="782"/>
      <c r="AK78" s="782"/>
      <c r="AL78" s="782"/>
      <c r="AM78" s="785"/>
      <c r="AN78" s="785"/>
      <c r="AO78" s="785"/>
      <c r="AP78" s="785"/>
      <c r="AQ78" s="785"/>
      <c r="AR78" s="785"/>
      <c r="AS78" s="785"/>
      <c r="AT78" s="785"/>
      <c r="AU78" s="785"/>
      <c r="AV78" s="785"/>
      <c r="AW78" s="785"/>
      <c r="AX78" s="785"/>
      <c r="AY78" s="785"/>
      <c r="AZ78" s="785"/>
      <c r="BA78" s="785"/>
      <c r="BB78" s="785"/>
      <c r="BC78" s="785"/>
      <c r="BD78" s="785"/>
      <c r="BE78" s="785"/>
      <c r="BF78" s="785"/>
      <c r="BG78" s="785"/>
      <c r="BH78" s="785"/>
      <c r="BI78" s="785"/>
      <c r="BJ78" s="785"/>
      <c r="BK78" s="785"/>
      <c r="BL78" s="785"/>
      <c r="BM78" s="785"/>
      <c r="BN78" s="785"/>
      <c r="BO78" s="785"/>
      <c r="BP78" s="785"/>
      <c r="BQ78" s="785"/>
      <c r="BR78" s="785"/>
      <c r="BS78" s="785"/>
      <c r="BT78" s="785"/>
      <c r="BU78" s="785"/>
      <c r="BV78" s="785"/>
      <c r="BW78" s="785"/>
      <c r="BX78" s="785"/>
      <c r="BY78" s="785"/>
      <c r="BZ78" s="785"/>
      <c r="CA78" s="782"/>
      <c r="CB78" s="782"/>
      <c r="CC78" s="782"/>
      <c r="CD78" s="782"/>
      <c r="CE78" s="782"/>
      <c r="CF78" s="782"/>
      <c r="CG78" s="782"/>
      <c r="CH78" s="782"/>
      <c r="CI78" s="782"/>
      <c r="CJ78" s="782"/>
      <c r="CK78" s="782"/>
      <c r="CL78" s="782"/>
      <c r="CM78" s="782"/>
      <c r="CN78" s="782"/>
      <c r="CO78" s="782"/>
      <c r="CP78" s="782"/>
      <c r="CQ78" s="782"/>
      <c r="CR78" s="782"/>
      <c r="CS78" s="782"/>
      <c r="CT78" s="782"/>
      <c r="CU78" s="782"/>
      <c r="CV78" s="782"/>
      <c r="CW78" s="782"/>
      <c r="CX78" s="782"/>
      <c r="CY78" s="782"/>
      <c r="CZ78" s="782"/>
      <c r="DA78" s="782"/>
      <c r="DB78" s="782"/>
      <c r="DC78" s="782"/>
      <c r="DD78" s="782"/>
      <c r="DE78" s="782"/>
      <c r="DF78" s="782"/>
      <c r="DG78" s="782"/>
      <c r="DH78" s="782"/>
      <c r="DI78" s="782"/>
      <c r="DJ78" s="782"/>
      <c r="DK78" s="782"/>
      <c r="DL78" s="782"/>
      <c r="DM78" s="782"/>
      <c r="DN78" s="782"/>
      <c r="DO78" s="782"/>
      <c r="DP78" s="782"/>
      <c r="DQ78" s="782"/>
      <c r="DR78" s="782"/>
      <c r="DS78" s="782"/>
      <c r="DT78" s="782"/>
      <c r="DU78" s="782"/>
      <c r="DV78" s="782"/>
      <c r="DW78" s="782"/>
      <c r="DX78" s="782"/>
      <c r="DY78" s="782"/>
      <c r="DZ78" s="782"/>
      <c r="EA78" s="782"/>
      <c r="EB78" s="782"/>
      <c r="EC78" s="782"/>
      <c r="ED78" s="782"/>
      <c r="EE78" s="782"/>
      <c r="EF78" s="782"/>
      <c r="EG78" s="782"/>
      <c r="EH78" s="782"/>
      <c r="EI78" s="782"/>
      <c r="EJ78" s="782"/>
      <c r="EK78" s="782"/>
      <c r="EL78" s="782"/>
      <c r="EM78" s="782"/>
      <c r="EN78" s="782"/>
      <c r="EO78" s="782"/>
      <c r="EP78" s="782"/>
      <c r="EQ78" s="782"/>
      <c r="ER78" s="782"/>
      <c r="ES78" s="782"/>
      <c r="ET78" s="782"/>
      <c r="EU78" s="782"/>
      <c r="EV78" s="782"/>
      <c r="EW78" s="782"/>
      <c r="EX78" s="782"/>
      <c r="EY78" s="782"/>
      <c r="EZ78" s="782"/>
      <c r="FA78" s="782"/>
      <c r="FB78" s="782"/>
      <c r="FC78" s="782"/>
      <c r="FD78" s="782"/>
      <c r="FE78" s="782"/>
      <c r="FF78" s="782"/>
      <c r="FG78" s="782"/>
      <c r="FH78" s="782"/>
      <c r="FI78" s="782"/>
      <c r="FJ78" s="782"/>
      <c r="FK78" s="782"/>
      <c r="FL78" s="782"/>
      <c r="FM78" s="782"/>
      <c r="FN78" s="782"/>
      <c r="FO78" s="782"/>
      <c r="FP78" s="782"/>
      <c r="FQ78" s="782"/>
      <c r="FR78" s="782"/>
      <c r="FS78" s="782"/>
      <c r="FT78" s="782"/>
      <c r="FU78" s="782"/>
      <c r="FV78" s="782"/>
      <c r="FW78" s="782"/>
      <c r="FX78" s="782"/>
      <c r="FY78" s="782"/>
      <c r="FZ78" s="782"/>
      <c r="GA78" s="782"/>
      <c r="GB78" s="782"/>
      <c r="GC78" s="782"/>
      <c r="GD78" s="782"/>
      <c r="GE78" s="782"/>
      <c r="GF78" s="782"/>
      <c r="GG78" s="782"/>
      <c r="GH78" s="782"/>
      <c r="GI78" s="782"/>
      <c r="GJ78" s="782"/>
      <c r="GK78" s="782"/>
      <c r="GL78" s="782"/>
      <c r="GM78" s="782"/>
      <c r="GN78" s="782"/>
      <c r="GO78" s="782"/>
      <c r="GP78" s="782"/>
      <c r="GQ78" s="782"/>
      <c r="GR78" s="782"/>
      <c r="GS78" s="782"/>
      <c r="GT78" s="782"/>
      <c r="GU78" s="782"/>
      <c r="GV78" s="782"/>
      <c r="GW78" s="782"/>
      <c r="GX78" s="782"/>
      <c r="GY78" s="782"/>
      <c r="GZ78" s="782"/>
      <c r="HA78" s="782"/>
      <c r="HB78" s="782"/>
      <c r="HC78" s="782"/>
      <c r="HD78" s="782"/>
      <c r="HE78" s="782"/>
      <c r="HF78" s="782"/>
      <c r="HG78" s="782"/>
      <c r="HH78" s="782"/>
      <c r="HI78" s="782"/>
      <c r="HJ78" s="782"/>
      <c r="HK78" s="782"/>
      <c r="HL78" s="782"/>
      <c r="HM78" s="782"/>
      <c r="HN78" s="782"/>
      <c r="HO78" s="782"/>
      <c r="HP78" s="782"/>
      <c r="HQ78" s="782"/>
      <c r="HR78" s="782"/>
      <c r="HS78" s="782"/>
      <c r="HT78" s="782"/>
      <c r="HU78" s="782"/>
      <c r="HV78" s="782"/>
      <c r="HW78" s="782"/>
      <c r="HX78" s="782"/>
      <c r="HY78" s="782"/>
      <c r="HZ78" s="782"/>
      <c r="IA78" s="782"/>
      <c r="IB78" s="782"/>
      <c r="IC78" s="782"/>
      <c r="ID78" s="782"/>
      <c r="IE78" s="782"/>
      <c r="IF78" s="782"/>
      <c r="IG78" s="782"/>
      <c r="IH78" s="782"/>
      <c r="II78" s="782"/>
      <c r="IJ78" s="782"/>
      <c r="IK78" s="782"/>
      <c r="IL78" s="782"/>
      <c r="IM78" s="782"/>
      <c r="IN78" s="782"/>
      <c r="IO78" s="782"/>
      <c r="IP78" s="782"/>
      <c r="IQ78" s="782"/>
      <c r="IR78" s="782"/>
      <c r="IS78" s="782"/>
      <c r="IT78" s="782"/>
      <c r="IU78" s="782"/>
      <c r="IV78" s="782"/>
      <c r="IW78" s="782"/>
      <c r="IX78" s="782"/>
      <c r="IY78" s="782"/>
      <c r="IZ78" s="782"/>
      <c r="JA78" s="782"/>
      <c r="JB78" s="782"/>
      <c r="JC78" s="782"/>
      <c r="JD78" s="782"/>
      <c r="JE78" s="782"/>
      <c r="JF78" s="782"/>
      <c r="JG78" s="782"/>
      <c r="JH78" s="782"/>
      <c r="JI78" s="782"/>
      <c r="JJ78" s="782"/>
      <c r="JK78" s="782"/>
      <c r="JL78" s="782"/>
      <c r="JM78" s="782"/>
      <c r="JN78" s="782"/>
      <c r="JO78" s="782"/>
      <c r="JP78" s="782"/>
      <c r="JQ78" s="782"/>
      <c r="JR78" s="782"/>
      <c r="JS78" s="782"/>
      <c r="JT78" s="782"/>
      <c r="JU78" s="782"/>
      <c r="JV78" s="782"/>
      <c r="JW78" s="782"/>
      <c r="JX78" s="782"/>
      <c r="JY78" s="782"/>
      <c r="JZ78" s="782"/>
      <c r="KA78" s="782"/>
      <c r="KB78" s="782"/>
      <c r="KC78" s="782"/>
      <c r="KD78" s="782"/>
      <c r="KE78" s="782"/>
      <c r="KF78" s="782"/>
      <c r="KG78" s="782"/>
      <c r="KH78" s="782"/>
      <c r="KI78" s="782"/>
      <c r="KJ78" s="782"/>
      <c r="KK78" s="782"/>
      <c r="KL78" s="782"/>
      <c r="KM78" s="782"/>
      <c r="KN78" s="782"/>
      <c r="KO78" s="782"/>
      <c r="KP78" s="782"/>
      <c r="KQ78" s="782"/>
      <c r="KR78" s="782"/>
      <c r="KS78" s="782"/>
      <c r="KT78" s="782"/>
      <c r="KU78" s="782"/>
      <c r="KV78" s="782"/>
      <c r="KW78" s="782"/>
      <c r="KX78" s="782"/>
      <c r="KY78" s="782"/>
      <c r="KZ78" s="782"/>
      <c r="LA78" s="782"/>
      <c r="LB78" s="782"/>
      <c r="LC78" s="782"/>
      <c r="LD78" s="782"/>
      <c r="LE78" s="782"/>
      <c r="LF78" s="782"/>
      <c r="LG78" s="782"/>
      <c r="LH78" s="782"/>
      <c r="LI78" s="782"/>
      <c r="LJ78" s="782"/>
      <c r="LK78" s="782"/>
      <c r="LL78" s="782"/>
      <c r="LM78" s="782"/>
      <c r="LN78" s="782"/>
      <c r="LO78" s="782"/>
      <c r="LP78" s="782"/>
      <c r="LQ78" s="782"/>
      <c r="LR78" s="782"/>
      <c r="LS78" s="782"/>
      <c r="LT78" s="782"/>
      <c r="LU78" s="782"/>
      <c r="LV78" s="782"/>
      <c r="LW78" s="782"/>
      <c r="LX78" s="782"/>
      <c r="LY78" s="782"/>
      <c r="LZ78" s="782"/>
      <c r="MA78" s="782"/>
      <c r="MB78" s="782"/>
      <c r="MC78" s="782"/>
      <c r="MD78" s="782"/>
      <c r="ME78" s="782"/>
      <c r="MF78" s="782"/>
      <c r="MG78" s="782"/>
      <c r="MH78" s="782"/>
      <c r="MI78" s="782"/>
      <c r="MJ78" s="782"/>
      <c r="MK78" s="782"/>
      <c r="ML78" s="782"/>
      <c r="MM78" s="782"/>
      <c r="MN78" s="782"/>
      <c r="MO78" s="782"/>
      <c r="MP78" s="782"/>
      <c r="MQ78" s="782"/>
      <c r="MR78" s="782"/>
      <c r="MS78" s="782"/>
      <c r="MT78" s="782"/>
      <c r="MU78" s="782"/>
      <c r="MV78" s="782"/>
      <c r="MW78" s="782"/>
      <c r="MX78" s="782"/>
      <c r="MY78" s="782"/>
      <c r="MZ78" s="782"/>
      <c r="NA78" s="782"/>
      <c r="NB78" s="782"/>
      <c r="NC78" s="782"/>
      <c r="ND78" s="782"/>
      <c r="NE78" s="782"/>
      <c r="NF78" s="782"/>
      <c r="NG78" s="782"/>
      <c r="NH78" s="782"/>
      <c r="NI78" s="782"/>
      <c r="NJ78" s="782"/>
      <c r="NK78" s="782"/>
      <c r="NL78" s="782"/>
      <c r="NM78" s="782"/>
      <c r="NN78" s="782"/>
      <c r="NO78" s="782"/>
      <c r="NP78" s="782"/>
      <c r="NQ78" s="782"/>
      <c r="NR78" s="782"/>
      <c r="NS78" s="782"/>
      <c r="NT78" s="782"/>
      <c r="NU78" s="782"/>
      <c r="NV78" s="782"/>
      <c r="NW78" s="782"/>
      <c r="NX78" s="782"/>
      <c r="NY78" s="782"/>
      <c r="NZ78" s="782"/>
      <c r="OA78" s="782"/>
      <c r="OB78" s="782"/>
      <c r="OC78" s="782"/>
      <c r="OD78" s="782"/>
      <c r="OE78" s="782"/>
      <c r="OF78" s="782"/>
      <c r="OG78" s="782"/>
      <c r="OH78" s="782"/>
      <c r="OI78" s="782"/>
      <c r="OJ78" s="782"/>
      <c r="OK78" s="782"/>
      <c r="OL78" s="782"/>
      <c r="OM78" s="782"/>
      <c r="ON78" s="782"/>
      <c r="OO78" s="782"/>
      <c r="OP78" s="782"/>
      <c r="OQ78" s="782"/>
      <c r="OR78" s="782"/>
      <c r="OS78" s="782"/>
      <c r="OT78" s="782"/>
      <c r="OU78" s="782"/>
      <c r="OV78" s="782"/>
      <c r="OW78" s="782"/>
      <c r="OX78" s="782"/>
      <c r="OY78" s="782"/>
      <c r="OZ78" s="782"/>
      <c r="PA78" s="782"/>
      <c r="PB78" s="782"/>
      <c r="PC78" s="782"/>
      <c r="PD78" s="782"/>
      <c r="PE78" s="782"/>
      <c r="PF78" s="782"/>
      <c r="PG78" s="782"/>
      <c r="PH78" s="782"/>
      <c r="PI78" s="782"/>
      <c r="PJ78" s="782"/>
      <c r="PK78" s="782"/>
      <c r="PL78" s="782"/>
      <c r="PM78" s="782"/>
      <c r="PN78" s="782"/>
      <c r="PO78" s="782"/>
      <c r="PP78" s="782"/>
      <c r="PQ78" s="782"/>
      <c r="PR78" s="782"/>
      <c r="PS78" s="782"/>
      <c r="PT78" s="782"/>
      <c r="PU78" s="782"/>
      <c r="PV78" s="782"/>
      <c r="PW78" s="782"/>
      <c r="PX78" s="782"/>
      <c r="PY78" s="782"/>
      <c r="PZ78" s="782"/>
      <c r="QA78" s="782"/>
      <c r="QB78" s="782"/>
      <c r="QC78" s="782"/>
      <c r="QD78" s="782"/>
      <c r="QE78" s="782"/>
      <c r="QF78" s="782"/>
      <c r="QG78" s="782"/>
      <c r="QH78" s="782"/>
      <c r="QI78" s="782"/>
      <c r="QJ78" s="782"/>
      <c r="QK78" s="782"/>
      <c r="QL78" s="782"/>
      <c r="QM78" s="782"/>
      <c r="QN78" s="782"/>
      <c r="QO78" s="782"/>
      <c r="QP78" s="782"/>
      <c r="QQ78" s="782"/>
      <c r="QR78" s="782"/>
      <c r="QS78" s="782"/>
      <c r="QT78" s="782"/>
      <c r="QU78" s="782"/>
      <c r="QV78" s="782"/>
      <c r="QW78" s="782"/>
      <c r="QX78" s="782"/>
      <c r="QY78" s="782"/>
      <c r="QZ78" s="782"/>
      <c r="RA78" s="782"/>
      <c r="RB78" s="782"/>
      <c r="RC78" s="782"/>
      <c r="RD78" s="782"/>
      <c r="RE78" s="782"/>
      <c r="RF78" s="782"/>
      <c r="RG78" s="782"/>
      <c r="RH78" s="782"/>
      <c r="RI78" s="782"/>
      <c r="RJ78" s="782"/>
      <c r="RK78" s="782"/>
      <c r="RL78" s="782"/>
      <c r="RM78" s="782"/>
      <c r="RN78" s="782"/>
      <c r="RO78" s="782"/>
      <c r="RP78" s="782"/>
      <c r="RQ78" s="782"/>
      <c r="RR78" s="782"/>
      <c r="RS78" s="782"/>
      <c r="RT78" s="782"/>
      <c r="RU78" s="782"/>
      <c r="RV78" s="782"/>
      <c r="RW78" s="782"/>
      <c r="RX78" s="782"/>
    </row>
    <row r="79" spans="1:492" s="143" customFormat="1">
      <c r="A79" s="782"/>
      <c r="B79" s="782"/>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82"/>
      <c r="AC79" s="782"/>
      <c r="AD79" s="782"/>
      <c r="AE79" s="782"/>
      <c r="AF79" s="782"/>
      <c r="AG79" s="782"/>
      <c r="AH79" s="782"/>
      <c r="AI79" s="782"/>
      <c r="AJ79" s="782"/>
      <c r="AK79" s="782"/>
      <c r="AL79" s="782"/>
      <c r="AM79" s="785"/>
      <c r="AN79" s="785"/>
      <c r="AO79" s="785"/>
      <c r="AP79" s="785"/>
      <c r="AQ79" s="785"/>
      <c r="AR79" s="785"/>
      <c r="AS79" s="785"/>
      <c r="AT79" s="785"/>
      <c r="AU79" s="785"/>
      <c r="AV79" s="785"/>
      <c r="AW79" s="785"/>
      <c r="AX79" s="785"/>
      <c r="AY79" s="785"/>
      <c r="AZ79" s="785"/>
      <c r="BA79" s="785"/>
      <c r="BB79" s="785"/>
      <c r="BC79" s="785"/>
      <c r="BD79" s="785"/>
      <c r="BE79" s="785"/>
      <c r="BF79" s="785"/>
      <c r="BG79" s="785"/>
      <c r="BH79" s="785"/>
      <c r="BI79" s="785"/>
      <c r="BJ79" s="785"/>
      <c r="BK79" s="785"/>
      <c r="BL79" s="785"/>
      <c r="BM79" s="785"/>
      <c r="BN79" s="785"/>
      <c r="BO79" s="785"/>
      <c r="BP79" s="785"/>
      <c r="BQ79" s="785"/>
      <c r="BR79" s="785"/>
      <c r="BS79" s="785"/>
      <c r="BT79" s="785"/>
      <c r="BU79" s="785"/>
      <c r="BV79" s="785"/>
      <c r="BW79" s="785"/>
      <c r="BX79" s="785"/>
      <c r="BY79" s="785"/>
      <c r="BZ79" s="785"/>
      <c r="CA79" s="782"/>
      <c r="CB79" s="782"/>
      <c r="CC79" s="782"/>
      <c r="CD79" s="782"/>
      <c r="CE79" s="782"/>
      <c r="CF79" s="782"/>
      <c r="CG79" s="782"/>
      <c r="CH79" s="782"/>
      <c r="CI79" s="782"/>
      <c r="CJ79" s="782"/>
      <c r="CK79" s="782"/>
      <c r="CL79" s="782"/>
      <c r="CM79" s="782"/>
      <c r="CN79" s="782"/>
      <c r="CO79" s="782"/>
      <c r="CP79" s="782"/>
      <c r="CQ79" s="782"/>
      <c r="CR79" s="782"/>
      <c r="CS79" s="782"/>
      <c r="CT79" s="782"/>
      <c r="CU79" s="782"/>
      <c r="CV79" s="782"/>
      <c r="CW79" s="782"/>
      <c r="CX79" s="782"/>
      <c r="CY79" s="782"/>
      <c r="CZ79" s="782"/>
      <c r="DA79" s="782"/>
      <c r="DB79" s="782"/>
      <c r="DC79" s="782"/>
      <c r="DD79" s="782"/>
      <c r="DE79" s="782"/>
      <c r="DF79" s="782"/>
      <c r="DG79" s="782"/>
      <c r="DH79" s="782"/>
      <c r="DI79" s="782"/>
      <c r="DJ79" s="782"/>
      <c r="DK79" s="782"/>
      <c r="DL79" s="782"/>
      <c r="DM79" s="782"/>
      <c r="DN79" s="782"/>
      <c r="DO79" s="782"/>
      <c r="DP79" s="782"/>
      <c r="DQ79" s="782"/>
      <c r="DR79" s="782"/>
      <c r="DS79" s="782"/>
      <c r="DT79" s="782"/>
      <c r="DU79" s="782"/>
      <c r="DV79" s="782"/>
      <c r="DW79" s="782"/>
      <c r="DX79" s="782"/>
      <c r="DY79" s="782"/>
      <c r="DZ79" s="782"/>
      <c r="EA79" s="782"/>
      <c r="EB79" s="782"/>
      <c r="EC79" s="782"/>
      <c r="ED79" s="782"/>
      <c r="EE79" s="782"/>
      <c r="EF79" s="782"/>
      <c r="EG79" s="782"/>
      <c r="EH79" s="782"/>
      <c r="EI79" s="782"/>
      <c r="EJ79" s="782"/>
      <c r="EK79" s="782"/>
      <c r="EL79" s="782"/>
      <c r="EM79" s="782"/>
      <c r="EN79" s="782"/>
      <c r="EO79" s="782"/>
      <c r="EP79" s="782"/>
      <c r="EQ79" s="782"/>
      <c r="ER79" s="782"/>
      <c r="ES79" s="782"/>
      <c r="ET79" s="782"/>
      <c r="EU79" s="782"/>
      <c r="EV79" s="782"/>
      <c r="EW79" s="782"/>
      <c r="EX79" s="782"/>
      <c r="EY79" s="782"/>
      <c r="EZ79" s="782"/>
      <c r="FA79" s="782"/>
      <c r="FB79" s="782"/>
      <c r="FC79" s="782"/>
      <c r="FD79" s="782"/>
      <c r="FE79" s="782"/>
      <c r="FF79" s="782"/>
      <c r="FG79" s="782"/>
      <c r="FH79" s="782"/>
      <c r="FI79" s="782"/>
      <c r="FJ79" s="782"/>
      <c r="FK79" s="782"/>
      <c r="FL79" s="782"/>
      <c r="FM79" s="782"/>
      <c r="FN79" s="782"/>
      <c r="FO79" s="782"/>
      <c r="FP79" s="782"/>
      <c r="FQ79" s="782"/>
      <c r="FR79" s="782"/>
      <c r="FS79" s="782"/>
      <c r="FT79" s="782"/>
      <c r="FU79" s="782"/>
      <c r="FV79" s="782"/>
      <c r="FW79" s="782"/>
      <c r="FX79" s="782"/>
      <c r="FY79" s="782"/>
      <c r="FZ79" s="782"/>
      <c r="GA79" s="782"/>
      <c r="GB79" s="782"/>
      <c r="GC79" s="782"/>
      <c r="GD79" s="782"/>
      <c r="GE79" s="782"/>
      <c r="GF79" s="782"/>
      <c r="GG79" s="782"/>
      <c r="GH79" s="782"/>
      <c r="GI79" s="782"/>
      <c r="GJ79" s="782"/>
      <c r="GK79" s="782"/>
      <c r="GL79" s="782"/>
      <c r="GM79" s="782"/>
      <c r="GN79" s="782"/>
      <c r="GO79" s="782"/>
      <c r="GP79" s="782"/>
      <c r="GQ79" s="782"/>
      <c r="GR79" s="782"/>
      <c r="GS79" s="782"/>
      <c r="GT79" s="782"/>
      <c r="GU79" s="782"/>
      <c r="GV79" s="782"/>
      <c r="GW79" s="782"/>
      <c r="GX79" s="782"/>
      <c r="GY79" s="782"/>
      <c r="GZ79" s="782"/>
      <c r="HA79" s="782"/>
      <c r="HB79" s="782"/>
      <c r="HC79" s="782"/>
      <c r="HD79" s="782"/>
      <c r="HE79" s="782"/>
      <c r="HF79" s="782"/>
      <c r="HG79" s="782"/>
      <c r="HH79" s="782"/>
      <c r="HI79" s="782"/>
      <c r="HJ79" s="782"/>
      <c r="HK79" s="782"/>
      <c r="HL79" s="782"/>
      <c r="HM79" s="782"/>
      <c r="HN79" s="782"/>
      <c r="HO79" s="782"/>
      <c r="HP79" s="782"/>
      <c r="HQ79" s="782"/>
      <c r="HR79" s="782"/>
      <c r="HS79" s="782"/>
      <c r="HT79" s="782"/>
      <c r="HU79" s="782"/>
      <c r="HV79" s="782"/>
      <c r="HW79" s="782"/>
      <c r="HX79" s="782"/>
      <c r="HY79" s="782"/>
      <c r="HZ79" s="782"/>
      <c r="IA79" s="782"/>
      <c r="IB79" s="782"/>
      <c r="IC79" s="782"/>
      <c r="ID79" s="782"/>
      <c r="IE79" s="782"/>
      <c r="IF79" s="782"/>
      <c r="IG79" s="782"/>
      <c r="IH79" s="782"/>
      <c r="II79" s="782"/>
      <c r="IJ79" s="782"/>
      <c r="IK79" s="782"/>
      <c r="IL79" s="782"/>
      <c r="IM79" s="782"/>
      <c r="IN79" s="782"/>
      <c r="IO79" s="782"/>
      <c r="IP79" s="782"/>
      <c r="IQ79" s="782"/>
      <c r="IR79" s="782"/>
      <c r="IS79" s="782"/>
      <c r="IT79" s="782"/>
      <c r="IU79" s="782"/>
      <c r="IV79" s="782"/>
      <c r="IW79" s="782"/>
      <c r="IX79" s="782"/>
      <c r="IY79" s="782"/>
      <c r="IZ79" s="782"/>
      <c r="JA79" s="782"/>
      <c r="JB79" s="782"/>
      <c r="JC79" s="782"/>
      <c r="JD79" s="782"/>
      <c r="JE79" s="782"/>
      <c r="JF79" s="782"/>
      <c r="JG79" s="782"/>
      <c r="JH79" s="782"/>
      <c r="JI79" s="782"/>
      <c r="JJ79" s="782"/>
      <c r="JK79" s="782"/>
      <c r="JL79" s="782"/>
      <c r="JM79" s="782"/>
      <c r="JN79" s="782"/>
      <c r="JO79" s="782"/>
      <c r="JP79" s="782"/>
      <c r="JQ79" s="782"/>
      <c r="JR79" s="782"/>
      <c r="JS79" s="782"/>
      <c r="JT79" s="782"/>
      <c r="JU79" s="782"/>
      <c r="JV79" s="782"/>
      <c r="JW79" s="782"/>
      <c r="JX79" s="782"/>
      <c r="JY79" s="782"/>
      <c r="JZ79" s="782"/>
      <c r="KA79" s="782"/>
      <c r="KB79" s="782"/>
      <c r="KC79" s="782"/>
      <c r="KD79" s="782"/>
      <c r="KE79" s="782"/>
      <c r="KF79" s="782"/>
      <c r="KG79" s="782"/>
      <c r="KH79" s="782"/>
      <c r="KI79" s="782"/>
      <c r="KJ79" s="782"/>
      <c r="KK79" s="782"/>
      <c r="KL79" s="782"/>
      <c r="KM79" s="782"/>
      <c r="KN79" s="782"/>
      <c r="KO79" s="782"/>
      <c r="KP79" s="782"/>
      <c r="KQ79" s="782"/>
      <c r="KR79" s="782"/>
      <c r="KS79" s="782"/>
      <c r="KT79" s="782"/>
      <c r="KU79" s="782"/>
      <c r="KV79" s="782"/>
      <c r="KW79" s="782"/>
      <c r="KX79" s="782"/>
      <c r="KY79" s="782"/>
      <c r="KZ79" s="782"/>
      <c r="LA79" s="782"/>
      <c r="LB79" s="782"/>
      <c r="LC79" s="782"/>
      <c r="LD79" s="782"/>
      <c r="LE79" s="782"/>
      <c r="LF79" s="782"/>
      <c r="LG79" s="782"/>
      <c r="LH79" s="782"/>
      <c r="LI79" s="782"/>
      <c r="LJ79" s="782"/>
      <c r="LK79" s="782"/>
      <c r="LL79" s="782"/>
      <c r="LM79" s="782"/>
      <c r="LN79" s="782"/>
      <c r="LO79" s="782"/>
      <c r="LP79" s="782"/>
      <c r="LQ79" s="782"/>
      <c r="LR79" s="782"/>
      <c r="LS79" s="782"/>
      <c r="LT79" s="782"/>
      <c r="LU79" s="782"/>
      <c r="LV79" s="782"/>
      <c r="LW79" s="782"/>
      <c r="LX79" s="782"/>
      <c r="LY79" s="782"/>
      <c r="LZ79" s="782"/>
      <c r="MA79" s="782"/>
      <c r="MB79" s="782"/>
      <c r="MC79" s="782"/>
      <c r="MD79" s="782"/>
      <c r="ME79" s="782"/>
      <c r="MF79" s="782"/>
      <c r="MG79" s="782"/>
      <c r="MH79" s="782"/>
      <c r="MI79" s="782"/>
      <c r="MJ79" s="782"/>
      <c r="MK79" s="782"/>
      <c r="ML79" s="782"/>
      <c r="MM79" s="782"/>
      <c r="MN79" s="782"/>
      <c r="MO79" s="782"/>
      <c r="MP79" s="782"/>
      <c r="MQ79" s="782"/>
      <c r="MR79" s="782"/>
      <c r="MS79" s="782"/>
      <c r="MT79" s="782"/>
      <c r="MU79" s="782"/>
      <c r="MV79" s="782"/>
      <c r="MW79" s="782"/>
      <c r="MX79" s="782"/>
      <c r="MY79" s="782"/>
      <c r="MZ79" s="782"/>
      <c r="NA79" s="782"/>
      <c r="NB79" s="782"/>
      <c r="NC79" s="782"/>
      <c r="ND79" s="782"/>
      <c r="NE79" s="782"/>
      <c r="NF79" s="782"/>
      <c r="NG79" s="782"/>
      <c r="NH79" s="782"/>
      <c r="NI79" s="782"/>
      <c r="NJ79" s="782"/>
      <c r="NK79" s="782"/>
      <c r="NL79" s="782"/>
      <c r="NM79" s="782"/>
      <c r="NN79" s="782"/>
      <c r="NO79" s="782"/>
      <c r="NP79" s="782"/>
      <c r="NQ79" s="782"/>
      <c r="NR79" s="782"/>
      <c r="NS79" s="782"/>
      <c r="NT79" s="782"/>
      <c r="NU79" s="782"/>
      <c r="NV79" s="782"/>
      <c r="NW79" s="782"/>
      <c r="NX79" s="782"/>
      <c r="NY79" s="782"/>
      <c r="NZ79" s="782"/>
      <c r="OA79" s="782"/>
      <c r="OB79" s="782"/>
      <c r="OC79" s="782"/>
      <c r="OD79" s="782"/>
      <c r="OE79" s="782"/>
      <c r="OF79" s="782"/>
      <c r="OG79" s="782"/>
      <c r="OH79" s="782"/>
      <c r="OI79" s="782"/>
      <c r="OJ79" s="782"/>
      <c r="OK79" s="782"/>
      <c r="OL79" s="782"/>
      <c r="OM79" s="782"/>
      <c r="ON79" s="782"/>
      <c r="OO79" s="782"/>
      <c r="OP79" s="782"/>
      <c r="OQ79" s="782"/>
      <c r="OR79" s="782"/>
      <c r="OS79" s="782"/>
      <c r="OT79" s="782"/>
      <c r="OU79" s="782"/>
      <c r="OV79" s="782"/>
      <c r="OW79" s="782"/>
      <c r="OX79" s="782"/>
      <c r="OY79" s="782"/>
      <c r="OZ79" s="782"/>
      <c r="PA79" s="782"/>
      <c r="PB79" s="782"/>
      <c r="PC79" s="782"/>
      <c r="PD79" s="782"/>
      <c r="PE79" s="782"/>
      <c r="PF79" s="782"/>
      <c r="PG79" s="782"/>
      <c r="PH79" s="782"/>
      <c r="PI79" s="782"/>
      <c r="PJ79" s="782"/>
      <c r="PK79" s="782"/>
      <c r="PL79" s="782"/>
      <c r="PM79" s="782"/>
      <c r="PN79" s="782"/>
      <c r="PO79" s="782"/>
      <c r="PP79" s="782"/>
      <c r="PQ79" s="782"/>
      <c r="PR79" s="782"/>
      <c r="PS79" s="782"/>
      <c r="PT79" s="782"/>
      <c r="PU79" s="782"/>
      <c r="PV79" s="782"/>
      <c r="PW79" s="782"/>
      <c r="PX79" s="782"/>
      <c r="PY79" s="782"/>
      <c r="PZ79" s="782"/>
      <c r="QA79" s="782"/>
      <c r="QB79" s="782"/>
      <c r="QC79" s="782"/>
      <c r="QD79" s="782"/>
      <c r="QE79" s="782"/>
      <c r="QF79" s="782"/>
      <c r="QG79" s="782"/>
      <c r="QH79" s="782"/>
      <c r="QI79" s="782"/>
      <c r="QJ79" s="782"/>
      <c r="QK79" s="782"/>
      <c r="QL79" s="782"/>
      <c r="QM79" s="782"/>
      <c r="QN79" s="782"/>
      <c r="QO79" s="782"/>
      <c r="QP79" s="782"/>
      <c r="QQ79" s="782"/>
      <c r="QR79" s="782"/>
      <c r="QS79" s="782"/>
      <c r="QT79" s="782"/>
      <c r="QU79" s="782"/>
      <c r="QV79" s="782"/>
      <c r="QW79" s="782"/>
      <c r="QX79" s="782"/>
      <c r="QY79" s="782"/>
      <c r="QZ79" s="782"/>
      <c r="RA79" s="782"/>
      <c r="RB79" s="782"/>
      <c r="RC79" s="782"/>
      <c r="RD79" s="782"/>
      <c r="RE79" s="782"/>
      <c r="RF79" s="782"/>
      <c r="RG79" s="782"/>
      <c r="RH79" s="782"/>
      <c r="RI79" s="782"/>
      <c r="RJ79" s="782"/>
      <c r="RK79" s="782"/>
      <c r="RL79" s="782"/>
      <c r="RM79" s="782"/>
      <c r="RN79" s="782"/>
      <c r="RO79" s="782"/>
      <c r="RP79" s="782"/>
      <c r="RQ79" s="782"/>
      <c r="RR79" s="782"/>
      <c r="RS79" s="782"/>
      <c r="RT79" s="782"/>
      <c r="RU79" s="782"/>
      <c r="RV79" s="782"/>
      <c r="RW79" s="782"/>
      <c r="RX79" s="782"/>
    </row>
    <row r="80" spans="1:492" s="143" customFormat="1">
      <c r="A80" s="782"/>
      <c r="B80" s="782"/>
      <c r="C80" s="782"/>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c r="AJ80" s="782"/>
      <c r="AK80" s="782"/>
      <c r="AL80" s="782"/>
      <c r="AM80" s="785"/>
      <c r="AN80" s="785"/>
      <c r="AO80" s="785"/>
      <c r="AP80" s="785"/>
      <c r="AQ80" s="785"/>
      <c r="AR80" s="785"/>
      <c r="AS80" s="785"/>
      <c r="AT80" s="785"/>
      <c r="AU80" s="785"/>
      <c r="AV80" s="785"/>
      <c r="AW80" s="785"/>
      <c r="AX80" s="785"/>
      <c r="AY80" s="785"/>
      <c r="AZ80" s="785"/>
      <c r="BA80" s="785"/>
      <c r="BB80" s="785"/>
      <c r="BC80" s="785"/>
      <c r="BD80" s="785"/>
      <c r="BE80" s="785"/>
      <c r="BF80" s="785"/>
      <c r="BG80" s="785"/>
      <c r="BH80" s="785"/>
      <c r="BI80" s="785"/>
      <c r="BJ80" s="785"/>
      <c r="BK80" s="785"/>
      <c r="BL80" s="785"/>
      <c r="BM80" s="785"/>
      <c r="BN80" s="785"/>
      <c r="BO80" s="785"/>
      <c r="BP80" s="785"/>
      <c r="BQ80" s="785"/>
      <c r="BR80" s="785"/>
      <c r="BS80" s="785"/>
      <c r="BT80" s="785"/>
      <c r="BU80" s="785"/>
      <c r="BV80" s="785"/>
      <c r="BW80" s="785"/>
      <c r="BX80" s="785"/>
      <c r="BY80" s="785"/>
      <c r="BZ80" s="785"/>
      <c r="CA80" s="782"/>
      <c r="CB80" s="782"/>
      <c r="CC80" s="782"/>
      <c r="CD80" s="782"/>
      <c r="CE80" s="782"/>
      <c r="CF80" s="782"/>
      <c r="CG80" s="782"/>
      <c r="CH80" s="782"/>
      <c r="CI80" s="782"/>
      <c r="CJ80" s="782"/>
      <c r="CK80" s="782"/>
      <c r="CL80" s="782"/>
      <c r="CM80" s="782"/>
      <c r="CN80" s="782"/>
      <c r="CO80" s="782"/>
      <c r="CP80" s="782"/>
      <c r="CQ80" s="782"/>
      <c r="CR80" s="782"/>
      <c r="CS80" s="782"/>
      <c r="CT80" s="782"/>
      <c r="CU80" s="782"/>
      <c r="CV80" s="782"/>
      <c r="CW80" s="782"/>
      <c r="CX80" s="782"/>
      <c r="CY80" s="782"/>
      <c r="CZ80" s="782"/>
      <c r="DA80" s="782"/>
      <c r="DB80" s="782"/>
      <c r="DC80" s="782"/>
      <c r="DD80" s="782"/>
      <c r="DE80" s="782"/>
      <c r="DF80" s="782"/>
      <c r="DG80" s="782"/>
      <c r="DH80" s="782"/>
      <c r="DI80" s="782"/>
      <c r="DJ80" s="782"/>
      <c r="DK80" s="782"/>
      <c r="DL80" s="782"/>
      <c r="DM80" s="782"/>
      <c r="DN80" s="782"/>
      <c r="DO80" s="782"/>
      <c r="DP80" s="782"/>
      <c r="DQ80" s="782"/>
      <c r="DR80" s="782"/>
      <c r="DS80" s="782"/>
      <c r="DT80" s="782"/>
      <c r="DU80" s="782"/>
      <c r="DV80" s="782"/>
      <c r="DW80" s="782"/>
      <c r="DX80" s="782"/>
      <c r="DY80" s="782"/>
      <c r="DZ80" s="782"/>
      <c r="EA80" s="782"/>
      <c r="EB80" s="782"/>
      <c r="EC80" s="782"/>
      <c r="ED80" s="782"/>
      <c r="EE80" s="782"/>
      <c r="EF80" s="782"/>
      <c r="EG80" s="782"/>
      <c r="EH80" s="782"/>
      <c r="EI80" s="782"/>
      <c r="EJ80" s="782"/>
      <c r="EK80" s="782"/>
      <c r="EL80" s="782"/>
      <c r="EM80" s="782"/>
      <c r="EN80" s="782"/>
      <c r="EO80" s="782"/>
      <c r="EP80" s="782"/>
      <c r="EQ80" s="782"/>
      <c r="ER80" s="782"/>
      <c r="ES80" s="782"/>
      <c r="ET80" s="782"/>
      <c r="EU80" s="782"/>
      <c r="EV80" s="782"/>
      <c r="EW80" s="782"/>
      <c r="EX80" s="782"/>
      <c r="EY80" s="782"/>
      <c r="EZ80" s="782"/>
      <c r="FA80" s="782"/>
      <c r="FB80" s="782"/>
      <c r="FC80" s="782"/>
      <c r="FD80" s="782"/>
      <c r="FE80" s="782"/>
      <c r="FF80" s="782"/>
      <c r="FG80" s="782"/>
      <c r="FH80" s="782"/>
      <c r="FI80" s="782"/>
      <c r="FJ80" s="782"/>
      <c r="FK80" s="782"/>
      <c r="FL80" s="782"/>
      <c r="FM80" s="782"/>
      <c r="FN80" s="782"/>
      <c r="FO80" s="782"/>
      <c r="FP80" s="782"/>
      <c r="FQ80" s="782"/>
      <c r="FR80" s="782"/>
      <c r="FS80" s="782"/>
      <c r="FT80" s="782"/>
      <c r="FU80" s="782"/>
      <c r="FV80" s="782"/>
      <c r="FW80" s="782"/>
      <c r="FX80" s="782"/>
      <c r="FY80" s="782"/>
      <c r="FZ80" s="782"/>
      <c r="GA80" s="782"/>
      <c r="GB80" s="782"/>
      <c r="GC80" s="782"/>
      <c r="GD80" s="782"/>
      <c r="GE80" s="782"/>
      <c r="GF80" s="782"/>
      <c r="GG80" s="782"/>
      <c r="GH80" s="782"/>
      <c r="GI80" s="782"/>
      <c r="GJ80" s="782"/>
      <c r="GK80" s="782"/>
      <c r="GL80" s="782"/>
      <c r="GM80" s="782"/>
      <c r="GN80" s="782"/>
      <c r="GO80" s="782"/>
      <c r="GP80" s="782"/>
      <c r="GQ80" s="782"/>
      <c r="GR80" s="782"/>
      <c r="GS80" s="782"/>
      <c r="GT80" s="782"/>
      <c r="GU80" s="782"/>
      <c r="GV80" s="782"/>
      <c r="GW80" s="782"/>
      <c r="GX80" s="782"/>
      <c r="GY80" s="782"/>
      <c r="GZ80" s="782"/>
      <c r="HA80" s="782"/>
      <c r="HB80" s="782"/>
      <c r="HC80" s="782"/>
      <c r="HD80" s="782"/>
      <c r="HE80" s="782"/>
      <c r="HF80" s="782"/>
      <c r="HG80" s="782"/>
      <c r="HH80" s="782"/>
      <c r="HI80" s="782"/>
      <c r="HJ80" s="782"/>
      <c r="HK80" s="782"/>
      <c r="HL80" s="782"/>
      <c r="HM80" s="782"/>
      <c r="HN80" s="782"/>
      <c r="HO80" s="782"/>
      <c r="HP80" s="782"/>
      <c r="HQ80" s="782"/>
      <c r="HR80" s="782"/>
      <c r="HS80" s="782"/>
      <c r="HT80" s="782"/>
      <c r="HU80" s="782"/>
      <c r="HV80" s="782"/>
      <c r="HW80" s="782"/>
      <c r="HX80" s="782"/>
      <c r="HY80" s="782"/>
      <c r="HZ80" s="782"/>
      <c r="IA80" s="782"/>
      <c r="IB80" s="782"/>
      <c r="IC80" s="782"/>
      <c r="ID80" s="782"/>
      <c r="IE80" s="782"/>
      <c r="IF80" s="782"/>
      <c r="IG80" s="782"/>
      <c r="IH80" s="782"/>
      <c r="II80" s="782"/>
      <c r="IJ80" s="782"/>
      <c r="IK80" s="782"/>
      <c r="IL80" s="782"/>
      <c r="IM80" s="782"/>
      <c r="IN80" s="782"/>
      <c r="IO80" s="782"/>
      <c r="IP80" s="782"/>
      <c r="IQ80" s="782"/>
      <c r="IR80" s="782"/>
      <c r="IS80" s="782"/>
      <c r="IT80" s="782"/>
      <c r="IU80" s="782"/>
      <c r="IV80" s="782"/>
      <c r="IW80" s="782"/>
      <c r="IX80" s="782"/>
      <c r="IY80" s="782"/>
      <c r="IZ80" s="782"/>
      <c r="JA80" s="782"/>
      <c r="JB80" s="782"/>
      <c r="JC80" s="782"/>
      <c r="JD80" s="782"/>
      <c r="JE80" s="782"/>
      <c r="JF80" s="782"/>
      <c r="JG80" s="782"/>
      <c r="JH80" s="782"/>
      <c r="JI80" s="782"/>
      <c r="JJ80" s="782"/>
      <c r="JK80" s="782"/>
      <c r="JL80" s="782"/>
      <c r="JM80" s="782"/>
      <c r="JN80" s="782"/>
      <c r="JO80" s="782"/>
      <c r="JP80" s="782"/>
      <c r="JQ80" s="782"/>
      <c r="JR80" s="782"/>
      <c r="JS80" s="782"/>
      <c r="JT80" s="782"/>
      <c r="JU80" s="782"/>
      <c r="JV80" s="782"/>
      <c r="JW80" s="782"/>
      <c r="JX80" s="782"/>
      <c r="JY80" s="782"/>
      <c r="JZ80" s="782"/>
      <c r="KA80" s="782"/>
      <c r="KB80" s="782"/>
      <c r="KC80" s="782"/>
      <c r="KD80" s="782"/>
      <c r="KE80" s="782"/>
      <c r="KF80" s="782"/>
      <c r="KG80" s="782"/>
      <c r="KH80" s="782"/>
      <c r="KI80" s="782"/>
      <c r="KJ80" s="782"/>
      <c r="KK80" s="782"/>
      <c r="KL80" s="782"/>
      <c r="KM80" s="782"/>
      <c r="KN80" s="782"/>
      <c r="KO80" s="782"/>
      <c r="KP80" s="782"/>
      <c r="KQ80" s="782"/>
      <c r="KR80" s="782"/>
      <c r="KS80" s="782"/>
      <c r="KT80" s="782"/>
      <c r="KU80" s="782"/>
      <c r="KV80" s="782"/>
      <c r="KW80" s="782"/>
      <c r="KX80" s="782"/>
      <c r="KY80" s="782"/>
      <c r="KZ80" s="782"/>
      <c r="LA80" s="782"/>
      <c r="LB80" s="782"/>
      <c r="LC80" s="782"/>
      <c r="LD80" s="782"/>
      <c r="LE80" s="782"/>
      <c r="LF80" s="782"/>
      <c r="LG80" s="782"/>
      <c r="LH80" s="782"/>
      <c r="LI80" s="782"/>
      <c r="LJ80" s="782"/>
      <c r="LK80" s="782"/>
      <c r="LL80" s="782"/>
      <c r="LM80" s="782"/>
      <c r="LN80" s="782"/>
      <c r="LO80" s="782"/>
      <c r="LP80" s="782"/>
      <c r="LQ80" s="782"/>
      <c r="LR80" s="782"/>
      <c r="LS80" s="782"/>
      <c r="LT80" s="782"/>
      <c r="LU80" s="782"/>
      <c r="LV80" s="782"/>
      <c r="LW80" s="782"/>
      <c r="LX80" s="782"/>
      <c r="LY80" s="782"/>
      <c r="LZ80" s="782"/>
      <c r="MA80" s="782"/>
      <c r="MB80" s="782"/>
      <c r="MC80" s="782"/>
      <c r="MD80" s="782"/>
      <c r="ME80" s="782"/>
      <c r="MF80" s="782"/>
      <c r="MG80" s="782"/>
      <c r="MH80" s="782"/>
      <c r="MI80" s="782"/>
      <c r="MJ80" s="782"/>
      <c r="MK80" s="782"/>
      <c r="ML80" s="782"/>
      <c r="MM80" s="782"/>
      <c r="MN80" s="782"/>
      <c r="MO80" s="782"/>
      <c r="MP80" s="782"/>
      <c r="MQ80" s="782"/>
      <c r="MR80" s="782"/>
      <c r="MS80" s="782"/>
      <c r="MT80" s="782"/>
      <c r="MU80" s="782"/>
      <c r="MV80" s="782"/>
      <c r="MW80" s="782"/>
      <c r="MX80" s="782"/>
      <c r="MY80" s="782"/>
      <c r="MZ80" s="782"/>
      <c r="NA80" s="782"/>
      <c r="NB80" s="782"/>
      <c r="NC80" s="782"/>
      <c r="ND80" s="782"/>
      <c r="NE80" s="782"/>
      <c r="NF80" s="782"/>
      <c r="NG80" s="782"/>
      <c r="NH80" s="782"/>
      <c r="NI80" s="782"/>
      <c r="NJ80" s="782"/>
      <c r="NK80" s="782"/>
      <c r="NL80" s="782"/>
      <c r="NM80" s="782"/>
      <c r="NN80" s="782"/>
      <c r="NO80" s="782"/>
      <c r="NP80" s="782"/>
      <c r="NQ80" s="782"/>
      <c r="NR80" s="782"/>
      <c r="NS80" s="782"/>
      <c r="NT80" s="782"/>
      <c r="NU80" s="782"/>
      <c r="NV80" s="782"/>
      <c r="NW80" s="782"/>
      <c r="NX80" s="782"/>
      <c r="NY80" s="782"/>
      <c r="NZ80" s="782"/>
      <c r="OA80" s="782"/>
      <c r="OB80" s="782"/>
      <c r="OC80" s="782"/>
      <c r="OD80" s="782"/>
      <c r="OE80" s="782"/>
      <c r="OF80" s="782"/>
      <c r="OG80" s="782"/>
      <c r="OH80" s="782"/>
      <c r="OI80" s="782"/>
      <c r="OJ80" s="782"/>
      <c r="OK80" s="782"/>
      <c r="OL80" s="782"/>
      <c r="OM80" s="782"/>
      <c r="ON80" s="782"/>
      <c r="OO80" s="782"/>
      <c r="OP80" s="782"/>
      <c r="OQ80" s="782"/>
      <c r="OR80" s="782"/>
      <c r="OS80" s="782"/>
      <c r="OT80" s="782"/>
      <c r="OU80" s="782"/>
      <c r="OV80" s="782"/>
      <c r="OW80" s="782"/>
      <c r="OX80" s="782"/>
      <c r="OY80" s="782"/>
      <c r="OZ80" s="782"/>
      <c r="PA80" s="782"/>
      <c r="PB80" s="782"/>
      <c r="PC80" s="782"/>
      <c r="PD80" s="782"/>
      <c r="PE80" s="782"/>
      <c r="PF80" s="782"/>
      <c r="PG80" s="782"/>
      <c r="PH80" s="782"/>
      <c r="PI80" s="782"/>
      <c r="PJ80" s="782"/>
      <c r="PK80" s="782"/>
      <c r="PL80" s="782"/>
      <c r="PM80" s="782"/>
      <c r="PN80" s="782"/>
      <c r="PO80" s="782"/>
      <c r="PP80" s="782"/>
      <c r="PQ80" s="782"/>
      <c r="PR80" s="782"/>
      <c r="PS80" s="782"/>
      <c r="PT80" s="782"/>
      <c r="PU80" s="782"/>
      <c r="PV80" s="782"/>
      <c r="PW80" s="782"/>
      <c r="PX80" s="782"/>
      <c r="PY80" s="782"/>
      <c r="PZ80" s="782"/>
      <c r="QA80" s="782"/>
      <c r="QB80" s="782"/>
      <c r="QC80" s="782"/>
      <c r="QD80" s="782"/>
      <c r="QE80" s="782"/>
      <c r="QF80" s="782"/>
      <c r="QG80" s="782"/>
      <c r="QH80" s="782"/>
      <c r="QI80" s="782"/>
      <c r="QJ80" s="782"/>
      <c r="QK80" s="782"/>
      <c r="QL80" s="782"/>
      <c r="QM80" s="782"/>
      <c r="QN80" s="782"/>
      <c r="QO80" s="782"/>
      <c r="QP80" s="782"/>
      <c r="QQ80" s="782"/>
      <c r="QR80" s="782"/>
      <c r="QS80" s="782"/>
      <c r="QT80" s="782"/>
      <c r="QU80" s="782"/>
      <c r="QV80" s="782"/>
      <c r="QW80" s="782"/>
      <c r="QX80" s="782"/>
      <c r="QY80" s="782"/>
      <c r="QZ80" s="782"/>
      <c r="RA80" s="782"/>
      <c r="RB80" s="782"/>
      <c r="RC80" s="782"/>
      <c r="RD80" s="782"/>
      <c r="RE80" s="782"/>
      <c r="RF80" s="782"/>
      <c r="RG80" s="782"/>
      <c r="RH80" s="782"/>
      <c r="RI80" s="782"/>
      <c r="RJ80" s="782"/>
      <c r="RK80" s="782"/>
      <c r="RL80" s="782"/>
      <c r="RM80" s="782"/>
      <c r="RN80" s="782"/>
      <c r="RO80" s="782"/>
      <c r="RP80" s="782"/>
      <c r="RQ80" s="782"/>
      <c r="RR80" s="782"/>
      <c r="RS80" s="782"/>
      <c r="RT80" s="782"/>
      <c r="RU80" s="782"/>
      <c r="RV80" s="782"/>
      <c r="RW80" s="782"/>
      <c r="RX80" s="782"/>
    </row>
    <row r="81" spans="39:78" s="143" customFormat="1">
      <c r="AM81" s="785"/>
      <c r="AN81" s="785"/>
      <c r="AO81" s="785"/>
      <c r="AP81" s="785"/>
      <c r="AQ81" s="785"/>
      <c r="AR81" s="785"/>
      <c r="AS81" s="785"/>
      <c r="AT81" s="785"/>
      <c r="AU81" s="785"/>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785"/>
      <c r="BZ81" s="785"/>
    </row>
    <row r="82" spans="39:78" s="143" customFormat="1">
      <c r="AM82" s="785"/>
      <c r="AN82" s="785"/>
      <c r="AO82" s="785"/>
      <c r="AP82" s="785"/>
      <c r="AQ82" s="785"/>
      <c r="AR82" s="785"/>
      <c r="AS82" s="785"/>
      <c r="AT82" s="785"/>
      <c r="AU82" s="785"/>
      <c r="AV82" s="785"/>
      <c r="AW82" s="785"/>
      <c r="AX82" s="785"/>
      <c r="AY82" s="785"/>
      <c r="AZ82" s="785"/>
      <c r="BA82" s="785"/>
      <c r="BB82" s="785"/>
      <c r="BC82" s="785"/>
      <c r="BD82" s="785"/>
      <c r="BE82" s="785"/>
      <c r="BF82" s="785"/>
      <c r="BG82" s="785"/>
      <c r="BH82" s="785"/>
      <c r="BI82" s="785"/>
      <c r="BJ82" s="785"/>
      <c r="BK82" s="785"/>
      <c r="BL82" s="785"/>
      <c r="BM82" s="785"/>
      <c r="BN82" s="785"/>
      <c r="BO82" s="785"/>
      <c r="BP82" s="785"/>
      <c r="BQ82" s="785"/>
      <c r="BR82" s="785"/>
      <c r="BS82" s="785"/>
      <c r="BT82" s="785"/>
      <c r="BU82" s="785"/>
      <c r="BV82" s="785"/>
      <c r="BW82" s="785"/>
      <c r="BX82" s="785"/>
      <c r="BY82" s="785"/>
      <c r="BZ82" s="785"/>
    </row>
    <row r="83" spans="39:78" s="143" customFormat="1">
      <c r="AM83" s="785"/>
      <c r="AN83" s="785"/>
      <c r="AO83" s="785"/>
      <c r="AP83" s="785"/>
      <c r="AQ83" s="785"/>
      <c r="AR83" s="785"/>
      <c r="AS83" s="785"/>
      <c r="AT83" s="785"/>
      <c r="AU83" s="785"/>
      <c r="AV83" s="785"/>
      <c r="AW83" s="785"/>
      <c r="AX83" s="785"/>
      <c r="AY83" s="785"/>
      <c r="AZ83" s="785"/>
      <c r="BA83" s="785"/>
      <c r="BB83" s="785"/>
      <c r="BC83" s="785"/>
      <c r="BD83" s="785"/>
      <c r="BE83" s="785"/>
      <c r="BF83" s="785"/>
      <c r="BG83" s="785"/>
      <c r="BH83" s="785"/>
      <c r="BI83" s="785"/>
      <c r="BJ83" s="785"/>
      <c r="BK83" s="785"/>
      <c r="BL83" s="785"/>
      <c r="BM83" s="785"/>
      <c r="BN83" s="785"/>
      <c r="BO83" s="785"/>
      <c r="BP83" s="785"/>
      <c r="BQ83" s="785"/>
      <c r="BR83" s="785"/>
      <c r="BS83" s="785"/>
      <c r="BT83" s="785"/>
      <c r="BU83" s="785"/>
      <c r="BV83" s="785"/>
      <c r="BW83" s="785"/>
      <c r="BX83" s="785"/>
      <c r="BY83" s="785"/>
      <c r="BZ83" s="785"/>
    </row>
    <row r="84" spans="39:78" s="143" customFormat="1">
      <c r="AM84" s="785"/>
      <c r="AN84" s="785"/>
      <c r="AO84" s="785"/>
      <c r="AP84" s="785"/>
      <c r="AQ84" s="785"/>
      <c r="AR84" s="785"/>
      <c r="AS84" s="785"/>
      <c r="AT84" s="785"/>
      <c r="AU84" s="785"/>
      <c r="AV84" s="785"/>
      <c r="AW84" s="785"/>
      <c r="AX84" s="785"/>
      <c r="AY84" s="785"/>
      <c r="AZ84" s="785"/>
      <c r="BA84" s="785"/>
      <c r="BB84" s="785"/>
      <c r="BC84" s="785"/>
      <c r="BD84" s="785"/>
      <c r="BE84" s="785"/>
      <c r="BF84" s="785"/>
      <c r="BG84" s="785"/>
      <c r="BH84" s="785"/>
      <c r="BI84" s="785"/>
      <c r="BJ84" s="785"/>
      <c r="BK84" s="785"/>
      <c r="BL84" s="785"/>
      <c r="BM84" s="785"/>
      <c r="BN84" s="785"/>
      <c r="BO84" s="785"/>
      <c r="BP84" s="785"/>
      <c r="BQ84" s="785"/>
      <c r="BR84" s="785"/>
      <c r="BS84" s="785"/>
      <c r="BT84" s="785"/>
      <c r="BU84" s="785"/>
      <c r="BV84" s="785"/>
      <c r="BW84" s="785"/>
      <c r="BX84" s="785"/>
      <c r="BY84" s="785"/>
      <c r="BZ84" s="785"/>
    </row>
    <row r="85" spans="39:78" s="143" customFormat="1">
      <c r="AM85" s="785"/>
      <c r="AN85" s="785"/>
      <c r="AO85" s="785"/>
      <c r="AP85" s="785"/>
      <c r="AQ85" s="785"/>
      <c r="AR85" s="785"/>
      <c r="AS85" s="785"/>
      <c r="AT85" s="785"/>
      <c r="AU85" s="785"/>
      <c r="AV85" s="785"/>
      <c r="AW85" s="785"/>
      <c r="AX85" s="785"/>
      <c r="AY85" s="785"/>
      <c r="AZ85" s="785"/>
      <c r="BA85" s="785"/>
      <c r="BB85" s="785"/>
      <c r="BC85" s="785"/>
      <c r="BD85" s="785"/>
      <c r="BE85" s="785"/>
      <c r="BF85" s="785"/>
      <c r="BG85" s="785"/>
      <c r="BH85" s="785"/>
      <c r="BI85" s="785"/>
      <c r="BJ85" s="785"/>
      <c r="BK85" s="785"/>
      <c r="BL85" s="785"/>
      <c r="BM85" s="785"/>
      <c r="BN85" s="785"/>
      <c r="BO85" s="785"/>
      <c r="BP85" s="785"/>
      <c r="BQ85" s="785"/>
      <c r="BR85" s="785"/>
      <c r="BS85" s="785"/>
      <c r="BT85" s="785"/>
      <c r="BU85" s="785"/>
      <c r="BV85" s="785"/>
      <c r="BW85" s="785"/>
      <c r="BX85" s="785"/>
      <c r="BY85" s="785"/>
      <c r="BZ85" s="785"/>
    </row>
    <row r="86" spans="39:78" s="143" customFormat="1">
      <c r="AM86" s="785"/>
      <c r="AN86" s="785"/>
      <c r="AO86" s="785"/>
      <c r="AP86" s="785"/>
      <c r="AQ86" s="785"/>
      <c r="AR86" s="785"/>
      <c r="AS86" s="785"/>
      <c r="AT86" s="785"/>
      <c r="AU86" s="785"/>
      <c r="AV86" s="785"/>
      <c r="AW86" s="785"/>
      <c r="AX86" s="785"/>
      <c r="AY86" s="785"/>
      <c r="AZ86" s="785"/>
      <c r="BA86" s="785"/>
      <c r="BB86" s="785"/>
      <c r="BC86" s="785"/>
      <c r="BD86" s="785"/>
      <c r="BE86" s="785"/>
      <c r="BF86" s="785"/>
      <c r="BG86" s="785"/>
      <c r="BH86" s="785"/>
      <c r="BI86" s="785"/>
      <c r="BJ86" s="785"/>
      <c r="BK86" s="785"/>
      <c r="BL86" s="785"/>
      <c r="BM86" s="785"/>
      <c r="BN86" s="785"/>
      <c r="BO86" s="785"/>
      <c r="BP86" s="785"/>
      <c r="BQ86" s="785"/>
      <c r="BR86" s="785"/>
      <c r="BS86" s="785"/>
      <c r="BT86" s="785"/>
      <c r="BU86" s="785"/>
      <c r="BV86" s="785"/>
      <c r="BW86" s="785"/>
      <c r="BX86" s="785"/>
      <c r="BY86" s="785"/>
      <c r="BZ86" s="785"/>
    </row>
    <row r="87" spans="39:78" s="143" customFormat="1">
      <c r="AM87" s="785"/>
      <c r="AN87" s="785"/>
      <c r="AO87" s="785"/>
      <c r="AP87" s="785"/>
      <c r="AQ87" s="785"/>
      <c r="AR87" s="785"/>
      <c r="AS87" s="785"/>
      <c r="AT87" s="785"/>
      <c r="AU87" s="785"/>
      <c r="AV87" s="785"/>
      <c r="AW87" s="785"/>
      <c r="AX87" s="785"/>
      <c r="AY87" s="785"/>
      <c r="AZ87" s="785"/>
      <c r="BA87" s="785"/>
      <c r="BB87" s="785"/>
      <c r="BC87" s="785"/>
      <c r="BD87" s="785"/>
      <c r="BE87" s="785"/>
      <c r="BF87" s="785"/>
      <c r="BG87" s="785"/>
      <c r="BH87" s="785"/>
      <c r="BI87" s="785"/>
      <c r="BJ87" s="785"/>
      <c r="BK87" s="785"/>
      <c r="BL87" s="785"/>
      <c r="BM87" s="785"/>
      <c r="BN87" s="785"/>
      <c r="BO87" s="785"/>
      <c r="BP87" s="785"/>
      <c r="BQ87" s="785"/>
      <c r="BR87" s="785"/>
      <c r="BS87" s="785"/>
      <c r="BT87" s="785"/>
      <c r="BU87" s="785"/>
      <c r="BV87" s="785"/>
      <c r="BW87" s="785"/>
      <c r="BX87" s="785"/>
      <c r="BY87" s="785"/>
      <c r="BZ87" s="785"/>
    </row>
    <row r="88" spans="39:78" s="143" customFormat="1">
      <c r="AM88" s="785"/>
      <c r="AN88" s="785"/>
      <c r="AO88" s="785"/>
      <c r="AP88" s="785"/>
      <c r="AQ88" s="785"/>
      <c r="AR88" s="785"/>
      <c r="AS88" s="785"/>
      <c r="AT88" s="785"/>
      <c r="AU88" s="785"/>
      <c r="AV88" s="785"/>
      <c r="AW88" s="785"/>
      <c r="AX88" s="785"/>
      <c r="AY88" s="785"/>
      <c r="AZ88" s="785"/>
      <c r="BA88" s="785"/>
      <c r="BB88" s="785"/>
      <c r="BC88" s="785"/>
      <c r="BD88" s="785"/>
      <c r="BE88" s="785"/>
      <c r="BF88" s="785"/>
      <c r="BG88" s="785"/>
      <c r="BH88" s="785"/>
      <c r="BI88" s="785"/>
      <c r="BJ88" s="785"/>
      <c r="BK88" s="785"/>
      <c r="BL88" s="785"/>
      <c r="BM88" s="785"/>
      <c r="BN88" s="785"/>
      <c r="BO88" s="785"/>
      <c r="BP88" s="785"/>
      <c r="BQ88" s="785"/>
      <c r="BR88" s="785"/>
      <c r="BS88" s="785"/>
      <c r="BT88" s="785"/>
      <c r="BU88" s="785"/>
      <c r="BV88" s="785"/>
      <c r="BW88" s="785"/>
      <c r="BX88" s="785"/>
      <c r="BY88" s="785"/>
      <c r="BZ88" s="785"/>
    </row>
    <row r="89" spans="39:78" s="143" customFormat="1">
      <c r="AM89" s="785"/>
      <c r="AN89" s="785"/>
      <c r="AO89" s="785"/>
      <c r="AP89" s="785"/>
      <c r="AQ89" s="785"/>
      <c r="AR89" s="785"/>
      <c r="AS89" s="785"/>
      <c r="AT89" s="785"/>
      <c r="AU89" s="785"/>
      <c r="AV89" s="785"/>
      <c r="AW89" s="785"/>
      <c r="AX89" s="785"/>
      <c r="AY89" s="785"/>
      <c r="AZ89" s="785"/>
      <c r="BA89" s="785"/>
      <c r="BB89" s="785"/>
      <c r="BC89" s="785"/>
      <c r="BD89" s="785"/>
      <c r="BE89" s="785"/>
      <c r="BF89" s="785"/>
      <c r="BG89" s="785"/>
      <c r="BH89" s="785"/>
      <c r="BI89" s="785"/>
      <c r="BJ89" s="785"/>
      <c r="BK89" s="785"/>
      <c r="BL89" s="785"/>
      <c r="BM89" s="785"/>
      <c r="BN89" s="785"/>
      <c r="BO89" s="785"/>
      <c r="BP89" s="785"/>
      <c r="BQ89" s="785"/>
      <c r="BR89" s="785"/>
      <c r="BS89" s="785"/>
      <c r="BT89" s="785"/>
      <c r="BU89" s="785"/>
      <c r="BV89" s="785"/>
      <c r="BW89" s="785"/>
      <c r="BX89" s="785"/>
      <c r="BY89" s="785"/>
      <c r="BZ89" s="785"/>
    </row>
    <row r="90" spans="39:78" s="143" customFormat="1">
      <c r="AM90" s="785"/>
      <c r="AN90" s="785"/>
      <c r="AO90" s="785"/>
      <c r="AP90" s="785"/>
      <c r="AQ90" s="785"/>
      <c r="AR90" s="785"/>
      <c r="AS90" s="785"/>
      <c r="AT90" s="785"/>
      <c r="AU90" s="785"/>
      <c r="AV90" s="785"/>
      <c r="AW90" s="785"/>
      <c r="AX90" s="785"/>
      <c r="AY90" s="785"/>
      <c r="AZ90" s="785"/>
      <c r="BA90" s="785"/>
      <c r="BB90" s="785"/>
      <c r="BC90" s="785"/>
      <c r="BD90" s="785"/>
      <c r="BE90" s="785"/>
      <c r="BF90" s="785"/>
      <c r="BG90" s="785"/>
      <c r="BH90" s="785"/>
      <c r="BI90" s="785"/>
      <c r="BJ90" s="785"/>
      <c r="BK90" s="785"/>
      <c r="BL90" s="785"/>
      <c r="BM90" s="785"/>
      <c r="BN90" s="785"/>
      <c r="BO90" s="785"/>
      <c r="BP90" s="785"/>
      <c r="BQ90" s="785"/>
      <c r="BR90" s="785"/>
      <c r="BS90" s="785"/>
      <c r="BT90" s="785"/>
      <c r="BU90" s="785"/>
      <c r="BV90" s="785"/>
      <c r="BW90" s="785"/>
      <c r="BX90" s="785"/>
      <c r="BY90" s="785"/>
      <c r="BZ90" s="785"/>
    </row>
    <row r="91" spans="39:78" s="143" customFormat="1">
      <c r="AM91" s="785"/>
      <c r="AN91" s="785"/>
      <c r="AO91" s="785"/>
      <c r="AP91" s="785"/>
      <c r="AQ91" s="785"/>
      <c r="AR91" s="785"/>
      <c r="AS91" s="785"/>
      <c r="AT91" s="785"/>
      <c r="AU91" s="785"/>
      <c r="AV91" s="785"/>
      <c r="AW91" s="785"/>
      <c r="AX91" s="785"/>
      <c r="AY91" s="785"/>
      <c r="AZ91" s="785"/>
      <c r="BA91" s="785"/>
      <c r="BB91" s="785"/>
      <c r="BC91" s="785"/>
      <c r="BD91" s="785"/>
      <c r="BE91" s="785"/>
      <c r="BF91" s="785"/>
      <c r="BG91" s="785"/>
      <c r="BH91" s="785"/>
      <c r="BI91" s="785"/>
      <c r="BJ91" s="785"/>
      <c r="BK91" s="785"/>
      <c r="BL91" s="785"/>
      <c r="BM91" s="785"/>
      <c r="BN91" s="785"/>
      <c r="BO91" s="785"/>
      <c r="BP91" s="785"/>
      <c r="BQ91" s="785"/>
      <c r="BR91" s="785"/>
      <c r="BS91" s="785"/>
      <c r="BT91" s="785"/>
      <c r="BU91" s="785"/>
      <c r="BV91" s="785"/>
      <c r="BW91" s="785"/>
      <c r="BX91" s="785"/>
      <c r="BY91" s="785"/>
      <c r="BZ91" s="785"/>
    </row>
    <row r="92" spans="39:78" s="143" customFormat="1">
      <c r="AM92" s="785"/>
      <c r="AN92" s="785"/>
      <c r="AO92" s="785"/>
      <c r="AP92" s="785"/>
      <c r="AQ92" s="785"/>
      <c r="AR92" s="785"/>
      <c r="AS92" s="785"/>
      <c r="AT92" s="785"/>
      <c r="AU92" s="785"/>
      <c r="AV92" s="785"/>
      <c r="AW92" s="785"/>
      <c r="AX92" s="785"/>
      <c r="AY92" s="785"/>
      <c r="AZ92" s="785"/>
      <c r="BA92" s="785"/>
      <c r="BB92" s="785"/>
      <c r="BC92" s="785"/>
      <c r="BD92" s="785"/>
      <c r="BE92" s="785"/>
      <c r="BF92" s="785"/>
      <c r="BG92" s="785"/>
      <c r="BH92" s="785"/>
      <c r="BI92" s="785"/>
      <c r="BJ92" s="785"/>
      <c r="BK92" s="785"/>
      <c r="BL92" s="785"/>
      <c r="BM92" s="785"/>
      <c r="BN92" s="785"/>
      <c r="BO92" s="785"/>
      <c r="BP92" s="785"/>
      <c r="BQ92" s="785"/>
      <c r="BR92" s="785"/>
      <c r="BS92" s="785"/>
      <c r="BT92" s="785"/>
      <c r="BU92" s="785"/>
      <c r="BV92" s="785"/>
      <c r="BW92" s="785"/>
      <c r="BX92" s="785"/>
      <c r="BY92" s="785"/>
      <c r="BZ92" s="785"/>
    </row>
    <row r="93" spans="39:78" s="143" customFormat="1">
      <c r="AM93" s="785"/>
      <c r="AN93" s="785"/>
      <c r="AO93" s="785"/>
      <c r="AP93" s="785"/>
      <c r="AQ93" s="785"/>
      <c r="AR93" s="785"/>
      <c r="AS93" s="785"/>
      <c r="AT93" s="785"/>
      <c r="AU93" s="785"/>
      <c r="AV93" s="785"/>
      <c r="AW93" s="785"/>
      <c r="AX93" s="785"/>
      <c r="AY93" s="785"/>
      <c r="AZ93" s="785"/>
      <c r="BA93" s="785"/>
      <c r="BB93" s="785"/>
      <c r="BC93" s="785"/>
      <c r="BD93" s="785"/>
      <c r="BE93" s="785"/>
      <c r="BF93" s="785"/>
      <c r="BG93" s="785"/>
      <c r="BH93" s="785"/>
      <c r="BI93" s="785"/>
      <c r="BJ93" s="785"/>
      <c r="BK93" s="785"/>
      <c r="BL93" s="785"/>
      <c r="BM93" s="785"/>
      <c r="BN93" s="785"/>
      <c r="BO93" s="785"/>
      <c r="BP93" s="785"/>
      <c r="BQ93" s="785"/>
      <c r="BR93" s="785"/>
      <c r="BS93" s="785"/>
      <c r="BT93" s="785"/>
      <c r="BU93" s="785"/>
      <c r="BV93" s="785"/>
      <c r="BW93" s="785"/>
      <c r="BX93" s="785"/>
      <c r="BY93" s="785"/>
      <c r="BZ93" s="785"/>
    </row>
    <row r="94" spans="39:78" s="143" customFormat="1">
      <c r="AM94" s="785"/>
      <c r="AN94" s="785"/>
      <c r="AO94" s="785"/>
      <c r="AP94" s="785"/>
      <c r="AQ94" s="785"/>
      <c r="AR94" s="785"/>
      <c r="AS94" s="785"/>
      <c r="AT94" s="785"/>
      <c r="AU94" s="785"/>
      <c r="AV94" s="785"/>
      <c r="AW94" s="785"/>
      <c r="AX94" s="785"/>
      <c r="AY94" s="785"/>
      <c r="AZ94" s="785"/>
      <c r="BA94" s="785"/>
      <c r="BB94" s="785"/>
      <c r="BC94" s="785"/>
      <c r="BD94" s="785"/>
      <c r="BE94" s="785"/>
      <c r="BF94" s="785"/>
      <c r="BG94" s="785"/>
      <c r="BH94" s="785"/>
      <c r="BI94" s="785"/>
      <c r="BJ94" s="785"/>
      <c r="BK94" s="785"/>
      <c r="BL94" s="785"/>
      <c r="BM94" s="785"/>
      <c r="BN94" s="785"/>
      <c r="BO94" s="785"/>
      <c r="BP94" s="785"/>
      <c r="BQ94" s="785"/>
      <c r="BR94" s="785"/>
      <c r="BS94" s="785"/>
      <c r="BT94" s="785"/>
      <c r="BU94" s="785"/>
      <c r="BV94" s="785"/>
      <c r="BW94" s="785"/>
      <c r="BX94" s="785"/>
      <c r="BY94" s="785"/>
      <c r="BZ94" s="785"/>
    </row>
    <row r="95" spans="39:78" s="143" customFormat="1">
      <c r="AM95" s="785"/>
      <c r="AN95" s="785"/>
      <c r="AO95" s="785"/>
      <c r="AP95" s="785"/>
      <c r="AQ95" s="785"/>
      <c r="AR95" s="785"/>
      <c r="AS95" s="785"/>
      <c r="AT95" s="785"/>
      <c r="AU95" s="785"/>
      <c r="AV95" s="785"/>
      <c r="AW95" s="785"/>
      <c r="AX95" s="785"/>
      <c r="AY95" s="785"/>
      <c r="AZ95" s="785"/>
      <c r="BA95" s="785"/>
      <c r="BB95" s="785"/>
      <c r="BC95" s="785"/>
      <c r="BD95" s="785"/>
      <c r="BE95" s="785"/>
      <c r="BF95" s="785"/>
      <c r="BG95" s="785"/>
      <c r="BH95" s="785"/>
      <c r="BI95" s="785"/>
      <c r="BJ95" s="785"/>
      <c r="BK95" s="785"/>
      <c r="BL95" s="785"/>
      <c r="BM95" s="785"/>
      <c r="BN95" s="785"/>
      <c r="BO95" s="785"/>
      <c r="BP95" s="785"/>
      <c r="BQ95" s="785"/>
      <c r="BR95" s="785"/>
      <c r="BS95" s="785"/>
      <c r="BT95" s="785"/>
      <c r="BU95" s="785"/>
      <c r="BV95" s="785"/>
      <c r="BW95" s="785"/>
      <c r="BX95" s="785"/>
      <c r="BY95" s="785"/>
      <c r="BZ95" s="785"/>
    </row>
    <row r="96" spans="39:78" s="143" customFormat="1">
      <c r="AM96" s="785"/>
      <c r="AN96" s="785"/>
      <c r="AO96" s="785"/>
      <c r="AP96" s="785"/>
      <c r="AQ96" s="785"/>
      <c r="AR96" s="785"/>
      <c r="AS96" s="785"/>
      <c r="AT96" s="785"/>
      <c r="AU96" s="785"/>
      <c r="AV96" s="785"/>
      <c r="AW96" s="785"/>
      <c r="AX96" s="785"/>
      <c r="AY96" s="785"/>
      <c r="AZ96" s="785"/>
      <c r="BA96" s="785"/>
      <c r="BB96" s="785"/>
      <c r="BC96" s="785"/>
      <c r="BD96" s="785"/>
      <c r="BE96" s="785"/>
      <c r="BF96" s="785"/>
      <c r="BG96" s="785"/>
      <c r="BH96" s="785"/>
      <c r="BI96" s="785"/>
      <c r="BJ96" s="785"/>
      <c r="BK96" s="785"/>
      <c r="BL96" s="785"/>
      <c r="BM96" s="785"/>
      <c r="BN96" s="785"/>
      <c r="BO96" s="785"/>
      <c r="BP96" s="785"/>
      <c r="BQ96" s="785"/>
      <c r="BR96" s="785"/>
      <c r="BS96" s="785"/>
      <c r="BT96" s="785"/>
      <c r="BU96" s="785"/>
      <c r="BV96" s="785"/>
      <c r="BW96" s="785"/>
      <c r="BX96" s="785"/>
      <c r="BY96" s="785"/>
      <c r="BZ96" s="785"/>
    </row>
    <row r="97" spans="39:78" s="143" customFormat="1">
      <c r="AM97" s="785"/>
      <c r="AN97" s="785"/>
      <c r="AO97" s="785"/>
      <c r="AP97" s="785"/>
      <c r="AQ97" s="785"/>
      <c r="AR97" s="785"/>
      <c r="AS97" s="785"/>
      <c r="AT97" s="785"/>
      <c r="AU97" s="785"/>
      <c r="AV97" s="785"/>
      <c r="AW97" s="785"/>
      <c r="AX97" s="785"/>
      <c r="AY97" s="785"/>
      <c r="AZ97" s="785"/>
      <c r="BA97" s="785"/>
      <c r="BB97" s="785"/>
      <c r="BC97" s="785"/>
      <c r="BD97" s="785"/>
      <c r="BE97" s="785"/>
      <c r="BF97" s="785"/>
      <c r="BG97" s="785"/>
      <c r="BH97" s="785"/>
      <c r="BI97" s="785"/>
      <c r="BJ97" s="785"/>
      <c r="BK97" s="785"/>
      <c r="BL97" s="785"/>
      <c r="BM97" s="785"/>
      <c r="BN97" s="785"/>
      <c r="BO97" s="785"/>
      <c r="BP97" s="785"/>
      <c r="BQ97" s="785"/>
      <c r="BR97" s="785"/>
      <c r="BS97" s="785"/>
      <c r="BT97" s="785"/>
      <c r="BU97" s="785"/>
      <c r="BV97" s="785"/>
      <c r="BW97" s="785"/>
      <c r="BX97" s="785"/>
      <c r="BY97" s="785"/>
      <c r="BZ97" s="785"/>
    </row>
    <row r="98" spans="39:78" s="143" customFormat="1">
      <c r="AM98" s="785"/>
      <c r="AN98" s="785"/>
      <c r="AO98" s="785"/>
      <c r="AP98" s="785"/>
      <c r="AQ98" s="785"/>
      <c r="AR98" s="785"/>
      <c r="AS98" s="785"/>
      <c r="AT98" s="785"/>
      <c r="AU98" s="785"/>
      <c r="AV98" s="785"/>
      <c r="AW98" s="785"/>
      <c r="AX98" s="785"/>
      <c r="AY98" s="785"/>
      <c r="AZ98" s="785"/>
      <c r="BA98" s="785"/>
      <c r="BB98" s="785"/>
      <c r="BC98" s="785"/>
      <c r="BD98" s="785"/>
      <c r="BE98" s="785"/>
      <c r="BF98" s="785"/>
      <c r="BG98" s="785"/>
      <c r="BH98" s="785"/>
      <c r="BI98" s="785"/>
      <c r="BJ98" s="785"/>
      <c r="BK98" s="785"/>
      <c r="BL98" s="785"/>
      <c r="BM98" s="785"/>
      <c r="BN98" s="785"/>
      <c r="BO98" s="785"/>
      <c r="BP98" s="785"/>
      <c r="BQ98" s="785"/>
      <c r="BR98" s="785"/>
      <c r="BS98" s="785"/>
      <c r="BT98" s="785"/>
      <c r="BU98" s="785"/>
      <c r="BV98" s="785"/>
      <c r="BW98" s="785"/>
      <c r="BX98" s="785"/>
      <c r="BY98" s="785"/>
      <c r="BZ98" s="785"/>
    </row>
    <row r="99" spans="39:78" s="143" customFormat="1">
      <c r="AM99" s="785"/>
      <c r="AN99" s="785"/>
      <c r="AO99" s="785"/>
      <c r="AP99" s="785"/>
      <c r="AQ99" s="785"/>
      <c r="AR99" s="785"/>
      <c r="AS99" s="785"/>
      <c r="AT99" s="785"/>
      <c r="AU99" s="785"/>
      <c r="AV99" s="785"/>
      <c r="AW99" s="785"/>
      <c r="AX99" s="785"/>
      <c r="AY99" s="785"/>
      <c r="AZ99" s="785"/>
      <c r="BA99" s="785"/>
      <c r="BB99" s="785"/>
      <c r="BC99" s="785"/>
      <c r="BD99" s="785"/>
      <c r="BE99" s="785"/>
      <c r="BF99" s="785"/>
      <c r="BG99" s="785"/>
      <c r="BH99" s="785"/>
      <c r="BI99" s="785"/>
      <c r="BJ99" s="785"/>
      <c r="BK99" s="785"/>
      <c r="BL99" s="785"/>
      <c r="BM99" s="785"/>
      <c r="BN99" s="785"/>
      <c r="BO99" s="785"/>
      <c r="BP99" s="785"/>
      <c r="BQ99" s="785"/>
      <c r="BR99" s="785"/>
      <c r="BS99" s="785"/>
      <c r="BT99" s="785"/>
      <c r="BU99" s="785"/>
      <c r="BV99" s="785"/>
      <c r="BW99" s="785"/>
      <c r="BX99" s="785"/>
      <c r="BY99" s="785"/>
      <c r="BZ99" s="785"/>
    </row>
    <row r="100" spans="39:78" s="143" customFormat="1">
      <c r="AM100" s="785"/>
      <c r="AN100" s="785"/>
      <c r="AO100" s="785"/>
      <c r="AP100" s="785"/>
      <c r="AQ100" s="785"/>
      <c r="AR100" s="785"/>
      <c r="AS100" s="785"/>
      <c r="AT100" s="785"/>
      <c r="AU100" s="785"/>
      <c r="AV100" s="785"/>
      <c r="AW100" s="785"/>
      <c r="AX100" s="785"/>
      <c r="AY100" s="785"/>
      <c r="AZ100" s="785"/>
      <c r="BA100" s="785"/>
      <c r="BB100" s="785"/>
      <c r="BC100" s="785"/>
      <c r="BD100" s="785"/>
      <c r="BE100" s="785"/>
      <c r="BF100" s="785"/>
      <c r="BG100" s="785"/>
      <c r="BH100" s="785"/>
      <c r="BI100" s="785"/>
      <c r="BJ100" s="785"/>
      <c r="BK100" s="785"/>
      <c r="BL100" s="785"/>
      <c r="BM100" s="785"/>
      <c r="BN100" s="785"/>
      <c r="BO100" s="785"/>
      <c r="BP100" s="785"/>
      <c r="BQ100" s="785"/>
      <c r="BR100" s="785"/>
      <c r="BS100" s="785"/>
      <c r="BT100" s="785"/>
      <c r="BU100" s="785"/>
      <c r="BV100" s="785"/>
      <c r="BW100" s="785"/>
      <c r="BX100" s="785"/>
      <c r="BY100" s="785"/>
      <c r="BZ100" s="785"/>
    </row>
    <row r="101" spans="39:78" s="143" customFormat="1">
      <c r="AM101" s="785"/>
      <c r="AN101" s="785"/>
      <c r="AO101" s="785"/>
      <c r="AP101" s="785"/>
      <c r="AQ101" s="785"/>
      <c r="AR101" s="785"/>
      <c r="AS101" s="785"/>
      <c r="AT101" s="785"/>
      <c r="AU101" s="785"/>
      <c r="AV101" s="785"/>
      <c r="AW101" s="785"/>
      <c r="AX101" s="785"/>
      <c r="AY101" s="785"/>
      <c r="AZ101" s="785"/>
      <c r="BA101" s="785"/>
      <c r="BB101" s="785"/>
      <c r="BC101" s="785"/>
      <c r="BD101" s="785"/>
      <c r="BE101" s="785"/>
      <c r="BF101" s="785"/>
      <c r="BG101" s="785"/>
      <c r="BH101" s="785"/>
      <c r="BI101" s="785"/>
      <c r="BJ101" s="785"/>
      <c r="BK101" s="785"/>
      <c r="BL101" s="785"/>
      <c r="BM101" s="785"/>
      <c r="BN101" s="785"/>
      <c r="BO101" s="785"/>
      <c r="BP101" s="785"/>
      <c r="BQ101" s="785"/>
      <c r="BR101" s="785"/>
      <c r="BS101" s="785"/>
      <c r="BT101" s="785"/>
      <c r="BU101" s="785"/>
      <c r="BV101" s="785"/>
      <c r="BW101" s="785"/>
      <c r="BX101" s="785"/>
      <c r="BY101" s="785"/>
      <c r="BZ101" s="785"/>
    </row>
    <row r="102" spans="39:78" s="143" customFormat="1">
      <c r="AM102" s="785"/>
      <c r="AN102" s="785"/>
      <c r="AO102" s="785"/>
      <c r="AP102" s="785"/>
      <c r="AQ102" s="785"/>
      <c r="AR102" s="785"/>
      <c r="AS102" s="785"/>
      <c r="AT102" s="785"/>
      <c r="AU102" s="785"/>
      <c r="AV102" s="785"/>
      <c r="AW102" s="785"/>
      <c r="AX102" s="785"/>
      <c r="AY102" s="785"/>
      <c r="AZ102" s="785"/>
      <c r="BA102" s="785"/>
      <c r="BB102" s="785"/>
      <c r="BC102" s="785"/>
      <c r="BD102" s="785"/>
      <c r="BE102" s="785"/>
      <c r="BF102" s="785"/>
      <c r="BG102" s="785"/>
      <c r="BH102" s="785"/>
      <c r="BI102" s="785"/>
      <c r="BJ102" s="785"/>
      <c r="BK102" s="785"/>
      <c r="BL102" s="785"/>
      <c r="BM102" s="785"/>
      <c r="BN102" s="785"/>
      <c r="BO102" s="785"/>
      <c r="BP102" s="785"/>
      <c r="BQ102" s="785"/>
      <c r="BR102" s="785"/>
      <c r="BS102" s="785"/>
      <c r="BT102" s="785"/>
      <c r="BU102" s="785"/>
      <c r="BV102" s="785"/>
      <c r="BW102" s="785"/>
      <c r="BX102" s="785"/>
      <c r="BY102" s="785"/>
      <c r="BZ102" s="785"/>
    </row>
    <row r="103" spans="39:78" s="143" customFormat="1">
      <c r="AM103" s="785"/>
      <c r="AN103" s="785"/>
      <c r="AO103" s="785"/>
      <c r="AP103" s="785"/>
      <c r="AQ103" s="785"/>
      <c r="AR103" s="785"/>
      <c r="AS103" s="785"/>
      <c r="AT103" s="785"/>
      <c r="AU103" s="785"/>
      <c r="AV103" s="785"/>
      <c r="AW103" s="785"/>
      <c r="AX103" s="785"/>
      <c r="AY103" s="785"/>
      <c r="AZ103" s="785"/>
      <c r="BA103" s="785"/>
      <c r="BB103" s="785"/>
      <c r="BC103" s="785"/>
      <c r="BD103" s="785"/>
      <c r="BE103" s="785"/>
      <c r="BF103" s="785"/>
      <c r="BG103" s="785"/>
      <c r="BH103" s="785"/>
      <c r="BI103" s="785"/>
      <c r="BJ103" s="785"/>
      <c r="BK103" s="785"/>
      <c r="BL103" s="785"/>
      <c r="BM103" s="785"/>
      <c r="BN103" s="785"/>
      <c r="BO103" s="785"/>
      <c r="BP103" s="785"/>
      <c r="BQ103" s="785"/>
      <c r="BR103" s="785"/>
      <c r="BS103" s="785"/>
      <c r="BT103" s="785"/>
      <c r="BU103" s="785"/>
      <c r="BV103" s="785"/>
      <c r="BW103" s="785"/>
      <c r="BX103" s="785"/>
      <c r="BY103" s="785"/>
      <c r="BZ103" s="785"/>
    </row>
    <row r="104" spans="39:78" s="143" customFormat="1">
      <c r="AM104" s="785"/>
      <c r="AN104" s="785"/>
      <c r="AO104" s="785"/>
      <c r="AP104" s="785"/>
      <c r="AQ104" s="785"/>
      <c r="AR104" s="785"/>
      <c r="AS104" s="785"/>
      <c r="AT104" s="785"/>
      <c r="AU104" s="785"/>
      <c r="AV104" s="785"/>
      <c r="AW104" s="785"/>
      <c r="AX104" s="785"/>
      <c r="AY104" s="785"/>
      <c r="AZ104" s="785"/>
      <c r="BA104" s="785"/>
      <c r="BB104" s="785"/>
      <c r="BC104" s="785"/>
      <c r="BD104" s="785"/>
      <c r="BE104" s="785"/>
      <c r="BF104" s="785"/>
      <c r="BG104" s="785"/>
      <c r="BH104" s="785"/>
      <c r="BI104" s="785"/>
      <c r="BJ104" s="785"/>
      <c r="BK104" s="785"/>
      <c r="BL104" s="785"/>
      <c r="BM104" s="785"/>
      <c r="BN104" s="785"/>
      <c r="BO104" s="785"/>
      <c r="BP104" s="785"/>
      <c r="BQ104" s="785"/>
      <c r="BR104" s="785"/>
      <c r="BS104" s="785"/>
      <c r="BT104" s="785"/>
      <c r="BU104" s="785"/>
      <c r="BV104" s="785"/>
      <c r="BW104" s="785"/>
      <c r="BX104" s="785"/>
      <c r="BY104" s="785"/>
      <c r="BZ104" s="785"/>
    </row>
    <row r="105" spans="39:78" s="143" customFormat="1">
      <c r="AM105" s="785"/>
      <c r="AN105" s="785"/>
      <c r="AO105" s="785"/>
      <c r="AP105" s="785"/>
      <c r="AQ105" s="785"/>
      <c r="AR105" s="785"/>
      <c r="AS105" s="785"/>
      <c r="AT105" s="785"/>
      <c r="AU105" s="785"/>
      <c r="AV105" s="785"/>
      <c r="AW105" s="785"/>
      <c r="AX105" s="785"/>
      <c r="AY105" s="785"/>
      <c r="AZ105" s="785"/>
      <c r="BA105" s="785"/>
      <c r="BB105" s="785"/>
      <c r="BC105" s="785"/>
      <c r="BD105" s="785"/>
      <c r="BE105" s="785"/>
      <c r="BF105" s="785"/>
      <c r="BG105" s="785"/>
      <c r="BH105" s="785"/>
      <c r="BI105" s="785"/>
      <c r="BJ105" s="785"/>
      <c r="BK105" s="785"/>
      <c r="BL105" s="785"/>
      <c r="BM105" s="785"/>
      <c r="BN105" s="785"/>
      <c r="BO105" s="785"/>
      <c r="BP105" s="785"/>
      <c r="BQ105" s="785"/>
      <c r="BR105" s="785"/>
      <c r="BS105" s="785"/>
      <c r="BT105" s="785"/>
      <c r="BU105" s="785"/>
      <c r="BV105" s="785"/>
      <c r="BW105" s="785"/>
      <c r="BX105" s="785"/>
      <c r="BY105" s="785"/>
      <c r="BZ105" s="785"/>
    </row>
    <row r="106" spans="39:78" s="143" customFormat="1">
      <c r="AM106" s="785"/>
      <c r="AN106" s="785"/>
      <c r="AO106" s="785"/>
      <c r="AP106" s="785"/>
      <c r="AQ106" s="785"/>
      <c r="AR106" s="785"/>
      <c r="AS106" s="785"/>
      <c r="AT106" s="785"/>
      <c r="AU106" s="785"/>
      <c r="AV106" s="785"/>
      <c r="AW106" s="785"/>
      <c r="AX106" s="785"/>
      <c r="AY106" s="785"/>
      <c r="AZ106" s="785"/>
      <c r="BA106" s="785"/>
      <c r="BB106" s="785"/>
      <c r="BC106" s="785"/>
      <c r="BD106" s="785"/>
      <c r="BE106" s="785"/>
      <c r="BF106" s="785"/>
      <c r="BG106" s="785"/>
      <c r="BH106" s="785"/>
      <c r="BI106" s="785"/>
      <c r="BJ106" s="785"/>
      <c r="BK106" s="785"/>
      <c r="BL106" s="785"/>
      <c r="BM106" s="785"/>
      <c r="BN106" s="785"/>
      <c r="BO106" s="785"/>
      <c r="BP106" s="785"/>
      <c r="BQ106" s="785"/>
      <c r="BR106" s="785"/>
      <c r="BS106" s="785"/>
      <c r="BT106" s="785"/>
      <c r="BU106" s="785"/>
      <c r="BV106" s="785"/>
      <c r="BW106" s="785"/>
      <c r="BX106" s="785"/>
      <c r="BY106" s="785"/>
      <c r="BZ106" s="785"/>
    </row>
    <row r="107" spans="39:78" s="143" customFormat="1">
      <c r="AM107" s="785"/>
      <c r="AN107" s="785"/>
      <c r="AO107" s="785"/>
      <c r="AP107" s="785"/>
      <c r="AQ107" s="785"/>
      <c r="AR107" s="785"/>
      <c r="AS107" s="785"/>
      <c r="AT107" s="785"/>
      <c r="AU107" s="785"/>
      <c r="AV107" s="785"/>
      <c r="AW107" s="785"/>
      <c r="AX107" s="785"/>
      <c r="AY107" s="785"/>
      <c r="AZ107" s="785"/>
      <c r="BA107" s="785"/>
      <c r="BB107" s="785"/>
      <c r="BC107" s="785"/>
      <c r="BD107" s="785"/>
      <c r="BE107" s="785"/>
      <c r="BF107" s="785"/>
      <c r="BG107" s="785"/>
      <c r="BH107" s="785"/>
      <c r="BI107" s="785"/>
      <c r="BJ107" s="785"/>
      <c r="BK107" s="785"/>
      <c r="BL107" s="785"/>
      <c r="BM107" s="785"/>
      <c r="BN107" s="785"/>
      <c r="BO107" s="785"/>
      <c r="BP107" s="785"/>
      <c r="BQ107" s="785"/>
      <c r="BR107" s="785"/>
      <c r="BS107" s="785"/>
      <c r="BT107" s="785"/>
      <c r="BU107" s="785"/>
      <c r="BV107" s="785"/>
      <c r="BW107" s="785"/>
      <c r="BX107" s="785"/>
      <c r="BY107" s="785"/>
      <c r="BZ107" s="785"/>
    </row>
    <row r="108" spans="39:78" s="143" customFormat="1">
      <c r="AM108" s="785"/>
      <c r="AN108" s="785"/>
      <c r="AO108" s="785"/>
      <c r="AP108" s="785"/>
      <c r="AQ108" s="785"/>
      <c r="AR108" s="785"/>
      <c r="AS108" s="785"/>
      <c r="AT108" s="785"/>
      <c r="AU108" s="785"/>
      <c r="AV108" s="785"/>
      <c r="AW108" s="785"/>
      <c r="AX108" s="785"/>
      <c r="AY108" s="785"/>
      <c r="AZ108" s="785"/>
      <c r="BA108" s="785"/>
      <c r="BB108" s="785"/>
      <c r="BC108" s="785"/>
      <c r="BD108" s="785"/>
      <c r="BE108" s="785"/>
      <c r="BF108" s="785"/>
      <c r="BG108" s="785"/>
      <c r="BH108" s="785"/>
      <c r="BI108" s="785"/>
      <c r="BJ108" s="785"/>
      <c r="BK108" s="785"/>
      <c r="BL108" s="785"/>
      <c r="BM108" s="785"/>
      <c r="BN108" s="785"/>
      <c r="BO108" s="785"/>
      <c r="BP108" s="785"/>
      <c r="BQ108" s="785"/>
      <c r="BR108" s="785"/>
      <c r="BS108" s="785"/>
      <c r="BT108" s="785"/>
      <c r="BU108" s="785"/>
      <c r="BV108" s="785"/>
      <c r="BW108" s="785"/>
      <c r="BX108" s="785"/>
      <c r="BY108" s="785"/>
      <c r="BZ108" s="785"/>
    </row>
    <row r="109" spans="39:78" s="143" customFormat="1">
      <c r="AM109" s="785"/>
      <c r="AN109" s="785"/>
      <c r="AO109" s="785"/>
      <c r="AP109" s="785"/>
      <c r="AQ109" s="785"/>
      <c r="AR109" s="785"/>
      <c r="AS109" s="785"/>
      <c r="AT109" s="785"/>
      <c r="AU109" s="785"/>
      <c r="AV109" s="785"/>
      <c r="AW109" s="785"/>
      <c r="AX109" s="785"/>
      <c r="AY109" s="785"/>
      <c r="AZ109" s="785"/>
      <c r="BA109" s="785"/>
      <c r="BB109" s="785"/>
      <c r="BC109" s="785"/>
      <c r="BD109" s="785"/>
      <c r="BE109" s="785"/>
      <c r="BF109" s="785"/>
      <c r="BG109" s="785"/>
      <c r="BH109" s="785"/>
      <c r="BI109" s="785"/>
      <c r="BJ109" s="785"/>
      <c r="BK109" s="785"/>
      <c r="BL109" s="785"/>
      <c r="BM109" s="785"/>
      <c r="BN109" s="785"/>
      <c r="BO109" s="785"/>
      <c r="BP109" s="785"/>
      <c r="BQ109" s="785"/>
      <c r="BR109" s="785"/>
      <c r="BS109" s="785"/>
      <c r="BT109" s="785"/>
      <c r="BU109" s="785"/>
      <c r="BV109" s="785"/>
      <c r="BW109" s="785"/>
      <c r="BX109" s="785"/>
      <c r="BY109" s="785"/>
      <c r="BZ109" s="785"/>
    </row>
    <row r="110" spans="39:78" s="143" customFormat="1">
      <c r="AM110" s="785"/>
      <c r="AN110" s="785"/>
      <c r="AO110" s="785"/>
      <c r="AP110" s="785"/>
      <c r="AQ110" s="785"/>
      <c r="AR110" s="785"/>
      <c r="AS110" s="785"/>
      <c r="AT110" s="785"/>
      <c r="AU110" s="785"/>
      <c r="AV110" s="785"/>
      <c r="AW110" s="785"/>
      <c r="AX110" s="785"/>
      <c r="AY110" s="785"/>
      <c r="AZ110" s="785"/>
      <c r="BA110" s="785"/>
      <c r="BB110" s="785"/>
      <c r="BC110" s="785"/>
      <c r="BD110" s="785"/>
      <c r="BE110" s="785"/>
      <c r="BF110" s="785"/>
      <c r="BG110" s="785"/>
      <c r="BH110" s="785"/>
      <c r="BI110" s="785"/>
      <c r="BJ110" s="785"/>
      <c r="BK110" s="785"/>
      <c r="BL110" s="785"/>
      <c r="BM110" s="785"/>
      <c r="BN110" s="785"/>
      <c r="BO110" s="785"/>
      <c r="BP110" s="785"/>
      <c r="BQ110" s="785"/>
      <c r="BR110" s="785"/>
      <c r="BS110" s="785"/>
      <c r="BT110" s="785"/>
      <c r="BU110" s="785"/>
      <c r="BV110" s="785"/>
      <c r="BW110" s="785"/>
      <c r="BX110" s="785"/>
      <c r="BY110" s="785"/>
      <c r="BZ110" s="785"/>
    </row>
    <row r="111" spans="39:78" s="143" customFormat="1">
      <c r="AM111" s="785"/>
      <c r="AN111" s="785"/>
      <c r="AO111" s="785"/>
      <c r="AP111" s="785"/>
      <c r="AQ111" s="785"/>
      <c r="AR111" s="785"/>
      <c r="AS111" s="785"/>
      <c r="AT111" s="785"/>
      <c r="AU111" s="785"/>
      <c r="AV111" s="785"/>
      <c r="AW111" s="785"/>
      <c r="AX111" s="785"/>
      <c r="AY111" s="785"/>
      <c r="AZ111" s="785"/>
      <c r="BA111" s="785"/>
      <c r="BB111" s="785"/>
      <c r="BC111" s="785"/>
      <c r="BD111" s="785"/>
      <c r="BE111" s="785"/>
      <c r="BF111" s="785"/>
      <c r="BG111" s="785"/>
      <c r="BH111" s="785"/>
      <c r="BI111" s="785"/>
      <c r="BJ111" s="785"/>
      <c r="BK111" s="785"/>
      <c r="BL111" s="785"/>
      <c r="BM111" s="785"/>
      <c r="BN111" s="785"/>
      <c r="BO111" s="785"/>
      <c r="BP111" s="785"/>
      <c r="BQ111" s="785"/>
      <c r="BR111" s="785"/>
      <c r="BS111" s="785"/>
      <c r="BT111" s="785"/>
      <c r="BU111" s="785"/>
      <c r="BV111" s="785"/>
      <c r="BW111" s="785"/>
      <c r="BX111" s="785"/>
      <c r="BY111" s="785"/>
      <c r="BZ111" s="785"/>
    </row>
    <row r="112" spans="39:78" s="143" customFormat="1">
      <c r="AM112" s="785"/>
      <c r="AN112" s="785"/>
      <c r="AO112" s="785"/>
      <c r="AP112" s="785"/>
      <c r="AQ112" s="785"/>
      <c r="AR112" s="785"/>
      <c r="AS112" s="785"/>
      <c r="AT112" s="785"/>
      <c r="AU112" s="785"/>
      <c r="AV112" s="785"/>
      <c r="AW112" s="785"/>
      <c r="AX112" s="785"/>
      <c r="AY112" s="785"/>
      <c r="AZ112" s="785"/>
      <c r="BA112" s="785"/>
      <c r="BB112" s="785"/>
      <c r="BC112" s="785"/>
      <c r="BD112" s="785"/>
      <c r="BE112" s="785"/>
      <c r="BF112" s="785"/>
      <c r="BG112" s="785"/>
      <c r="BH112" s="785"/>
      <c r="BI112" s="785"/>
      <c r="BJ112" s="785"/>
      <c r="BK112" s="785"/>
      <c r="BL112" s="785"/>
      <c r="BM112" s="785"/>
      <c r="BN112" s="785"/>
      <c r="BO112" s="785"/>
      <c r="BP112" s="785"/>
      <c r="BQ112" s="785"/>
      <c r="BR112" s="785"/>
      <c r="BS112" s="785"/>
      <c r="BT112" s="785"/>
      <c r="BU112" s="785"/>
      <c r="BV112" s="785"/>
      <c r="BW112" s="785"/>
      <c r="BX112" s="785"/>
      <c r="BY112" s="785"/>
      <c r="BZ112" s="785"/>
    </row>
    <row r="113" spans="39:78" s="143" customFormat="1">
      <c r="AM113" s="785"/>
      <c r="AN113" s="785"/>
      <c r="AO113" s="785"/>
      <c r="AP113" s="785"/>
      <c r="AQ113" s="785"/>
      <c r="AR113" s="785"/>
      <c r="AS113" s="785"/>
      <c r="AT113" s="785"/>
      <c r="AU113" s="785"/>
      <c r="AV113" s="785"/>
      <c r="AW113" s="785"/>
      <c r="AX113" s="785"/>
      <c r="AY113" s="785"/>
      <c r="AZ113" s="785"/>
      <c r="BA113" s="785"/>
      <c r="BB113" s="785"/>
      <c r="BC113" s="785"/>
      <c r="BD113" s="785"/>
      <c r="BE113" s="785"/>
      <c r="BF113" s="785"/>
      <c r="BG113" s="785"/>
      <c r="BH113" s="785"/>
      <c r="BI113" s="785"/>
      <c r="BJ113" s="785"/>
      <c r="BK113" s="785"/>
      <c r="BL113" s="785"/>
      <c r="BM113" s="785"/>
      <c r="BN113" s="785"/>
      <c r="BO113" s="785"/>
      <c r="BP113" s="785"/>
      <c r="BQ113" s="785"/>
      <c r="BR113" s="785"/>
      <c r="BS113" s="785"/>
      <c r="BT113" s="785"/>
      <c r="BU113" s="785"/>
      <c r="BV113" s="785"/>
      <c r="BW113" s="785"/>
      <c r="BX113" s="785"/>
      <c r="BY113" s="785"/>
      <c r="BZ113" s="785"/>
    </row>
    <row r="114" spans="39:78" s="143" customFormat="1">
      <c r="AM114" s="785"/>
      <c r="AN114" s="785"/>
      <c r="AO114" s="785"/>
      <c r="AP114" s="785"/>
      <c r="AQ114" s="785"/>
      <c r="AR114" s="785"/>
      <c r="AS114" s="785"/>
      <c r="AT114" s="785"/>
      <c r="AU114" s="785"/>
      <c r="AV114" s="785"/>
      <c r="AW114" s="785"/>
      <c r="AX114" s="785"/>
      <c r="AY114" s="785"/>
      <c r="AZ114" s="785"/>
      <c r="BA114" s="785"/>
      <c r="BB114" s="785"/>
      <c r="BC114" s="785"/>
      <c r="BD114" s="785"/>
      <c r="BE114" s="785"/>
      <c r="BF114" s="785"/>
      <c r="BG114" s="785"/>
      <c r="BH114" s="785"/>
      <c r="BI114" s="785"/>
      <c r="BJ114" s="785"/>
      <c r="BK114" s="785"/>
      <c r="BL114" s="785"/>
      <c r="BM114" s="785"/>
      <c r="BN114" s="785"/>
      <c r="BO114" s="785"/>
      <c r="BP114" s="785"/>
      <c r="BQ114" s="785"/>
      <c r="BR114" s="785"/>
      <c r="BS114" s="785"/>
      <c r="BT114" s="785"/>
      <c r="BU114" s="785"/>
      <c r="BV114" s="785"/>
      <c r="BW114" s="785"/>
      <c r="BX114" s="785"/>
      <c r="BY114" s="785"/>
      <c r="BZ114" s="785"/>
    </row>
    <row r="115" spans="39:78" s="143" customFormat="1">
      <c r="AM115" s="785"/>
      <c r="AN115" s="785"/>
      <c r="AO115" s="785"/>
      <c r="AP115" s="785"/>
      <c r="AQ115" s="785"/>
      <c r="AR115" s="785"/>
      <c r="AS115" s="785"/>
      <c r="AT115" s="785"/>
      <c r="AU115" s="785"/>
      <c r="AV115" s="785"/>
      <c r="AW115" s="785"/>
      <c r="AX115" s="785"/>
      <c r="AY115" s="785"/>
      <c r="AZ115" s="785"/>
      <c r="BA115" s="785"/>
      <c r="BB115" s="785"/>
      <c r="BC115" s="785"/>
      <c r="BD115" s="785"/>
      <c r="BE115" s="785"/>
      <c r="BF115" s="785"/>
      <c r="BG115" s="785"/>
      <c r="BH115" s="785"/>
      <c r="BI115" s="785"/>
      <c r="BJ115" s="785"/>
      <c r="BK115" s="785"/>
      <c r="BL115" s="785"/>
      <c r="BM115" s="785"/>
      <c r="BN115" s="785"/>
      <c r="BO115" s="785"/>
      <c r="BP115" s="785"/>
      <c r="BQ115" s="785"/>
      <c r="BR115" s="785"/>
      <c r="BS115" s="785"/>
      <c r="BT115" s="785"/>
      <c r="BU115" s="785"/>
      <c r="BV115" s="785"/>
      <c r="BW115" s="785"/>
      <c r="BX115" s="785"/>
      <c r="BY115" s="785"/>
      <c r="BZ115" s="785"/>
    </row>
    <row r="116" spans="39:78" s="143" customFormat="1">
      <c r="AM116" s="785"/>
      <c r="AN116" s="785"/>
      <c r="AO116" s="785"/>
      <c r="AP116" s="785"/>
      <c r="AQ116" s="785"/>
      <c r="AR116" s="785"/>
      <c r="AS116" s="785"/>
      <c r="AT116" s="785"/>
      <c r="AU116" s="785"/>
      <c r="AV116" s="785"/>
      <c r="AW116" s="785"/>
      <c r="AX116" s="785"/>
      <c r="AY116" s="785"/>
      <c r="AZ116" s="785"/>
      <c r="BA116" s="785"/>
      <c r="BB116" s="785"/>
      <c r="BC116" s="785"/>
      <c r="BD116" s="785"/>
      <c r="BE116" s="785"/>
      <c r="BF116" s="785"/>
      <c r="BG116" s="785"/>
      <c r="BH116" s="785"/>
      <c r="BI116" s="785"/>
      <c r="BJ116" s="785"/>
      <c r="BK116" s="785"/>
      <c r="BL116" s="785"/>
      <c r="BM116" s="785"/>
      <c r="BN116" s="785"/>
      <c r="BO116" s="785"/>
      <c r="BP116" s="785"/>
      <c r="BQ116" s="785"/>
      <c r="BR116" s="785"/>
      <c r="BS116" s="785"/>
      <c r="BT116" s="785"/>
      <c r="BU116" s="785"/>
      <c r="BV116" s="785"/>
      <c r="BW116" s="785"/>
      <c r="BX116" s="785"/>
      <c r="BY116" s="785"/>
      <c r="BZ116" s="785"/>
    </row>
    <row r="117" spans="39:78" s="143" customFormat="1">
      <c r="AM117" s="785"/>
      <c r="AN117" s="785"/>
      <c r="AO117" s="785"/>
      <c r="AP117" s="785"/>
      <c r="AQ117" s="785"/>
      <c r="AR117" s="785"/>
      <c r="AS117" s="785"/>
      <c r="AT117" s="785"/>
      <c r="AU117" s="785"/>
      <c r="AV117" s="785"/>
      <c r="AW117" s="785"/>
      <c r="AX117" s="785"/>
      <c r="AY117" s="785"/>
      <c r="AZ117" s="785"/>
      <c r="BA117" s="785"/>
      <c r="BB117" s="785"/>
      <c r="BC117" s="785"/>
      <c r="BD117" s="785"/>
      <c r="BE117" s="785"/>
      <c r="BF117" s="785"/>
      <c r="BG117" s="785"/>
      <c r="BH117" s="785"/>
      <c r="BI117" s="785"/>
      <c r="BJ117" s="785"/>
      <c r="BK117" s="785"/>
      <c r="BL117" s="785"/>
      <c r="BM117" s="785"/>
      <c r="BN117" s="785"/>
      <c r="BO117" s="785"/>
      <c r="BP117" s="785"/>
      <c r="BQ117" s="785"/>
      <c r="BR117" s="785"/>
      <c r="BS117" s="785"/>
      <c r="BT117" s="785"/>
      <c r="BU117" s="785"/>
      <c r="BV117" s="785"/>
      <c r="BW117" s="785"/>
      <c r="BX117" s="785"/>
      <c r="BY117" s="785"/>
      <c r="BZ117" s="785"/>
    </row>
    <row r="118" spans="39:78" s="143" customFormat="1">
      <c r="AM118" s="785"/>
      <c r="AN118" s="785"/>
      <c r="AO118" s="785"/>
      <c r="AP118" s="785"/>
      <c r="AQ118" s="785"/>
      <c r="AR118" s="785"/>
      <c r="AS118" s="785"/>
      <c r="AT118" s="785"/>
      <c r="AU118" s="785"/>
      <c r="AV118" s="785"/>
      <c r="AW118" s="785"/>
      <c r="AX118" s="785"/>
      <c r="AY118" s="785"/>
      <c r="AZ118" s="785"/>
      <c r="BA118" s="785"/>
      <c r="BB118" s="785"/>
      <c r="BC118" s="785"/>
      <c r="BD118" s="785"/>
      <c r="BE118" s="785"/>
      <c r="BF118" s="785"/>
      <c r="BG118" s="785"/>
      <c r="BH118" s="785"/>
      <c r="BI118" s="785"/>
      <c r="BJ118" s="785"/>
      <c r="BK118" s="785"/>
      <c r="BL118" s="785"/>
      <c r="BM118" s="785"/>
      <c r="BN118" s="785"/>
      <c r="BO118" s="785"/>
      <c r="BP118" s="785"/>
      <c r="BQ118" s="785"/>
      <c r="BR118" s="785"/>
      <c r="BS118" s="785"/>
      <c r="BT118" s="785"/>
      <c r="BU118" s="785"/>
      <c r="BV118" s="785"/>
      <c r="BW118" s="785"/>
      <c r="BX118" s="785"/>
      <c r="BY118" s="785"/>
      <c r="BZ118" s="785"/>
    </row>
    <row r="119" spans="39:78" s="143" customFormat="1">
      <c r="AM119" s="785"/>
      <c r="AN119" s="785"/>
      <c r="AO119" s="785"/>
      <c r="AP119" s="785"/>
      <c r="AQ119" s="785"/>
      <c r="AR119" s="785"/>
      <c r="AS119" s="785"/>
      <c r="AT119" s="785"/>
      <c r="AU119" s="785"/>
      <c r="AV119" s="785"/>
      <c r="AW119" s="785"/>
      <c r="AX119" s="785"/>
      <c r="AY119" s="785"/>
      <c r="AZ119" s="785"/>
      <c r="BA119" s="785"/>
      <c r="BB119" s="785"/>
      <c r="BC119" s="785"/>
      <c r="BD119" s="785"/>
      <c r="BE119" s="785"/>
      <c r="BF119" s="785"/>
      <c r="BG119" s="785"/>
      <c r="BH119" s="785"/>
      <c r="BI119" s="785"/>
      <c r="BJ119" s="785"/>
      <c r="BK119" s="785"/>
      <c r="BL119" s="785"/>
      <c r="BM119" s="785"/>
      <c r="BN119" s="785"/>
      <c r="BO119" s="785"/>
      <c r="BP119" s="785"/>
      <c r="BQ119" s="785"/>
      <c r="BR119" s="785"/>
      <c r="BS119" s="785"/>
      <c r="BT119" s="785"/>
      <c r="BU119" s="785"/>
      <c r="BV119" s="785"/>
      <c r="BW119" s="785"/>
      <c r="BX119" s="785"/>
      <c r="BY119" s="785"/>
      <c r="BZ119" s="785"/>
    </row>
    <row r="120" spans="39:78" s="143" customFormat="1">
      <c r="AM120" s="785"/>
      <c r="AN120" s="785"/>
      <c r="AO120" s="785"/>
      <c r="AP120" s="785"/>
      <c r="AQ120" s="785"/>
      <c r="AR120" s="785"/>
      <c r="AS120" s="785"/>
      <c r="AT120" s="785"/>
      <c r="AU120" s="785"/>
      <c r="AV120" s="785"/>
      <c r="AW120" s="785"/>
      <c r="AX120" s="785"/>
      <c r="AY120" s="785"/>
      <c r="AZ120" s="785"/>
      <c r="BA120" s="785"/>
      <c r="BB120" s="785"/>
      <c r="BC120" s="785"/>
      <c r="BD120" s="785"/>
      <c r="BE120" s="785"/>
      <c r="BF120" s="785"/>
      <c r="BG120" s="785"/>
      <c r="BH120" s="785"/>
      <c r="BI120" s="785"/>
      <c r="BJ120" s="785"/>
      <c r="BK120" s="785"/>
      <c r="BL120" s="785"/>
      <c r="BM120" s="785"/>
      <c r="BN120" s="785"/>
      <c r="BO120" s="785"/>
      <c r="BP120" s="785"/>
      <c r="BQ120" s="785"/>
      <c r="BR120" s="785"/>
      <c r="BS120" s="785"/>
      <c r="BT120" s="785"/>
      <c r="BU120" s="785"/>
      <c r="BV120" s="785"/>
      <c r="BW120" s="785"/>
      <c r="BX120" s="785"/>
      <c r="BY120" s="785"/>
      <c r="BZ120" s="785"/>
    </row>
    <row r="121" spans="39:78" s="143" customFormat="1">
      <c r="AM121" s="785"/>
      <c r="AN121" s="785"/>
      <c r="AO121" s="785"/>
      <c r="AP121" s="785"/>
      <c r="AQ121" s="785"/>
      <c r="AR121" s="785"/>
      <c r="AS121" s="785"/>
      <c r="AT121" s="785"/>
      <c r="AU121" s="785"/>
      <c r="AV121" s="785"/>
      <c r="AW121" s="785"/>
      <c r="AX121" s="785"/>
      <c r="AY121" s="785"/>
      <c r="AZ121" s="785"/>
      <c r="BA121" s="785"/>
      <c r="BB121" s="785"/>
      <c r="BC121" s="785"/>
      <c r="BD121" s="785"/>
      <c r="BE121" s="785"/>
      <c r="BF121" s="785"/>
      <c r="BG121" s="785"/>
      <c r="BH121" s="785"/>
      <c r="BI121" s="785"/>
      <c r="BJ121" s="785"/>
      <c r="BK121" s="785"/>
      <c r="BL121" s="785"/>
      <c r="BM121" s="785"/>
      <c r="BN121" s="785"/>
      <c r="BO121" s="785"/>
      <c r="BP121" s="785"/>
      <c r="BQ121" s="785"/>
      <c r="BR121" s="785"/>
      <c r="BS121" s="785"/>
      <c r="BT121" s="785"/>
      <c r="BU121" s="785"/>
      <c r="BV121" s="785"/>
      <c r="BW121" s="785"/>
      <c r="BX121" s="785"/>
      <c r="BY121" s="785"/>
      <c r="BZ121" s="785"/>
    </row>
    <row r="122" spans="39:78" s="143" customFormat="1">
      <c r="AM122" s="785"/>
      <c r="AN122" s="785"/>
      <c r="AO122" s="785"/>
      <c r="AP122" s="785"/>
      <c r="AQ122" s="785"/>
      <c r="AR122" s="785"/>
      <c r="AS122" s="785"/>
      <c r="AT122" s="785"/>
      <c r="AU122" s="785"/>
      <c r="AV122" s="785"/>
      <c r="AW122" s="785"/>
      <c r="AX122" s="785"/>
      <c r="AY122" s="785"/>
      <c r="AZ122" s="785"/>
      <c r="BA122" s="785"/>
      <c r="BB122" s="785"/>
      <c r="BC122" s="785"/>
      <c r="BD122" s="785"/>
      <c r="BE122" s="785"/>
      <c r="BF122" s="785"/>
      <c r="BG122" s="785"/>
      <c r="BH122" s="785"/>
      <c r="BI122" s="785"/>
      <c r="BJ122" s="785"/>
      <c r="BK122" s="785"/>
      <c r="BL122" s="785"/>
      <c r="BM122" s="785"/>
      <c r="BN122" s="785"/>
      <c r="BO122" s="785"/>
      <c r="BP122" s="785"/>
      <c r="BQ122" s="785"/>
      <c r="BR122" s="785"/>
      <c r="BS122" s="785"/>
      <c r="BT122" s="785"/>
      <c r="BU122" s="785"/>
      <c r="BV122" s="785"/>
      <c r="BW122" s="785"/>
      <c r="BX122" s="785"/>
      <c r="BY122" s="785"/>
      <c r="BZ122" s="785"/>
    </row>
    <row r="123" spans="39:78" s="143" customFormat="1">
      <c r="AM123" s="785"/>
      <c r="AN123" s="785"/>
      <c r="AO123" s="785"/>
      <c r="AP123" s="785"/>
      <c r="AQ123" s="785"/>
      <c r="AR123" s="785"/>
      <c r="AS123" s="785"/>
      <c r="AT123" s="785"/>
      <c r="AU123" s="785"/>
      <c r="AV123" s="785"/>
      <c r="AW123" s="785"/>
      <c r="AX123" s="785"/>
      <c r="AY123" s="785"/>
      <c r="AZ123" s="785"/>
      <c r="BA123" s="785"/>
      <c r="BB123" s="785"/>
      <c r="BC123" s="785"/>
      <c r="BD123" s="785"/>
      <c r="BE123" s="785"/>
      <c r="BF123" s="785"/>
      <c r="BG123" s="785"/>
      <c r="BH123" s="785"/>
      <c r="BI123" s="785"/>
      <c r="BJ123" s="785"/>
      <c r="BK123" s="785"/>
      <c r="BL123" s="785"/>
      <c r="BM123" s="785"/>
      <c r="BN123" s="785"/>
      <c r="BO123" s="785"/>
      <c r="BP123" s="785"/>
      <c r="BQ123" s="785"/>
      <c r="BR123" s="785"/>
      <c r="BS123" s="785"/>
      <c r="BT123" s="785"/>
      <c r="BU123" s="785"/>
      <c r="BV123" s="785"/>
      <c r="BW123" s="785"/>
      <c r="BX123" s="785"/>
      <c r="BY123" s="785"/>
      <c r="BZ123" s="785"/>
    </row>
    <row r="124" spans="39:78" s="143" customFormat="1">
      <c r="AM124" s="785"/>
      <c r="AN124" s="785"/>
      <c r="AO124" s="785"/>
      <c r="AP124" s="785"/>
      <c r="AQ124" s="785"/>
      <c r="AR124" s="785"/>
      <c r="AS124" s="785"/>
      <c r="AT124" s="785"/>
      <c r="AU124" s="785"/>
      <c r="AV124" s="785"/>
      <c r="AW124" s="785"/>
      <c r="AX124" s="785"/>
      <c r="AY124" s="785"/>
      <c r="AZ124" s="785"/>
      <c r="BA124" s="785"/>
      <c r="BB124" s="785"/>
      <c r="BC124" s="785"/>
      <c r="BD124" s="785"/>
      <c r="BE124" s="785"/>
      <c r="BF124" s="785"/>
      <c r="BG124" s="785"/>
      <c r="BH124" s="785"/>
      <c r="BI124" s="785"/>
      <c r="BJ124" s="785"/>
      <c r="BK124" s="785"/>
      <c r="BL124" s="785"/>
      <c r="BM124" s="785"/>
      <c r="BN124" s="785"/>
      <c r="BO124" s="785"/>
      <c r="BP124" s="785"/>
      <c r="BQ124" s="785"/>
      <c r="BR124" s="785"/>
      <c r="BS124" s="785"/>
      <c r="BT124" s="785"/>
      <c r="BU124" s="785"/>
      <c r="BV124" s="785"/>
      <c r="BW124" s="785"/>
      <c r="BX124" s="785"/>
      <c r="BY124" s="785"/>
      <c r="BZ124" s="785"/>
    </row>
    <row r="125" spans="39:78" s="143" customFormat="1">
      <c r="AM125" s="785"/>
      <c r="AN125" s="785"/>
      <c r="AO125" s="785"/>
      <c r="AP125" s="785"/>
      <c r="AQ125" s="785"/>
      <c r="AR125" s="785"/>
      <c r="AS125" s="785"/>
      <c r="AT125" s="785"/>
      <c r="AU125" s="785"/>
      <c r="AV125" s="785"/>
      <c r="AW125" s="785"/>
      <c r="AX125" s="785"/>
      <c r="AY125" s="785"/>
      <c r="AZ125" s="785"/>
      <c r="BA125" s="785"/>
      <c r="BB125" s="785"/>
      <c r="BC125" s="785"/>
      <c r="BD125" s="785"/>
      <c r="BE125" s="785"/>
      <c r="BF125" s="785"/>
      <c r="BG125" s="785"/>
      <c r="BH125" s="785"/>
      <c r="BI125" s="785"/>
      <c r="BJ125" s="785"/>
      <c r="BK125" s="785"/>
      <c r="BL125" s="785"/>
      <c r="BM125" s="785"/>
      <c r="BN125" s="785"/>
      <c r="BO125" s="785"/>
      <c r="BP125" s="785"/>
      <c r="BQ125" s="785"/>
      <c r="BR125" s="785"/>
      <c r="BS125" s="785"/>
      <c r="BT125" s="785"/>
      <c r="BU125" s="785"/>
      <c r="BV125" s="785"/>
      <c r="BW125" s="785"/>
      <c r="BX125" s="785"/>
      <c r="BY125" s="785"/>
      <c r="BZ125" s="785"/>
    </row>
    <row r="126" spans="39:78" s="143" customFormat="1">
      <c r="AM126" s="785"/>
      <c r="AN126" s="785"/>
      <c r="AO126" s="785"/>
      <c r="AP126" s="785"/>
      <c r="AQ126" s="785"/>
      <c r="AR126" s="785"/>
      <c r="AS126" s="785"/>
      <c r="AT126" s="785"/>
      <c r="AU126" s="785"/>
      <c r="AV126" s="785"/>
      <c r="AW126" s="785"/>
      <c r="AX126" s="785"/>
      <c r="AY126" s="785"/>
      <c r="AZ126" s="785"/>
      <c r="BA126" s="785"/>
      <c r="BB126" s="785"/>
      <c r="BC126" s="785"/>
      <c r="BD126" s="785"/>
      <c r="BE126" s="785"/>
      <c r="BF126" s="785"/>
      <c r="BG126" s="785"/>
      <c r="BH126" s="785"/>
      <c r="BI126" s="785"/>
      <c r="BJ126" s="785"/>
      <c r="BK126" s="785"/>
      <c r="BL126" s="785"/>
      <c r="BM126" s="785"/>
      <c r="BN126" s="785"/>
      <c r="BO126" s="785"/>
      <c r="BP126" s="785"/>
      <c r="BQ126" s="785"/>
      <c r="BR126" s="785"/>
      <c r="BS126" s="785"/>
      <c r="BT126" s="785"/>
      <c r="BU126" s="785"/>
      <c r="BV126" s="785"/>
      <c r="BW126" s="785"/>
      <c r="BX126" s="785"/>
      <c r="BY126" s="785"/>
      <c r="BZ126" s="785"/>
    </row>
    <row r="127" spans="39:78" s="143" customFormat="1">
      <c r="AM127" s="785"/>
      <c r="AN127" s="785"/>
      <c r="AO127" s="785"/>
      <c r="AP127" s="785"/>
      <c r="AQ127" s="785"/>
      <c r="AR127" s="785"/>
      <c r="AS127" s="785"/>
      <c r="AT127" s="785"/>
      <c r="AU127" s="785"/>
      <c r="AV127" s="785"/>
      <c r="AW127" s="785"/>
      <c r="AX127" s="785"/>
      <c r="AY127" s="785"/>
      <c r="AZ127" s="785"/>
      <c r="BA127" s="785"/>
      <c r="BB127" s="785"/>
      <c r="BC127" s="785"/>
      <c r="BD127" s="785"/>
      <c r="BE127" s="785"/>
      <c r="BF127" s="785"/>
      <c r="BG127" s="785"/>
      <c r="BH127" s="785"/>
      <c r="BI127" s="785"/>
      <c r="BJ127" s="785"/>
      <c r="BK127" s="785"/>
      <c r="BL127" s="785"/>
      <c r="BM127" s="785"/>
      <c r="BN127" s="785"/>
      <c r="BO127" s="785"/>
      <c r="BP127" s="785"/>
      <c r="BQ127" s="785"/>
      <c r="BR127" s="785"/>
      <c r="BS127" s="785"/>
      <c r="BT127" s="785"/>
      <c r="BU127" s="785"/>
      <c r="BV127" s="785"/>
      <c r="BW127" s="785"/>
      <c r="BX127" s="785"/>
      <c r="BY127" s="785"/>
      <c r="BZ127" s="785"/>
    </row>
    <row r="128" spans="39:78" s="143" customFormat="1">
      <c r="AM128" s="785"/>
      <c r="AN128" s="785"/>
      <c r="AO128" s="785"/>
      <c r="AP128" s="785"/>
      <c r="AQ128" s="785"/>
      <c r="AR128" s="785"/>
      <c r="AS128" s="785"/>
      <c r="AT128" s="785"/>
      <c r="AU128" s="785"/>
      <c r="AV128" s="785"/>
      <c r="AW128" s="785"/>
      <c r="AX128" s="785"/>
      <c r="AY128" s="785"/>
      <c r="AZ128" s="785"/>
      <c r="BA128" s="785"/>
      <c r="BB128" s="785"/>
      <c r="BC128" s="785"/>
      <c r="BD128" s="785"/>
      <c r="BE128" s="785"/>
      <c r="BF128" s="785"/>
      <c r="BG128" s="785"/>
      <c r="BH128" s="785"/>
      <c r="BI128" s="785"/>
      <c r="BJ128" s="785"/>
      <c r="BK128" s="785"/>
      <c r="BL128" s="785"/>
      <c r="BM128" s="785"/>
      <c r="BN128" s="785"/>
      <c r="BO128" s="785"/>
      <c r="BP128" s="785"/>
      <c r="BQ128" s="785"/>
      <c r="BR128" s="785"/>
      <c r="BS128" s="785"/>
      <c r="BT128" s="785"/>
      <c r="BU128" s="785"/>
      <c r="BV128" s="785"/>
      <c r="BW128" s="785"/>
      <c r="BX128" s="785"/>
      <c r="BY128" s="785"/>
      <c r="BZ128" s="785"/>
    </row>
    <row r="129" spans="39:78" s="143" customFormat="1">
      <c r="AM129" s="785"/>
      <c r="AN129" s="785"/>
      <c r="AO129" s="785"/>
      <c r="AP129" s="785"/>
      <c r="AQ129" s="785"/>
      <c r="AR129" s="785"/>
      <c r="AS129" s="785"/>
      <c r="AT129" s="785"/>
      <c r="AU129" s="785"/>
      <c r="AV129" s="785"/>
      <c r="AW129" s="785"/>
      <c r="AX129" s="785"/>
      <c r="AY129" s="785"/>
      <c r="AZ129" s="785"/>
      <c r="BA129" s="785"/>
      <c r="BB129" s="785"/>
      <c r="BC129" s="785"/>
      <c r="BD129" s="785"/>
      <c r="BE129" s="785"/>
      <c r="BF129" s="785"/>
      <c r="BG129" s="785"/>
      <c r="BH129" s="785"/>
      <c r="BI129" s="785"/>
      <c r="BJ129" s="785"/>
      <c r="BK129" s="785"/>
      <c r="BL129" s="785"/>
      <c r="BM129" s="785"/>
      <c r="BN129" s="785"/>
      <c r="BO129" s="785"/>
      <c r="BP129" s="785"/>
      <c r="BQ129" s="785"/>
      <c r="BR129" s="785"/>
      <c r="BS129" s="785"/>
      <c r="BT129" s="785"/>
      <c r="BU129" s="785"/>
      <c r="BV129" s="785"/>
      <c r="BW129" s="785"/>
      <c r="BX129" s="785"/>
      <c r="BY129" s="785"/>
      <c r="BZ129" s="785"/>
    </row>
    <row r="130" spans="39:78" s="143" customFormat="1">
      <c r="AM130" s="785"/>
      <c r="AN130" s="785"/>
      <c r="AO130" s="785"/>
      <c r="AP130" s="785"/>
      <c r="AQ130" s="785"/>
      <c r="AR130" s="785"/>
      <c r="AS130" s="785"/>
      <c r="AT130" s="785"/>
      <c r="AU130" s="785"/>
      <c r="AV130" s="785"/>
      <c r="AW130" s="785"/>
      <c r="AX130" s="785"/>
      <c r="AY130" s="785"/>
      <c r="AZ130" s="785"/>
      <c r="BA130" s="785"/>
      <c r="BB130" s="785"/>
      <c r="BC130" s="785"/>
      <c r="BD130" s="785"/>
      <c r="BE130" s="785"/>
      <c r="BF130" s="785"/>
      <c r="BG130" s="785"/>
      <c r="BH130" s="785"/>
      <c r="BI130" s="785"/>
      <c r="BJ130" s="785"/>
      <c r="BK130" s="785"/>
      <c r="BL130" s="785"/>
      <c r="BM130" s="785"/>
      <c r="BN130" s="785"/>
      <c r="BO130" s="785"/>
      <c r="BP130" s="785"/>
      <c r="BQ130" s="785"/>
      <c r="BR130" s="785"/>
      <c r="BS130" s="785"/>
      <c r="BT130" s="785"/>
      <c r="BU130" s="785"/>
      <c r="BV130" s="785"/>
      <c r="BW130" s="785"/>
      <c r="BX130" s="785"/>
      <c r="BY130" s="785"/>
      <c r="BZ130" s="785"/>
    </row>
    <row r="131" spans="39:78" s="143" customFormat="1">
      <c r="AM131" s="785"/>
      <c r="AN131" s="785"/>
      <c r="AO131" s="785"/>
      <c r="AP131" s="785"/>
      <c r="AQ131" s="785"/>
      <c r="AR131" s="785"/>
      <c r="AS131" s="785"/>
      <c r="AT131" s="785"/>
      <c r="AU131" s="785"/>
      <c r="AV131" s="785"/>
      <c r="AW131" s="785"/>
      <c r="AX131" s="785"/>
      <c r="AY131" s="785"/>
      <c r="AZ131" s="785"/>
      <c r="BA131" s="785"/>
      <c r="BB131" s="785"/>
      <c r="BC131" s="785"/>
      <c r="BD131" s="785"/>
      <c r="BE131" s="785"/>
      <c r="BF131" s="785"/>
      <c r="BG131" s="785"/>
      <c r="BH131" s="785"/>
      <c r="BI131" s="785"/>
      <c r="BJ131" s="785"/>
      <c r="BK131" s="785"/>
      <c r="BL131" s="785"/>
      <c r="BM131" s="785"/>
      <c r="BN131" s="785"/>
      <c r="BO131" s="785"/>
      <c r="BP131" s="785"/>
      <c r="BQ131" s="785"/>
      <c r="BR131" s="785"/>
      <c r="BS131" s="785"/>
      <c r="BT131" s="785"/>
      <c r="BU131" s="785"/>
      <c r="BV131" s="785"/>
      <c r="BW131" s="785"/>
      <c r="BX131" s="785"/>
      <c r="BY131" s="785"/>
      <c r="BZ131" s="785"/>
    </row>
    <row r="132" spans="39:78" s="143" customFormat="1">
      <c r="AM132" s="785"/>
      <c r="AN132" s="785"/>
      <c r="AO132" s="785"/>
      <c r="AP132" s="785"/>
      <c r="AQ132" s="785"/>
      <c r="AR132" s="785"/>
      <c r="AS132" s="785"/>
      <c r="AT132" s="785"/>
      <c r="AU132" s="785"/>
      <c r="AV132" s="785"/>
      <c r="AW132" s="785"/>
      <c r="AX132" s="785"/>
      <c r="AY132" s="785"/>
      <c r="AZ132" s="785"/>
      <c r="BA132" s="785"/>
      <c r="BB132" s="785"/>
      <c r="BC132" s="785"/>
      <c r="BD132" s="785"/>
      <c r="BE132" s="785"/>
      <c r="BF132" s="785"/>
      <c r="BG132" s="785"/>
      <c r="BH132" s="785"/>
      <c r="BI132" s="785"/>
      <c r="BJ132" s="785"/>
      <c r="BK132" s="785"/>
      <c r="BL132" s="785"/>
      <c r="BM132" s="785"/>
      <c r="BN132" s="785"/>
      <c r="BO132" s="785"/>
      <c r="BP132" s="785"/>
      <c r="BQ132" s="785"/>
      <c r="BR132" s="785"/>
      <c r="BS132" s="785"/>
      <c r="BT132" s="785"/>
      <c r="BU132" s="785"/>
      <c r="BV132" s="785"/>
      <c r="BW132" s="785"/>
      <c r="BX132" s="785"/>
      <c r="BY132" s="785"/>
      <c r="BZ132" s="785"/>
    </row>
    <row r="133" spans="39:78" s="143" customFormat="1">
      <c r="AM133" s="785"/>
      <c r="AN133" s="785"/>
      <c r="AO133" s="785"/>
      <c r="AP133" s="785"/>
      <c r="AQ133" s="785"/>
      <c r="AR133" s="785"/>
      <c r="AS133" s="785"/>
      <c r="AT133" s="785"/>
      <c r="AU133" s="785"/>
      <c r="AV133" s="785"/>
      <c r="AW133" s="785"/>
      <c r="AX133" s="785"/>
      <c r="AY133" s="785"/>
      <c r="AZ133" s="785"/>
      <c r="BA133" s="785"/>
      <c r="BB133" s="785"/>
      <c r="BC133" s="785"/>
      <c r="BD133" s="785"/>
      <c r="BE133" s="785"/>
      <c r="BF133" s="785"/>
      <c r="BG133" s="785"/>
      <c r="BH133" s="785"/>
      <c r="BI133" s="785"/>
      <c r="BJ133" s="785"/>
      <c r="BK133" s="785"/>
      <c r="BL133" s="785"/>
      <c r="BM133" s="785"/>
      <c r="BN133" s="785"/>
      <c r="BO133" s="785"/>
      <c r="BP133" s="785"/>
      <c r="BQ133" s="785"/>
      <c r="BR133" s="785"/>
      <c r="BS133" s="785"/>
      <c r="BT133" s="785"/>
      <c r="BU133" s="785"/>
      <c r="BV133" s="785"/>
      <c r="BW133" s="785"/>
      <c r="BX133" s="785"/>
      <c r="BY133" s="785"/>
      <c r="BZ133" s="785"/>
    </row>
    <row r="134" spans="39:78" s="143" customFormat="1">
      <c r="AM134" s="785"/>
      <c r="AN134" s="785"/>
      <c r="AO134" s="785"/>
      <c r="AP134" s="785"/>
      <c r="AQ134" s="785"/>
      <c r="AR134" s="785"/>
      <c r="AS134" s="785"/>
      <c r="AT134" s="785"/>
      <c r="AU134" s="785"/>
      <c r="AV134" s="785"/>
      <c r="AW134" s="785"/>
      <c r="AX134" s="785"/>
      <c r="AY134" s="785"/>
      <c r="AZ134" s="785"/>
      <c r="BA134" s="785"/>
      <c r="BB134" s="785"/>
      <c r="BC134" s="785"/>
      <c r="BD134" s="785"/>
      <c r="BE134" s="785"/>
      <c r="BF134" s="785"/>
      <c r="BG134" s="785"/>
      <c r="BH134" s="785"/>
      <c r="BI134" s="785"/>
      <c r="BJ134" s="785"/>
      <c r="BK134" s="785"/>
      <c r="BL134" s="785"/>
      <c r="BM134" s="785"/>
      <c r="BN134" s="785"/>
      <c r="BO134" s="785"/>
      <c r="BP134" s="785"/>
      <c r="BQ134" s="785"/>
      <c r="BR134" s="785"/>
      <c r="BS134" s="785"/>
      <c r="BT134" s="785"/>
      <c r="BU134" s="785"/>
      <c r="BV134" s="785"/>
      <c r="BW134" s="785"/>
      <c r="BX134" s="785"/>
      <c r="BY134" s="785"/>
      <c r="BZ134" s="785"/>
    </row>
    <row r="135" spans="39:78" s="143" customFormat="1">
      <c r="AM135" s="785"/>
      <c r="AN135" s="785"/>
      <c r="AO135" s="785"/>
      <c r="AP135" s="785"/>
      <c r="AQ135" s="785"/>
      <c r="AR135" s="785"/>
      <c r="AS135" s="785"/>
      <c r="AT135" s="785"/>
      <c r="AU135" s="785"/>
      <c r="AV135" s="785"/>
      <c r="AW135" s="785"/>
      <c r="AX135" s="785"/>
      <c r="AY135" s="785"/>
      <c r="AZ135" s="785"/>
      <c r="BA135" s="785"/>
      <c r="BB135" s="785"/>
      <c r="BC135" s="785"/>
      <c r="BD135" s="785"/>
      <c r="BE135" s="785"/>
      <c r="BF135" s="785"/>
      <c r="BG135" s="785"/>
      <c r="BH135" s="785"/>
      <c r="BI135" s="785"/>
      <c r="BJ135" s="785"/>
      <c r="BK135" s="785"/>
      <c r="BL135" s="785"/>
      <c r="BM135" s="785"/>
      <c r="BN135" s="785"/>
      <c r="BO135" s="785"/>
      <c r="BP135" s="785"/>
      <c r="BQ135" s="785"/>
      <c r="BR135" s="785"/>
      <c r="BS135" s="785"/>
      <c r="BT135" s="785"/>
      <c r="BU135" s="785"/>
      <c r="BV135" s="785"/>
      <c r="BW135" s="785"/>
      <c r="BX135" s="785"/>
      <c r="BY135" s="785"/>
      <c r="BZ135" s="785"/>
    </row>
    <row r="136" spans="39:78" s="143" customFormat="1">
      <c r="AM136" s="785"/>
      <c r="AN136" s="785"/>
      <c r="AO136" s="785"/>
      <c r="AP136" s="785"/>
      <c r="AQ136" s="785"/>
      <c r="AR136" s="785"/>
      <c r="AS136" s="785"/>
      <c r="AT136" s="785"/>
      <c r="AU136" s="785"/>
      <c r="AV136" s="785"/>
      <c r="AW136" s="785"/>
      <c r="AX136" s="785"/>
      <c r="AY136" s="785"/>
      <c r="AZ136" s="785"/>
      <c r="BA136" s="785"/>
      <c r="BB136" s="785"/>
      <c r="BC136" s="785"/>
      <c r="BD136" s="785"/>
      <c r="BE136" s="785"/>
      <c r="BF136" s="785"/>
      <c r="BG136" s="785"/>
      <c r="BH136" s="785"/>
      <c r="BI136" s="785"/>
      <c r="BJ136" s="785"/>
      <c r="BK136" s="785"/>
      <c r="BL136" s="785"/>
      <c r="BM136" s="785"/>
      <c r="BN136" s="785"/>
      <c r="BO136" s="785"/>
      <c r="BP136" s="785"/>
      <c r="BQ136" s="785"/>
      <c r="BR136" s="785"/>
      <c r="BS136" s="785"/>
      <c r="BT136" s="785"/>
      <c r="BU136" s="785"/>
      <c r="BV136" s="785"/>
      <c r="BW136" s="785"/>
      <c r="BX136" s="785"/>
      <c r="BY136" s="785"/>
      <c r="BZ136" s="785"/>
    </row>
    <row r="137" spans="39:78" s="143" customFormat="1">
      <c r="AM137" s="785"/>
      <c r="AN137" s="785"/>
      <c r="AO137" s="785"/>
      <c r="AP137" s="785"/>
      <c r="AQ137" s="785"/>
      <c r="AR137" s="785"/>
      <c r="AS137" s="785"/>
      <c r="AT137" s="785"/>
      <c r="AU137" s="785"/>
      <c r="AV137" s="785"/>
      <c r="AW137" s="785"/>
      <c r="AX137" s="785"/>
      <c r="AY137" s="785"/>
      <c r="AZ137" s="785"/>
      <c r="BA137" s="785"/>
      <c r="BB137" s="785"/>
      <c r="BC137" s="785"/>
      <c r="BD137" s="785"/>
      <c r="BE137" s="785"/>
      <c r="BF137" s="785"/>
      <c r="BG137" s="785"/>
      <c r="BH137" s="785"/>
      <c r="BI137" s="785"/>
      <c r="BJ137" s="785"/>
      <c r="BK137" s="785"/>
      <c r="BL137" s="785"/>
      <c r="BM137" s="785"/>
      <c r="BN137" s="785"/>
      <c r="BO137" s="785"/>
      <c r="BP137" s="785"/>
      <c r="BQ137" s="785"/>
      <c r="BR137" s="785"/>
      <c r="BS137" s="785"/>
      <c r="BT137" s="785"/>
      <c r="BU137" s="785"/>
      <c r="BV137" s="785"/>
      <c r="BW137" s="785"/>
      <c r="BX137" s="785"/>
      <c r="BY137" s="785"/>
      <c r="BZ137" s="785"/>
    </row>
    <row r="138" spans="39:78" s="143" customFormat="1">
      <c r="AM138" s="785"/>
      <c r="AN138" s="785"/>
      <c r="AO138" s="785"/>
      <c r="AP138" s="785"/>
      <c r="AQ138" s="785"/>
      <c r="AR138" s="785"/>
      <c r="AS138" s="785"/>
      <c r="AT138" s="785"/>
      <c r="AU138" s="785"/>
      <c r="AV138" s="785"/>
      <c r="AW138" s="785"/>
      <c r="AX138" s="785"/>
      <c r="AY138" s="785"/>
      <c r="AZ138" s="785"/>
      <c r="BA138" s="785"/>
      <c r="BB138" s="785"/>
      <c r="BC138" s="785"/>
      <c r="BD138" s="785"/>
      <c r="BE138" s="785"/>
      <c r="BF138" s="785"/>
      <c r="BG138" s="785"/>
      <c r="BH138" s="785"/>
      <c r="BI138" s="785"/>
      <c r="BJ138" s="785"/>
      <c r="BK138" s="785"/>
      <c r="BL138" s="785"/>
      <c r="BM138" s="785"/>
      <c r="BN138" s="785"/>
      <c r="BO138" s="785"/>
      <c r="BP138" s="785"/>
      <c r="BQ138" s="785"/>
      <c r="BR138" s="785"/>
      <c r="BS138" s="785"/>
      <c r="BT138" s="785"/>
      <c r="BU138" s="785"/>
      <c r="BV138" s="785"/>
      <c r="BW138" s="785"/>
      <c r="BX138" s="785"/>
      <c r="BY138" s="785"/>
      <c r="BZ138" s="785"/>
    </row>
    <row r="139" spans="39:78" s="143" customFormat="1">
      <c r="AM139" s="785"/>
      <c r="AN139" s="785"/>
      <c r="AO139" s="785"/>
      <c r="AP139" s="785"/>
      <c r="AQ139" s="785"/>
      <c r="AR139" s="785"/>
      <c r="AS139" s="785"/>
      <c r="AT139" s="785"/>
      <c r="AU139" s="785"/>
      <c r="AV139" s="785"/>
      <c r="AW139" s="785"/>
      <c r="AX139" s="785"/>
      <c r="AY139" s="785"/>
      <c r="AZ139" s="785"/>
      <c r="BA139" s="785"/>
      <c r="BB139" s="785"/>
      <c r="BC139" s="785"/>
      <c r="BD139" s="785"/>
      <c r="BE139" s="785"/>
      <c r="BF139" s="785"/>
      <c r="BG139" s="785"/>
      <c r="BH139" s="785"/>
      <c r="BI139" s="785"/>
      <c r="BJ139" s="785"/>
      <c r="BK139" s="785"/>
      <c r="BL139" s="785"/>
      <c r="BM139" s="785"/>
      <c r="BN139" s="785"/>
      <c r="BO139" s="785"/>
      <c r="BP139" s="785"/>
      <c r="BQ139" s="785"/>
      <c r="BR139" s="785"/>
      <c r="BS139" s="785"/>
      <c r="BT139" s="785"/>
      <c r="BU139" s="785"/>
      <c r="BV139" s="785"/>
      <c r="BW139" s="785"/>
      <c r="BX139" s="785"/>
      <c r="BY139" s="785"/>
      <c r="BZ139" s="785"/>
    </row>
    <row r="140" spans="39:78" s="143" customFormat="1">
      <c r="AM140" s="785"/>
      <c r="AN140" s="785"/>
      <c r="AO140" s="785"/>
      <c r="AP140" s="785"/>
      <c r="AQ140" s="785"/>
      <c r="AR140" s="785"/>
      <c r="AS140" s="785"/>
      <c r="AT140" s="785"/>
      <c r="AU140" s="785"/>
      <c r="AV140" s="785"/>
      <c r="AW140" s="785"/>
      <c r="AX140" s="785"/>
      <c r="AY140" s="785"/>
      <c r="AZ140" s="785"/>
      <c r="BA140" s="785"/>
      <c r="BB140" s="785"/>
      <c r="BC140" s="785"/>
      <c r="BD140" s="785"/>
      <c r="BE140" s="785"/>
      <c r="BF140" s="785"/>
      <c r="BG140" s="785"/>
      <c r="BH140" s="785"/>
      <c r="BI140" s="785"/>
      <c r="BJ140" s="785"/>
      <c r="BK140" s="785"/>
      <c r="BL140" s="785"/>
      <c r="BM140" s="785"/>
      <c r="BN140" s="785"/>
      <c r="BO140" s="785"/>
      <c r="BP140" s="785"/>
      <c r="BQ140" s="785"/>
      <c r="BR140" s="785"/>
      <c r="BS140" s="785"/>
      <c r="BT140" s="785"/>
      <c r="BU140" s="785"/>
      <c r="BV140" s="785"/>
      <c r="BW140" s="785"/>
      <c r="BX140" s="785"/>
      <c r="BY140" s="785"/>
      <c r="BZ140" s="785"/>
    </row>
    <row r="141" spans="39:78" s="143" customFormat="1">
      <c r="AM141" s="785"/>
      <c r="AN141" s="785"/>
      <c r="AO141" s="785"/>
      <c r="AP141" s="785"/>
      <c r="AQ141" s="785"/>
      <c r="AR141" s="785"/>
      <c r="AS141" s="785"/>
      <c r="AT141" s="785"/>
      <c r="AU141" s="785"/>
      <c r="AV141" s="785"/>
      <c r="AW141" s="785"/>
      <c r="AX141" s="785"/>
      <c r="AY141" s="785"/>
      <c r="AZ141" s="785"/>
      <c r="BA141" s="785"/>
      <c r="BB141" s="785"/>
      <c r="BC141" s="785"/>
      <c r="BD141" s="785"/>
      <c r="BE141" s="785"/>
      <c r="BF141" s="785"/>
      <c r="BG141" s="785"/>
      <c r="BH141" s="785"/>
      <c r="BI141" s="785"/>
      <c r="BJ141" s="785"/>
      <c r="BK141" s="785"/>
      <c r="BL141" s="785"/>
      <c r="BM141" s="785"/>
      <c r="BN141" s="785"/>
      <c r="BO141" s="785"/>
      <c r="BP141" s="785"/>
      <c r="BQ141" s="785"/>
      <c r="BR141" s="785"/>
      <c r="BS141" s="785"/>
      <c r="BT141" s="785"/>
      <c r="BU141" s="785"/>
      <c r="BV141" s="785"/>
      <c r="BW141" s="785"/>
      <c r="BX141" s="785"/>
      <c r="BY141" s="785"/>
      <c r="BZ141" s="785"/>
    </row>
    <row r="142" spans="39:78" s="143" customFormat="1">
      <c r="AM142" s="785"/>
      <c r="AN142" s="785"/>
      <c r="AO142" s="785"/>
      <c r="AP142" s="785"/>
      <c r="AQ142" s="785"/>
      <c r="AR142" s="785"/>
      <c r="AS142" s="785"/>
      <c r="AT142" s="785"/>
      <c r="AU142" s="785"/>
      <c r="AV142" s="785"/>
      <c r="AW142" s="785"/>
      <c r="AX142" s="785"/>
      <c r="AY142" s="785"/>
      <c r="AZ142" s="785"/>
      <c r="BA142" s="785"/>
      <c r="BB142" s="785"/>
      <c r="BC142" s="785"/>
      <c r="BD142" s="785"/>
      <c r="BE142" s="785"/>
      <c r="BF142" s="785"/>
      <c r="BG142" s="785"/>
      <c r="BH142" s="785"/>
      <c r="BI142" s="785"/>
      <c r="BJ142" s="785"/>
      <c r="BK142" s="785"/>
      <c r="BL142" s="785"/>
      <c r="BM142" s="785"/>
      <c r="BN142" s="785"/>
      <c r="BO142" s="785"/>
      <c r="BP142" s="785"/>
      <c r="BQ142" s="785"/>
      <c r="BR142" s="785"/>
      <c r="BS142" s="785"/>
      <c r="BT142" s="785"/>
      <c r="BU142" s="785"/>
      <c r="BV142" s="785"/>
      <c r="BW142" s="785"/>
      <c r="BX142" s="785"/>
      <c r="BY142" s="785"/>
      <c r="BZ142" s="785"/>
    </row>
    <row r="143" spans="39:78" s="143" customFormat="1">
      <c r="AM143" s="785"/>
      <c r="AN143" s="785"/>
      <c r="AO143" s="785"/>
      <c r="AP143" s="785"/>
      <c r="AQ143" s="785"/>
      <c r="AR143" s="785"/>
      <c r="AS143" s="785"/>
      <c r="AT143" s="785"/>
      <c r="AU143" s="785"/>
      <c r="AV143" s="785"/>
      <c r="AW143" s="785"/>
      <c r="AX143" s="785"/>
      <c r="AY143" s="785"/>
      <c r="AZ143" s="785"/>
      <c r="BA143" s="785"/>
      <c r="BB143" s="785"/>
      <c r="BC143" s="785"/>
      <c r="BD143" s="785"/>
      <c r="BE143" s="785"/>
      <c r="BF143" s="785"/>
      <c r="BG143" s="785"/>
      <c r="BH143" s="785"/>
      <c r="BI143" s="785"/>
      <c r="BJ143" s="785"/>
      <c r="BK143" s="785"/>
      <c r="BL143" s="785"/>
      <c r="BM143" s="785"/>
      <c r="BN143" s="785"/>
      <c r="BO143" s="785"/>
      <c r="BP143" s="785"/>
      <c r="BQ143" s="785"/>
      <c r="BR143" s="785"/>
      <c r="BS143" s="785"/>
      <c r="BT143" s="785"/>
      <c r="BU143" s="785"/>
      <c r="BV143" s="785"/>
      <c r="BW143" s="785"/>
      <c r="BX143" s="785"/>
      <c r="BY143" s="785"/>
      <c r="BZ143" s="785"/>
    </row>
    <row r="144" spans="39:78" s="143" customFormat="1">
      <c r="AM144" s="785"/>
      <c r="AN144" s="785"/>
      <c r="AO144" s="785"/>
      <c r="AP144" s="785"/>
      <c r="AQ144" s="785"/>
      <c r="AR144" s="785"/>
      <c r="AS144" s="785"/>
      <c r="AT144" s="785"/>
      <c r="AU144" s="785"/>
      <c r="AV144" s="785"/>
      <c r="AW144" s="785"/>
      <c r="AX144" s="785"/>
      <c r="AY144" s="785"/>
      <c r="AZ144" s="785"/>
      <c r="BA144" s="785"/>
      <c r="BB144" s="785"/>
      <c r="BC144" s="785"/>
      <c r="BD144" s="785"/>
      <c r="BE144" s="785"/>
      <c r="BF144" s="785"/>
      <c r="BG144" s="785"/>
      <c r="BH144" s="785"/>
      <c r="BI144" s="785"/>
      <c r="BJ144" s="785"/>
      <c r="BK144" s="785"/>
      <c r="BL144" s="785"/>
      <c r="BM144" s="785"/>
      <c r="BN144" s="785"/>
      <c r="BO144" s="785"/>
      <c r="BP144" s="785"/>
      <c r="BQ144" s="785"/>
      <c r="BR144" s="785"/>
      <c r="BS144" s="785"/>
      <c r="BT144" s="785"/>
      <c r="BU144" s="785"/>
      <c r="BV144" s="785"/>
      <c r="BW144" s="785"/>
      <c r="BX144" s="785"/>
      <c r="BY144" s="785"/>
      <c r="BZ144" s="785"/>
    </row>
    <row r="145" spans="39:78" s="143" customFormat="1">
      <c r="AM145" s="785"/>
      <c r="AN145" s="785"/>
      <c r="AO145" s="785"/>
      <c r="AP145" s="785"/>
      <c r="AQ145" s="785"/>
      <c r="AR145" s="785"/>
      <c r="AS145" s="785"/>
      <c r="AT145" s="785"/>
      <c r="AU145" s="785"/>
      <c r="AV145" s="785"/>
      <c r="AW145" s="785"/>
      <c r="AX145" s="785"/>
      <c r="AY145" s="785"/>
      <c r="AZ145" s="785"/>
      <c r="BA145" s="785"/>
      <c r="BB145" s="785"/>
      <c r="BC145" s="785"/>
      <c r="BD145" s="785"/>
      <c r="BE145" s="785"/>
      <c r="BF145" s="785"/>
      <c r="BG145" s="785"/>
      <c r="BH145" s="785"/>
      <c r="BI145" s="785"/>
      <c r="BJ145" s="785"/>
      <c r="BK145" s="785"/>
      <c r="BL145" s="785"/>
      <c r="BM145" s="785"/>
      <c r="BN145" s="785"/>
      <c r="BO145" s="785"/>
      <c r="BP145" s="785"/>
      <c r="BQ145" s="785"/>
      <c r="BR145" s="785"/>
      <c r="BS145" s="785"/>
      <c r="BT145" s="785"/>
      <c r="BU145" s="785"/>
      <c r="BV145" s="785"/>
      <c r="BW145" s="785"/>
      <c r="BX145" s="785"/>
      <c r="BY145" s="785"/>
      <c r="BZ145" s="785"/>
    </row>
    <row r="146" spans="39:78" s="143" customFormat="1">
      <c r="AM146" s="785"/>
      <c r="AN146" s="785"/>
      <c r="AO146" s="785"/>
      <c r="AP146" s="785"/>
      <c r="AQ146" s="785"/>
      <c r="AR146" s="785"/>
      <c r="AS146" s="785"/>
      <c r="AT146" s="785"/>
      <c r="AU146" s="785"/>
      <c r="AV146" s="785"/>
      <c r="AW146" s="785"/>
      <c r="AX146" s="785"/>
      <c r="AY146" s="785"/>
      <c r="AZ146" s="785"/>
      <c r="BA146" s="785"/>
      <c r="BB146" s="785"/>
      <c r="BC146" s="785"/>
      <c r="BD146" s="785"/>
      <c r="BE146" s="785"/>
      <c r="BF146" s="785"/>
      <c r="BG146" s="785"/>
      <c r="BH146" s="785"/>
      <c r="BI146" s="785"/>
      <c r="BJ146" s="785"/>
      <c r="BK146" s="785"/>
      <c r="BL146" s="785"/>
      <c r="BM146" s="785"/>
      <c r="BN146" s="785"/>
      <c r="BO146" s="785"/>
      <c r="BP146" s="785"/>
      <c r="BQ146" s="785"/>
      <c r="BR146" s="785"/>
      <c r="BS146" s="785"/>
      <c r="BT146" s="785"/>
      <c r="BU146" s="785"/>
      <c r="BV146" s="785"/>
      <c r="BW146" s="785"/>
      <c r="BX146" s="785"/>
      <c r="BY146" s="785"/>
      <c r="BZ146" s="785"/>
    </row>
    <row r="147" spans="39:78" s="143" customFormat="1">
      <c r="AM147" s="785"/>
      <c r="AN147" s="785"/>
      <c r="AO147" s="785"/>
      <c r="AP147" s="785"/>
      <c r="AQ147" s="785"/>
      <c r="AR147" s="785"/>
      <c r="AS147" s="785"/>
      <c r="AT147" s="785"/>
      <c r="AU147" s="785"/>
      <c r="AV147" s="785"/>
      <c r="AW147" s="785"/>
      <c r="AX147" s="785"/>
      <c r="AY147" s="785"/>
      <c r="AZ147" s="785"/>
      <c r="BA147" s="785"/>
      <c r="BB147" s="785"/>
      <c r="BC147" s="785"/>
      <c r="BD147" s="785"/>
      <c r="BE147" s="785"/>
      <c r="BF147" s="785"/>
      <c r="BG147" s="785"/>
      <c r="BH147" s="785"/>
      <c r="BI147" s="785"/>
      <c r="BJ147" s="785"/>
      <c r="BK147" s="785"/>
      <c r="BL147" s="785"/>
      <c r="BM147" s="785"/>
      <c r="BN147" s="785"/>
      <c r="BO147" s="785"/>
      <c r="BP147" s="785"/>
      <c r="BQ147" s="785"/>
      <c r="BR147" s="785"/>
      <c r="BS147" s="785"/>
      <c r="BT147" s="785"/>
      <c r="BU147" s="785"/>
      <c r="BV147" s="785"/>
      <c r="BW147" s="785"/>
      <c r="BX147" s="785"/>
      <c r="BY147" s="785"/>
      <c r="BZ147" s="785"/>
    </row>
    <row r="148" spans="39:78" s="143" customFormat="1">
      <c r="AM148" s="785"/>
      <c r="AN148" s="785"/>
      <c r="AO148" s="785"/>
      <c r="AP148" s="785"/>
      <c r="AQ148" s="785"/>
      <c r="AR148" s="785"/>
      <c r="AS148" s="785"/>
      <c r="AT148" s="785"/>
      <c r="AU148" s="785"/>
      <c r="AV148" s="785"/>
      <c r="AW148" s="785"/>
      <c r="AX148" s="785"/>
      <c r="AY148" s="785"/>
      <c r="AZ148" s="785"/>
      <c r="BA148" s="785"/>
      <c r="BB148" s="785"/>
      <c r="BC148" s="785"/>
      <c r="BD148" s="785"/>
      <c r="BE148" s="785"/>
      <c r="BF148" s="785"/>
      <c r="BG148" s="785"/>
      <c r="BH148" s="785"/>
      <c r="BI148" s="785"/>
      <c r="BJ148" s="785"/>
      <c r="BK148" s="785"/>
      <c r="BL148" s="785"/>
      <c r="BM148" s="785"/>
      <c r="BN148" s="785"/>
      <c r="BO148" s="785"/>
      <c r="BP148" s="785"/>
      <c r="BQ148" s="785"/>
      <c r="BR148" s="785"/>
      <c r="BS148" s="785"/>
      <c r="BT148" s="785"/>
      <c r="BU148" s="785"/>
      <c r="BV148" s="785"/>
      <c r="BW148" s="785"/>
      <c r="BX148" s="785"/>
      <c r="BY148" s="785"/>
      <c r="BZ148" s="785"/>
    </row>
    <row r="149" spans="39:78" s="143" customFormat="1">
      <c r="AM149" s="785"/>
      <c r="AN149" s="785"/>
      <c r="AO149" s="785"/>
      <c r="AP149" s="785"/>
      <c r="AQ149" s="785"/>
      <c r="AR149" s="785"/>
      <c r="AS149" s="785"/>
      <c r="AT149" s="785"/>
      <c r="AU149" s="785"/>
      <c r="AV149" s="785"/>
      <c r="AW149" s="785"/>
      <c r="AX149" s="785"/>
      <c r="AY149" s="785"/>
      <c r="AZ149" s="785"/>
      <c r="BA149" s="785"/>
      <c r="BB149" s="785"/>
      <c r="BC149" s="785"/>
      <c r="BD149" s="785"/>
      <c r="BE149" s="785"/>
      <c r="BF149" s="785"/>
      <c r="BG149" s="785"/>
      <c r="BH149" s="785"/>
      <c r="BI149" s="785"/>
      <c r="BJ149" s="785"/>
      <c r="BK149" s="785"/>
      <c r="BL149" s="785"/>
      <c r="BM149" s="785"/>
      <c r="BN149" s="785"/>
      <c r="BO149" s="785"/>
      <c r="BP149" s="785"/>
      <c r="BQ149" s="785"/>
      <c r="BR149" s="785"/>
      <c r="BS149" s="785"/>
      <c r="BT149" s="785"/>
      <c r="BU149" s="785"/>
      <c r="BV149" s="785"/>
      <c r="BW149" s="785"/>
      <c r="BX149" s="785"/>
      <c r="BY149" s="785"/>
      <c r="BZ149" s="785"/>
    </row>
    <row r="150" spans="39:78" s="143" customFormat="1">
      <c r="AM150" s="785"/>
      <c r="AN150" s="785"/>
      <c r="AO150" s="785"/>
      <c r="AP150" s="785"/>
      <c r="AQ150" s="785"/>
      <c r="AR150" s="785"/>
      <c r="AS150" s="785"/>
      <c r="AT150" s="785"/>
      <c r="AU150" s="785"/>
      <c r="AV150" s="785"/>
      <c r="AW150" s="785"/>
      <c r="AX150" s="785"/>
      <c r="AY150" s="785"/>
      <c r="AZ150" s="785"/>
      <c r="BA150" s="785"/>
      <c r="BB150" s="785"/>
      <c r="BC150" s="785"/>
      <c r="BD150" s="785"/>
      <c r="BE150" s="785"/>
      <c r="BF150" s="785"/>
      <c r="BG150" s="785"/>
      <c r="BH150" s="785"/>
      <c r="BI150" s="785"/>
      <c r="BJ150" s="785"/>
      <c r="BK150" s="785"/>
      <c r="BL150" s="785"/>
      <c r="BM150" s="785"/>
      <c r="BN150" s="785"/>
      <c r="BO150" s="785"/>
      <c r="BP150" s="785"/>
      <c r="BQ150" s="785"/>
      <c r="BR150" s="785"/>
      <c r="BS150" s="785"/>
      <c r="BT150" s="785"/>
      <c r="BU150" s="785"/>
      <c r="BV150" s="785"/>
      <c r="BW150" s="785"/>
      <c r="BX150" s="785"/>
      <c r="BY150" s="785"/>
      <c r="BZ150" s="785"/>
    </row>
    <row r="151" spans="39:78" s="143" customFormat="1">
      <c r="AM151" s="785"/>
      <c r="AN151" s="785"/>
      <c r="AO151" s="785"/>
      <c r="AP151" s="785"/>
      <c r="AQ151" s="785"/>
      <c r="AR151" s="785"/>
      <c r="AS151" s="785"/>
      <c r="AT151" s="785"/>
      <c r="AU151" s="785"/>
      <c r="AV151" s="785"/>
      <c r="AW151" s="785"/>
      <c r="AX151" s="785"/>
      <c r="AY151" s="785"/>
      <c r="AZ151" s="785"/>
      <c r="BA151" s="785"/>
      <c r="BB151" s="785"/>
      <c r="BC151" s="785"/>
      <c r="BD151" s="785"/>
      <c r="BE151" s="785"/>
      <c r="BF151" s="785"/>
      <c r="BG151" s="785"/>
      <c r="BH151" s="785"/>
      <c r="BI151" s="785"/>
      <c r="BJ151" s="785"/>
      <c r="BK151" s="785"/>
      <c r="BL151" s="785"/>
      <c r="BM151" s="785"/>
      <c r="BN151" s="785"/>
      <c r="BO151" s="785"/>
      <c r="BP151" s="785"/>
      <c r="BQ151" s="785"/>
      <c r="BR151" s="785"/>
      <c r="BS151" s="785"/>
      <c r="BT151" s="785"/>
      <c r="BU151" s="785"/>
      <c r="BV151" s="785"/>
      <c r="BW151" s="785"/>
      <c r="BX151" s="785"/>
      <c r="BY151" s="785"/>
      <c r="BZ151" s="785"/>
    </row>
    <row r="152" spans="39:78" s="143" customFormat="1">
      <c r="AM152" s="785"/>
      <c r="AN152" s="785"/>
      <c r="AO152" s="785"/>
      <c r="AP152" s="785"/>
      <c r="AQ152" s="785"/>
      <c r="AR152" s="785"/>
      <c r="AS152" s="785"/>
      <c r="AT152" s="785"/>
      <c r="AU152" s="785"/>
      <c r="AV152" s="785"/>
      <c r="AW152" s="785"/>
      <c r="AX152" s="785"/>
      <c r="AY152" s="785"/>
      <c r="AZ152" s="785"/>
      <c r="BA152" s="785"/>
      <c r="BB152" s="785"/>
      <c r="BC152" s="785"/>
      <c r="BD152" s="785"/>
      <c r="BE152" s="785"/>
      <c r="BF152" s="785"/>
      <c r="BG152" s="785"/>
      <c r="BH152" s="785"/>
      <c r="BI152" s="785"/>
      <c r="BJ152" s="785"/>
      <c r="BK152" s="785"/>
      <c r="BL152" s="785"/>
      <c r="BM152" s="785"/>
      <c r="BN152" s="785"/>
      <c r="BO152" s="785"/>
      <c r="BP152" s="785"/>
      <c r="BQ152" s="785"/>
      <c r="BR152" s="785"/>
      <c r="BS152" s="785"/>
      <c r="BT152" s="785"/>
      <c r="BU152" s="785"/>
      <c r="BV152" s="785"/>
      <c r="BW152" s="785"/>
      <c r="BX152" s="785"/>
      <c r="BY152" s="785"/>
      <c r="BZ152" s="785"/>
    </row>
    <row r="153" spans="39:78" s="143" customFormat="1">
      <c r="AM153" s="785"/>
      <c r="AN153" s="785"/>
      <c r="AO153" s="785"/>
      <c r="AP153" s="785"/>
      <c r="AQ153" s="785"/>
      <c r="AR153" s="785"/>
      <c r="AS153" s="785"/>
      <c r="AT153" s="785"/>
      <c r="AU153" s="785"/>
      <c r="AV153" s="785"/>
      <c r="AW153" s="785"/>
      <c r="AX153" s="785"/>
      <c r="AY153" s="785"/>
      <c r="AZ153" s="785"/>
      <c r="BA153" s="785"/>
      <c r="BB153" s="785"/>
      <c r="BC153" s="785"/>
      <c r="BD153" s="785"/>
      <c r="BE153" s="785"/>
      <c r="BF153" s="785"/>
      <c r="BG153" s="785"/>
      <c r="BH153" s="785"/>
      <c r="BI153" s="785"/>
      <c r="BJ153" s="785"/>
      <c r="BK153" s="785"/>
      <c r="BL153" s="785"/>
      <c r="BM153" s="785"/>
      <c r="BN153" s="785"/>
      <c r="BO153" s="785"/>
      <c r="BP153" s="785"/>
      <c r="BQ153" s="785"/>
      <c r="BR153" s="785"/>
      <c r="BS153" s="785"/>
      <c r="BT153" s="785"/>
      <c r="BU153" s="785"/>
      <c r="BV153" s="785"/>
      <c r="BW153" s="785"/>
      <c r="BX153" s="785"/>
      <c r="BY153" s="785"/>
      <c r="BZ153" s="785"/>
    </row>
    <row r="154" spans="39:78" s="143" customFormat="1">
      <c r="AM154" s="785"/>
      <c r="AN154" s="785"/>
      <c r="AO154" s="785"/>
      <c r="AP154" s="785"/>
      <c r="AQ154" s="785"/>
      <c r="AR154" s="785"/>
      <c r="AS154" s="785"/>
      <c r="AT154" s="785"/>
      <c r="AU154" s="785"/>
      <c r="AV154" s="785"/>
      <c r="AW154" s="785"/>
      <c r="AX154" s="785"/>
      <c r="AY154" s="785"/>
      <c r="AZ154" s="785"/>
      <c r="BA154" s="785"/>
      <c r="BB154" s="785"/>
      <c r="BC154" s="785"/>
      <c r="BD154" s="785"/>
      <c r="BE154" s="785"/>
      <c r="BF154" s="785"/>
      <c r="BG154" s="785"/>
      <c r="BH154" s="785"/>
      <c r="BI154" s="785"/>
      <c r="BJ154" s="785"/>
      <c r="BK154" s="785"/>
      <c r="BL154" s="785"/>
      <c r="BM154" s="785"/>
      <c r="BN154" s="785"/>
      <c r="BO154" s="785"/>
      <c r="BP154" s="785"/>
      <c r="BQ154" s="785"/>
      <c r="BR154" s="785"/>
      <c r="BS154" s="785"/>
      <c r="BT154" s="785"/>
      <c r="BU154" s="785"/>
      <c r="BV154" s="785"/>
      <c r="BW154" s="785"/>
      <c r="BX154" s="785"/>
      <c r="BY154" s="785"/>
      <c r="BZ154" s="785"/>
    </row>
    <row r="155" spans="39:78" s="143" customFormat="1">
      <c r="AM155" s="785"/>
      <c r="AN155" s="785"/>
      <c r="AO155" s="785"/>
      <c r="AP155" s="785"/>
      <c r="AQ155" s="785"/>
      <c r="AR155" s="785"/>
      <c r="AS155" s="785"/>
      <c r="AT155" s="785"/>
      <c r="AU155" s="785"/>
      <c r="AV155" s="785"/>
      <c r="AW155" s="785"/>
      <c r="AX155" s="785"/>
      <c r="AY155" s="785"/>
      <c r="AZ155" s="785"/>
      <c r="BA155" s="785"/>
      <c r="BB155" s="785"/>
      <c r="BC155" s="785"/>
      <c r="BD155" s="785"/>
      <c r="BE155" s="785"/>
      <c r="BF155" s="785"/>
      <c r="BG155" s="785"/>
      <c r="BH155" s="785"/>
      <c r="BI155" s="785"/>
      <c r="BJ155" s="785"/>
      <c r="BK155" s="785"/>
      <c r="BL155" s="785"/>
      <c r="BM155" s="785"/>
      <c r="BN155" s="785"/>
      <c r="BO155" s="785"/>
      <c r="BP155" s="785"/>
      <c r="BQ155" s="785"/>
      <c r="BR155" s="785"/>
      <c r="BS155" s="785"/>
      <c r="BT155" s="785"/>
      <c r="BU155" s="785"/>
      <c r="BV155" s="785"/>
      <c r="BW155" s="785"/>
      <c r="BX155" s="785"/>
      <c r="BY155" s="785"/>
      <c r="BZ155" s="785"/>
    </row>
    <row r="156" spans="39:78" s="143" customFormat="1">
      <c r="AM156" s="785"/>
      <c r="AN156" s="785"/>
      <c r="AO156" s="785"/>
      <c r="AP156" s="785"/>
      <c r="AQ156" s="785"/>
      <c r="AR156" s="785"/>
      <c r="AS156" s="785"/>
      <c r="AT156" s="785"/>
      <c r="AU156" s="785"/>
      <c r="AV156" s="785"/>
      <c r="AW156" s="785"/>
      <c r="AX156" s="785"/>
      <c r="AY156" s="785"/>
      <c r="AZ156" s="785"/>
      <c r="BA156" s="785"/>
      <c r="BB156" s="785"/>
      <c r="BC156" s="785"/>
      <c r="BD156" s="785"/>
      <c r="BE156" s="785"/>
      <c r="BF156" s="785"/>
      <c r="BG156" s="785"/>
      <c r="BH156" s="785"/>
      <c r="BI156" s="785"/>
      <c r="BJ156" s="785"/>
      <c r="BK156" s="785"/>
      <c r="BL156" s="785"/>
      <c r="BM156" s="785"/>
      <c r="BN156" s="785"/>
      <c r="BO156" s="785"/>
      <c r="BP156" s="785"/>
      <c r="BQ156" s="785"/>
      <c r="BR156" s="785"/>
      <c r="BS156" s="785"/>
      <c r="BT156" s="785"/>
      <c r="BU156" s="785"/>
      <c r="BV156" s="785"/>
      <c r="BW156" s="785"/>
      <c r="BX156" s="785"/>
      <c r="BY156" s="785"/>
      <c r="BZ156" s="785"/>
    </row>
    <row r="157" spans="39:78" s="143" customFormat="1">
      <c r="AM157" s="785"/>
      <c r="AN157" s="785"/>
      <c r="AO157" s="785"/>
      <c r="AP157" s="785"/>
      <c r="AQ157" s="785"/>
      <c r="AR157" s="785"/>
      <c r="AS157" s="785"/>
      <c r="AT157" s="785"/>
      <c r="AU157" s="785"/>
      <c r="AV157" s="785"/>
      <c r="AW157" s="785"/>
      <c r="AX157" s="785"/>
      <c r="AY157" s="785"/>
      <c r="AZ157" s="785"/>
      <c r="BA157" s="785"/>
      <c r="BB157" s="785"/>
      <c r="BC157" s="785"/>
      <c r="BD157" s="785"/>
      <c r="BE157" s="785"/>
      <c r="BF157" s="785"/>
      <c r="BG157" s="785"/>
      <c r="BH157" s="785"/>
      <c r="BI157" s="785"/>
      <c r="BJ157" s="785"/>
      <c r="BK157" s="785"/>
      <c r="BL157" s="785"/>
      <c r="BM157" s="785"/>
      <c r="BN157" s="785"/>
      <c r="BO157" s="785"/>
      <c r="BP157" s="785"/>
      <c r="BQ157" s="785"/>
      <c r="BR157" s="785"/>
      <c r="BS157" s="785"/>
      <c r="BT157" s="785"/>
      <c r="BU157" s="785"/>
      <c r="BV157" s="785"/>
      <c r="BW157" s="785"/>
      <c r="BX157" s="785"/>
      <c r="BY157" s="785"/>
      <c r="BZ157" s="785"/>
    </row>
    <row r="158" spans="39:78" s="143" customFormat="1">
      <c r="AM158" s="785"/>
      <c r="AN158" s="785"/>
      <c r="AO158" s="785"/>
      <c r="AP158" s="785"/>
      <c r="AQ158" s="785"/>
      <c r="AR158" s="785"/>
      <c r="AS158" s="785"/>
      <c r="AT158" s="785"/>
      <c r="AU158" s="785"/>
      <c r="AV158" s="785"/>
      <c r="AW158" s="785"/>
      <c r="AX158" s="785"/>
      <c r="AY158" s="785"/>
      <c r="AZ158" s="785"/>
      <c r="BA158" s="785"/>
      <c r="BB158" s="785"/>
      <c r="BC158" s="785"/>
      <c r="BD158" s="785"/>
      <c r="BE158" s="785"/>
      <c r="BF158" s="785"/>
      <c r="BG158" s="785"/>
      <c r="BH158" s="785"/>
      <c r="BI158" s="785"/>
      <c r="BJ158" s="785"/>
      <c r="BK158" s="785"/>
      <c r="BL158" s="785"/>
      <c r="BM158" s="785"/>
      <c r="BN158" s="785"/>
      <c r="BO158" s="785"/>
      <c r="BP158" s="785"/>
      <c r="BQ158" s="785"/>
      <c r="BR158" s="785"/>
      <c r="BS158" s="785"/>
      <c r="BT158" s="785"/>
      <c r="BU158" s="785"/>
      <c r="BV158" s="785"/>
      <c r="BW158" s="785"/>
      <c r="BX158" s="785"/>
      <c r="BY158" s="785"/>
      <c r="BZ158" s="785"/>
    </row>
    <row r="159" spans="39:78" s="143" customFormat="1">
      <c r="AM159" s="785"/>
      <c r="AN159" s="785"/>
      <c r="AO159" s="785"/>
      <c r="AP159" s="785"/>
      <c r="AQ159" s="785"/>
      <c r="AR159" s="785"/>
      <c r="AS159" s="785"/>
      <c r="AT159" s="785"/>
      <c r="AU159" s="785"/>
      <c r="AV159" s="785"/>
      <c r="AW159" s="785"/>
      <c r="AX159" s="785"/>
      <c r="AY159" s="785"/>
      <c r="AZ159" s="785"/>
      <c r="BA159" s="785"/>
      <c r="BB159" s="785"/>
      <c r="BC159" s="785"/>
      <c r="BD159" s="785"/>
      <c r="BE159" s="785"/>
      <c r="BF159" s="785"/>
      <c r="BG159" s="785"/>
      <c r="BH159" s="785"/>
      <c r="BI159" s="785"/>
      <c r="BJ159" s="785"/>
      <c r="BK159" s="785"/>
      <c r="BL159" s="785"/>
      <c r="BM159" s="785"/>
      <c r="BN159" s="785"/>
      <c r="BO159" s="785"/>
      <c r="BP159" s="785"/>
      <c r="BQ159" s="785"/>
      <c r="BR159" s="785"/>
      <c r="BS159" s="785"/>
      <c r="BT159" s="785"/>
      <c r="BU159" s="785"/>
      <c r="BV159" s="785"/>
      <c r="BW159" s="785"/>
      <c r="BX159" s="785"/>
      <c r="BY159" s="785"/>
      <c r="BZ159" s="785"/>
    </row>
    <row r="160" spans="39:78" s="143" customFormat="1">
      <c r="AM160" s="785"/>
      <c r="AN160" s="785"/>
      <c r="AO160" s="785"/>
      <c r="AP160" s="785"/>
      <c r="AQ160" s="785"/>
      <c r="AR160" s="785"/>
      <c r="AS160" s="785"/>
      <c r="AT160" s="785"/>
      <c r="AU160" s="785"/>
      <c r="AV160" s="785"/>
      <c r="AW160" s="785"/>
      <c r="AX160" s="785"/>
      <c r="AY160" s="785"/>
      <c r="AZ160" s="785"/>
      <c r="BA160" s="785"/>
      <c r="BB160" s="785"/>
      <c r="BC160" s="785"/>
      <c r="BD160" s="785"/>
      <c r="BE160" s="785"/>
      <c r="BF160" s="785"/>
      <c r="BG160" s="785"/>
      <c r="BH160" s="785"/>
      <c r="BI160" s="785"/>
      <c r="BJ160" s="785"/>
      <c r="BK160" s="785"/>
      <c r="BL160" s="785"/>
      <c r="BM160" s="785"/>
      <c r="BN160" s="785"/>
      <c r="BO160" s="785"/>
      <c r="BP160" s="785"/>
      <c r="BQ160" s="785"/>
      <c r="BR160" s="785"/>
      <c r="BS160" s="785"/>
      <c r="BT160" s="785"/>
      <c r="BU160" s="785"/>
      <c r="BV160" s="785"/>
      <c r="BW160" s="785"/>
      <c r="BX160" s="785"/>
      <c r="BY160" s="785"/>
      <c r="BZ160" s="785"/>
    </row>
    <row r="161" spans="39:78" s="143" customFormat="1">
      <c r="AM161" s="785"/>
      <c r="AN161" s="785"/>
      <c r="AO161" s="785"/>
      <c r="AP161" s="785"/>
      <c r="AQ161" s="785"/>
      <c r="AR161" s="785"/>
      <c r="AS161" s="785"/>
      <c r="AT161" s="785"/>
      <c r="AU161" s="785"/>
      <c r="AV161" s="785"/>
      <c r="AW161" s="785"/>
      <c r="AX161" s="785"/>
      <c r="AY161" s="785"/>
      <c r="AZ161" s="785"/>
      <c r="BA161" s="785"/>
      <c r="BB161" s="785"/>
      <c r="BC161" s="785"/>
      <c r="BD161" s="785"/>
      <c r="BE161" s="785"/>
      <c r="BF161" s="785"/>
      <c r="BG161" s="785"/>
      <c r="BH161" s="785"/>
      <c r="BI161" s="785"/>
      <c r="BJ161" s="785"/>
      <c r="BK161" s="785"/>
      <c r="BL161" s="785"/>
      <c r="BM161" s="785"/>
      <c r="BN161" s="785"/>
      <c r="BO161" s="785"/>
      <c r="BP161" s="785"/>
      <c r="BQ161" s="785"/>
      <c r="BR161" s="785"/>
      <c r="BS161" s="785"/>
      <c r="BT161" s="785"/>
      <c r="BU161" s="785"/>
      <c r="BV161" s="785"/>
      <c r="BW161" s="785"/>
      <c r="BX161" s="785"/>
      <c r="BY161" s="785"/>
      <c r="BZ161" s="785"/>
    </row>
    <row r="162" spans="39:78" s="143" customFormat="1">
      <c r="AM162" s="785"/>
      <c r="AN162" s="785"/>
      <c r="AO162" s="785"/>
      <c r="AP162" s="785"/>
      <c r="AQ162" s="785"/>
      <c r="AR162" s="785"/>
      <c r="AS162" s="785"/>
      <c r="AT162" s="785"/>
      <c r="AU162" s="785"/>
      <c r="AV162" s="785"/>
      <c r="AW162" s="785"/>
      <c r="AX162" s="785"/>
      <c r="AY162" s="785"/>
      <c r="AZ162" s="785"/>
      <c r="BA162" s="785"/>
      <c r="BB162" s="785"/>
      <c r="BC162" s="785"/>
      <c r="BD162" s="785"/>
      <c r="BE162" s="785"/>
      <c r="BF162" s="785"/>
      <c r="BG162" s="785"/>
      <c r="BH162" s="785"/>
      <c r="BI162" s="785"/>
      <c r="BJ162" s="785"/>
      <c r="BK162" s="785"/>
      <c r="BL162" s="785"/>
      <c r="BM162" s="785"/>
      <c r="BN162" s="785"/>
      <c r="BO162" s="785"/>
      <c r="BP162" s="785"/>
      <c r="BQ162" s="785"/>
      <c r="BR162" s="785"/>
      <c r="BS162" s="785"/>
      <c r="BT162" s="785"/>
      <c r="BU162" s="785"/>
      <c r="BV162" s="785"/>
      <c r="BW162" s="785"/>
      <c r="BX162" s="785"/>
      <c r="BY162" s="785"/>
      <c r="BZ162" s="785"/>
    </row>
    <row r="163" spans="39:78" s="143" customFormat="1">
      <c r="AM163" s="785"/>
      <c r="AN163" s="785"/>
      <c r="AO163" s="785"/>
      <c r="AP163" s="785"/>
      <c r="AQ163" s="785"/>
      <c r="AR163" s="785"/>
      <c r="AS163" s="785"/>
      <c r="AT163" s="785"/>
      <c r="AU163" s="785"/>
      <c r="AV163" s="785"/>
      <c r="AW163" s="785"/>
      <c r="AX163" s="785"/>
      <c r="AY163" s="785"/>
      <c r="AZ163" s="785"/>
      <c r="BA163" s="785"/>
      <c r="BB163" s="785"/>
      <c r="BC163" s="785"/>
      <c r="BD163" s="785"/>
      <c r="BE163" s="785"/>
      <c r="BF163" s="785"/>
      <c r="BG163" s="785"/>
      <c r="BH163" s="785"/>
      <c r="BI163" s="785"/>
      <c r="BJ163" s="785"/>
      <c r="BK163" s="785"/>
      <c r="BL163" s="785"/>
      <c r="BM163" s="785"/>
      <c r="BN163" s="785"/>
      <c r="BO163" s="785"/>
      <c r="BP163" s="785"/>
      <c r="BQ163" s="785"/>
      <c r="BR163" s="785"/>
      <c r="BS163" s="785"/>
      <c r="BT163" s="785"/>
      <c r="BU163" s="785"/>
      <c r="BV163" s="785"/>
      <c r="BW163" s="785"/>
      <c r="BX163" s="785"/>
      <c r="BY163" s="785"/>
      <c r="BZ163" s="785"/>
    </row>
    <row r="164" spans="39:78" s="143" customFormat="1">
      <c r="AM164" s="785"/>
      <c r="AN164" s="785"/>
      <c r="AO164" s="785"/>
      <c r="AP164" s="785"/>
      <c r="AQ164" s="785"/>
      <c r="AR164" s="785"/>
      <c r="AS164" s="785"/>
      <c r="AT164" s="785"/>
      <c r="AU164" s="785"/>
      <c r="AV164" s="785"/>
      <c r="AW164" s="785"/>
      <c r="AX164" s="785"/>
      <c r="AY164" s="785"/>
      <c r="AZ164" s="785"/>
      <c r="BA164" s="785"/>
      <c r="BB164" s="785"/>
      <c r="BC164" s="785"/>
      <c r="BD164" s="785"/>
      <c r="BE164" s="785"/>
      <c r="BF164" s="785"/>
      <c r="BG164" s="785"/>
      <c r="BH164" s="785"/>
      <c r="BI164" s="785"/>
      <c r="BJ164" s="785"/>
      <c r="BK164" s="785"/>
      <c r="BL164" s="785"/>
      <c r="BM164" s="785"/>
      <c r="BN164" s="785"/>
      <c r="BO164" s="785"/>
      <c r="BP164" s="785"/>
      <c r="BQ164" s="785"/>
      <c r="BR164" s="785"/>
      <c r="BS164" s="785"/>
      <c r="BT164" s="785"/>
      <c r="BU164" s="785"/>
      <c r="BV164" s="785"/>
      <c r="BW164" s="785"/>
      <c r="BX164" s="785"/>
      <c r="BY164" s="785"/>
      <c r="BZ164" s="785"/>
    </row>
    <row r="165" spans="39:78" s="143" customFormat="1">
      <c r="AM165" s="785"/>
      <c r="AN165" s="785"/>
      <c r="AO165" s="785"/>
      <c r="AP165" s="785"/>
      <c r="AQ165" s="785"/>
      <c r="AR165" s="785"/>
      <c r="AS165" s="785"/>
      <c r="AT165" s="785"/>
      <c r="AU165" s="785"/>
      <c r="AV165" s="785"/>
      <c r="AW165" s="785"/>
      <c r="AX165" s="785"/>
      <c r="AY165" s="785"/>
      <c r="AZ165" s="785"/>
      <c r="BA165" s="785"/>
      <c r="BB165" s="785"/>
      <c r="BC165" s="785"/>
      <c r="BD165" s="785"/>
      <c r="BE165" s="785"/>
      <c r="BF165" s="785"/>
      <c r="BG165" s="785"/>
      <c r="BH165" s="785"/>
      <c r="BI165" s="785"/>
      <c r="BJ165" s="785"/>
      <c r="BK165" s="785"/>
      <c r="BL165" s="785"/>
      <c r="BM165" s="785"/>
      <c r="BN165" s="785"/>
      <c r="BO165" s="785"/>
      <c r="BP165" s="785"/>
      <c r="BQ165" s="785"/>
      <c r="BR165" s="785"/>
      <c r="BS165" s="785"/>
      <c r="BT165" s="785"/>
      <c r="BU165" s="785"/>
      <c r="BV165" s="785"/>
      <c r="BW165" s="785"/>
      <c r="BX165" s="785"/>
      <c r="BY165" s="785"/>
      <c r="BZ165" s="785"/>
    </row>
    <row r="166" spans="39:78" s="143" customFormat="1">
      <c r="AM166" s="785"/>
      <c r="AN166" s="785"/>
      <c r="AO166" s="785"/>
      <c r="AP166" s="785"/>
      <c r="AQ166" s="785"/>
      <c r="AR166" s="785"/>
      <c r="AS166" s="785"/>
      <c r="AT166" s="785"/>
      <c r="AU166" s="785"/>
      <c r="AV166" s="785"/>
      <c r="AW166" s="785"/>
      <c r="AX166" s="785"/>
      <c r="AY166" s="785"/>
      <c r="AZ166" s="785"/>
      <c r="BA166" s="785"/>
      <c r="BB166" s="785"/>
      <c r="BC166" s="785"/>
      <c r="BD166" s="785"/>
      <c r="BE166" s="785"/>
      <c r="BF166" s="785"/>
      <c r="BG166" s="785"/>
      <c r="BH166" s="785"/>
      <c r="BI166" s="785"/>
      <c r="BJ166" s="785"/>
      <c r="BK166" s="785"/>
      <c r="BL166" s="785"/>
      <c r="BM166" s="785"/>
      <c r="BN166" s="785"/>
      <c r="BO166" s="785"/>
      <c r="BP166" s="785"/>
      <c r="BQ166" s="785"/>
      <c r="BR166" s="785"/>
      <c r="BS166" s="785"/>
      <c r="BT166" s="785"/>
      <c r="BU166" s="785"/>
      <c r="BV166" s="785"/>
      <c r="BW166" s="785"/>
      <c r="BX166" s="785"/>
      <c r="BY166" s="785"/>
      <c r="BZ166" s="785"/>
    </row>
    <row r="167" spans="39:78" s="143" customFormat="1">
      <c r="AM167" s="785"/>
      <c r="AN167" s="785"/>
      <c r="AO167" s="785"/>
      <c r="AP167" s="785"/>
      <c r="AQ167" s="785"/>
      <c r="AR167" s="785"/>
      <c r="AS167" s="785"/>
      <c r="AT167" s="785"/>
      <c r="AU167" s="785"/>
      <c r="AV167" s="785"/>
      <c r="AW167" s="785"/>
      <c r="AX167" s="785"/>
      <c r="AY167" s="785"/>
      <c r="AZ167" s="785"/>
      <c r="BA167" s="785"/>
      <c r="BB167" s="785"/>
      <c r="BC167" s="785"/>
      <c r="BD167" s="785"/>
      <c r="BE167" s="785"/>
      <c r="BF167" s="785"/>
      <c r="BG167" s="785"/>
      <c r="BH167" s="785"/>
      <c r="BI167" s="785"/>
      <c r="BJ167" s="785"/>
      <c r="BK167" s="785"/>
      <c r="BL167" s="785"/>
      <c r="BM167" s="785"/>
      <c r="BN167" s="785"/>
      <c r="BO167" s="785"/>
      <c r="BP167" s="785"/>
      <c r="BQ167" s="785"/>
      <c r="BR167" s="785"/>
      <c r="BS167" s="785"/>
      <c r="BT167" s="785"/>
      <c r="BU167" s="785"/>
      <c r="BV167" s="785"/>
      <c r="BW167" s="785"/>
      <c r="BX167" s="785"/>
      <c r="BY167" s="785"/>
      <c r="BZ167" s="785"/>
    </row>
    <row r="168" spans="39:78" s="143" customFormat="1">
      <c r="AM168" s="785"/>
      <c r="AN168" s="785"/>
      <c r="AO168" s="785"/>
      <c r="AP168" s="785"/>
      <c r="AQ168" s="785"/>
      <c r="AR168" s="785"/>
      <c r="AS168" s="785"/>
      <c r="AT168" s="785"/>
      <c r="AU168" s="785"/>
      <c r="AV168" s="785"/>
      <c r="AW168" s="785"/>
      <c r="AX168" s="785"/>
      <c r="AY168" s="785"/>
      <c r="AZ168" s="785"/>
      <c r="BA168" s="785"/>
      <c r="BB168" s="785"/>
      <c r="BC168" s="785"/>
      <c r="BD168" s="785"/>
      <c r="BE168" s="785"/>
      <c r="BF168" s="785"/>
      <c r="BG168" s="785"/>
      <c r="BH168" s="785"/>
      <c r="BI168" s="785"/>
      <c r="BJ168" s="785"/>
      <c r="BK168" s="785"/>
      <c r="BL168" s="785"/>
      <c r="BM168" s="785"/>
      <c r="BN168" s="785"/>
      <c r="BO168" s="785"/>
      <c r="BP168" s="785"/>
      <c r="BQ168" s="785"/>
      <c r="BR168" s="785"/>
      <c r="BS168" s="785"/>
      <c r="BT168" s="785"/>
      <c r="BU168" s="785"/>
      <c r="BV168" s="785"/>
      <c r="BW168" s="785"/>
      <c r="BX168" s="785"/>
      <c r="BY168" s="785"/>
      <c r="BZ168" s="785"/>
    </row>
    <row r="169" spans="39:78" s="143" customFormat="1">
      <c r="AM169" s="785"/>
      <c r="AN169" s="785"/>
      <c r="AO169" s="785"/>
      <c r="AP169" s="785"/>
      <c r="AQ169" s="785"/>
      <c r="AR169" s="785"/>
      <c r="AS169" s="785"/>
      <c r="AT169" s="785"/>
      <c r="AU169" s="785"/>
      <c r="AV169" s="785"/>
      <c r="AW169" s="785"/>
      <c r="AX169" s="785"/>
      <c r="AY169" s="785"/>
      <c r="AZ169" s="785"/>
      <c r="BA169" s="785"/>
      <c r="BB169" s="785"/>
      <c r="BC169" s="785"/>
      <c r="BD169" s="785"/>
      <c r="BE169" s="785"/>
      <c r="BF169" s="785"/>
      <c r="BG169" s="785"/>
      <c r="BH169" s="785"/>
      <c r="BI169" s="785"/>
      <c r="BJ169" s="785"/>
      <c r="BK169" s="785"/>
      <c r="BL169" s="785"/>
      <c r="BM169" s="785"/>
      <c r="BN169" s="785"/>
      <c r="BO169" s="785"/>
      <c r="BP169" s="785"/>
      <c r="BQ169" s="785"/>
      <c r="BR169" s="785"/>
      <c r="BS169" s="785"/>
      <c r="BT169" s="785"/>
      <c r="BU169" s="785"/>
      <c r="BV169" s="785"/>
      <c r="BW169" s="785"/>
      <c r="BX169" s="785"/>
      <c r="BY169" s="785"/>
      <c r="BZ169" s="785"/>
    </row>
    <row r="170" spans="39:78" s="143" customFormat="1">
      <c r="AM170" s="785"/>
      <c r="AN170" s="785"/>
      <c r="AO170" s="785"/>
      <c r="AP170" s="785"/>
      <c r="AQ170" s="785"/>
      <c r="AR170" s="785"/>
      <c r="AS170" s="785"/>
      <c r="AT170" s="785"/>
      <c r="AU170" s="785"/>
      <c r="AV170" s="785"/>
      <c r="AW170" s="785"/>
      <c r="AX170" s="785"/>
      <c r="AY170" s="785"/>
      <c r="AZ170" s="785"/>
      <c r="BA170" s="785"/>
      <c r="BB170" s="785"/>
      <c r="BC170" s="785"/>
      <c r="BD170" s="785"/>
      <c r="BE170" s="785"/>
      <c r="BF170" s="785"/>
      <c r="BG170" s="785"/>
      <c r="BH170" s="785"/>
      <c r="BI170" s="785"/>
      <c r="BJ170" s="785"/>
      <c r="BK170" s="785"/>
      <c r="BL170" s="785"/>
      <c r="BM170" s="785"/>
      <c r="BN170" s="785"/>
      <c r="BO170" s="785"/>
      <c r="BP170" s="785"/>
      <c r="BQ170" s="785"/>
      <c r="BR170" s="785"/>
      <c r="BS170" s="785"/>
      <c r="BT170" s="785"/>
      <c r="BU170" s="785"/>
      <c r="BV170" s="785"/>
      <c r="BW170" s="785"/>
      <c r="BX170" s="785"/>
      <c r="BY170" s="785"/>
      <c r="BZ170" s="785"/>
    </row>
    <row r="171" spans="39:78" s="143" customFormat="1">
      <c r="AM171" s="785"/>
      <c r="AN171" s="785"/>
      <c r="AO171" s="785"/>
      <c r="AP171" s="785"/>
      <c r="AQ171" s="785"/>
      <c r="AR171" s="785"/>
      <c r="AS171" s="785"/>
      <c r="AT171" s="785"/>
      <c r="AU171" s="785"/>
      <c r="AV171" s="785"/>
      <c r="AW171" s="785"/>
      <c r="AX171" s="785"/>
      <c r="AY171" s="785"/>
      <c r="AZ171" s="785"/>
      <c r="BA171" s="785"/>
      <c r="BB171" s="785"/>
      <c r="BC171" s="785"/>
      <c r="BD171" s="785"/>
      <c r="BE171" s="785"/>
      <c r="BF171" s="785"/>
      <c r="BG171" s="785"/>
      <c r="BH171" s="785"/>
      <c r="BI171" s="785"/>
      <c r="BJ171" s="785"/>
      <c r="BK171" s="785"/>
      <c r="BL171" s="785"/>
      <c r="BM171" s="785"/>
      <c r="BN171" s="785"/>
      <c r="BO171" s="785"/>
      <c r="BP171" s="785"/>
      <c r="BQ171" s="785"/>
      <c r="BR171" s="785"/>
      <c r="BS171" s="785"/>
      <c r="BT171" s="785"/>
      <c r="BU171" s="785"/>
      <c r="BV171" s="785"/>
      <c r="BW171" s="785"/>
      <c r="BX171" s="785"/>
      <c r="BY171" s="785"/>
      <c r="BZ171" s="785"/>
    </row>
    <row r="172" spans="39:78" s="143" customFormat="1">
      <c r="AM172" s="785"/>
      <c r="AN172" s="785"/>
      <c r="AO172" s="785"/>
      <c r="AP172" s="785"/>
      <c r="AQ172" s="785"/>
      <c r="AR172" s="785"/>
      <c r="AS172" s="785"/>
      <c r="AT172" s="785"/>
      <c r="AU172" s="785"/>
      <c r="AV172" s="785"/>
      <c r="AW172" s="785"/>
      <c r="AX172" s="785"/>
      <c r="AY172" s="785"/>
      <c r="AZ172" s="785"/>
      <c r="BA172" s="785"/>
      <c r="BB172" s="785"/>
      <c r="BC172" s="785"/>
      <c r="BD172" s="785"/>
      <c r="BE172" s="785"/>
      <c r="BF172" s="785"/>
      <c r="BG172" s="785"/>
      <c r="BH172" s="785"/>
      <c r="BI172" s="785"/>
      <c r="BJ172" s="785"/>
      <c r="BK172" s="785"/>
      <c r="BL172" s="785"/>
      <c r="BM172" s="785"/>
      <c r="BN172" s="785"/>
      <c r="BO172" s="785"/>
      <c r="BP172" s="785"/>
      <c r="BQ172" s="785"/>
      <c r="BR172" s="785"/>
      <c r="BS172" s="785"/>
      <c r="BT172" s="785"/>
      <c r="BU172" s="785"/>
      <c r="BV172" s="785"/>
      <c r="BW172" s="785"/>
      <c r="BX172" s="785"/>
      <c r="BY172" s="785"/>
      <c r="BZ172" s="785"/>
    </row>
    <row r="173" spans="39:78" s="143" customFormat="1">
      <c r="AM173" s="785"/>
      <c r="AN173" s="785"/>
      <c r="AO173" s="785"/>
      <c r="AP173" s="785"/>
      <c r="AQ173" s="785"/>
      <c r="AR173" s="785"/>
      <c r="AS173" s="785"/>
      <c r="AT173" s="785"/>
      <c r="AU173" s="785"/>
      <c r="AV173" s="785"/>
      <c r="AW173" s="785"/>
      <c r="AX173" s="785"/>
      <c r="AY173" s="785"/>
      <c r="AZ173" s="785"/>
      <c r="BA173" s="785"/>
      <c r="BB173" s="785"/>
      <c r="BC173" s="785"/>
      <c r="BD173" s="785"/>
      <c r="BE173" s="785"/>
      <c r="BF173" s="785"/>
      <c r="BG173" s="785"/>
      <c r="BH173" s="785"/>
      <c r="BI173" s="785"/>
      <c r="BJ173" s="785"/>
      <c r="BK173" s="785"/>
      <c r="BL173" s="785"/>
      <c r="BM173" s="785"/>
      <c r="BN173" s="785"/>
      <c r="BO173" s="785"/>
      <c r="BP173" s="785"/>
      <c r="BQ173" s="785"/>
      <c r="BR173" s="785"/>
      <c r="BS173" s="785"/>
      <c r="BT173" s="785"/>
      <c r="BU173" s="785"/>
      <c r="BV173" s="785"/>
      <c r="BW173" s="785"/>
      <c r="BX173" s="785"/>
      <c r="BY173" s="785"/>
      <c r="BZ173" s="785"/>
    </row>
    <row r="174" spans="39:78" s="143" customFormat="1">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row>
    <row r="175" spans="39:78" s="143" customFormat="1">
      <c r="AM175" s="785"/>
      <c r="AN175" s="785"/>
      <c r="AO175" s="785"/>
      <c r="AP175" s="785"/>
      <c r="AQ175" s="785"/>
      <c r="AR175" s="785"/>
      <c r="AS175" s="785"/>
      <c r="AT175" s="785"/>
      <c r="AU175" s="785"/>
      <c r="AV175" s="785"/>
      <c r="AW175" s="785"/>
      <c r="AX175" s="785"/>
      <c r="AY175" s="785"/>
      <c r="AZ175" s="785"/>
      <c r="BA175" s="785"/>
      <c r="BB175" s="785"/>
      <c r="BC175" s="785"/>
      <c r="BD175" s="785"/>
      <c r="BE175" s="785"/>
      <c r="BF175" s="785"/>
      <c r="BG175" s="785"/>
      <c r="BH175" s="785"/>
      <c r="BI175" s="785"/>
      <c r="BJ175" s="785"/>
      <c r="BK175" s="785"/>
      <c r="BL175" s="785"/>
      <c r="BM175" s="785"/>
      <c r="BN175" s="785"/>
      <c r="BO175" s="785"/>
      <c r="BP175" s="785"/>
      <c r="BQ175" s="785"/>
      <c r="BR175" s="785"/>
      <c r="BS175" s="785"/>
      <c r="BT175" s="785"/>
      <c r="BU175" s="785"/>
      <c r="BV175" s="785"/>
      <c r="BW175" s="785"/>
      <c r="BX175" s="785"/>
      <c r="BY175" s="785"/>
      <c r="BZ175" s="785"/>
    </row>
    <row r="176" spans="39:78" s="143" customFormat="1">
      <c r="AM176" s="785"/>
      <c r="AN176" s="785"/>
      <c r="AO176" s="785"/>
      <c r="AP176" s="785"/>
      <c r="AQ176" s="785"/>
      <c r="AR176" s="785"/>
      <c r="AS176" s="785"/>
      <c r="AT176" s="785"/>
      <c r="AU176" s="785"/>
      <c r="AV176" s="785"/>
      <c r="AW176" s="785"/>
      <c r="AX176" s="785"/>
      <c r="AY176" s="785"/>
      <c r="AZ176" s="785"/>
      <c r="BA176" s="785"/>
      <c r="BB176" s="785"/>
      <c r="BC176" s="785"/>
      <c r="BD176" s="785"/>
      <c r="BE176" s="785"/>
      <c r="BF176" s="785"/>
      <c r="BG176" s="785"/>
      <c r="BH176" s="785"/>
      <c r="BI176" s="785"/>
      <c r="BJ176" s="785"/>
      <c r="BK176" s="785"/>
      <c r="BL176" s="785"/>
      <c r="BM176" s="785"/>
      <c r="BN176" s="785"/>
      <c r="BO176" s="785"/>
      <c r="BP176" s="785"/>
      <c r="BQ176" s="785"/>
      <c r="BR176" s="785"/>
      <c r="BS176" s="785"/>
      <c r="BT176" s="785"/>
      <c r="BU176" s="785"/>
      <c r="BV176" s="785"/>
      <c r="BW176" s="785"/>
      <c r="BX176" s="785"/>
      <c r="BY176" s="785"/>
      <c r="BZ176" s="785"/>
    </row>
    <row r="177" spans="39:78" s="143" customFormat="1">
      <c r="AM177" s="785"/>
      <c r="AN177" s="785"/>
      <c r="AO177" s="785"/>
      <c r="AP177" s="785"/>
      <c r="AQ177" s="785"/>
      <c r="AR177" s="785"/>
      <c r="AS177" s="785"/>
      <c r="AT177" s="785"/>
      <c r="AU177" s="785"/>
      <c r="AV177" s="785"/>
      <c r="AW177" s="785"/>
      <c r="AX177" s="785"/>
      <c r="AY177" s="785"/>
      <c r="AZ177" s="785"/>
      <c r="BA177" s="785"/>
      <c r="BB177" s="785"/>
      <c r="BC177" s="785"/>
      <c r="BD177" s="785"/>
      <c r="BE177" s="785"/>
      <c r="BF177" s="785"/>
      <c r="BG177" s="785"/>
      <c r="BH177" s="785"/>
      <c r="BI177" s="785"/>
      <c r="BJ177" s="785"/>
      <c r="BK177" s="785"/>
      <c r="BL177" s="785"/>
      <c r="BM177" s="785"/>
      <c r="BN177" s="785"/>
      <c r="BO177" s="785"/>
      <c r="BP177" s="785"/>
      <c r="BQ177" s="785"/>
      <c r="BR177" s="785"/>
      <c r="BS177" s="785"/>
      <c r="BT177" s="785"/>
      <c r="BU177" s="785"/>
      <c r="BV177" s="785"/>
      <c r="BW177" s="785"/>
      <c r="BX177" s="785"/>
      <c r="BY177" s="785"/>
      <c r="BZ177" s="785"/>
    </row>
    <row r="178" spans="39:78" s="143" customFormat="1">
      <c r="AM178" s="785"/>
      <c r="AN178" s="785"/>
      <c r="AO178" s="785"/>
      <c r="AP178" s="785"/>
      <c r="AQ178" s="785"/>
      <c r="AR178" s="785"/>
      <c r="AS178" s="785"/>
      <c r="AT178" s="785"/>
      <c r="AU178" s="785"/>
      <c r="AV178" s="785"/>
      <c r="AW178" s="785"/>
      <c r="AX178" s="785"/>
      <c r="AY178" s="785"/>
      <c r="AZ178" s="785"/>
      <c r="BA178" s="785"/>
      <c r="BB178" s="785"/>
      <c r="BC178" s="785"/>
      <c r="BD178" s="785"/>
      <c r="BE178" s="785"/>
      <c r="BF178" s="785"/>
      <c r="BG178" s="785"/>
      <c r="BH178" s="785"/>
      <c r="BI178" s="785"/>
      <c r="BJ178" s="785"/>
      <c r="BK178" s="785"/>
      <c r="BL178" s="785"/>
      <c r="BM178" s="785"/>
      <c r="BN178" s="785"/>
      <c r="BO178" s="785"/>
      <c r="BP178" s="785"/>
      <c r="BQ178" s="785"/>
      <c r="BR178" s="785"/>
      <c r="BS178" s="785"/>
      <c r="BT178" s="785"/>
      <c r="BU178" s="785"/>
      <c r="BV178" s="785"/>
      <c r="BW178" s="785"/>
      <c r="BX178" s="785"/>
      <c r="BY178" s="785"/>
      <c r="BZ178" s="785"/>
    </row>
    <row r="179" spans="39:78" s="143" customFormat="1">
      <c r="AM179" s="785"/>
      <c r="AN179" s="785"/>
      <c r="AO179" s="785"/>
      <c r="AP179" s="785"/>
      <c r="AQ179" s="785"/>
      <c r="AR179" s="785"/>
      <c r="AS179" s="785"/>
      <c r="AT179" s="785"/>
      <c r="AU179" s="785"/>
      <c r="AV179" s="785"/>
      <c r="AW179" s="785"/>
      <c r="AX179" s="785"/>
      <c r="AY179" s="785"/>
      <c r="AZ179" s="785"/>
      <c r="BA179" s="785"/>
      <c r="BB179" s="785"/>
      <c r="BC179" s="785"/>
      <c r="BD179" s="785"/>
      <c r="BE179" s="785"/>
      <c r="BF179" s="785"/>
      <c r="BG179" s="785"/>
      <c r="BH179" s="785"/>
      <c r="BI179" s="785"/>
      <c r="BJ179" s="785"/>
      <c r="BK179" s="785"/>
      <c r="BL179" s="785"/>
      <c r="BM179" s="785"/>
      <c r="BN179" s="785"/>
      <c r="BO179" s="785"/>
      <c r="BP179" s="785"/>
      <c r="BQ179" s="785"/>
      <c r="BR179" s="785"/>
      <c r="BS179" s="785"/>
      <c r="BT179" s="785"/>
      <c r="BU179" s="785"/>
      <c r="BV179" s="785"/>
      <c r="BW179" s="785"/>
      <c r="BX179" s="785"/>
      <c r="BY179" s="785"/>
      <c r="BZ179" s="785"/>
    </row>
    <row r="180" spans="39:78" s="143" customFormat="1">
      <c r="AM180" s="785"/>
      <c r="AN180" s="785"/>
      <c r="AO180" s="785"/>
      <c r="AP180" s="785"/>
      <c r="AQ180" s="785"/>
      <c r="AR180" s="785"/>
      <c r="AS180" s="785"/>
      <c r="AT180" s="785"/>
      <c r="AU180" s="785"/>
      <c r="AV180" s="785"/>
      <c r="AW180" s="785"/>
      <c r="AX180" s="785"/>
      <c r="AY180" s="785"/>
      <c r="AZ180" s="785"/>
      <c r="BA180" s="785"/>
      <c r="BB180" s="785"/>
      <c r="BC180" s="785"/>
      <c r="BD180" s="785"/>
      <c r="BE180" s="785"/>
      <c r="BF180" s="785"/>
      <c r="BG180" s="785"/>
      <c r="BH180" s="785"/>
      <c r="BI180" s="785"/>
      <c r="BJ180" s="785"/>
      <c r="BK180" s="785"/>
      <c r="BL180" s="785"/>
      <c r="BM180" s="785"/>
      <c r="BN180" s="785"/>
      <c r="BO180" s="785"/>
      <c r="BP180" s="785"/>
      <c r="BQ180" s="785"/>
      <c r="BR180" s="785"/>
      <c r="BS180" s="785"/>
      <c r="BT180" s="785"/>
      <c r="BU180" s="785"/>
      <c r="BV180" s="785"/>
      <c r="BW180" s="785"/>
      <c r="BX180" s="785"/>
      <c r="BY180" s="785"/>
      <c r="BZ180" s="785"/>
    </row>
    <row r="181" spans="39:78" s="143" customFormat="1">
      <c r="AM181" s="785"/>
      <c r="AN181" s="785"/>
      <c r="AO181" s="785"/>
      <c r="AP181" s="785"/>
      <c r="AQ181" s="785"/>
      <c r="AR181" s="785"/>
      <c r="AS181" s="785"/>
      <c r="AT181" s="785"/>
      <c r="AU181" s="785"/>
      <c r="AV181" s="785"/>
      <c r="AW181" s="785"/>
      <c r="AX181" s="785"/>
      <c r="AY181" s="785"/>
      <c r="AZ181" s="785"/>
      <c r="BA181" s="785"/>
      <c r="BB181" s="785"/>
      <c r="BC181" s="785"/>
      <c r="BD181" s="785"/>
      <c r="BE181" s="785"/>
      <c r="BF181" s="785"/>
      <c r="BG181" s="785"/>
      <c r="BH181" s="785"/>
      <c r="BI181" s="785"/>
      <c r="BJ181" s="785"/>
      <c r="BK181" s="785"/>
      <c r="BL181" s="785"/>
      <c r="BM181" s="785"/>
      <c r="BN181" s="785"/>
      <c r="BO181" s="785"/>
      <c r="BP181" s="785"/>
      <c r="BQ181" s="785"/>
      <c r="BR181" s="785"/>
      <c r="BS181" s="785"/>
      <c r="BT181" s="785"/>
      <c r="BU181" s="785"/>
      <c r="BV181" s="785"/>
      <c r="BW181" s="785"/>
      <c r="BX181" s="785"/>
      <c r="BY181" s="785"/>
      <c r="BZ181" s="785"/>
    </row>
    <row r="182" spans="39:78" s="143" customFormat="1">
      <c r="AM182" s="785"/>
      <c r="AN182" s="785"/>
      <c r="AO182" s="785"/>
      <c r="AP182" s="785"/>
      <c r="AQ182" s="785"/>
      <c r="AR182" s="785"/>
      <c r="AS182" s="785"/>
      <c r="AT182" s="785"/>
      <c r="AU182" s="785"/>
      <c r="AV182" s="785"/>
      <c r="AW182" s="785"/>
      <c r="AX182" s="785"/>
      <c r="AY182" s="785"/>
      <c r="AZ182" s="785"/>
      <c r="BA182" s="785"/>
      <c r="BB182" s="785"/>
      <c r="BC182" s="785"/>
      <c r="BD182" s="785"/>
      <c r="BE182" s="785"/>
      <c r="BF182" s="785"/>
      <c r="BG182" s="785"/>
      <c r="BH182" s="785"/>
      <c r="BI182" s="785"/>
      <c r="BJ182" s="785"/>
      <c r="BK182" s="785"/>
      <c r="BL182" s="785"/>
      <c r="BM182" s="785"/>
      <c r="BN182" s="785"/>
      <c r="BO182" s="785"/>
      <c r="BP182" s="785"/>
      <c r="BQ182" s="785"/>
      <c r="BR182" s="785"/>
      <c r="BS182" s="785"/>
      <c r="BT182" s="785"/>
      <c r="BU182" s="785"/>
      <c r="BV182" s="785"/>
      <c r="BW182" s="785"/>
      <c r="BX182" s="785"/>
      <c r="BY182" s="785"/>
      <c r="BZ182" s="785"/>
    </row>
    <row r="183" spans="39:78" s="143" customFormat="1">
      <c r="AM183" s="785"/>
      <c r="AN183" s="785"/>
      <c r="AO183" s="785"/>
      <c r="AP183" s="785"/>
      <c r="AQ183" s="785"/>
      <c r="AR183" s="785"/>
      <c r="AS183" s="785"/>
      <c r="AT183" s="785"/>
      <c r="AU183" s="785"/>
      <c r="AV183" s="785"/>
      <c r="AW183" s="785"/>
      <c r="AX183" s="785"/>
      <c r="AY183" s="785"/>
      <c r="AZ183" s="785"/>
      <c r="BA183" s="785"/>
      <c r="BB183" s="785"/>
      <c r="BC183" s="785"/>
      <c r="BD183" s="785"/>
      <c r="BE183" s="785"/>
      <c r="BF183" s="785"/>
      <c r="BG183" s="785"/>
      <c r="BH183" s="785"/>
      <c r="BI183" s="785"/>
      <c r="BJ183" s="785"/>
      <c r="BK183" s="785"/>
      <c r="BL183" s="785"/>
      <c r="BM183" s="785"/>
      <c r="BN183" s="785"/>
      <c r="BO183" s="785"/>
      <c r="BP183" s="785"/>
      <c r="BQ183" s="785"/>
      <c r="BR183" s="785"/>
      <c r="BS183" s="785"/>
      <c r="BT183" s="785"/>
      <c r="BU183" s="785"/>
      <c r="BV183" s="785"/>
      <c r="BW183" s="785"/>
      <c r="BX183" s="785"/>
      <c r="BY183" s="785"/>
      <c r="BZ183" s="785"/>
    </row>
    <row r="184" spans="39:78" s="143" customFormat="1">
      <c r="AM184" s="785"/>
      <c r="AN184" s="785"/>
      <c r="AO184" s="785"/>
      <c r="AP184" s="785"/>
      <c r="AQ184" s="785"/>
      <c r="AR184" s="785"/>
      <c r="AS184" s="785"/>
      <c r="AT184" s="785"/>
      <c r="AU184" s="785"/>
      <c r="AV184" s="785"/>
      <c r="AW184" s="785"/>
      <c r="AX184" s="785"/>
      <c r="AY184" s="785"/>
      <c r="AZ184" s="785"/>
      <c r="BA184" s="785"/>
      <c r="BB184" s="785"/>
      <c r="BC184" s="785"/>
      <c r="BD184" s="785"/>
      <c r="BE184" s="785"/>
      <c r="BF184" s="785"/>
      <c r="BG184" s="785"/>
      <c r="BH184" s="785"/>
      <c r="BI184" s="785"/>
      <c r="BJ184" s="785"/>
      <c r="BK184" s="785"/>
      <c r="BL184" s="785"/>
      <c r="BM184" s="785"/>
      <c r="BN184" s="785"/>
      <c r="BO184" s="785"/>
      <c r="BP184" s="785"/>
      <c r="BQ184" s="785"/>
      <c r="BR184" s="785"/>
      <c r="BS184" s="785"/>
      <c r="BT184" s="785"/>
      <c r="BU184" s="785"/>
      <c r="BV184" s="785"/>
      <c r="BW184" s="785"/>
      <c r="BX184" s="785"/>
      <c r="BY184" s="785"/>
      <c r="BZ184" s="785"/>
    </row>
    <row r="185" spans="39:78" s="143" customFormat="1">
      <c r="AM185" s="785"/>
      <c r="AN185" s="785"/>
      <c r="AO185" s="785"/>
      <c r="AP185" s="785"/>
      <c r="AQ185" s="785"/>
      <c r="AR185" s="785"/>
      <c r="AS185" s="785"/>
      <c r="AT185" s="785"/>
      <c r="AU185" s="785"/>
      <c r="AV185" s="785"/>
      <c r="AW185" s="785"/>
      <c r="AX185" s="785"/>
      <c r="AY185" s="785"/>
      <c r="AZ185" s="785"/>
      <c r="BA185" s="785"/>
      <c r="BB185" s="785"/>
      <c r="BC185" s="785"/>
      <c r="BD185" s="785"/>
      <c r="BE185" s="785"/>
      <c r="BF185" s="785"/>
      <c r="BG185" s="785"/>
      <c r="BH185" s="785"/>
      <c r="BI185" s="785"/>
      <c r="BJ185" s="785"/>
      <c r="BK185" s="785"/>
      <c r="BL185" s="785"/>
      <c r="BM185" s="785"/>
      <c r="BN185" s="785"/>
      <c r="BO185" s="785"/>
      <c r="BP185" s="785"/>
      <c r="BQ185" s="785"/>
      <c r="BR185" s="785"/>
      <c r="BS185" s="785"/>
      <c r="BT185" s="785"/>
      <c r="BU185" s="785"/>
      <c r="BV185" s="785"/>
      <c r="BW185" s="785"/>
      <c r="BX185" s="785"/>
      <c r="BY185" s="785"/>
      <c r="BZ185" s="785"/>
    </row>
    <row r="186" spans="39:78" s="143" customFormat="1">
      <c r="AM186" s="785"/>
      <c r="AN186" s="785"/>
      <c r="AO186" s="785"/>
      <c r="AP186" s="785"/>
      <c r="AQ186" s="785"/>
      <c r="AR186" s="785"/>
      <c r="AS186" s="785"/>
      <c r="AT186" s="785"/>
      <c r="AU186" s="785"/>
      <c r="AV186" s="785"/>
      <c r="AW186" s="785"/>
      <c r="AX186" s="785"/>
      <c r="AY186" s="785"/>
      <c r="AZ186" s="785"/>
      <c r="BA186" s="785"/>
      <c r="BB186" s="785"/>
      <c r="BC186" s="785"/>
      <c r="BD186" s="785"/>
      <c r="BE186" s="785"/>
      <c r="BF186" s="785"/>
      <c r="BG186" s="785"/>
      <c r="BH186" s="785"/>
      <c r="BI186" s="785"/>
      <c r="BJ186" s="785"/>
      <c r="BK186" s="785"/>
      <c r="BL186" s="785"/>
      <c r="BM186" s="785"/>
      <c r="BN186" s="785"/>
      <c r="BO186" s="785"/>
      <c r="BP186" s="785"/>
      <c r="BQ186" s="785"/>
      <c r="BR186" s="785"/>
      <c r="BS186" s="785"/>
      <c r="BT186" s="785"/>
      <c r="BU186" s="785"/>
      <c r="BV186" s="785"/>
      <c r="BW186" s="785"/>
      <c r="BX186" s="785"/>
      <c r="BY186" s="785"/>
      <c r="BZ186" s="785"/>
    </row>
    <row r="187" spans="39:78" s="143" customFormat="1">
      <c r="AM187" s="785"/>
      <c r="AN187" s="785"/>
      <c r="AO187" s="785"/>
      <c r="AP187" s="785"/>
      <c r="AQ187" s="785"/>
      <c r="AR187" s="785"/>
      <c r="AS187" s="785"/>
      <c r="AT187" s="785"/>
      <c r="AU187" s="785"/>
      <c r="AV187" s="785"/>
      <c r="AW187" s="785"/>
      <c r="AX187" s="785"/>
      <c r="AY187" s="785"/>
      <c r="AZ187" s="785"/>
      <c r="BA187" s="785"/>
      <c r="BB187" s="785"/>
      <c r="BC187" s="785"/>
      <c r="BD187" s="785"/>
      <c r="BE187" s="785"/>
      <c r="BF187" s="785"/>
      <c r="BG187" s="785"/>
      <c r="BH187" s="785"/>
      <c r="BI187" s="785"/>
      <c r="BJ187" s="785"/>
      <c r="BK187" s="785"/>
      <c r="BL187" s="785"/>
      <c r="BM187" s="785"/>
      <c r="BN187" s="785"/>
      <c r="BO187" s="785"/>
      <c r="BP187" s="785"/>
      <c r="BQ187" s="785"/>
      <c r="BR187" s="785"/>
      <c r="BS187" s="785"/>
      <c r="BT187" s="785"/>
      <c r="BU187" s="785"/>
      <c r="BV187" s="785"/>
      <c r="BW187" s="785"/>
      <c r="BX187" s="785"/>
      <c r="BY187" s="785"/>
      <c r="BZ187" s="785"/>
    </row>
    <row r="188" spans="39:78" s="143" customFormat="1">
      <c r="AM188" s="785"/>
      <c r="AN188" s="785"/>
      <c r="AO188" s="785"/>
      <c r="AP188" s="785"/>
      <c r="AQ188" s="785"/>
      <c r="AR188" s="785"/>
      <c r="AS188" s="785"/>
      <c r="AT188" s="785"/>
      <c r="AU188" s="785"/>
      <c r="AV188" s="785"/>
      <c r="AW188" s="785"/>
      <c r="AX188" s="785"/>
      <c r="AY188" s="785"/>
      <c r="AZ188" s="785"/>
      <c r="BA188" s="785"/>
      <c r="BB188" s="785"/>
      <c r="BC188" s="785"/>
      <c r="BD188" s="785"/>
      <c r="BE188" s="785"/>
      <c r="BF188" s="785"/>
      <c r="BG188" s="785"/>
      <c r="BH188" s="785"/>
      <c r="BI188" s="785"/>
      <c r="BJ188" s="785"/>
      <c r="BK188" s="785"/>
      <c r="BL188" s="785"/>
      <c r="BM188" s="785"/>
      <c r="BN188" s="785"/>
      <c r="BO188" s="785"/>
      <c r="BP188" s="785"/>
      <c r="BQ188" s="785"/>
      <c r="BR188" s="785"/>
      <c r="BS188" s="785"/>
      <c r="BT188" s="785"/>
      <c r="BU188" s="785"/>
      <c r="BV188" s="785"/>
      <c r="BW188" s="785"/>
      <c r="BX188" s="785"/>
      <c r="BY188" s="785"/>
      <c r="BZ188" s="785"/>
    </row>
    <row r="189" spans="39:78" s="143" customFormat="1">
      <c r="AM189" s="785"/>
      <c r="AN189" s="785"/>
      <c r="AO189" s="785"/>
      <c r="AP189" s="785"/>
      <c r="AQ189" s="785"/>
      <c r="AR189" s="785"/>
      <c r="AS189" s="785"/>
      <c r="AT189" s="785"/>
      <c r="AU189" s="785"/>
      <c r="AV189" s="785"/>
      <c r="AW189" s="785"/>
      <c r="AX189" s="785"/>
      <c r="AY189" s="785"/>
      <c r="AZ189" s="785"/>
      <c r="BA189" s="785"/>
      <c r="BB189" s="785"/>
      <c r="BC189" s="785"/>
      <c r="BD189" s="785"/>
      <c r="BE189" s="785"/>
      <c r="BF189" s="785"/>
      <c r="BG189" s="785"/>
      <c r="BH189" s="785"/>
      <c r="BI189" s="785"/>
      <c r="BJ189" s="785"/>
      <c r="BK189" s="785"/>
      <c r="BL189" s="785"/>
      <c r="BM189" s="785"/>
      <c r="BN189" s="785"/>
      <c r="BO189" s="785"/>
      <c r="BP189" s="785"/>
      <c r="BQ189" s="785"/>
      <c r="BR189" s="785"/>
      <c r="BS189" s="785"/>
      <c r="BT189" s="785"/>
      <c r="BU189" s="785"/>
      <c r="BV189" s="785"/>
      <c r="BW189" s="785"/>
      <c r="BX189" s="785"/>
      <c r="BY189" s="785"/>
      <c r="BZ189" s="785"/>
    </row>
    <row r="190" spans="39:78" s="143" customFormat="1">
      <c r="AM190" s="785"/>
      <c r="AN190" s="785"/>
      <c r="AO190" s="785"/>
      <c r="AP190" s="785"/>
      <c r="AQ190" s="785"/>
      <c r="AR190" s="785"/>
      <c r="AS190" s="785"/>
      <c r="AT190" s="785"/>
      <c r="AU190" s="785"/>
      <c r="AV190" s="785"/>
      <c r="AW190" s="785"/>
      <c r="AX190" s="785"/>
      <c r="AY190" s="785"/>
      <c r="AZ190" s="785"/>
      <c r="BA190" s="785"/>
      <c r="BB190" s="785"/>
      <c r="BC190" s="785"/>
      <c r="BD190" s="785"/>
      <c r="BE190" s="785"/>
      <c r="BF190" s="785"/>
      <c r="BG190" s="785"/>
      <c r="BH190" s="785"/>
      <c r="BI190" s="785"/>
      <c r="BJ190" s="785"/>
      <c r="BK190" s="785"/>
      <c r="BL190" s="785"/>
      <c r="BM190" s="785"/>
      <c r="BN190" s="785"/>
      <c r="BO190" s="785"/>
      <c r="BP190" s="785"/>
      <c r="BQ190" s="785"/>
      <c r="BR190" s="785"/>
      <c r="BS190" s="785"/>
      <c r="BT190" s="785"/>
      <c r="BU190" s="785"/>
      <c r="BV190" s="785"/>
      <c r="BW190" s="785"/>
      <c r="BX190" s="785"/>
      <c r="BY190" s="785"/>
      <c r="BZ190" s="785"/>
    </row>
    <row r="191" spans="39:78" s="143" customFormat="1">
      <c r="AM191" s="785"/>
      <c r="AN191" s="785"/>
      <c r="AO191" s="785"/>
      <c r="AP191" s="785"/>
      <c r="AQ191" s="785"/>
      <c r="AR191" s="785"/>
      <c r="AS191" s="785"/>
      <c r="AT191" s="785"/>
      <c r="AU191" s="785"/>
      <c r="AV191" s="785"/>
      <c r="AW191" s="785"/>
      <c r="AX191" s="785"/>
      <c r="AY191" s="785"/>
      <c r="AZ191" s="785"/>
      <c r="BA191" s="785"/>
      <c r="BB191" s="785"/>
      <c r="BC191" s="785"/>
      <c r="BD191" s="785"/>
      <c r="BE191" s="785"/>
      <c r="BF191" s="785"/>
      <c r="BG191" s="785"/>
      <c r="BH191" s="785"/>
      <c r="BI191" s="785"/>
      <c r="BJ191" s="785"/>
      <c r="BK191" s="785"/>
      <c r="BL191" s="785"/>
      <c r="BM191" s="785"/>
      <c r="BN191" s="785"/>
      <c r="BO191" s="785"/>
      <c r="BP191" s="785"/>
      <c r="BQ191" s="785"/>
      <c r="BR191" s="785"/>
      <c r="BS191" s="785"/>
      <c r="BT191" s="785"/>
      <c r="BU191" s="785"/>
      <c r="BV191" s="785"/>
      <c r="BW191" s="785"/>
      <c r="BX191" s="785"/>
      <c r="BY191" s="785"/>
      <c r="BZ191" s="785"/>
    </row>
    <row r="192" spans="39:78" s="143" customFormat="1">
      <c r="AM192" s="785"/>
      <c r="AN192" s="785"/>
      <c r="AO192" s="785"/>
      <c r="AP192" s="785"/>
      <c r="AQ192" s="785"/>
      <c r="AR192" s="785"/>
      <c r="AS192" s="785"/>
      <c r="AT192" s="785"/>
      <c r="AU192" s="785"/>
      <c r="AV192" s="785"/>
      <c r="AW192" s="785"/>
      <c r="AX192" s="785"/>
      <c r="AY192" s="785"/>
      <c r="AZ192" s="785"/>
      <c r="BA192" s="785"/>
      <c r="BB192" s="785"/>
      <c r="BC192" s="785"/>
      <c r="BD192" s="785"/>
      <c r="BE192" s="785"/>
      <c r="BF192" s="785"/>
      <c r="BG192" s="785"/>
      <c r="BH192" s="785"/>
      <c r="BI192" s="785"/>
      <c r="BJ192" s="785"/>
      <c r="BK192" s="785"/>
      <c r="BL192" s="785"/>
      <c r="BM192" s="785"/>
      <c r="BN192" s="785"/>
      <c r="BO192" s="785"/>
      <c r="BP192" s="785"/>
      <c r="BQ192" s="785"/>
      <c r="BR192" s="785"/>
      <c r="BS192" s="785"/>
      <c r="BT192" s="785"/>
      <c r="BU192" s="785"/>
      <c r="BV192" s="785"/>
      <c r="BW192" s="785"/>
      <c r="BX192" s="785"/>
      <c r="BY192" s="785"/>
      <c r="BZ192" s="785"/>
    </row>
    <row r="193" spans="39:78" s="143" customFormat="1">
      <c r="AM193" s="785"/>
      <c r="AN193" s="785"/>
      <c r="AO193" s="785"/>
      <c r="AP193" s="785"/>
      <c r="AQ193" s="785"/>
      <c r="AR193" s="785"/>
      <c r="AS193" s="785"/>
      <c r="AT193" s="785"/>
      <c r="AU193" s="785"/>
      <c r="AV193" s="785"/>
      <c r="AW193" s="785"/>
      <c r="AX193" s="785"/>
      <c r="AY193" s="785"/>
      <c r="AZ193" s="785"/>
      <c r="BA193" s="785"/>
      <c r="BB193" s="785"/>
      <c r="BC193" s="785"/>
      <c r="BD193" s="785"/>
      <c r="BE193" s="785"/>
      <c r="BF193" s="785"/>
      <c r="BG193" s="785"/>
      <c r="BH193" s="785"/>
      <c r="BI193" s="785"/>
      <c r="BJ193" s="785"/>
      <c r="BK193" s="785"/>
      <c r="BL193" s="785"/>
      <c r="BM193" s="785"/>
      <c r="BN193" s="785"/>
      <c r="BO193" s="785"/>
      <c r="BP193" s="785"/>
      <c r="BQ193" s="785"/>
      <c r="BR193" s="785"/>
      <c r="BS193" s="785"/>
      <c r="BT193" s="785"/>
      <c r="BU193" s="785"/>
      <c r="BV193" s="785"/>
      <c r="BW193" s="785"/>
      <c r="BX193" s="785"/>
      <c r="BY193" s="785"/>
      <c r="BZ193" s="785"/>
    </row>
    <row r="194" spans="39:78" s="143" customFormat="1">
      <c r="AM194" s="785"/>
      <c r="AN194" s="785"/>
      <c r="AO194" s="785"/>
      <c r="AP194" s="785"/>
      <c r="AQ194" s="785"/>
      <c r="AR194" s="785"/>
      <c r="AS194" s="785"/>
      <c r="AT194" s="785"/>
      <c r="AU194" s="785"/>
      <c r="AV194" s="785"/>
      <c r="AW194" s="785"/>
      <c r="AX194" s="785"/>
      <c r="AY194" s="785"/>
      <c r="AZ194" s="785"/>
      <c r="BA194" s="785"/>
      <c r="BB194" s="785"/>
      <c r="BC194" s="785"/>
      <c r="BD194" s="785"/>
      <c r="BE194" s="785"/>
      <c r="BF194" s="785"/>
      <c r="BG194" s="785"/>
      <c r="BH194" s="785"/>
      <c r="BI194" s="785"/>
      <c r="BJ194" s="785"/>
      <c r="BK194" s="785"/>
      <c r="BL194" s="785"/>
      <c r="BM194" s="785"/>
      <c r="BN194" s="785"/>
      <c r="BO194" s="785"/>
      <c r="BP194" s="785"/>
      <c r="BQ194" s="785"/>
      <c r="BR194" s="785"/>
      <c r="BS194" s="785"/>
      <c r="BT194" s="785"/>
      <c r="BU194" s="785"/>
      <c r="BV194" s="785"/>
      <c r="BW194" s="785"/>
      <c r="BX194" s="785"/>
      <c r="BY194" s="785"/>
      <c r="BZ194" s="785"/>
    </row>
    <row r="195" spans="39:78" s="143" customFormat="1">
      <c r="AM195" s="785"/>
      <c r="AN195" s="785"/>
      <c r="AO195" s="785"/>
      <c r="AP195" s="785"/>
      <c r="AQ195" s="785"/>
      <c r="AR195" s="785"/>
      <c r="AS195" s="785"/>
      <c r="AT195" s="785"/>
      <c r="AU195" s="785"/>
      <c r="AV195" s="785"/>
      <c r="AW195" s="785"/>
      <c r="AX195" s="785"/>
      <c r="AY195" s="785"/>
      <c r="AZ195" s="785"/>
      <c r="BA195" s="785"/>
      <c r="BB195" s="785"/>
      <c r="BC195" s="785"/>
      <c r="BD195" s="785"/>
      <c r="BE195" s="785"/>
      <c r="BF195" s="785"/>
      <c r="BG195" s="785"/>
      <c r="BH195" s="785"/>
      <c r="BI195" s="785"/>
      <c r="BJ195" s="785"/>
      <c r="BK195" s="785"/>
      <c r="BL195" s="785"/>
      <c r="BM195" s="785"/>
      <c r="BN195" s="785"/>
      <c r="BO195" s="785"/>
      <c r="BP195" s="785"/>
      <c r="BQ195" s="785"/>
      <c r="BR195" s="785"/>
      <c r="BS195" s="785"/>
      <c r="BT195" s="785"/>
      <c r="BU195" s="785"/>
      <c r="BV195" s="785"/>
      <c r="BW195" s="785"/>
      <c r="BX195" s="785"/>
      <c r="BY195" s="785"/>
      <c r="BZ195" s="785"/>
    </row>
    <row r="196" spans="39:78" s="143" customFormat="1">
      <c r="AM196" s="785"/>
      <c r="AN196" s="785"/>
      <c r="AO196" s="785"/>
      <c r="AP196" s="785"/>
      <c r="AQ196" s="785"/>
      <c r="AR196" s="785"/>
      <c r="AS196" s="785"/>
      <c r="AT196" s="785"/>
      <c r="AU196" s="785"/>
      <c r="AV196" s="785"/>
      <c r="AW196" s="785"/>
      <c r="AX196" s="785"/>
      <c r="AY196" s="785"/>
      <c r="AZ196" s="785"/>
      <c r="BA196" s="785"/>
      <c r="BB196" s="785"/>
      <c r="BC196" s="785"/>
      <c r="BD196" s="785"/>
      <c r="BE196" s="785"/>
      <c r="BF196" s="785"/>
      <c r="BG196" s="785"/>
      <c r="BH196" s="785"/>
      <c r="BI196" s="785"/>
      <c r="BJ196" s="785"/>
      <c r="BK196" s="785"/>
      <c r="BL196" s="785"/>
      <c r="BM196" s="785"/>
      <c r="BN196" s="785"/>
      <c r="BO196" s="785"/>
      <c r="BP196" s="785"/>
      <c r="BQ196" s="785"/>
      <c r="BR196" s="785"/>
      <c r="BS196" s="785"/>
      <c r="BT196" s="785"/>
      <c r="BU196" s="785"/>
      <c r="BV196" s="785"/>
      <c r="BW196" s="785"/>
      <c r="BX196" s="785"/>
      <c r="BY196" s="785"/>
      <c r="BZ196" s="785"/>
    </row>
    <row r="197" spans="39:78" s="143" customFormat="1">
      <c r="AM197" s="785"/>
      <c r="AN197" s="785"/>
      <c r="AO197" s="785"/>
      <c r="AP197" s="785"/>
      <c r="AQ197" s="785"/>
      <c r="AR197" s="785"/>
      <c r="AS197" s="785"/>
      <c r="AT197" s="785"/>
      <c r="AU197" s="785"/>
      <c r="AV197" s="785"/>
      <c r="AW197" s="785"/>
      <c r="AX197" s="785"/>
      <c r="AY197" s="785"/>
      <c r="AZ197" s="785"/>
      <c r="BA197" s="785"/>
      <c r="BB197" s="785"/>
      <c r="BC197" s="785"/>
      <c r="BD197" s="785"/>
      <c r="BE197" s="785"/>
      <c r="BF197" s="785"/>
      <c r="BG197" s="785"/>
      <c r="BH197" s="785"/>
      <c r="BI197" s="785"/>
      <c r="BJ197" s="785"/>
      <c r="BK197" s="785"/>
      <c r="BL197" s="785"/>
      <c r="BM197" s="785"/>
      <c r="BN197" s="785"/>
      <c r="BO197" s="785"/>
      <c r="BP197" s="785"/>
      <c r="BQ197" s="785"/>
      <c r="BR197" s="785"/>
      <c r="BS197" s="785"/>
      <c r="BT197" s="785"/>
      <c r="BU197" s="785"/>
      <c r="BV197" s="785"/>
      <c r="BW197" s="785"/>
      <c r="BX197" s="785"/>
      <c r="BY197" s="785"/>
      <c r="BZ197" s="785"/>
    </row>
    <row r="198" spans="39:78" s="143" customFormat="1">
      <c r="AM198" s="785"/>
      <c r="AN198" s="785"/>
      <c r="AO198" s="785"/>
      <c r="AP198" s="785"/>
      <c r="AQ198" s="785"/>
      <c r="AR198" s="785"/>
      <c r="AS198" s="785"/>
      <c r="AT198" s="785"/>
      <c r="AU198" s="785"/>
      <c r="AV198" s="785"/>
      <c r="AW198" s="785"/>
      <c r="AX198" s="785"/>
      <c r="AY198" s="785"/>
      <c r="AZ198" s="785"/>
      <c r="BA198" s="785"/>
      <c r="BB198" s="785"/>
      <c r="BC198" s="785"/>
      <c r="BD198" s="785"/>
      <c r="BE198" s="785"/>
      <c r="BF198" s="785"/>
      <c r="BG198" s="785"/>
      <c r="BH198" s="785"/>
      <c r="BI198" s="785"/>
      <c r="BJ198" s="785"/>
      <c r="BK198" s="785"/>
      <c r="BL198" s="785"/>
      <c r="BM198" s="785"/>
      <c r="BN198" s="785"/>
      <c r="BO198" s="785"/>
      <c r="BP198" s="785"/>
      <c r="BQ198" s="785"/>
      <c r="BR198" s="785"/>
      <c r="BS198" s="785"/>
      <c r="BT198" s="785"/>
      <c r="BU198" s="785"/>
      <c r="BV198" s="785"/>
      <c r="BW198" s="785"/>
      <c r="BX198" s="785"/>
      <c r="BY198" s="785"/>
      <c r="BZ198" s="785"/>
    </row>
    <row r="199" spans="39:78" s="143" customFormat="1">
      <c r="AM199" s="785"/>
      <c r="AN199" s="785"/>
      <c r="AO199" s="785"/>
      <c r="AP199" s="785"/>
      <c r="AQ199" s="785"/>
      <c r="AR199" s="785"/>
      <c r="AS199" s="785"/>
      <c r="AT199" s="785"/>
      <c r="AU199" s="785"/>
      <c r="AV199" s="785"/>
      <c r="AW199" s="785"/>
      <c r="AX199" s="785"/>
      <c r="AY199" s="785"/>
      <c r="AZ199" s="785"/>
      <c r="BA199" s="785"/>
      <c r="BB199" s="785"/>
      <c r="BC199" s="785"/>
      <c r="BD199" s="785"/>
      <c r="BE199" s="785"/>
      <c r="BF199" s="785"/>
      <c r="BG199" s="785"/>
      <c r="BH199" s="785"/>
      <c r="BI199" s="785"/>
      <c r="BJ199" s="785"/>
      <c r="BK199" s="785"/>
      <c r="BL199" s="785"/>
      <c r="BM199" s="785"/>
      <c r="BN199" s="785"/>
      <c r="BO199" s="785"/>
      <c r="BP199" s="785"/>
      <c r="BQ199" s="785"/>
      <c r="BR199" s="785"/>
      <c r="BS199" s="785"/>
      <c r="BT199" s="785"/>
      <c r="BU199" s="785"/>
      <c r="BV199" s="785"/>
      <c r="BW199" s="785"/>
      <c r="BX199" s="785"/>
      <c r="BY199" s="785"/>
      <c r="BZ199" s="785"/>
    </row>
    <row r="200" spans="39:78" s="143" customFormat="1">
      <c r="AM200" s="785"/>
      <c r="AN200" s="785"/>
      <c r="AO200" s="785"/>
      <c r="AP200" s="785"/>
      <c r="AQ200" s="785"/>
      <c r="AR200" s="785"/>
      <c r="AS200" s="785"/>
      <c r="AT200" s="785"/>
      <c r="AU200" s="785"/>
      <c r="AV200" s="785"/>
      <c r="AW200" s="785"/>
      <c r="AX200" s="785"/>
      <c r="AY200" s="785"/>
      <c r="AZ200" s="785"/>
      <c r="BA200" s="785"/>
      <c r="BB200" s="785"/>
      <c r="BC200" s="785"/>
      <c r="BD200" s="785"/>
      <c r="BE200" s="785"/>
      <c r="BF200" s="785"/>
      <c r="BG200" s="785"/>
      <c r="BH200" s="785"/>
      <c r="BI200" s="785"/>
      <c r="BJ200" s="785"/>
      <c r="BK200" s="785"/>
      <c r="BL200" s="785"/>
      <c r="BM200" s="785"/>
      <c r="BN200" s="785"/>
      <c r="BO200" s="785"/>
      <c r="BP200" s="785"/>
      <c r="BQ200" s="785"/>
      <c r="BR200" s="785"/>
      <c r="BS200" s="785"/>
      <c r="BT200" s="785"/>
      <c r="BU200" s="785"/>
      <c r="BV200" s="785"/>
      <c r="BW200" s="785"/>
      <c r="BX200" s="785"/>
      <c r="BY200" s="785"/>
      <c r="BZ200" s="785"/>
    </row>
    <row r="201" spans="39:78" s="143" customFormat="1">
      <c r="AM201" s="785"/>
      <c r="AN201" s="785"/>
      <c r="AO201" s="785"/>
      <c r="AP201" s="785"/>
      <c r="AQ201" s="785"/>
      <c r="AR201" s="785"/>
      <c r="AS201" s="785"/>
      <c r="AT201" s="785"/>
      <c r="AU201" s="785"/>
      <c r="AV201" s="785"/>
      <c r="AW201" s="785"/>
      <c r="AX201" s="785"/>
      <c r="AY201" s="785"/>
      <c r="AZ201" s="785"/>
      <c r="BA201" s="785"/>
      <c r="BB201" s="785"/>
      <c r="BC201" s="785"/>
      <c r="BD201" s="785"/>
      <c r="BE201" s="785"/>
      <c r="BF201" s="785"/>
      <c r="BG201" s="785"/>
      <c r="BH201" s="785"/>
      <c r="BI201" s="785"/>
      <c r="BJ201" s="785"/>
      <c r="BK201" s="785"/>
      <c r="BL201" s="785"/>
      <c r="BM201" s="785"/>
      <c r="BN201" s="785"/>
      <c r="BO201" s="785"/>
      <c r="BP201" s="785"/>
      <c r="BQ201" s="785"/>
      <c r="BR201" s="785"/>
      <c r="BS201" s="785"/>
      <c r="BT201" s="785"/>
      <c r="BU201" s="785"/>
      <c r="BV201" s="785"/>
      <c r="BW201" s="785"/>
      <c r="BX201" s="785"/>
      <c r="BY201" s="785"/>
      <c r="BZ201" s="785"/>
    </row>
    <row r="202" spans="39:78" s="143" customFormat="1">
      <c r="AM202" s="785"/>
      <c r="AN202" s="785"/>
      <c r="AO202" s="785"/>
      <c r="AP202" s="785"/>
      <c r="AQ202" s="785"/>
      <c r="AR202" s="785"/>
      <c r="AS202" s="785"/>
      <c r="AT202" s="785"/>
      <c r="AU202" s="785"/>
      <c r="AV202" s="785"/>
      <c r="AW202" s="785"/>
      <c r="AX202" s="785"/>
      <c r="AY202" s="785"/>
      <c r="AZ202" s="785"/>
      <c r="BA202" s="785"/>
      <c r="BB202" s="785"/>
      <c r="BC202" s="785"/>
      <c r="BD202" s="785"/>
      <c r="BE202" s="785"/>
      <c r="BF202" s="785"/>
      <c r="BG202" s="785"/>
      <c r="BH202" s="785"/>
      <c r="BI202" s="785"/>
      <c r="BJ202" s="785"/>
      <c r="BK202" s="785"/>
      <c r="BL202" s="785"/>
      <c r="BM202" s="785"/>
      <c r="BN202" s="785"/>
      <c r="BO202" s="785"/>
      <c r="BP202" s="785"/>
      <c r="BQ202" s="785"/>
      <c r="BR202" s="785"/>
      <c r="BS202" s="785"/>
      <c r="BT202" s="785"/>
      <c r="BU202" s="785"/>
      <c r="BV202" s="785"/>
      <c r="BW202" s="785"/>
      <c r="BX202" s="785"/>
      <c r="BY202" s="785"/>
      <c r="BZ202" s="785"/>
    </row>
    <row r="203" spans="39:78" s="143" customFormat="1">
      <c r="AM203" s="785"/>
      <c r="AN203" s="785"/>
      <c r="AO203" s="785"/>
      <c r="AP203" s="785"/>
      <c r="AQ203" s="785"/>
      <c r="AR203" s="785"/>
      <c r="AS203" s="785"/>
      <c r="AT203" s="785"/>
      <c r="AU203" s="785"/>
      <c r="AV203" s="785"/>
      <c r="AW203" s="785"/>
      <c r="AX203" s="785"/>
      <c r="AY203" s="785"/>
      <c r="AZ203" s="785"/>
      <c r="BA203" s="785"/>
      <c r="BB203" s="785"/>
      <c r="BC203" s="785"/>
      <c r="BD203" s="785"/>
      <c r="BE203" s="785"/>
      <c r="BF203" s="785"/>
      <c r="BG203" s="785"/>
      <c r="BH203" s="785"/>
      <c r="BI203" s="785"/>
      <c r="BJ203" s="785"/>
      <c r="BK203" s="785"/>
      <c r="BL203" s="785"/>
      <c r="BM203" s="785"/>
      <c r="BN203" s="785"/>
      <c r="BO203" s="785"/>
      <c r="BP203" s="785"/>
      <c r="BQ203" s="785"/>
      <c r="BR203" s="785"/>
      <c r="BS203" s="785"/>
      <c r="BT203" s="785"/>
      <c r="BU203" s="785"/>
      <c r="BV203" s="785"/>
      <c r="BW203" s="785"/>
      <c r="BX203" s="785"/>
      <c r="BY203" s="785"/>
      <c r="BZ203" s="785"/>
    </row>
    <row r="204" spans="39:78" s="143" customFormat="1">
      <c r="AM204" s="785"/>
      <c r="AN204" s="785"/>
      <c r="AO204" s="785"/>
      <c r="AP204" s="785"/>
      <c r="AQ204" s="785"/>
      <c r="AR204" s="785"/>
      <c r="AS204" s="785"/>
      <c r="AT204" s="785"/>
      <c r="AU204" s="785"/>
      <c r="AV204" s="785"/>
      <c r="AW204" s="785"/>
      <c r="AX204" s="785"/>
      <c r="AY204" s="785"/>
      <c r="AZ204" s="785"/>
      <c r="BA204" s="785"/>
      <c r="BB204" s="785"/>
      <c r="BC204" s="785"/>
      <c r="BD204" s="785"/>
      <c r="BE204" s="785"/>
      <c r="BF204" s="785"/>
      <c r="BG204" s="785"/>
      <c r="BH204" s="785"/>
      <c r="BI204" s="785"/>
      <c r="BJ204" s="785"/>
      <c r="BK204" s="785"/>
      <c r="BL204" s="785"/>
      <c r="BM204" s="785"/>
      <c r="BN204" s="785"/>
      <c r="BO204" s="785"/>
      <c r="BP204" s="785"/>
      <c r="BQ204" s="785"/>
      <c r="BR204" s="785"/>
      <c r="BS204" s="785"/>
      <c r="BT204" s="785"/>
      <c r="BU204" s="785"/>
      <c r="BV204" s="785"/>
      <c r="BW204" s="785"/>
      <c r="BX204" s="785"/>
      <c r="BY204" s="785"/>
      <c r="BZ204" s="785"/>
    </row>
    <row r="205" spans="39:78" s="143" customFormat="1">
      <c r="AM205" s="785"/>
      <c r="AN205" s="785"/>
      <c r="AO205" s="785"/>
      <c r="AP205" s="785"/>
      <c r="AQ205" s="785"/>
      <c r="AR205" s="785"/>
      <c r="AS205" s="785"/>
      <c r="AT205" s="785"/>
      <c r="AU205" s="785"/>
      <c r="AV205" s="785"/>
      <c r="AW205" s="785"/>
      <c r="AX205" s="785"/>
      <c r="AY205" s="785"/>
      <c r="AZ205" s="785"/>
      <c r="BA205" s="785"/>
      <c r="BB205" s="785"/>
      <c r="BC205" s="785"/>
      <c r="BD205" s="785"/>
      <c r="BE205" s="785"/>
      <c r="BF205" s="785"/>
      <c r="BG205" s="785"/>
      <c r="BH205" s="785"/>
      <c r="BI205" s="785"/>
      <c r="BJ205" s="785"/>
      <c r="BK205" s="785"/>
      <c r="BL205" s="785"/>
      <c r="BM205" s="785"/>
      <c r="BN205" s="785"/>
      <c r="BO205" s="785"/>
      <c r="BP205" s="785"/>
      <c r="BQ205" s="785"/>
      <c r="BR205" s="785"/>
      <c r="BS205" s="785"/>
      <c r="BT205" s="785"/>
      <c r="BU205" s="785"/>
      <c r="BV205" s="785"/>
      <c r="BW205" s="785"/>
      <c r="BX205" s="785"/>
      <c r="BY205" s="785"/>
      <c r="BZ205" s="785"/>
    </row>
    <row r="206" spans="39:78" s="143" customFormat="1">
      <c r="AM206" s="785"/>
      <c r="AN206" s="785"/>
      <c r="AO206" s="785"/>
      <c r="AP206" s="785"/>
      <c r="AQ206" s="785"/>
      <c r="AR206" s="785"/>
      <c r="AS206" s="785"/>
      <c r="AT206" s="785"/>
      <c r="AU206" s="785"/>
      <c r="AV206" s="785"/>
      <c r="AW206" s="785"/>
      <c r="AX206" s="785"/>
      <c r="AY206" s="785"/>
      <c r="AZ206" s="785"/>
      <c r="BA206" s="785"/>
      <c r="BB206" s="785"/>
      <c r="BC206" s="785"/>
      <c r="BD206" s="785"/>
      <c r="BE206" s="785"/>
      <c r="BF206" s="785"/>
      <c r="BG206" s="785"/>
      <c r="BH206" s="785"/>
      <c r="BI206" s="785"/>
      <c r="BJ206" s="785"/>
      <c r="BK206" s="785"/>
      <c r="BL206" s="785"/>
      <c r="BM206" s="785"/>
      <c r="BN206" s="785"/>
      <c r="BO206" s="785"/>
      <c r="BP206" s="785"/>
      <c r="BQ206" s="785"/>
      <c r="BR206" s="785"/>
      <c r="BS206" s="785"/>
      <c r="BT206" s="785"/>
      <c r="BU206" s="785"/>
      <c r="BV206" s="785"/>
      <c r="BW206" s="785"/>
      <c r="BX206" s="785"/>
      <c r="BY206" s="785"/>
      <c r="BZ206" s="785"/>
    </row>
    <row r="207" spans="39:78" s="143" customFormat="1">
      <c r="AM207" s="785"/>
      <c r="AN207" s="785"/>
      <c r="AO207" s="785"/>
      <c r="AP207" s="785"/>
      <c r="AQ207" s="785"/>
      <c r="AR207" s="785"/>
      <c r="AS207" s="785"/>
      <c r="AT207" s="785"/>
      <c r="AU207" s="785"/>
      <c r="AV207" s="785"/>
      <c r="AW207" s="785"/>
      <c r="AX207" s="785"/>
      <c r="AY207" s="785"/>
      <c r="AZ207" s="785"/>
      <c r="BA207" s="785"/>
      <c r="BB207" s="785"/>
      <c r="BC207" s="785"/>
      <c r="BD207" s="785"/>
      <c r="BE207" s="785"/>
      <c r="BF207" s="785"/>
      <c r="BG207" s="785"/>
      <c r="BH207" s="785"/>
      <c r="BI207" s="785"/>
      <c r="BJ207" s="785"/>
      <c r="BK207" s="785"/>
      <c r="BL207" s="785"/>
      <c r="BM207" s="785"/>
      <c r="BN207" s="785"/>
      <c r="BO207" s="785"/>
      <c r="BP207" s="785"/>
      <c r="BQ207" s="785"/>
      <c r="BR207" s="785"/>
      <c r="BS207" s="785"/>
      <c r="BT207" s="785"/>
      <c r="BU207" s="785"/>
      <c r="BV207" s="785"/>
      <c r="BW207" s="785"/>
      <c r="BX207" s="785"/>
      <c r="BY207" s="785"/>
      <c r="BZ207" s="785"/>
    </row>
    <row r="208" spans="39:78" s="143" customFormat="1">
      <c r="AM208" s="785"/>
      <c r="AN208" s="785"/>
      <c r="AO208" s="785"/>
      <c r="AP208" s="785"/>
      <c r="AQ208" s="785"/>
      <c r="AR208" s="785"/>
      <c r="AS208" s="785"/>
      <c r="AT208" s="785"/>
      <c r="AU208" s="785"/>
      <c r="AV208" s="785"/>
      <c r="AW208" s="785"/>
      <c r="AX208" s="785"/>
      <c r="AY208" s="785"/>
      <c r="AZ208" s="785"/>
      <c r="BA208" s="785"/>
      <c r="BB208" s="785"/>
      <c r="BC208" s="785"/>
      <c r="BD208" s="785"/>
      <c r="BE208" s="785"/>
      <c r="BF208" s="785"/>
      <c r="BG208" s="785"/>
      <c r="BH208" s="785"/>
      <c r="BI208" s="785"/>
      <c r="BJ208" s="785"/>
      <c r="BK208" s="785"/>
      <c r="BL208" s="785"/>
      <c r="BM208" s="785"/>
      <c r="BN208" s="785"/>
      <c r="BO208" s="785"/>
      <c r="BP208" s="785"/>
      <c r="BQ208" s="785"/>
      <c r="BR208" s="785"/>
      <c r="BS208" s="785"/>
      <c r="BT208" s="785"/>
      <c r="BU208" s="785"/>
      <c r="BV208" s="785"/>
      <c r="BW208" s="785"/>
      <c r="BX208" s="785"/>
      <c r="BY208" s="785"/>
      <c r="BZ208" s="785"/>
    </row>
    <row r="209" spans="39:78" s="143" customFormat="1">
      <c r="AM209" s="785"/>
      <c r="AN209" s="785"/>
      <c r="AO209" s="785"/>
      <c r="AP209" s="785"/>
      <c r="AQ209" s="785"/>
      <c r="AR209" s="785"/>
      <c r="AS209" s="785"/>
      <c r="AT209" s="785"/>
      <c r="AU209" s="785"/>
      <c r="AV209" s="785"/>
      <c r="AW209" s="785"/>
      <c r="AX209" s="785"/>
      <c r="AY209" s="785"/>
      <c r="AZ209" s="785"/>
      <c r="BA209" s="785"/>
      <c r="BB209" s="785"/>
      <c r="BC209" s="785"/>
      <c r="BD209" s="785"/>
      <c r="BE209" s="785"/>
      <c r="BF209" s="785"/>
      <c r="BG209" s="785"/>
      <c r="BH209" s="785"/>
      <c r="BI209" s="785"/>
      <c r="BJ209" s="785"/>
      <c r="BK209" s="785"/>
      <c r="BL209" s="785"/>
      <c r="BM209" s="785"/>
      <c r="BN209" s="785"/>
      <c r="BO209" s="785"/>
      <c r="BP209" s="785"/>
      <c r="BQ209" s="785"/>
      <c r="BR209" s="785"/>
      <c r="BS209" s="785"/>
      <c r="BT209" s="785"/>
      <c r="BU209" s="785"/>
      <c r="BV209" s="785"/>
      <c r="BW209" s="785"/>
      <c r="BX209" s="785"/>
      <c r="BY209" s="785"/>
      <c r="BZ209" s="785"/>
    </row>
    <row r="210" spans="39:78" s="143" customFormat="1">
      <c r="AM210" s="785"/>
      <c r="AN210" s="785"/>
      <c r="AO210" s="785"/>
      <c r="AP210" s="785"/>
      <c r="AQ210" s="785"/>
      <c r="AR210" s="785"/>
      <c r="AS210" s="785"/>
      <c r="AT210" s="785"/>
      <c r="AU210" s="785"/>
      <c r="AV210" s="785"/>
      <c r="AW210" s="785"/>
      <c r="AX210" s="785"/>
      <c r="AY210" s="785"/>
      <c r="AZ210" s="785"/>
      <c r="BA210" s="785"/>
      <c r="BB210" s="785"/>
      <c r="BC210" s="785"/>
      <c r="BD210" s="785"/>
      <c r="BE210" s="785"/>
      <c r="BF210" s="785"/>
      <c r="BG210" s="785"/>
      <c r="BH210" s="785"/>
      <c r="BI210" s="785"/>
      <c r="BJ210" s="785"/>
      <c r="BK210" s="785"/>
      <c r="BL210" s="785"/>
      <c r="BM210" s="785"/>
      <c r="BN210" s="785"/>
      <c r="BO210" s="785"/>
      <c r="BP210" s="785"/>
      <c r="BQ210" s="785"/>
      <c r="BR210" s="785"/>
      <c r="BS210" s="785"/>
      <c r="BT210" s="785"/>
      <c r="BU210" s="785"/>
      <c r="BV210" s="785"/>
      <c r="BW210" s="785"/>
      <c r="BX210" s="785"/>
      <c r="BY210" s="785"/>
      <c r="BZ210" s="785"/>
    </row>
    <row r="211" spans="39:78" s="143" customFormat="1">
      <c r="AM211" s="785"/>
      <c r="AN211" s="785"/>
      <c r="AO211" s="785"/>
      <c r="AP211" s="785"/>
      <c r="AQ211" s="785"/>
      <c r="AR211" s="785"/>
      <c r="AS211" s="785"/>
      <c r="AT211" s="785"/>
      <c r="AU211" s="785"/>
      <c r="AV211" s="785"/>
      <c r="AW211" s="785"/>
      <c r="AX211" s="785"/>
      <c r="AY211" s="785"/>
      <c r="AZ211" s="785"/>
      <c r="BA211" s="785"/>
      <c r="BB211" s="785"/>
      <c r="BC211" s="785"/>
      <c r="BD211" s="785"/>
      <c r="BE211" s="785"/>
      <c r="BF211" s="785"/>
      <c r="BG211" s="785"/>
      <c r="BH211" s="785"/>
      <c r="BI211" s="785"/>
      <c r="BJ211" s="785"/>
      <c r="BK211" s="785"/>
      <c r="BL211" s="785"/>
      <c r="BM211" s="785"/>
      <c r="BN211" s="785"/>
      <c r="BO211" s="785"/>
      <c r="BP211" s="785"/>
      <c r="BQ211" s="785"/>
      <c r="BR211" s="785"/>
      <c r="BS211" s="785"/>
      <c r="BT211" s="785"/>
      <c r="BU211" s="785"/>
      <c r="BV211" s="785"/>
      <c r="BW211" s="785"/>
      <c r="BX211" s="785"/>
      <c r="BY211" s="785"/>
      <c r="BZ211" s="785"/>
    </row>
    <row r="212" spans="39:78" s="143" customFormat="1">
      <c r="AM212" s="785"/>
      <c r="AN212" s="785"/>
      <c r="AO212" s="785"/>
      <c r="AP212" s="785"/>
      <c r="AQ212" s="785"/>
      <c r="AR212" s="785"/>
      <c r="AS212" s="785"/>
      <c r="AT212" s="785"/>
      <c r="AU212" s="785"/>
      <c r="AV212" s="785"/>
      <c r="AW212" s="785"/>
      <c r="AX212" s="785"/>
      <c r="AY212" s="785"/>
      <c r="AZ212" s="785"/>
      <c r="BA212" s="785"/>
      <c r="BB212" s="785"/>
      <c r="BC212" s="785"/>
      <c r="BD212" s="785"/>
      <c r="BE212" s="785"/>
      <c r="BF212" s="785"/>
      <c r="BG212" s="785"/>
      <c r="BH212" s="785"/>
      <c r="BI212" s="785"/>
      <c r="BJ212" s="785"/>
      <c r="BK212" s="785"/>
      <c r="BL212" s="785"/>
      <c r="BM212" s="785"/>
      <c r="BN212" s="785"/>
      <c r="BO212" s="785"/>
      <c r="BP212" s="785"/>
      <c r="BQ212" s="785"/>
      <c r="BR212" s="785"/>
      <c r="BS212" s="785"/>
      <c r="BT212" s="785"/>
      <c r="BU212" s="785"/>
      <c r="BV212" s="785"/>
      <c r="BW212" s="785"/>
      <c r="BX212" s="785"/>
      <c r="BY212" s="785"/>
      <c r="BZ212" s="785"/>
    </row>
    <row r="213" spans="39:78" s="143" customFormat="1">
      <c r="AM213" s="785"/>
      <c r="AN213" s="785"/>
      <c r="AO213" s="785"/>
      <c r="AP213" s="785"/>
      <c r="AQ213" s="785"/>
      <c r="AR213" s="785"/>
      <c r="AS213" s="785"/>
      <c r="AT213" s="785"/>
      <c r="AU213" s="785"/>
      <c r="AV213" s="785"/>
      <c r="AW213" s="785"/>
      <c r="AX213" s="785"/>
      <c r="AY213" s="785"/>
      <c r="AZ213" s="785"/>
      <c r="BA213" s="785"/>
      <c r="BB213" s="785"/>
      <c r="BC213" s="785"/>
      <c r="BD213" s="785"/>
      <c r="BE213" s="785"/>
      <c r="BF213" s="785"/>
      <c r="BG213" s="785"/>
      <c r="BH213" s="785"/>
      <c r="BI213" s="785"/>
      <c r="BJ213" s="785"/>
      <c r="BK213" s="785"/>
      <c r="BL213" s="785"/>
      <c r="BM213" s="785"/>
      <c r="BN213" s="785"/>
      <c r="BO213" s="785"/>
      <c r="BP213" s="785"/>
      <c r="BQ213" s="785"/>
      <c r="BR213" s="785"/>
      <c r="BS213" s="785"/>
      <c r="BT213" s="785"/>
      <c r="BU213" s="785"/>
      <c r="BV213" s="785"/>
      <c r="BW213" s="785"/>
      <c r="BX213" s="785"/>
      <c r="BY213" s="785"/>
      <c r="BZ213" s="785"/>
    </row>
    <row r="214" spans="39:78" s="143" customFormat="1">
      <c r="AM214" s="785"/>
      <c r="AN214" s="785"/>
      <c r="AO214" s="785"/>
      <c r="AP214" s="785"/>
      <c r="AQ214" s="785"/>
      <c r="AR214" s="785"/>
      <c r="AS214" s="785"/>
      <c r="AT214" s="785"/>
      <c r="AU214" s="785"/>
      <c r="AV214" s="785"/>
      <c r="AW214" s="785"/>
      <c r="AX214" s="785"/>
      <c r="AY214" s="785"/>
      <c r="AZ214" s="785"/>
      <c r="BA214" s="785"/>
      <c r="BB214" s="785"/>
      <c r="BC214" s="785"/>
      <c r="BD214" s="785"/>
      <c r="BE214" s="785"/>
      <c r="BF214" s="785"/>
      <c r="BG214" s="785"/>
      <c r="BH214" s="785"/>
      <c r="BI214" s="785"/>
      <c r="BJ214" s="785"/>
      <c r="BK214" s="785"/>
      <c r="BL214" s="785"/>
      <c r="BM214" s="785"/>
      <c r="BN214" s="785"/>
      <c r="BO214" s="785"/>
      <c r="BP214" s="785"/>
      <c r="BQ214" s="785"/>
      <c r="BR214" s="785"/>
      <c r="BS214" s="785"/>
      <c r="BT214" s="785"/>
      <c r="BU214" s="785"/>
      <c r="BV214" s="785"/>
      <c r="BW214" s="785"/>
      <c r="BX214" s="785"/>
      <c r="BY214" s="785"/>
      <c r="BZ214" s="785"/>
    </row>
    <row r="215" spans="39:78" s="143" customFormat="1">
      <c r="AM215" s="785"/>
      <c r="AN215" s="785"/>
      <c r="AO215" s="785"/>
      <c r="AP215" s="785"/>
      <c r="AQ215" s="785"/>
      <c r="AR215" s="785"/>
      <c r="AS215" s="785"/>
      <c r="AT215" s="785"/>
      <c r="AU215" s="785"/>
      <c r="AV215" s="785"/>
      <c r="AW215" s="785"/>
      <c r="AX215" s="785"/>
      <c r="AY215" s="785"/>
      <c r="AZ215" s="785"/>
      <c r="BA215" s="785"/>
      <c r="BB215" s="785"/>
      <c r="BC215" s="785"/>
      <c r="BD215" s="785"/>
      <c r="BE215" s="785"/>
      <c r="BF215" s="785"/>
      <c r="BG215" s="785"/>
      <c r="BH215" s="785"/>
      <c r="BI215" s="785"/>
      <c r="BJ215" s="785"/>
      <c r="BK215" s="785"/>
      <c r="BL215" s="785"/>
      <c r="BM215" s="785"/>
      <c r="BN215" s="785"/>
      <c r="BO215" s="785"/>
      <c r="BP215" s="785"/>
      <c r="BQ215" s="785"/>
      <c r="BR215" s="785"/>
      <c r="BS215" s="785"/>
      <c r="BT215" s="785"/>
      <c r="BU215" s="785"/>
      <c r="BV215" s="785"/>
      <c r="BW215" s="785"/>
      <c r="BX215" s="785"/>
      <c r="BY215" s="785"/>
      <c r="BZ215" s="785"/>
    </row>
    <row r="216" spans="39:78" s="143" customFormat="1">
      <c r="AM216" s="785"/>
      <c r="AN216" s="785"/>
      <c r="AO216" s="785"/>
      <c r="AP216" s="785"/>
      <c r="AQ216" s="785"/>
      <c r="AR216" s="785"/>
      <c r="AS216" s="785"/>
      <c r="AT216" s="785"/>
      <c r="AU216" s="785"/>
      <c r="AV216" s="785"/>
      <c r="AW216" s="785"/>
      <c r="AX216" s="785"/>
      <c r="AY216" s="785"/>
      <c r="AZ216" s="785"/>
      <c r="BA216" s="785"/>
      <c r="BB216" s="785"/>
      <c r="BC216" s="785"/>
      <c r="BD216" s="785"/>
      <c r="BE216" s="785"/>
      <c r="BF216" s="785"/>
      <c r="BG216" s="785"/>
      <c r="BH216" s="785"/>
      <c r="BI216" s="785"/>
      <c r="BJ216" s="785"/>
      <c r="BK216" s="785"/>
      <c r="BL216" s="785"/>
      <c r="BM216" s="785"/>
      <c r="BN216" s="785"/>
      <c r="BO216" s="785"/>
      <c r="BP216" s="785"/>
      <c r="BQ216" s="785"/>
      <c r="BR216" s="785"/>
      <c r="BS216" s="785"/>
      <c r="BT216" s="785"/>
      <c r="BU216" s="785"/>
      <c r="BV216" s="785"/>
      <c r="BW216" s="785"/>
      <c r="BX216" s="785"/>
      <c r="BY216" s="785"/>
      <c r="BZ216" s="785"/>
    </row>
    <row r="217" spans="39:78" s="143" customFormat="1">
      <c r="AM217" s="785"/>
      <c r="AN217" s="785"/>
      <c r="AO217" s="785"/>
      <c r="AP217" s="785"/>
      <c r="AQ217" s="785"/>
      <c r="AR217" s="785"/>
      <c r="AS217" s="785"/>
      <c r="AT217" s="785"/>
      <c r="AU217" s="785"/>
      <c r="AV217" s="785"/>
      <c r="AW217" s="785"/>
      <c r="AX217" s="785"/>
      <c r="AY217" s="785"/>
      <c r="AZ217" s="785"/>
      <c r="BA217" s="785"/>
      <c r="BB217" s="785"/>
      <c r="BC217" s="785"/>
      <c r="BD217" s="785"/>
      <c r="BE217" s="785"/>
      <c r="BF217" s="785"/>
      <c r="BG217" s="785"/>
      <c r="BH217" s="785"/>
      <c r="BI217" s="785"/>
      <c r="BJ217" s="785"/>
      <c r="BK217" s="785"/>
      <c r="BL217" s="785"/>
      <c r="BM217" s="785"/>
      <c r="BN217" s="785"/>
      <c r="BO217" s="785"/>
      <c r="BP217" s="785"/>
      <c r="BQ217" s="785"/>
      <c r="BR217" s="785"/>
      <c r="BS217" s="785"/>
      <c r="BT217" s="785"/>
      <c r="BU217" s="785"/>
      <c r="BV217" s="785"/>
      <c r="BW217" s="785"/>
      <c r="BX217" s="785"/>
      <c r="BY217" s="785"/>
      <c r="BZ217" s="785"/>
    </row>
    <row r="218" spans="39:78" s="143" customFormat="1">
      <c r="AM218" s="785"/>
      <c r="AN218" s="785"/>
      <c r="AO218" s="785"/>
      <c r="AP218" s="785"/>
      <c r="AQ218" s="785"/>
      <c r="AR218" s="785"/>
      <c r="AS218" s="785"/>
      <c r="AT218" s="785"/>
      <c r="AU218" s="785"/>
      <c r="AV218" s="785"/>
      <c r="AW218" s="785"/>
      <c r="AX218" s="785"/>
      <c r="AY218" s="785"/>
      <c r="AZ218" s="785"/>
      <c r="BA218" s="785"/>
      <c r="BB218" s="785"/>
      <c r="BC218" s="785"/>
      <c r="BD218" s="785"/>
      <c r="BE218" s="785"/>
      <c r="BF218" s="785"/>
      <c r="BG218" s="785"/>
      <c r="BH218" s="785"/>
      <c r="BI218" s="785"/>
      <c r="BJ218" s="785"/>
      <c r="BK218" s="785"/>
      <c r="BL218" s="785"/>
      <c r="BM218" s="785"/>
      <c r="BN218" s="785"/>
      <c r="BO218" s="785"/>
      <c r="BP218" s="785"/>
      <c r="BQ218" s="785"/>
      <c r="BR218" s="785"/>
      <c r="BS218" s="785"/>
      <c r="BT218" s="785"/>
      <c r="BU218" s="785"/>
      <c r="BV218" s="785"/>
      <c r="BW218" s="785"/>
      <c r="BX218" s="785"/>
      <c r="BY218" s="785"/>
      <c r="BZ218" s="785"/>
    </row>
    <row r="219" spans="39:78" s="143" customFormat="1">
      <c r="AM219" s="785"/>
      <c r="AN219" s="785"/>
      <c r="AO219" s="785"/>
      <c r="AP219" s="785"/>
      <c r="AQ219" s="785"/>
      <c r="AR219" s="785"/>
      <c r="AS219" s="785"/>
      <c r="AT219" s="785"/>
      <c r="AU219" s="785"/>
      <c r="AV219" s="785"/>
      <c r="AW219" s="785"/>
      <c r="AX219" s="785"/>
      <c r="AY219" s="785"/>
      <c r="AZ219" s="785"/>
      <c r="BA219" s="785"/>
      <c r="BB219" s="785"/>
      <c r="BC219" s="785"/>
      <c r="BD219" s="785"/>
      <c r="BE219" s="785"/>
      <c r="BF219" s="785"/>
      <c r="BG219" s="785"/>
      <c r="BH219" s="785"/>
      <c r="BI219" s="785"/>
      <c r="BJ219" s="785"/>
      <c r="BK219" s="785"/>
      <c r="BL219" s="785"/>
      <c r="BM219" s="785"/>
      <c r="BN219" s="785"/>
      <c r="BO219" s="785"/>
      <c r="BP219" s="785"/>
      <c r="BQ219" s="785"/>
      <c r="BR219" s="785"/>
      <c r="BS219" s="785"/>
      <c r="BT219" s="785"/>
      <c r="BU219" s="785"/>
      <c r="BV219" s="785"/>
      <c r="BW219" s="785"/>
      <c r="BX219" s="785"/>
      <c r="BY219" s="785"/>
      <c r="BZ219" s="785"/>
    </row>
    <row r="220" spans="39:78" s="143" customFormat="1">
      <c r="AM220" s="785"/>
      <c r="AN220" s="785"/>
      <c r="AO220" s="785"/>
      <c r="AP220" s="785"/>
      <c r="AQ220" s="785"/>
      <c r="AR220" s="785"/>
      <c r="AS220" s="785"/>
      <c r="AT220" s="785"/>
      <c r="AU220" s="785"/>
      <c r="AV220" s="785"/>
      <c r="AW220" s="785"/>
      <c r="AX220" s="785"/>
      <c r="AY220" s="785"/>
      <c r="AZ220" s="785"/>
      <c r="BA220" s="785"/>
      <c r="BB220" s="785"/>
      <c r="BC220" s="785"/>
      <c r="BD220" s="785"/>
      <c r="BE220" s="785"/>
      <c r="BF220" s="785"/>
      <c r="BG220" s="785"/>
      <c r="BH220" s="785"/>
      <c r="BI220" s="785"/>
      <c r="BJ220" s="785"/>
      <c r="BK220" s="785"/>
      <c r="BL220" s="785"/>
      <c r="BM220" s="785"/>
      <c r="BN220" s="785"/>
      <c r="BO220" s="785"/>
      <c r="BP220" s="785"/>
      <c r="BQ220" s="785"/>
      <c r="BR220" s="785"/>
      <c r="BS220" s="785"/>
      <c r="BT220" s="785"/>
      <c r="BU220" s="785"/>
      <c r="BV220" s="785"/>
      <c r="BW220" s="785"/>
      <c r="BX220" s="785"/>
      <c r="BY220" s="785"/>
      <c r="BZ220" s="785"/>
    </row>
    <row r="221" spans="39:78" s="143" customFormat="1">
      <c r="AM221" s="785"/>
      <c r="AN221" s="785"/>
      <c r="AO221" s="785"/>
      <c r="AP221" s="785"/>
      <c r="AQ221" s="785"/>
      <c r="AR221" s="785"/>
      <c r="AS221" s="785"/>
      <c r="AT221" s="785"/>
      <c r="AU221" s="785"/>
      <c r="AV221" s="785"/>
      <c r="AW221" s="785"/>
      <c r="AX221" s="785"/>
      <c r="AY221" s="785"/>
      <c r="AZ221" s="785"/>
      <c r="BA221" s="785"/>
      <c r="BB221" s="785"/>
      <c r="BC221" s="785"/>
      <c r="BD221" s="785"/>
      <c r="BE221" s="785"/>
      <c r="BF221" s="785"/>
      <c r="BG221" s="785"/>
      <c r="BH221" s="785"/>
      <c r="BI221" s="785"/>
      <c r="BJ221" s="785"/>
      <c r="BK221" s="785"/>
      <c r="BL221" s="785"/>
      <c r="BM221" s="785"/>
      <c r="BN221" s="785"/>
      <c r="BO221" s="785"/>
      <c r="BP221" s="785"/>
      <c r="BQ221" s="785"/>
      <c r="BR221" s="785"/>
      <c r="BS221" s="785"/>
      <c r="BT221" s="785"/>
      <c r="BU221" s="785"/>
      <c r="BV221" s="785"/>
      <c r="BW221" s="785"/>
      <c r="BX221" s="785"/>
      <c r="BY221" s="785"/>
      <c r="BZ221" s="785"/>
    </row>
    <row r="222" spans="39:78" s="143" customFormat="1">
      <c r="AM222" s="785"/>
      <c r="AN222" s="785"/>
      <c r="AO222" s="785"/>
      <c r="AP222" s="785"/>
      <c r="AQ222" s="785"/>
      <c r="AR222" s="785"/>
      <c r="AS222" s="785"/>
      <c r="AT222" s="785"/>
      <c r="AU222" s="785"/>
      <c r="AV222" s="785"/>
      <c r="AW222" s="785"/>
      <c r="AX222" s="785"/>
      <c r="AY222" s="785"/>
      <c r="AZ222" s="785"/>
      <c r="BA222" s="785"/>
      <c r="BB222" s="785"/>
      <c r="BC222" s="785"/>
      <c r="BD222" s="785"/>
      <c r="BE222" s="785"/>
      <c r="BF222" s="785"/>
      <c r="BG222" s="785"/>
      <c r="BH222" s="785"/>
      <c r="BI222" s="785"/>
      <c r="BJ222" s="785"/>
      <c r="BK222" s="785"/>
      <c r="BL222" s="785"/>
      <c r="BM222" s="785"/>
      <c r="BN222" s="785"/>
      <c r="BO222" s="785"/>
      <c r="BP222" s="785"/>
      <c r="BQ222" s="785"/>
      <c r="BR222" s="785"/>
      <c r="BS222" s="785"/>
      <c r="BT222" s="785"/>
      <c r="BU222" s="785"/>
      <c r="BV222" s="785"/>
      <c r="BW222" s="785"/>
      <c r="BX222" s="785"/>
      <c r="BY222" s="785"/>
      <c r="BZ222" s="785"/>
    </row>
    <row r="223" spans="39:78" s="143" customFormat="1">
      <c r="AM223" s="785"/>
      <c r="AN223" s="785"/>
      <c r="AO223" s="785"/>
      <c r="AP223" s="785"/>
      <c r="AQ223" s="785"/>
      <c r="AR223" s="785"/>
      <c r="AS223" s="785"/>
      <c r="AT223" s="785"/>
      <c r="AU223" s="785"/>
      <c r="AV223" s="785"/>
      <c r="AW223" s="785"/>
      <c r="AX223" s="785"/>
      <c r="AY223" s="785"/>
      <c r="AZ223" s="785"/>
      <c r="BA223" s="785"/>
      <c r="BB223" s="785"/>
      <c r="BC223" s="785"/>
      <c r="BD223" s="785"/>
      <c r="BE223" s="785"/>
      <c r="BF223" s="785"/>
      <c r="BG223" s="785"/>
      <c r="BH223" s="785"/>
      <c r="BI223" s="785"/>
      <c r="BJ223" s="785"/>
      <c r="BK223" s="785"/>
      <c r="BL223" s="785"/>
      <c r="BM223" s="785"/>
      <c r="BN223" s="785"/>
      <c r="BO223" s="785"/>
      <c r="BP223" s="785"/>
      <c r="BQ223" s="785"/>
      <c r="BR223" s="785"/>
      <c r="BS223" s="785"/>
      <c r="BT223" s="785"/>
      <c r="BU223" s="785"/>
      <c r="BV223" s="785"/>
      <c r="BW223" s="785"/>
      <c r="BX223" s="785"/>
      <c r="BY223" s="785"/>
      <c r="BZ223" s="785"/>
    </row>
    <row r="224" spans="39:78" s="143" customFormat="1">
      <c r="AM224" s="785"/>
      <c r="AN224" s="785"/>
      <c r="AO224" s="785"/>
      <c r="AP224" s="785"/>
      <c r="AQ224" s="785"/>
      <c r="AR224" s="785"/>
      <c r="AS224" s="785"/>
      <c r="AT224" s="785"/>
      <c r="AU224" s="785"/>
      <c r="AV224" s="785"/>
      <c r="AW224" s="785"/>
      <c r="AX224" s="785"/>
      <c r="AY224" s="785"/>
      <c r="AZ224" s="785"/>
      <c r="BA224" s="785"/>
      <c r="BB224" s="785"/>
      <c r="BC224" s="785"/>
      <c r="BD224" s="785"/>
      <c r="BE224" s="785"/>
      <c r="BF224" s="785"/>
      <c r="BG224" s="785"/>
      <c r="BH224" s="785"/>
      <c r="BI224" s="785"/>
      <c r="BJ224" s="785"/>
      <c r="BK224" s="785"/>
      <c r="BL224" s="785"/>
      <c r="BM224" s="785"/>
      <c r="BN224" s="785"/>
      <c r="BO224" s="785"/>
      <c r="BP224" s="785"/>
      <c r="BQ224" s="785"/>
      <c r="BR224" s="785"/>
      <c r="BS224" s="785"/>
      <c r="BT224" s="785"/>
      <c r="BU224" s="785"/>
      <c r="BV224" s="785"/>
      <c r="BW224" s="785"/>
      <c r="BX224" s="785"/>
      <c r="BY224" s="785"/>
      <c r="BZ224" s="785"/>
    </row>
    <row r="225" spans="39:78" s="143" customFormat="1">
      <c r="AM225" s="785"/>
      <c r="AN225" s="785"/>
      <c r="AO225" s="785"/>
      <c r="AP225" s="785"/>
      <c r="AQ225" s="785"/>
      <c r="AR225" s="785"/>
      <c r="AS225" s="785"/>
      <c r="AT225" s="785"/>
      <c r="AU225" s="785"/>
      <c r="AV225" s="785"/>
      <c r="AW225" s="785"/>
      <c r="AX225" s="785"/>
      <c r="AY225" s="785"/>
      <c r="AZ225" s="785"/>
      <c r="BA225" s="785"/>
      <c r="BB225" s="785"/>
      <c r="BC225" s="785"/>
      <c r="BD225" s="785"/>
      <c r="BE225" s="785"/>
      <c r="BF225" s="785"/>
      <c r="BG225" s="785"/>
      <c r="BH225" s="785"/>
      <c r="BI225" s="785"/>
      <c r="BJ225" s="785"/>
      <c r="BK225" s="785"/>
      <c r="BL225" s="785"/>
      <c r="BM225" s="785"/>
      <c r="BN225" s="785"/>
      <c r="BO225" s="785"/>
      <c r="BP225" s="785"/>
      <c r="BQ225" s="785"/>
      <c r="BR225" s="785"/>
      <c r="BS225" s="785"/>
      <c r="BT225" s="785"/>
      <c r="BU225" s="785"/>
      <c r="BV225" s="785"/>
      <c r="BW225" s="785"/>
      <c r="BX225" s="785"/>
      <c r="BY225" s="785"/>
      <c r="BZ225" s="785"/>
    </row>
    <row r="226" spans="39:78" s="143" customFormat="1">
      <c r="AM226" s="785"/>
      <c r="AN226" s="785"/>
      <c r="AO226" s="785"/>
      <c r="AP226" s="785"/>
      <c r="AQ226" s="785"/>
      <c r="AR226" s="785"/>
      <c r="AS226" s="785"/>
      <c r="AT226" s="785"/>
      <c r="AU226" s="785"/>
      <c r="AV226" s="785"/>
      <c r="AW226" s="785"/>
      <c r="AX226" s="785"/>
      <c r="AY226" s="785"/>
      <c r="AZ226" s="785"/>
      <c r="BA226" s="785"/>
      <c r="BB226" s="785"/>
      <c r="BC226" s="785"/>
      <c r="BD226" s="785"/>
      <c r="BE226" s="785"/>
      <c r="BF226" s="785"/>
      <c r="BG226" s="785"/>
      <c r="BH226" s="785"/>
      <c r="BI226" s="785"/>
      <c r="BJ226" s="785"/>
      <c r="BK226" s="785"/>
      <c r="BL226" s="785"/>
      <c r="BM226" s="785"/>
      <c r="BN226" s="785"/>
      <c r="BO226" s="785"/>
      <c r="BP226" s="785"/>
      <c r="BQ226" s="785"/>
      <c r="BR226" s="785"/>
      <c r="BS226" s="785"/>
      <c r="BT226" s="785"/>
      <c r="BU226" s="785"/>
      <c r="BV226" s="785"/>
      <c r="BW226" s="785"/>
      <c r="BX226" s="785"/>
      <c r="BY226" s="785"/>
      <c r="BZ226" s="785"/>
    </row>
    <row r="227" spans="39:78" s="143" customFormat="1">
      <c r="AM227" s="785"/>
      <c r="AN227" s="785"/>
      <c r="AO227" s="785"/>
      <c r="AP227" s="785"/>
      <c r="AQ227" s="785"/>
      <c r="AR227" s="785"/>
      <c r="AS227" s="785"/>
      <c r="AT227" s="785"/>
      <c r="AU227" s="785"/>
      <c r="AV227" s="785"/>
      <c r="AW227" s="785"/>
      <c r="AX227" s="785"/>
      <c r="AY227" s="785"/>
      <c r="AZ227" s="785"/>
      <c r="BA227" s="785"/>
      <c r="BB227" s="785"/>
      <c r="BC227" s="785"/>
      <c r="BD227" s="785"/>
      <c r="BE227" s="785"/>
      <c r="BF227" s="785"/>
      <c r="BG227" s="785"/>
      <c r="BH227" s="785"/>
      <c r="BI227" s="785"/>
      <c r="BJ227" s="785"/>
      <c r="BK227" s="785"/>
      <c r="BL227" s="785"/>
      <c r="BM227" s="785"/>
      <c r="BN227" s="785"/>
      <c r="BO227" s="785"/>
      <c r="BP227" s="785"/>
      <c r="BQ227" s="785"/>
      <c r="BR227" s="785"/>
      <c r="BS227" s="785"/>
      <c r="BT227" s="785"/>
      <c r="BU227" s="785"/>
      <c r="BV227" s="785"/>
      <c r="BW227" s="785"/>
      <c r="BX227" s="785"/>
      <c r="BY227" s="785"/>
      <c r="BZ227" s="785"/>
    </row>
    <row r="228" spans="39:78" s="143" customFormat="1">
      <c r="AM228" s="785"/>
      <c r="AN228" s="785"/>
      <c r="AO228" s="785"/>
      <c r="AP228" s="785"/>
      <c r="AQ228" s="785"/>
      <c r="AR228" s="785"/>
      <c r="AS228" s="785"/>
      <c r="AT228" s="785"/>
      <c r="AU228" s="785"/>
      <c r="AV228" s="785"/>
      <c r="AW228" s="785"/>
      <c r="AX228" s="785"/>
      <c r="AY228" s="785"/>
      <c r="AZ228" s="785"/>
      <c r="BA228" s="785"/>
      <c r="BB228" s="785"/>
      <c r="BC228" s="785"/>
      <c r="BD228" s="785"/>
      <c r="BE228" s="785"/>
      <c r="BF228" s="785"/>
      <c r="BG228" s="785"/>
      <c r="BH228" s="785"/>
      <c r="BI228" s="785"/>
      <c r="BJ228" s="785"/>
      <c r="BK228" s="785"/>
      <c r="BL228" s="785"/>
      <c r="BM228" s="785"/>
      <c r="BN228" s="785"/>
      <c r="BO228" s="785"/>
      <c r="BP228" s="785"/>
      <c r="BQ228" s="785"/>
      <c r="BR228" s="785"/>
      <c r="BS228" s="785"/>
      <c r="BT228" s="785"/>
      <c r="BU228" s="785"/>
      <c r="BV228" s="785"/>
      <c r="BW228" s="785"/>
      <c r="BX228" s="785"/>
      <c r="BY228" s="785"/>
      <c r="BZ228" s="785"/>
    </row>
    <row r="229" spans="39:78" s="143" customFormat="1">
      <c r="AM229" s="782"/>
      <c r="AN229" s="782"/>
      <c r="AO229" s="782"/>
      <c r="AP229" s="782"/>
      <c r="AQ229" s="782"/>
      <c r="AR229" s="782"/>
      <c r="AS229" s="782"/>
      <c r="AT229" s="782"/>
      <c r="AU229" s="782"/>
      <c r="AV229" s="782"/>
      <c r="AW229" s="782"/>
      <c r="AX229" s="782"/>
      <c r="AY229" s="782"/>
      <c r="AZ229" s="782"/>
      <c r="BA229" s="782"/>
      <c r="BB229" s="782"/>
      <c r="BC229" s="782"/>
      <c r="BD229" s="782"/>
      <c r="BE229" s="782"/>
      <c r="BF229" s="782"/>
      <c r="BG229" s="782"/>
      <c r="BH229" s="782"/>
      <c r="BI229" s="782"/>
      <c r="BJ229" s="782"/>
      <c r="BK229" s="782"/>
      <c r="BL229" s="782"/>
      <c r="BM229" s="782"/>
      <c r="BN229" s="782"/>
      <c r="BO229" s="782"/>
      <c r="BP229" s="782"/>
      <c r="BQ229" s="782"/>
      <c r="BR229" s="782"/>
      <c r="BS229" s="782"/>
      <c r="BT229" s="782"/>
      <c r="BU229" s="782"/>
      <c r="BV229" s="782"/>
      <c r="BW229" s="782"/>
      <c r="BX229" s="782"/>
      <c r="BY229" s="782"/>
      <c r="BZ229" s="782"/>
    </row>
    <row r="230" spans="39:78" s="143" customFormat="1">
      <c r="AM230" s="782"/>
      <c r="AN230" s="782"/>
      <c r="AO230" s="782"/>
      <c r="AP230" s="782"/>
      <c r="AQ230" s="782"/>
      <c r="AR230" s="782"/>
      <c r="AS230" s="782"/>
      <c r="AT230" s="782"/>
      <c r="AU230" s="782"/>
      <c r="AV230" s="782"/>
      <c r="AW230" s="782"/>
      <c r="AX230" s="782"/>
      <c r="AY230" s="782"/>
      <c r="AZ230" s="782"/>
      <c r="BA230" s="782"/>
      <c r="BB230" s="782"/>
      <c r="BC230" s="782"/>
      <c r="BD230" s="782"/>
      <c r="BE230" s="782"/>
      <c r="BF230" s="782"/>
      <c r="BG230" s="782"/>
      <c r="BH230" s="782"/>
      <c r="BI230" s="782"/>
      <c r="BJ230" s="782"/>
      <c r="BK230" s="782"/>
      <c r="BL230" s="782"/>
      <c r="BM230" s="782"/>
      <c r="BN230" s="782"/>
      <c r="BO230" s="782"/>
      <c r="BP230" s="782"/>
      <c r="BQ230" s="782"/>
      <c r="BR230" s="782"/>
      <c r="BS230" s="782"/>
      <c r="BT230" s="782"/>
      <c r="BU230" s="782"/>
      <c r="BV230" s="782"/>
      <c r="BW230" s="782"/>
      <c r="BX230" s="782"/>
      <c r="BY230" s="782"/>
      <c r="BZ230" s="782"/>
    </row>
    <row r="231" spans="39:78" s="143" customFormat="1">
      <c r="AM231" s="782"/>
      <c r="AN231" s="782"/>
      <c r="AO231" s="782"/>
      <c r="AP231" s="782"/>
      <c r="AQ231" s="782"/>
      <c r="AR231" s="782"/>
      <c r="AS231" s="782"/>
      <c r="AT231" s="782"/>
      <c r="AU231" s="782"/>
      <c r="AV231" s="782"/>
      <c r="AW231" s="782"/>
      <c r="AX231" s="782"/>
      <c r="AY231" s="782"/>
      <c r="AZ231" s="782"/>
      <c r="BA231" s="782"/>
      <c r="BB231" s="782"/>
      <c r="BC231" s="782"/>
      <c r="BD231" s="782"/>
      <c r="BE231" s="782"/>
      <c r="BF231" s="782"/>
      <c r="BG231" s="782"/>
      <c r="BH231" s="782"/>
      <c r="BI231" s="782"/>
      <c r="BJ231" s="782"/>
      <c r="BK231" s="782"/>
      <c r="BL231" s="782"/>
      <c r="BM231" s="782"/>
      <c r="BN231" s="782"/>
      <c r="BO231" s="782"/>
      <c r="BP231" s="782"/>
      <c r="BQ231" s="782"/>
      <c r="BR231" s="782"/>
      <c r="BS231" s="782"/>
      <c r="BT231" s="782"/>
      <c r="BU231" s="782"/>
      <c r="BV231" s="782"/>
      <c r="BW231" s="782"/>
      <c r="BX231" s="782"/>
      <c r="BY231" s="782"/>
      <c r="BZ231" s="782"/>
    </row>
    <row r="232" spans="39:78" s="143" customFormat="1">
      <c r="AM232" s="782"/>
      <c r="AN232" s="782"/>
      <c r="AO232" s="782"/>
      <c r="AP232" s="782"/>
      <c r="AQ232" s="782"/>
      <c r="AR232" s="782"/>
      <c r="AS232" s="782"/>
      <c r="AT232" s="782"/>
      <c r="AU232" s="782"/>
      <c r="AV232" s="782"/>
      <c r="AW232" s="782"/>
      <c r="AX232" s="782"/>
      <c r="AY232" s="782"/>
      <c r="AZ232" s="782"/>
      <c r="BA232" s="782"/>
      <c r="BB232" s="782"/>
      <c r="BC232" s="782"/>
      <c r="BD232" s="782"/>
      <c r="BE232" s="782"/>
      <c r="BF232" s="782"/>
      <c r="BG232" s="782"/>
      <c r="BH232" s="782"/>
      <c r="BI232" s="782"/>
      <c r="BJ232" s="782"/>
      <c r="BK232" s="782"/>
      <c r="BL232" s="782"/>
      <c r="BM232" s="782"/>
      <c r="BN232" s="782"/>
      <c r="BO232" s="782"/>
      <c r="BP232" s="782"/>
      <c r="BQ232" s="782"/>
      <c r="BR232" s="782"/>
      <c r="BS232" s="782"/>
      <c r="BT232" s="782"/>
      <c r="BU232" s="782"/>
      <c r="BV232" s="782"/>
      <c r="BW232" s="782"/>
      <c r="BX232" s="782"/>
      <c r="BY232" s="782"/>
      <c r="BZ232" s="782"/>
    </row>
    <row r="233" spans="39:78" s="143" customFormat="1">
      <c r="AM233" s="782"/>
      <c r="AN233" s="782"/>
      <c r="AO233" s="782"/>
      <c r="AP233" s="782"/>
      <c r="AQ233" s="782"/>
      <c r="AR233" s="782"/>
      <c r="AS233" s="782"/>
      <c r="AT233" s="782"/>
      <c r="AU233" s="782"/>
      <c r="AV233" s="782"/>
      <c r="AW233" s="782"/>
      <c r="AX233" s="782"/>
      <c r="AY233" s="782"/>
      <c r="AZ233" s="782"/>
      <c r="BA233" s="782"/>
      <c r="BB233" s="782"/>
      <c r="BC233" s="782"/>
      <c r="BD233" s="782"/>
      <c r="BE233" s="782"/>
      <c r="BF233" s="782"/>
      <c r="BG233" s="782"/>
      <c r="BH233" s="782"/>
      <c r="BI233" s="782"/>
      <c r="BJ233" s="782"/>
      <c r="BK233" s="782"/>
      <c r="BL233" s="782"/>
      <c r="BM233" s="782"/>
      <c r="BN233" s="782"/>
      <c r="BO233" s="782"/>
      <c r="BP233" s="782"/>
      <c r="BQ233" s="782"/>
      <c r="BR233" s="782"/>
      <c r="BS233" s="782"/>
      <c r="BT233" s="782"/>
      <c r="BU233" s="782"/>
      <c r="BV233" s="782"/>
      <c r="BW233" s="782"/>
      <c r="BX233" s="782"/>
      <c r="BY233" s="782"/>
      <c r="BZ233" s="782"/>
    </row>
    <row r="234" spans="39:78" s="143" customFormat="1">
      <c r="AM234" s="782"/>
      <c r="AN234" s="782"/>
      <c r="AO234" s="782"/>
      <c r="AP234" s="782"/>
      <c r="AQ234" s="782"/>
      <c r="AR234" s="782"/>
      <c r="AS234" s="782"/>
      <c r="AT234" s="782"/>
      <c r="AU234" s="782"/>
      <c r="AV234" s="782"/>
      <c r="AW234" s="782"/>
      <c r="AX234" s="782"/>
      <c r="AY234" s="782"/>
      <c r="AZ234" s="782"/>
      <c r="BA234" s="782"/>
      <c r="BB234" s="782"/>
      <c r="BC234" s="782"/>
      <c r="BD234" s="782"/>
      <c r="BE234" s="782"/>
      <c r="BF234" s="782"/>
      <c r="BG234" s="782"/>
      <c r="BH234" s="782"/>
      <c r="BI234" s="782"/>
      <c r="BJ234" s="782"/>
      <c r="BK234" s="782"/>
      <c r="BL234" s="782"/>
      <c r="BM234" s="782"/>
      <c r="BN234" s="782"/>
      <c r="BO234" s="782"/>
      <c r="BP234" s="782"/>
      <c r="BQ234" s="782"/>
      <c r="BR234" s="782"/>
      <c r="BS234" s="782"/>
      <c r="BT234" s="782"/>
      <c r="BU234" s="782"/>
      <c r="BV234" s="782"/>
      <c r="BW234" s="782"/>
      <c r="BX234" s="782"/>
      <c r="BY234" s="782"/>
      <c r="BZ234" s="782"/>
    </row>
    <row r="235" spans="39:78" s="143" customFormat="1">
      <c r="AM235" s="782"/>
      <c r="AN235" s="782"/>
      <c r="AO235" s="782"/>
      <c r="AP235" s="782"/>
      <c r="AQ235" s="782"/>
      <c r="AR235" s="782"/>
      <c r="AS235" s="782"/>
      <c r="AT235" s="782"/>
      <c r="AU235" s="782"/>
      <c r="AV235" s="782"/>
      <c r="AW235" s="782"/>
      <c r="AX235" s="782"/>
      <c r="AY235" s="782"/>
      <c r="AZ235" s="782"/>
      <c r="BA235" s="782"/>
      <c r="BB235" s="782"/>
      <c r="BC235" s="782"/>
      <c r="BD235" s="782"/>
      <c r="BE235" s="782"/>
      <c r="BF235" s="782"/>
      <c r="BG235" s="782"/>
      <c r="BH235" s="782"/>
      <c r="BI235" s="782"/>
      <c r="BJ235" s="782"/>
      <c r="BK235" s="782"/>
      <c r="BL235" s="782"/>
      <c r="BM235" s="782"/>
      <c r="BN235" s="782"/>
      <c r="BO235" s="782"/>
      <c r="BP235" s="782"/>
      <c r="BQ235" s="782"/>
      <c r="BR235" s="782"/>
      <c r="BS235" s="782"/>
      <c r="BT235" s="782"/>
      <c r="BU235" s="782"/>
      <c r="BV235" s="782"/>
      <c r="BW235" s="782"/>
      <c r="BX235" s="782"/>
      <c r="BY235" s="782"/>
      <c r="BZ235" s="782"/>
    </row>
    <row r="236" spans="39:78" s="143" customFormat="1">
      <c r="AM236" s="782"/>
      <c r="AN236" s="782"/>
      <c r="AO236" s="782"/>
      <c r="AP236" s="782"/>
      <c r="AQ236" s="782"/>
      <c r="AR236" s="782"/>
      <c r="AS236" s="782"/>
      <c r="AT236" s="782"/>
      <c r="AU236" s="782"/>
      <c r="AV236" s="782"/>
      <c r="AW236" s="782"/>
      <c r="AX236" s="782"/>
      <c r="AY236" s="782"/>
      <c r="AZ236" s="782"/>
      <c r="BA236" s="782"/>
      <c r="BB236" s="782"/>
      <c r="BC236" s="782"/>
      <c r="BD236" s="782"/>
      <c r="BE236" s="782"/>
      <c r="BF236" s="782"/>
      <c r="BG236" s="782"/>
      <c r="BH236" s="782"/>
      <c r="BI236" s="782"/>
      <c r="BJ236" s="782"/>
      <c r="BK236" s="782"/>
      <c r="BL236" s="782"/>
      <c r="BM236" s="782"/>
      <c r="BN236" s="782"/>
      <c r="BO236" s="782"/>
      <c r="BP236" s="782"/>
      <c r="BQ236" s="782"/>
      <c r="BR236" s="782"/>
      <c r="BS236" s="782"/>
      <c r="BT236" s="782"/>
      <c r="BU236" s="782"/>
      <c r="BV236" s="782"/>
      <c r="BW236" s="782"/>
      <c r="BX236" s="782"/>
      <c r="BY236" s="782"/>
      <c r="BZ236" s="782"/>
    </row>
    <row r="237" spans="39:78" s="143" customFormat="1">
      <c r="AM237" s="782"/>
      <c r="AN237" s="782"/>
      <c r="AO237" s="782"/>
      <c r="AP237" s="782"/>
      <c r="AQ237" s="782"/>
      <c r="AR237" s="782"/>
      <c r="AS237" s="782"/>
      <c r="AT237" s="782"/>
      <c r="AU237" s="782"/>
      <c r="AV237" s="782"/>
      <c r="AW237" s="782"/>
      <c r="AX237" s="782"/>
      <c r="AY237" s="782"/>
      <c r="AZ237" s="782"/>
      <c r="BA237" s="782"/>
      <c r="BB237" s="782"/>
      <c r="BC237" s="782"/>
      <c r="BD237" s="782"/>
      <c r="BE237" s="782"/>
      <c r="BF237" s="782"/>
      <c r="BG237" s="782"/>
      <c r="BH237" s="782"/>
      <c r="BI237" s="782"/>
      <c r="BJ237" s="782"/>
      <c r="BK237" s="782"/>
      <c r="BL237" s="782"/>
      <c r="BM237" s="782"/>
      <c r="BN237" s="782"/>
      <c r="BO237" s="782"/>
      <c r="BP237" s="782"/>
      <c r="BQ237" s="782"/>
      <c r="BR237" s="782"/>
      <c r="BS237" s="782"/>
      <c r="BT237" s="782"/>
      <c r="BU237" s="782"/>
      <c r="BV237" s="782"/>
      <c r="BW237" s="782"/>
      <c r="BX237" s="782"/>
      <c r="BY237" s="782"/>
      <c r="BZ237" s="782"/>
    </row>
    <row r="238" spans="39:78" s="143" customFormat="1">
      <c r="AM238" s="782"/>
      <c r="AN238" s="782"/>
      <c r="AO238" s="782"/>
      <c r="AP238" s="782"/>
      <c r="AQ238" s="782"/>
      <c r="AR238" s="782"/>
      <c r="AS238" s="782"/>
      <c r="AT238" s="782"/>
      <c r="AU238" s="782"/>
      <c r="AV238" s="782"/>
      <c r="AW238" s="782"/>
      <c r="AX238" s="782"/>
      <c r="AY238" s="782"/>
      <c r="AZ238" s="782"/>
      <c r="BA238" s="782"/>
      <c r="BB238" s="782"/>
      <c r="BC238" s="782"/>
      <c r="BD238" s="782"/>
      <c r="BE238" s="782"/>
      <c r="BF238" s="782"/>
      <c r="BG238" s="782"/>
      <c r="BH238" s="782"/>
      <c r="BI238" s="782"/>
      <c r="BJ238" s="782"/>
      <c r="BK238" s="782"/>
      <c r="BL238" s="782"/>
      <c r="BM238" s="782"/>
      <c r="BN238" s="782"/>
      <c r="BO238" s="782"/>
      <c r="BP238" s="782"/>
      <c r="BQ238" s="782"/>
      <c r="BR238" s="782"/>
      <c r="BS238" s="782"/>
      <c r="BT238" s="782"/>
      <c r="BU238" s="782"/>
      <c r="BV238" s="782"/>
      <c r="BW238" s="782"/>
      <c r="BX238" s="782"/>
      <c r="BY238" s="782"/>
      <c r="BZ238" s="782"/>
    </row>
    <row r="239" spans="39:78" s="143" customFormat="1">
      <c r="AM239" s="782"/>
      <c r="AN239" s="782"/>
      <c r="AO239" s="782"/>
      <c r="AP239" s="782"/>
      <c r="AQ239" s="782"/>
      <c r="AR239" s="782"/>
      <c r="AS239" s="782"/>
      <c r="AT239" s="782"/>
      <c r="AU239" s="782"/>
      <c r="AV239" s="782"/>
      <c r="AW239" s="782"/>
      <c r="AX239" s="782"/>
      <c r="AY239" s="782"/>
      <c r="AZ239" s="782"/>
      <c r="BA239" s="782"/>
      <c r="BB239" s="782"/>
      <c r="BC239" s="782"/>
      <c r="BD239" s="782"/>
      <c r="BE239" s="782"/>
      <c r="BF239" s="782"/>
      <c r="BG239" s="782"/>
      <c r="BH239" s="782"/>
      <c r="BI239" s="782"/>
      <c r="BJ239" s="782"/>
      <c r="BK239" s="782"/>
      <c r="BL239" s="782"/>
      <c r="BM239" s="782"/>
      <c r="BN239" s="782"/>
      <c r="BO239" s="782"/>
      <c r="BP239" s="782"/>
      <c r="BQ239" s="782"/>
      <c r="BR239" s="782"/>
      <c r="BS239" s="782"/>
      <c r="BT239" s="782"/>
      <c r="BU239" s="782"/>
      <c r="BV239" s="782"/>
      <c r="BW239" s="782"/>
      <c r="BX239" s="782"/>
      <c r="BY239" s="782"/>
      <c r="BZ239" s="782"/>
    </row>
    <row r="240" spans="39:78" s="143" customFormat="1">
      <c r="AM240" s="782"/>
      <c r="AN240" s="782"/>
      <c r="AO240" s="782"/>
      <c r="AP240" s="782"/>
      <c r="AQ240" s="782"/>
      <c r="AR240" s="782"/>
      <c r="AS240" s="782"/>
      <c r="AT240" s="782"/>
      <c r="AU240" s="782"/>
      <c r="AV240" s="782"/>
      <c r="AW240" s="782"/>
      <c r="AX240" s="782"/>
      <c r="AY240" s="782"/>
      <c r="AZ240" s="782"/>
      <c r="BA240" s="782"/>
      <c r="BB240" s="782"/>
      <c r="BC240" s="782"/>
      <c r="BD240" s="782"/>
      <c r="BE240" s="782"/>
      <c r="BF240" s="782"/>
      <c r="BG240" s="782"/>
      <c r="BH240" s="782"/>
      <c r="BI240" s="782"/>
      <c r="BJ240" s="782"/>
      <c r="BK240" s="782"/>
      <c r="BL240" s="782"/>
      <c r="BM240" s="782"/>
      <c r="BN240" s="782"/>
      <c r="BO240" s="782"/>
      <c r="BP240" s="782"/>
      <c r="BQ240" s="782"/>
      <c r="BR240" s="782"/>
      <c r="BS240" s="782"/>
      <c r="BT240" s="782"/>
      <c r="BU240" s="782"/>
      <c r="BV240" s="782"/>
      <c r="BW240" s="782"/>
      <c r="BX240" s="782"/>
      <c r="BY240" s="782"/>
      <c r="BZ240" s="782"/>
    </row>
    <row r="241" spans="39:78" s="143" customFormat="1">
      <c r="AM241" s="782"/>
      <c r="AN241" s="782"/>
      <c r="AO241" s="782"/>
      <c r="AP241" s="782"/>
      <c r="AQ241" s="782"/>
      <c r="AR241" s="782"/>
      <c r="AS241" s="782"/>
      <c r="AT241" s="782"/>
      <c r="AU241" s="782"/>
      <c r="AV241" s="782"/>
      <c r="AW241" s="782"/>
      <c r="AX241" s="782"/>
      <c r="AY241" s="782"/>
      <c r="AZ241" s="782"/>
      <c r="BA241" s="782"/>
      <c r="BB241" s="782"/>
      <c r="BC241" s="782"/>
      <c r="BD241" s="782"/>
      <c r="BE241" s="782"/>
      <c r="BF241" s="782"/>
      <c r="BG241" s="782"/>
      <c r="BH241" s="782"/>
      <c r="BI241" s="782"/>
      <c r="BJ241" s="782"/>
      <c r="BK241" s="782"/>
      <c r="BL241" s="782"/>
      <c r="BM241" s="782"/>
      <c r="BN241" s="782"/>
      <c r="BO241" s="782"/>
      <c r="BP241" s="782"/>
      <c r="BQ241" s="782"/>
      <c r="BR241" s="782"/>
      <c r="BS241" s="782"/>
      <c r="BT241" s="782"/>
      <c r="BU241" s="782"/>
      <c r="BV241" s="782"/>
      <c r="BW241" s="782"/>
      <c r="BX241" s="782"/>
      <c r="BY241" s="782"/>
      <c r="BZ241" s="782"/>
    </row>
    <row r="242" spans="39:78" s="143" customFormat="1">
      <c r="AM242" s="782"/>
      <c r="AN242" s="782"/>
      <c r="AO242" s="782"/>
      <c r="AP242" s="782"/>
      <c r="AQ242" s="782"/>
      <c r="AR242" s="782"/>
      <c r="AS242" s="782"/>
      <c r="AT242" s="782"/>
      <c r="AU242" s="782"/>
      <c r="AV242" s="782"/>
      <c r="AW242" s="782"/>
      <c r="AX242" s="782"/>
      <c r="AY242" s="782"/>
      <c r="AZ242" s="782"/>
      <c r="BA242" s="782"/>
      <c r="BB242" s="782"/>
      <c r="BC242" s="782"/>
      <c r="BD242" s="782"/>
      <c r="BE242" s="782"/>
      <c r="BF242" s="782"/>
      <c r="BG242" s="782"/>
      <c r="BH242" s="782"/>
      <c r="BI242" s="782"/>
      <c r="BJ242" s="782"/>
      <c r="BK242" s="782"/>
      <c r="BL242" s="782"/>
      <c r="BM242" s="782"/>
      <c r="BN242" s="782"/>
      <c r="BO242" s="782"/>
      <c r="BP242" s="782"/>
      <c r="BQ242" s="782"/>
      <c r="BR242" s="782"/>
      <c r="BS242" s="782"/>
      <c r="BT242" s="782"/>
      <c r="BU242" s="782"/>
      <c r="BV242" s="782"/>
      <c r="BW242" s="782"/>
      <c r="BX242" s="782"/>
      <c r="BY242" s="782"/>
      <c r="BZ242" s="782"/>
    </row>
    <row r="243" spans="39:78" s="143" customFormat="1">
      <c r="AM243" s="782"/>
      <c r="AN243" s="782"/>
      <c r="AO243" s="782"/>
      <c r="AP243" s="782"/>
      <c r="AQ243" s="782"/>
      <c r="AR243" s="782"/>
      <c r="AS243" s="782"/>
      <c r="AT243" s="782"/>
      <c r="AU243" s="782"/>
      <c r="AV243" s="782"/>
      <c r="AW243" s="782"/>
      <c r="AX243" s="782"/>
      <c r="AY243" s="782"/>
      <c r="AZ243" s="782"/>
      <c r="BA243" s="782"/>
      <c r="BB243" s="782"/>
      <c r="BC243" s="782"/>
      <c r="BD243" s="782"/>
      <c r="BE243" s="782"/>
      <c r="BF243" s="782"/>
      <c r="BG243" s="782"/>
      <c r="BH243" s="782"/>
      <c r="BI243" s="782"/>
      <c r="BJ243" s="782"/>
      <c r="BK243" s="782"/>
      <c r="BL243" s="782"/>
      <c r="BM243" s="782"/>
      <c r="BN243" s="782"/>
      <c r="BO243" s="782"/>
      <c r="BP243" s="782"/>
      <c r="BQ243" s="782"/>
      <c r="BR243" s="782"/>
      <c r="BS243" s="782"/>
      <c r="BT243" s="782"/>
      <c r="BU243" s="782"/>
      <c r="BV243" s="782"/>
      <c r="BW243" s="782"/>
      <c r="BX243" s="782"/>
      <c r="BY243" s="782"/>
      <c r="BZ243" s="782"/>
    </row>
    <row r="244" spans="39:78" s="143" customFormat="1">
      <c r="AM244" s="782"/>
      <c r="AN244" s="782"/>
      <c r="AO244" s="782"/>
      <c r="AP244" s="782"/>
      <c r="AQ244" s="782"/>
      <c r="AR244" s="782"/>
      <c r="AS244" s="782"/>
      <c r="AT244" s="782"/>
      <c r="AU244" s="782"/>
      <c r="AV244" s="782"/>
      <c r="AW244" s="782"/>
      <c r="AX244" s="782"/>
      <c r="AY244" s="782"/>
      <c r="AZ244" s="782"/>
      <c r="BA244" s="782"/>
      <c r="BB244" s="782"/>
      <c r="BC244" s="782"/>
      <c r="BD244" s="782"/>
      <c r="BE244" s="782"/>
      <c r="BF244" s="782"/>
      <c r="BG244" s="782"/>
      <c r="BH244" s="782"/>
      <c r="BI244" s="782"/>
      <c r="BJ244" s="782"/>
      <c r="BK244" s="782"/>
      <c r="BL244" s="782"/>
      <c r="BM244" s="782"/>
      <c r="BN244" s="782"/>
      <c r="BO244" s="782"/>
      <c r="BP244" s="782"/>
      <c r="BQ244" s="782"/>
      <c r="BR244" s="782"/>
      <c r="BS244" s="782"/>
      <c r="BT244" s="782"/>
      <c r="BU244" s="782"/>
      <c r="BV244" s="782"/>
      <c r="BW244" s="782"/>
      <c r="BX244" s="782"/>
      <c r="BY244" s="782"/>
      <c r="BZ244" s="782"/>
    </row>
    <row r="245" spans="39:78" s="143" customFormat="1">
      <c r="AM245" s="782"/>
      <c r="AN245" s="782"/>
      <c r="AO245" s="782"/>
      <c r="AP245" s="782"/>
      <c r="AQ245" s="782"/>
      <c r="AR245" s="782"/>
      <c r="AS245" s="782"/>
      <c r="AT245" s="782"/>
      <c r="AU245" s="782"/>
      <c r="AV245" s="782"/>
      <c r="AW245" s="782"/>
      <c r="AX245" s="782"/>
      <c r="AY245" s="782"/>
      <c r="AZ245" s="782"/>
      <c r="BA245" s="782"/>
      <c r="BB245" s="782"/>
      <c r="BC245" s="782"/>
      <c r="BD245" s="782"/>
      <c r="BE245" s="782"/>
      <c r="BF245" s="782"/>
      <c r="BG245" s="782"/>
      <c r="BH245" s="782"/>
      <c r="BI245" s="782"/>
      <c r="BJ245" s="782"/>
      <c r="BK245" s="782"/>
      <c r="BL245" s="782"/>
      <c r="BM245" s="782"/>
      <c r="BN245" s="782"/>
      <c r="BO245" s="782"/>
      <c r="BP245" s="782"/>
      <c r="BQ245" s="782"/>
      <c r="BR245" s="782"/>
      <c r="BS245" s="782"/>
      <c r="BT245" s="782"/>
      <c r="BU245" s="782"/>
      <c r="BV245" s="782"/>
      <c r="BW245" s="782"/>
      <c r="BX245" s="782"/>
      <c r="BY245" s="782"/>
      <c r="BZ245" s="782"/>
    </row>
    <row r="246" spans="39:78" s="143" customFormat="1">
      <c r="AM246" s="782"/>
      <c r="AN246" s="782"/>
      <c r="AO246" s="782"/>
      <c r="AP246" s="782"/>
      <c r="AQ246" s="782"/>
      <c r="AR246" s="782"/>
      <c r="AS246" s="782"/>
      <c r="AT246" s="782"/>
      <c r="AU246" s="782"/>
      <c r="AV246" s="782"/>
      <c r="AW246" s="782"/>
      <c r="AX246" s="782"/>
      <c r="AY246" s="782"/>
      <c r="AZ246" s="782"/>
      <c r="BA246" s="782"/>
      <c r="BB246" s="782"/>
      <c r="BC246" s="782"/>
      <c r="BD246" s="782"/>
      <c r="BE246" s="782"/>
      <c r="BF246" s="782"/>
      <c r="BG246" s="782"/>
      <c r="BH246" s="782"/>
      <c r="BI246" s="782"/>
      <c r="BJ246" s="782"/>
      <c r="BK246" s="782"/>
      <c r="BL246" s="782"/>
      <c r="BM246" s="782"/>
      <c r="BN246" s="782"/>
      <c r="BO246" s="782"/>
      <c r="BP246" s="782"/>
      <c r="BQ246" s="782"/>
      <c r="BR246" s="782"/>
      <c r="BS246" s="782"/>
      <c r="BT246" s="782"/>
      <c r="BU246" s="782"/>
      <c r="BV246" s="782"/>
      <c r="BW246" s="782"/>
      <c r="BX246" s="782"/>
      <c r="BY246" s="782"/>
      <c r="BZ246" s="782"/>
    </row>
    <row r="247" spans="39:78" s="143" customFormat="1">
      <c r="AM247" s="782"/>
      <c r="AN247" s="782"/>
      <c r="AO247" s="782"/>
      <c r="AP247" s="782"/>
      <c r="AQ247" s="782"/>
      <c r="AR247" s="782"/>
      <c r="AS247" s="782"/>
      <c r="AT247" s="782"/>
      <c r="AU247" s="782"/>
      <c r="AV247" s="782"/>
      <c r="AW247" s="782"/>
      <c r="AX247" s="782"/>
      <c r="AY247" s="782"/>
      <c r="AZ247" s="782"/>
      <c r="BA247" s="782"/>
      <c r="BB247" s="782"/>
      <c r="BC247" s="782"/>
      <c r="BD247" s="782"/>
      <c r="BE247" s="782"/>
      <c r="BF247" s="782"/>
      <c r="BG247" s="782"/>
      <c r="BH247" s="782"/>
      <c r="BI247" s="782"/>
      <c r="BJ247" s="782"/>
      <c r="BK247" s="782"/>
      <c r="BL247" s="782"/>
      <c r="BM247" s="782"/>
      <c r="BN247" s="782"/>
      <c r="BO247" s="782"/>
      <c r="BP247" s="782"/>
      <c r="BQ247" s="782"/>
      <c r="BR247" s="782"/>
      <c r="BS247" s="782"/>
      <c r="BT247" s="782"/>
      <c r="BU247" s="782"/>
      <c r="BV247" s="782"/>
      <c r="BW247" s="782"/>
      <c r="BX247" s="782"/>
      <c r="BY247" s="782"/>
      <c r="BZ247" s="782"/>
    </row>
    <row r="248" spans="39:78" s="143" customFormat="1">
      <c r="AM248" s="782"/>
      <c r="AN248" s="782"/>
      <c r="AO248" s="782"/>
      <c r="AP248" s="782"/>
      <c r="AQ248" s="782"/>
      <c r="AR248" s="782"/>
      <c r="AS248" s="782"/>
      <c r="AT248" s="782"/>
      <c r="AU248" s="782"/>
      <c r="AV248" s="782"/>
      <c r="AW248" s="782"/>
      <c r="AX248" s="782"/>
      <c r="AY248" s="782"/>
      <c r="AZ248" s="782"/>
      <c r="BA248" s="782"/>
      <c r="BB248" s="782"/>
      <c r="BC248" s="782"/>
      <c r="BD248" s="782"/>
      <c r="BE248" s="782"/>
      <c r="BF248" s="782"/>
      <c r="BG248" s="782"/>
      <c r="BH248" s="782"/>
      <c r="BI248" s="782"/>
      <c r="BJ248" s="782"/>
      <c r="BK248" s="782"/>
      <c r="BL248" s="782"/>
      <c r="BM248" s="782"/>
      <c r="BN248" s="782"/>
      <c r="BO248" s="782"/>
      <c r="BP248" s="782"/>
      <c r="BQ248" s="782"/>
      <c r="BR248" s="782"/>
      <c r="BS248" s="782"/>
      <c r="BT248" s="782"/>
      <c r="BU248" s="782"/>
      <c r="BV248" s="782"/>
      <c r="BW248" s="782"/>
      <c r="BX248" s="782"/>
      <c r="BY248" s="782"/>
      <c r="BZ248" s="782"/>
    </row>
    <row r="249" spans="39:78" s="143" customFormat="1">
      <c r="AM249" s="782"/>
      <c r="AN249" s="782"/>
      <c r="AO249" s="782"/>
      <c r="AP249" s="782"/>
      <c r="AQ249" s="782"/>
      <c r="AR249" s="782"/>
      <c r="AS249" s="782"/>
      <c r="AT249" s="782"/>
      <c r="AU249" s="782"/>
      <c r="AV249" s="782"/>
      <c r="AW249" s="782"/>
      <c r="AX249" s="782"/>
      <c r="AY249" s="782"/>
      <c r="AZ249" s="782"/>
      <c r="BA249" s="782"/>
      <c r="BB249" s="782"/>
      <c r="BC249" s="782"/>
      <c r="BD249" s="782"/>
      <c r="BE249" s="782"/>
      <c r="BF249" s="782"/>
      <c r="BG249" s="782"/>
      <c r="BH249" s="782"/>
      <c r="BI249" s="782"/>
      <c r="BJ249" s="782"/>
      <c r="BK249" s="782"/>
      <c r="BL249" s="782"/>
      <c r="BM249" s="782"/>
      <c r="BN249" s="782"/>
      <c r="BO249" s="782"/>
      <c r="BP249" s="782"/>
      <c r="BQ249" s="782"/>
      <c r="BR249" s="782"/>
      <c r="BS249" s="782"/>
      <c r="BT249" s="782"/>
      <c r="BU249" s="782"/>
      <c r="BV249" s="782"/>
      <c r="BW249" s="782"/>
      <c r="BX249" s="782"/>
      <c r="BY249" s="782"/>
      <c r="BZ249" s="782"/>
    </row>
    <row r="250" spans="39:78" s="143" customFormat="1">
      <c r="AM250" s="782"/>
      <c r="AN250" s="782"/>
      <c r="AO250" s="782"/>
      <c r="AP250" s="782"/>
      <c r="AQ250" s="782"/>
      <c r="AR250" s="782"/>
      <c r="AS250" s="782"/>
      <c r="AT250" s="782"/>
      <c r="AU250" s="782"/>
      <c r="AV250" s="782"/>
      <c r="AW250" s="782"/>
      <c r="AX250" s="782"/>
      <c r="AY250" s="782"/>
      <c r="AZ250" s="782"/>
      <c r="BA250" s="782"/>
      <c r="BB250" s="782"/>
      <c r="BC250" s="782"/>
      <c r="BD250" s="782"/>
      <c r="BE250" s="782"/>
      <c r="BF250" s="782"/>
      <c r="BG250" s="782"/>
      <c r="BH250" s="782"/>
      <c r="BI250" s="782"/>
      <c r="BJ250" s="782"/>
      <c r="BK250" s="782"/>
      <c r="BL250" s="782"/>
      <c r="BM250" s="782"/>
      <c r="BN250" s="782"/>
      <c r="BO250" s="782"/>
      <c r="BP250" s="782"/>
      <c r="BQ250" s="782"/>
      <c r="BR250" s="782"/>
      <c r="BS250" s="782"/>
      <c r="BT250" s="782"/>
      <c r="BU250" s="782"/>
      <c r="BV250" s="782"/>
      <c r="BW250" s="782"/>
      <c r="BX250" s="782"/>
      <c r="BY250" s="782"/>
      <c r="BZ250" s="782"/>
    </row>
    <row r="251" spans="39:78" s="143" customFormat="1">
      <c r="AM251" s="782"/>
      <c r="AN251" s="782"/>
      <c r="AO251" s="782"/>
      <c r="AP251" s="782"/>
      <c r="AQ251" s="782"/>
      <c r="AR251" s="782"/>
      <c r="AS251" s="782"/>
      <c r="AT251" s="782"/>
      <c r="AU251" s="782"/>
      <c r="AV251" s="782"/>
      <c r="AW251" s="782"/>
      <c r="AX251" s="782"/>
      <c r="AY251" s="782"/>
      <c r="AZ251" s="782"/>
      <c r="BA251" s="782"/>
      <c r="BB251" s="782"/>
      <c r="BC251" s="782"/>
      <c r="BD251" s="782"/>
      <c r="BE251" s="782"/>
      <c r="BF251" s="782"/>
      <c r="BG251" s="782"/>
      <c r="BH251" s="782"/>
      <c r="BI251" s="782"/>
      <c r="BJ251" s="782"/>
      <c r="BK251" s="782"/>
      <c r="BL251" s="782"/>
      <c r="BM251" s="782"/>
      <c r="BN251" s="782"/>
      <c r="BO251" s="782"/>
      <c r="BP251" s="782"/>
      <c r="BQ251" s="782"/>
      <c r="BR251" s="782"/>
      <c r="BS251" s="782"/>
      <c r="BT251" s="782"/>
      <c r="BU251" s="782"/>
      <c r="BV251" s="782"/>
      <c r="BW251" s="782"/>
      <c r="BX251" s="782"/>
      <c r="BY251" s="782"/>
      <c r="BZ251" s="782"/>
    </row>
    <row r="252" spans="39:78" s="143" customFormat="1">
      <c r="AM252" s="782"/>
      <c r="AN252" s="782"/>
      <c r="AO252" s="782"/>
      <c r="AP252" s="782"/>
      <c r="AQ252" s="782"/>
      <c r="AR252" s="782"/>
      <c r="AS252" s="782"/>
      <c r="AT252" s="782"/>
      <c r="AU252" s="782"/>
      <c r="AV252" s="782"/>
      <c r="AW252" s="782"/>
      <c r="AX252" s="782"/>
      <c r="AY252" s="782"/>
      <c r="AZ252" s="782"/>
      <c r="BA252" s="782"/>
      <c r="BB252" s="782"/>
      <c r="BC252" s="782"/>
      <c r="BD252" s="782"/>
      <c r="BE252" s="782"/>
      <c r="BF252" s="782"/>
      <c r="BG252" s="782"/>
      <c r="BH252" s="782"/>
      <c r="BI252" s="782"/>
      <c r="BJ252" s="782"/>
      <c r="BK252" s="782"/>
      <c r="BL252" s="782"/>
      <c r="BM252" s="782"/>
      <c r="BN252" s="782"/>
      <c r="BO252" s="782"/>
      <c r="BP252" s="782"/>
      <c r="BQ252" s="782"/>
      <c r="BR252" s="782"/>
      <c r="BS252" s="782"/>
      <c r="BT252" s="782"/>
      <c r="BU252" s="782"/>
      <c r="BV252" s="782"/>
      <c r="BW252" s="782"/>
      <c r="BX252" s="782"/>
      <c r="BY252" s="782"/>
      <c r="BZ252" s="782"/>
    </row>
    <row r="253" spans="39:78" s="143" customFormat="1">
      <c r="AM253" s="782"/>
      <c r="AN253" s="782"/>
      <c r="AO253" s="782"/>
      <c r="AP253" s="782"/>
      <c r="AQ253" s="782"/>
      <c r="AR253" s="782"/>
      <c r="AS253" s="782"/>
      <c r="AT253" s="782"/>
      <c r="AU253" s="782"/>
      <c r="AV253" s="782"/>
      <c r="AW253" s="782"/>
      <c r="AX253" s="782"/>
      <c r="AY253" s="782"/>
      <c r="AZ253" s="782"/>
      <c r="BA253" s="782"/>
      <c r="BB253" s="782"/>
      <c r="BC253" s="782"/>
      <c r="BD253" s="782"/>
      <c r="BE253" s="782"/>
      <c r="BF253" s="782"/>
      <c r="BG253" s="782"/>
      <c r="BH253" s="782"/>
      <c r="BI253" s="782"/>
      <c r="BJ253" s="782"/>
      <c r="BK253" s="782"/>
      <c r="BL253" s="782"/>
      <c r="BM253" s="782"/>
      <c r="BN253" s="782"/>
      <c r="BO253" s="782"/>
      <c r="BP253" s="782"/>
      <c r="BQ253" s="782"/>
      <c r="BR253" s="782"/>
      <c r="BS253" s="782"/>
      <c r="BT253" s="782"/>
      <c r="BU253" s="782"/>
      <c r="BV253" s="782"/>
      <c r="BW253" s="782"/>
      <c r="BX253" s="782"/>
      <c r="BY253" s="782"/>
      <c r="BZ253" s="782"/>
    </row>
    <row r="254" spans="39:78" s="143" customFormat="1">
      <c r="AM254" s="782"/>
      <c r="AN254" s="782"/>
      <c r="AO254" s="782"/>
      <c r="AP254" s="782"/>
      <c r="AQ254" s="782"/>
      <c r="AR254" s="782"/>
      <c r="AS254" s="782"/>
      <c r="AT254" s="782"/>
      <c r="AU254" s="782"/>
      <c r="AV254" s="782"/>
      <c r="AW254" s="782"/>
      <c r="AX254" s="782"/>
      <c r="AY254" s="782"/>
      <c r="AZ254" s="782"/>
      <c r="BA254" s="782"/>
      <c r="BB254" s="782"/>
      <c r="BC254" s="782"/>
      <c r="BD254" s="782"/>
      <c r="BE254" s="782"/>
      <c r="BF254" s="782"/>
      <c r="BG254" s="782"/>
      <c r="BH254" s="782"/>
      <c r="BI254" s="782"/>
      <c r="BJ254" s="782"/>
      <c r="BK254" s="782"/>
      <c r="BL254" s="782"/>
      <c r="BM254" s="782"/>
      <c r="BN254" s="782"/>
      <c r="BO254" s="782"/>
      <c r="BP254" s="782"/>
      <c r="BQ254" s="782"/>
      <c r="BR254" s="782"/>
      <c r="BS254" s="782"/>
      <c r="BT254" s="782"/>
      <c r="BU254" s="782"/>
      <c r="BV254" s="782"/>
      <c r="BW254" s="782"/>
      <c r="BX254" s="782"/>
      <c r="BY254" s="782"/>
      <c r="BZ254" s="782"/>
    </row>
    <row r="255" spans="39:78" s="143" customFormat="1">
      <c r="AM255" s="782"/>
      <c r="AN255" s="782"/>
      <c r="AO255" s="782"/>
      <c r="AP255" s="782"/>
      <c r="AQ255" s="782"/>
      <c r="AR255" s="782"/>
      <c r="AS255" s="782"/>
      <c r="AT255" s="782"/>
      <c r="AU255" s="782"/>
      <c r="AV255" s="782"/>
      <c r="AW255" s="782"/>
      <c r="AX255" s="782"/>
      <c r="AY255" s="782"/>
      <c r="AZ255" s="782"/>
      <c r="BA255" s="782"/>
      <c r="BB255" s="782"/>
      <c r="BC255" s="782"/>
      <c r="BD255" s="782"/>
      <c r="BE255" s="782"/>
      <c r="BF255" s="782"/>
      <c r="BG255" s="782"/>
      <c r="BH255" s="782"/>
      <c r="BI255" s="782"/>
      <c r="BJ255" s="782"/>
      <c r="BK255" s="782"/>
      <c r="BL255" s="782"/>
      <c r="BM255" s="782"/>
      <c r="BN255" s="782"/>
      <c r="BO255" s="782"/>
      <c r="BP255" s="782"/>
      <c r="BQ255" s="782"/>
      <c r="BR255" s="782"/>
      <c r="BS255" s="782"/>
      <c r="BT255" s="782"/>
      <c r="BU255" s="782"/>
      <c r="BV255" s="782"/>
      <c r="BW255" s="782"/>
      <c r="BX255" s="782"/>
      <c r="BY255" s="782"/>
      <c r="BZ255" s="782"/>
    </row>
    <row r="256" spans="39:78" s="143" customFormat="1">
      <c r="AM256" s="782"/>
      <c r="AN256" s="782"/>
      <c r="AO256" s="782"/>
      <c r="AP256" s="782"/>
      <c r="AQ256" s="782"/>
      <c r="AR256" s="782"/>
      <c r="AS256" s="782"/>
      <c r="AT256" s="782"/>
      <c r="AU256" s="782"/>
      <c r="AV256" s="782"/>
      <c r="AW256" s="782"/>
      <c r="AX256" s="782"/>
      <c r="AY256" s="782"/>
      <c r="AZ256" s="782"/>
      <c r="BA256" s="782"/>
      <c r="BB256" s="782"/>
      <c r="BC256" s="782"/>
      <c r="BD256" s="782"/>
      <c r="BE256" s="782"/>
      <c r="BF256" s="782"/>
      <c r="BG256" s="782"/>
      <c r="BH256" s="782"/>
      <c r="BI256" s="782"/>
      <c r="BJ256" s="782"/>
      <c r="BK256" s="782"/>
      <c r="BL256" s="782"/>
      <c r="BM256" s="782"/>
      <c r="BN256" s="782"/>
      <c r="BO256" s="782"/>
      <c r="BP256" s="782"/>
      <c r="BQ256" s="782"/>
      <c r="BR256" s="782"/>
      <c r="BS256" s="782"/>
      <c r="BT256" s="782"/>
      <c r="BU256" s="782"/>
      <c r="BV256" s="782"/>
      <c r="BW256" s="782"/>
      <c r="BX256" s="782"/>
      <c r="BY256" s="782"/>
      <c r="BZ256" s="782"/>
    </row>
    <row r="257" spans="39:78" s="143" customFormat="1">
      <c r="AM257" s="782"/>
      <c r="AN257" s="782"/>
      <c r="AO257" s="782"/>
      <c r="AP257" s="782"/>
      <c r="AQ257" s="782"/>
      <c r="AR257" s="782"/>
      <c r="AS257" s="782"/>
      <c r="AT257" s="782"/>
      <c r="AU257" s="782"/>
      <c r="AV257" s="782"/>
      <c r="AW257" s="782"/>
      <c r="AX257" s="782"/>
      <c r="AY257" s="782"/>
      <c r="AZ257" s="782"/>
      <c r="BA257" s="782"/>
      <c r="BB257" s="782"/>
      <c r="BC257" s="782"/>
      <c r="BD257" s="782"/>
      <c r="BE257" s="782"/>
      <c r="BF257" s="782"/>
      <c r="BG257" s="782"/>
      <c r="BH257" s="782"/>
      <c r="BI257" s="782"/>
      <c r="BJ257" s="782"/>
      <c r="BK257" s="782"/>
      <c r="BL257" s="782"/>
      <c r="BM257" s="782"/>
      <c r="BN257" s="782"/>
      <c r="BO257" s="782"/>
      <c r="BP257" s="782"/>
      <c r="BQ257" s="782"/>
      <c r="BR257" s="782"/>
      <c r="BS257" s="782"/>
      <c r="BT257" s="782"/>
      <c r="BU257" s="782"/>
      <c r="BV257" s="782"/>
      <c r="BW257" s="782"/>
      <c r="BX257" s="782"/>
      <c r="BY257" s="782"/>
      <c r="BZ257" s="782"/>
    </row>
    <row r="258" spans="39:78" s="143" customFormat="1">
      <c r="AM258" s="782"/>
      <c r="AN258" s="782"/>
      <c r="AO258" s="782"/>
      <c r="AP258" s="782"/>
      <c r="AQ258" s="782"/>
      <c r="AR258" s="782"/>
      <c r="AS258" s="782"/>
      <c r="AT258" s="782"/>
      <c r="AU258" s="782"/>
      <c r="AV258" s="782"/>
      <c r="AW258" s="782"/>
      <c r="AX258" s="782"/>
      <c r="AY258" s="782"/>
      <c r="AZ258" s="782"/>
      <c r="BA258" s="782"/>
      <c r="BB258" s="782"/>
      <c r="BC258" s="782"/>
      <c r="BD258" s="782"/>
      <c r="BE258" s="782"/>
      <c r="BF258" s="782"/>
      <c r="BG258" s="782"/>
      <c r="BH258" s="782"/>
      <c r="BI258" s="782"/>
      <c r="BJ258" s="782"/>
      <c r="BK258" s="782"/>
      <c r="BL258" s="782"/>
      <c r="BM258" s="782"/>
      <c r="BN258" s="782"/>
      <c r="BO258" s="782"/>
      <c r="BP258" s="782"/>
      <c r="BQ258" s="782"/>
      <c r="BR258" s="782"/>
      <c r="BS258" s="782"/>
      <c r="BT258" s="782"/>
      <c r="BU258" s="782"/>
      <c r="BV258" s="782"/>
      <c r="BW258" s="782"/>
      <c r="BX258" s="782"/>
      <c r="BY258" s="782"/>
      <c r="BZ258" s="782"/>
    </row>
    <row r="259" spans="39:78" s="143" customFormat="1">
      <c r="AM259" s="782"/>
      <c r="AN259" s="782"/>
      <c r="AO259" s="782"/>
      <c r="AP259" s="782"/>
      <c r="AQ259" s="782"/>
      <c r="AR259" s="782"/>
      <c r="AS259" s="782"/>
      <c r="AT259" s="782"/>
      <c r="AU259" s="782"/>
      <c r="AV259" s="782"/>
      <c r="AW259" s="782"/>
      <c r="AX259" s="782"/>
      <c r="AY259" s="782"/>
      <c r="AZ259" s="782"/>
      <c r="BA259" s="782"/>
      <c r="BB259" s="782"/>
      <c r="BC259" s="782"/>
      <c r="BD259" s="782"/>
      <c r="BE259" s="782"/>
      <c r="BF259" s="782"/>
      <c r="BG259" s="782"/>
      <c r="BH259" s="782"/>
      <c r="BI259" s="782"/>
      <c r="BJ259" s="782"/>
      <c r="BK259" s="782"/>
      <c r="BL259" s="782"/>
      <c r="BM259" s="782"/>
      <c r="BN259" s="782"/>
      <c r="BO259" s="782"/>
      <c r="BP259" s="782"/>
      <c r="BQ259" s="782"/>
      <c r="BR259" s="782"/>
      <c r="BS259" s="782"/>
      <c r="BT259" s="782"/>
      <c r="BU259" s="782"/>
      <c r="BV259" s="782"/>
      <c r="BW259" s="782"/>
      <c r="BX259" s="782"/>
      <c r="BY259" s="782"/>
      <c r="BZ259" s="782"/>
    </row>
    <row r="260" spans="39:78" s="143" customFormat="1">
      <c r="AM260" s="782"/>
      <c r="AN260" s="782"/>
      <c r="AO260" s="782"/>
      <c r="AP260" s="782"/>
      <c r="AQ260" s="782"/>
      <c r="AR260" s="782"/>
      <c r="AS260" s="782"/>
      <c r="AT260" s="782"/>
      <c r="AU260" s="782"/>
      <c r="AV260" s="782"/>
      <c r="AW260" s="782"/>
      <c r="AX260" s="782"/>
      <c r="AY260" s="782"/>
      <c r="AZ260" s="782"/>
      <c r="BA260" s="782"/>
      <c r="BB260" s="782"/>
      <c r="BC260" s="782"/>
      <c r="BD260" s="782"/>
      <c r="BE260" s="782"/>
      <c r="BF260" s="782"/>
      <c r="BG260" s="782"/>
      <c r="BH260" s="782"/>
      <c r="BI260" s="782"/>
      <c r="BJ260" s="782"/>
      <c r="BK260" s="782"/>
      <c r="BL260" s="782"/>
      <c r="BM260" s="782"/>
      <c r="BN260" s="782"/>
      <c r="BO260" s="782"/>
      <c r="BP260" s="782"/>
      <c r="BQ260" s="782"/>
      <c r="BR260" s="782"/>
      <c r="BS260" s="782"/>
      <c r="BT260" s="782"/>
      <c r="BU260" s="782"/>
      <c r="BV260" s="782"/>
      <c r="BW260" s="782"/>
      <c r="BX260" s="782"/>
      <c r="BY260" s="782"/>
      <c r="BZ260" s="782"/>
    </row>
    <row r="261" spans="39:78" s="143" customFormat="1">
      <c r="AM261" s="782"/>
      <c r="AN261" s="782"/>
      <c r="AO261" s="782"/>
      <c r="AP261" s="782"/>
      <c r="AQ261" s="782"/>
      <c r="AR261" s="782"/>
      <c r="AS261" s="782"/>
      <c r="AT261" s="782"/>
      <c r="AU261" s="782"/>
      <c r="AV261" s="782"/>
      <c r="AW261" s="782"/>
      <c r="AX261" s="782"/>
      <c r="AY261" s="782"/>
      <c r="AZ261" s="782"/>
      <c r="BA261" s="782"/>
      <c r="BB261" s="782"/>
      <c r="BC261" s="782"/>
      <c r="BD261" s="782"/>
      <c r="BE261" s="782"/>
      <c r="BF261" s="782"/>
      <c r="BG261" s="782"/>
      <c r="BH261" s="782"/>
      <c r="BI261" s="782"/>
      <c r="BJ261" s="782"/>
      <c r="BK261" s="782"/>
      <c r="BL261" s="782"/>
      <c r="BM261" s="782"/>
      <c r="BN261" s="782"/>
      <c r="BO261" s="782"/>
      <c r="BP261" s="782"/>
      <c r="BQ261" s="782"/>
      <c r="BR261" s="782"/>
      <c r="BS261" s="782"/>
      <c r="BT261" s="782"/>
      <c r="BU261" s="782"/>
      <c r="BV261" s="782"/>
      <c r="BW261" s="782"/>
      <c r="BX261" s="782"/>
      <c r="BY261" s="782"/>
      <c r="BZ261" s="782"/>
    </row>
    <row r="262" spans="39:78" s="143" customFormat="1">
      <c r="AM262" s="782"/>
      <c r="AN262" s="782"/>
      <c r="AO262" s="782"/>
      <c r="AP262" s="782"/>
      <c r="AQ262" s="782"/>
      <c r="AR262" s="782"/>
      <c r="AS262" s="782"/>
      <c r="AT262" s="782"/>
      <c r="AU262" s="782"/>
      <c r="AV262" s="782"/>
      <c r="AW262" s="782"/>
      <c r="AX262" s="782"/>
      <c r="AY262" s="782"/>
      <c r="AZ262" s="782"/>
      <c r="BA262" s="782"/>
      <c r="BB262" s="782"/>
      <c r="BC262" s="782"/>
      <c r="BD262" s="782"/>
      <c r="BE262" s="782"/>
      <c r="BF262" s="782"/>
      <c r="BG262" s="782"/>
      <c r="BH262" s="782"/>
      <c r="BI262" s="782"/>
      <c r="BJ262" s="782"/>
      <c r="BK262" s="782"/>
      <c r="BL262" s="782"/>
      <c r="BM262" s="782"/>
      <c r="BN262" s="782"/>
      <c r="BO262" s="782"/>
      <c r="BP262" s="782"/>
      <c r="BQ262" s="782"/>
      <c r="BR262" s="782"/>
      <c r="BS262" s="782"/>
      <c r="BT262" s="782"/>
      <c r="BU262" s="782"/>
      <c r="BV262" s="782"/>
      <c r="BW262" s="782"/>
      <c r="BX262" s="782"/>
      <c r="BY262" s="782"/>
      <c r="BZ262" s="782"/>
    </row>
    <row r="263" spans="39:78" s="143" customFormat="1">
      <c r="AM263" s="782"/>
      <c r="AN263" s="782"/>
      <c r="AO263" s="782"/>
      <c r="AP263" s="782"/>
      <c r="AQ263" s="782"/>
      <c r="AR263" s="782"/>
      <c r="AS263" s="782"/>
      <c r="AT263" s="782"/>
      <c r="AU263" s="782"/>
      <c r="AV263" s="782"/>
      <c r="AW263" s="782"/>
      <c r="AX263" s="782"/>
      <c r="AY263" s="782"/>
      <c r="AZ263" s="782"/>
      <c r="BA263" s="782"/>
      <c r="BB263" s="782"/>
      <c r="BC263" s="782"/>
      <c r="BD263" s="782"/>
      <c r="BE263" s="782"/>
      <c r="BF263" s="782"/>
      <c r="BG263" s="782"/>
      <c r="BH263" s="782"/>
      <c r="BI263" s="782"/>
      <c r="BJ263" s="782"/>
      <c r="BK263" s="782"/>
      <c r="BL263" s="782"/>
      <c r="BM263" s="782"/>
      <c r="BN263" s="782"/>
      <c r="BO263" s="782"/>
      <c r="BP263" s="782"/>
      <c r="BQ263" s="782"/>
      <c r="BR263" s="782"/>
      <c r="BS263" s="782"/>
      <c r="BT263" s="782"/>
      <c r="BU263" s="782"/>
      <c r="BV263" s="782"/>
      <c r="BW263" s="782"/>
      <c r="BX263" s="782"/>
      <c r="BY263" s="782"/>
      <c r="BZ263" s="782"/>
    </row>
    <row r="264" spans="39:78" s="143" customFormat="1">
      <c r="AM264" s="782"/>
      <c r="AN264" s="782"/>
      <c r="AO264" s="782"/>
      <c r="AP264" s="782"/>
      <c r="AQ264" s="782"/>
      <c r="AR264" s="782"/>
      <c r="AS264" s="782"/>
      <c r="AT264" s="782"/>
      <c r="AU264" s="782"/>
      <c r="AV264" s="782"/>
      <c r="AW264" s="782"/>
      <c r="AX264" s="782"/>
      <c r="AY264" s="782"/>
      <c r="AZ264" s="782"/>
      <c r="BA264" s="782"/>
      <c r="BB264" s="782"/>
      <c r="BC264" s="782"/>
      <c r="BD264" s="782"/>
      <c r="BE264" s="782"/>
      <c r="BF264" s="782"/>
      <c r="BG264" s="782"/>
      <c r="BH264" s="782"/>
      <c r="BI264" s="782"/>
      <c r="BJ264" s="782"/>
      <c r="BK264" s="782"/>
      <c r="BL264" s="782"/>
      <c r="BM264" s="782"/>
      <c r="BN264" s="782"/>
      <c r="BO264" s="782"/>
      <c r="BP264" s="782"/>
      <c r="BQ264" s="782"/>
      <c r="BR264" s="782"/>
      <c r="BS264" s="782"/>
      <c r="BT264" s="782"/>
      <c r="BU264" s="782"/>
      <c r="BV264" s="782"/>
      <c r="BW264" s="782"/>
      <c r="BX264" s="782"/>
      <c r="BY264" s="782"/>
      <c r="BZ264" s="782"/>
    </row>
    <row r="265" spans="39:78" s="143" customFormat="1">
      <c r="AM265" s="782"/>
      <c r="AN265" s="782"/>
      <c r="AO265" s="782"/>
      <c r="AP265" s="782"/>
      <c r="AQ265" s="782"/>
      <c r="AR265" s="782"/>
      <c r="AS265" s="782"/>
      <c r="AT265" s="782"/>
      <c r="AU265" s="782"/>
      <c r="AV265" s="782"/>
      <c r="AW265" s="782"/>
      <c r="AX265" s="782"/>
      <c r="AY265" s="782"/>
      <c r="AZ265" s="782"/>
      <c r="BA265" s="782"/>
      <c r="BB265" s="782"/>
      <c r="BC265" s="782"/>
      <c r="BD265" s="782"/>
      <c r="BE265" s="782"/>
      <c r="BF265" s="782"/>
      <c r="BG265" s="782"/>
      <c r="BH265" s="782"/>
      <c r="BI265" s="782"/>
      <c r="BJ265" s="782"/>
      <c r="BK265" s="782"/>
      <c r="BL265" s="782"/>
      <c r="BM265" s="782"/>
      <c r="BN265" s="782"/>
      <c r="BO265" s="782"/>
      <c r="BP265" s="782"/>
      <c r="BQ265" s="782"/>
      <c r="BR265" s="782"/>
      <c r="BS265" s="782"/>
      <c r="BT265" s="782"/>
      <c r="BU265" s="782"/>
      <c r="BV265" s="782"/>
      <c r="BW265" s="782"/>
      <c r="BX265" s="782"/>
      <c r="BY265" s="782"/>
      <c r="BZ265" s="782"/>
    </row>
    <row r="266" spans="39:78" s="143" customFormat="1">
      <c r="AM266" s="782"/>
      <c r="AN266" s="782"/>
      <c r="AO266" s="782"/>
      <c r="AP266" s="782"/>
      <c r="AQ266" s="782"/>
      <c r="AR266" s="782"/>
      <c r="AS266" s="782"/>
      <c r="AT266" s="782"/>
      <c r="AU266" s="782"/>
      <c r="AV266" s="782"/>
      <c r="AW266" s="782"/>
      <c r="AX266" s="782"/>
      <c r="AY266" s="782"/>
      <c r="AZ266" s="782"/>
      <c r="BA266" s="782"/>
      <c r="BB266" s="782"/>
      <c r="BC266" s="782"/>
      <c r="BD266" s="782"/>
      <c r="BE266" s="782"/>
      <c r="BF266" s="782"/>
      <c r="BG266" s="782"/>
      <c r="BH266" s="782"/>
      <c r="BI266" s="782"/>
      <c r="BJ266" s="782"/>
      <c r="BK266" s="782"/>
      <c r="BL266" s="782"/>
      <c r="BM266" s="782"/>
      <c r="BN266" s="782"/>
      <c r="BO266" s="782"/>
      <c r="BP266" s="782"/>
      <c r="BQ266" s="782"/>
      <c r="BR266" s="782"/>
      <c r="BS266" s="782"/>
      <c r="BT266" s="782"/>
      <c r="BU266" s="782"/>
      <c r="BV266" s="782"/>
      <c r="BW266" s="782"/>
      <c r="BX266" s="782"/>
      <c r="BY266" s="782"/>
      <c r="BZ266" s="782"/>
    </row>
    <row r="267" spans="39:78" s="143" customFormat="1">
      <c r="AM267" s="782"/>
      <c r="AN267" s="782"/>
      <c r="AO267" s="782"/>
      <c r="AP267" s="782"/>
      <c r="AQ267" s="782"/>
      <c r="AR267" s="782"/>
      <c r="AS267" s="782"/>
      <c r="AT267" s="782"/>
      <c r="AU267" s="782"/>
      <c r="AV267" s="782"/>
      <c r="AW267" s="782"/>
      <c r="AX267" s="782"/>
      <c r="AY267" s="782"/>
      <c r="AZ267" s="782"/>
      <c r="BA267" s="782"/>
      <c r="BB267" s="782"/>
      <c r="BC267" s="782"/>
      <c r="BD267" s="782"/>
      <c r="BE267" s="782"/>
      <c r="BF267" s="782"/>
      <c r="BG267" s="782"/>
      <c r="BH267" s="782"/>
      <c r="BI267" s="782"/>
      <c r="BJ267" s="782"/>
      <c r="BK267" s="782"/>
      <c r="BL267" s="782"/>
      <c r="BM267" s="782"/>
      <c r="BN267" s="782"/>
      <c r="BO267" s="782"/>
      <c r="BP267" s="782"/>
      <c r="BQ267" s="782"/>
      <c r="BR267" s="782"/>
      <c r="BS267" s="782"/>
      <c r="BT267" s="782"/>
      <c r="BU267" s="782"/>
      <c r="BV267" s="782"/>
      <c r="BW267" s="782"/>
      <c r="BX267" s="782"/>
      <c r="BY267" s="782"/>
      <c r="BZ267" s="782"/>
    </row>
    <row r="268" spans="39:78" s="143" customFormat="1">
      <c r="AM268" s="782"/>
      <c r="AN268" s="782"/>
      <c r="AO268" s="782"/>
      <c r="AP268" s="782"/>
      <c r="AQ268" s="782"/>
      <c r="AR268" s="782"/>
      <c r="AS268" s="782"/>
      <c r="AT268" s="782"/>
      <c r="AU268" s="782"/>
      <c r="AV268" s="782"/>
      <c r="AW268" s="782"/>
      <c r="AX268" s="782"/>
      <c r="AY268" s="782"/>
      <c r="AZ268" s="782"/>
      <c r="BA268" s="782"/>
      <c r="BB268" s="782"/>
      <c r="BC268" s="782"/>
      <c r="BD268" s="782"/>
      <c r="BE268" s="782"/>
      <c r="BF268" s="782"/>
      <c r="BG268" s="782"/>
      <c r="BH268" s="782"/>
      <c r="BI268" s="782"/>
      <c r="BJ268" s="782"/>
      <c r="BK268" s="782"/>
      <c r="BL268" s="782"/>
      <c r="BM268" s="782"/>
      <c r="BN268" s="782"/>
      <c r="BO268" s="782"/>
      <c r="BP268" s="782"/>
      <c r="BQ268" s="782"/>
      <c r="BR268" s="782"/>
      <c r="BS268" s="782"/>
      <c r="BT268" s="782"/>
      <c r="BU268" s="782"/>
      <c r="BV268" s="782"/>
      <c r="BW268" s="782"/>
      <c r="BX268" s="782"/>
      <c r="BY268" s="782"/>
      <c r="BZ268" s="782"/>
    </row>
    <row r="269" spans="39:78" s="143" customFormat="1">
      <c r="AM269" s="782"/>
      <c r="AN269" s="782"/>
      <c r="AO269" s="782"/>
      <c r="AP269" s="782"/>
      <c r="AQ269" s="782"/>
      <c r="AR269" s="782"/>
      <c r="AS269" s="782"/>
      <c r="AT269" s="782"/>
      <c r="AU269" s="782"/>
      <c r="AV269" s="782"/>
      <c r="AW269" s="782"/>
      <c r="AX269" s="782"/>
      <c r="AY269" s="782"/>
      <c r="AZ269" s="782"/>
      <c r="BA269" s="782"/>
      <c r="BB269" s="782"/>
      <c r="BC269" s="782"/>
      <c r="BD269" s="782"/>
      <c r="BE269" s="782"/>
      <c r="BF269" s="782"/>
      <c r="BG269" s="782"/>
      <c r="BH269" s="782"/>
      <c r="BI269" s="782"/>
      <c r="BJ269" s="782"/>
      <c r="BK269" s="782"/>
      <c r="BL269" s="782"/>
      <c r="BM269" s="782"/>
      <c r="BN269" s="782"/>
      <c r="BO269" s="782"/>
      <c r="BP269" s="782"/>
      <c r="BQ269" s="782"/>
      <c r="BR269" s="782"/>
      <c r="BS269" s="782"/>
      <c r="BT269" s="782"/>
      <c r="BU269" s="782"/>
      <c r="BV269" s="782"/>
      <c r="BW269" s="782"/>
      <c r="BX269" s="782"/>
      <c r="BY269" s="782"/>
      <c r="BZ269" s="782"/>
    </row>
    <row r="270" spans="39:78" s="143" customFormat="1">
      <c r="AM270" s="782"/>
      <c r="AN270" s="782"/>
      <c r="AO270" s="782"/>
      <c r="AP270" s="782"/>
      <c r="AQ270" s="782"/>
      <c r="AR270" s="782"/>
      <c r="AS270" s="782"/>
      <c r="AT270" s="782"/>
      <c r="AU270" s="782"/>
      <c r="AV270" s="782"/>
      <c r="AW270" s="782"/>
      <c r="AX270" s="782"/>
      <c r="AY270" s="782"/>
      <c r="AZ270" s="782"/>
      <c r="BA270" s="782"/>
      <c r="BB270" s="782"/>
      <c r="BC270" s="782"/>
      <c r="BD270" s="782"/>
      <c r="BE270" s="782"/>
      <c r="BF270" s="782"/>
      <c r="BG270" s="782"/>
      <c r="BH270" s="782"/>
      <c r="BI270" s="782"/>
      <c r="BJ270" s="782"/>
      <c r="BK270" s="782"/>
      <c r="BL270" s="782"/>
      <c r="BM270" s="782"/>
      <c r="BN270" s="782"/>
      <c r="BO270" s="782"/>
      <c r="BP270" s="782"/>
      <c r="BQ270" s="782"/>
      <c r="BR270" s="782"/>
      <c r="BS270" s="782"/>
      <c r="BT270" s="782"/>
      <c r="BU270" s="782"/>
      <c r="BV270" s="782"/>
      <c r="BW270" s="782"/>
      <c r="BX270" s="782"/>
      <c r="BY270" s="782"/>
      <c r="BZ270" s="782"/>
    </row>
    <row r="271" spans="39:78" s="143" customFormat="1">
      <c r="AM271" s="782"/>
      <c r="AN271" s="782"/>
      <c r="AO271" s="782"/>
      <c r="AP271" s="782"/>
      <c r="AQ271" s="782"/>
      <c r="AR271" s="782"/>
      <c r="AS271" s="782"/>
      <c r="AT271" s="782"/>
      <c r="AU271" s="782"/>
      <c r="AV271" s="782"/>
      <c r="AW271" s="782"/>
      <c r="AX271" s="782"/>
      <c r="AY271" s="782"/>
      <c r="AZ271" s="782"/>
      <c r="BA271" s="782"/>
      <c r="BB271" s="782"/>
      <c r="BC271" s="782"/>
      <c r="BD271" s="782"/>
      <c r="BE271" s="782"/>
      <c r="BF271" s="782"/>
      <c r="BG271" s="782"/>
      <c r="BH271" s="782"/>
      <c r="BI271" s="782"/>
      <c r="BJ271" s="782"/>
      <c r="BK271" s="782"/>
      <c r="BL271" s="782"/>
      <c r="BM271" s="782"/>
      <c r="BN271" s="782"/>
      <c r="BO271" s="782"/>
      <c r="BP271" s="782"/>
      <c r="BQ271" s="782"/>
      <c r="BR271" s="782"/>
      <c r="BS271" s="782"/>
      <c r="BT271" s="782"/>
      <c r="BU271" s="782"/>
      <c r="BV271" s="782"/>
      <c r="BW271" s="782"/>
      <c r="BX271" s="782"/>
      <c r="BY271" s="782"/>
      <c r="BZ271" s="782"/>
    </row>
    <row r="272" spans="39:78" s="143" customFormat="1">
      <c r="AM272" s="782"/>
      <c r="AN272" s="782"/>
      <c r="AO272" s="782"/>
      <c r="AP272" s="782"/>
      <c r="AQ272" s="782"/>
      <c r="AR272" s="782"/>
      <c r="AS272" s="782"/>
      <c r="AT272" s="782"/>
      <c r="AU272" s="782"/>
      <c r="AV272" s="782"/>
      <c r="AW272" s="782"/>
      <c r="AX272" s="782"/>
      <c r="AY272" s="782"/>
      <c r="AZ272" s="782"/>
      <c r="BA272" s="782"/>
      <c r="BB272" s="782"/>
      <c r="BC272" s="782"/>
      <c r="BD272" s="782"/>
      <c r="BE272" s="782"/>
      <c r="BF272" s="782"/>
      <c r="BG272" s="782"/>
      <c r="BH272" s="782"/>
      <c r="BI272" s="782"/>
      <c r="BJ272" s="782"/>
      <c r="BK272" s="782"/>
      <c r="BL272" s="782"/>
      <c r="BM272" s="782"/>
      <c r="BN272" s="782"/>
      <c r="BO272" s="782"/>
      <c r="BP272" s="782"/>
      <c r="BQ272" s="782"/>
      <c r="BR272" s="782"/>
      <c r="BS272" s="782"/>
      <c r="BT272" s="782"/>
      <c r="BU272" s="782"/>
      <c r="BV272" s="782"/>
      <c r="BW272" s="782"/>
      <c r="BX272" s="782"/>
      <c r="BY272" s="782"/>
      <c r="BZ272" s="782"/>
    </row>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row r="718" s="143" customFormat="1"/>
    <row r="719" s="143" customFormat="1"/>
    <row r="720" s="143" customFormat="1"/>
    <row r="721" s="143" customFormat="1"/>
    <row r="722" s="143" customFormat="1"/>
    <row r="723" s="143" customFormat="1"/>
    <row r="724" s="143" customFormat="1"/>
    <row r="725" s="143" customFormat="1"/>
    <row r="726" s="143" customFormat="1"/>
    <row r="727" s="143" customFormat="1"/>
    <row r="728" s="143" customFormat="1"/>
    <row r="729" s="143" customFormat="1"/>
    <row r="730" s="143" customFormat="1"/>
    <row r="731" s="143" customFormat="1"/>
    <row r="732" s="143" customFormat="1"/>
    <row r="733" s="143" customFormat="1"/>
    <row r="734" s="143" customFormat="1"/>
    <row r="735" s="143" customFormat="1"/>
    <row r="736" s="143" customFormat="1"/>
    <row r="737" s="143" customFormat="1"/>
    <row r="738" s="143" customFormat="1"/>
    <row r="739" s="143" customFormat="1"/>
    <row r="740" s="143" customFormat="1"/>
    <row r="741" s="143" customFormat="1"/>
    <row r="742" s="143" customFormat="1"/>
    <row r="743" s="143" customFormat="1"/>
    <row r="744" s="143" customFormat="1"/>
    <row r="745" s="143" customFormat="1"/>
    <row r="746" s="143" customFormat="1"/>
    <row r="747" s="143" customFormat="1"/>
    <row r="748" s="143" customFormat="1"/>
    <row r="749" s="143" customFormat="1"/>
    <row r="750" s="143" customFormat="1"/>
    <row r="751" s="143" customFormat="1"/>
    <row r="752" s="143" customFormat="1"/>
  </sheetData>
  <customSheetViews>
    <customSheetView guid="{B87BD74C-18F3-4393-BF03-31B25889E08F}" showGridLines="0" hiddenColumns="1">
      <pane xSplit="37" topLeftCell="AW1" activePane="topRight" state="frozen"/>
      <selection pane="topRight" activeCell="BG21" sqref="BG21"/>
      <pageMargins left="0" right="0" top="0" bottom="0" header="0" footer="0"/>
      <pageSetup paperSize="9" scale="46" orientation="portrait" horizontalDpi="4294967294" r:id="rId1"/>
    </customSheetView>
    <customSheetView guid="{0581D693-F741-454A-848A-FCD54BC91A66}" showGridLines="0" hiddenColumns="1" topLeftCell="A10">
      <pane xSplit="37" topLeftCell="AM1" activePane="topRight" state="frozen"/>
      <selection pane="topRight" activeCell="A16" sqref="A16"/>
      <pageMargins left="0" right="0" top="0" bottom="0" header="0" footer="0"/>
      <pageSetup paperSize="9" scale="46" orientation="portrait" horizontalDpi="4294967294" r:id="rId2"/>
    </customSheetView>
    <customSheetView guid="{634BFE77-A2AA-4FA6-8ED5-F02244B9F10C}" showPageBreaks="1" showGridLines="0" hiddenColumns="1">
      <pane xSplit="37" topLeftCell="AW1" activePane="topRight" state="frozen"/>
      <selection pane="topRight" activeCell="BK4" sqref="BK4"/>
      <pageMargins left="0" right="0" top="0" bottom="0" header="0" footer="0"/>
      <pageSetup paperSize="9" scale="46" orientation="portrait" horizontalDpi="4294967294"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howGridLines="0" hiddenColumns="1">
      <pane xSplit="37" topLeftCell="AN1" activePane="topRight" state="frozen"/>
      <selection pane="topRight" activeCell="BG23" sqref="BG23"/>
      <pageMargins left="0" right="0" top="0" bottom="0" header="0" footer="0"/>
      <pageSetup paperSize="9" scale="46" orientation="portrait" horizontalDpi="4294967294" r:id="rId4"/>
    </customSheetView>
  </customSheetViews>
  <mergeCells count="18">
    <mergeCell ref="AM2:AQ2"/>
    <mergeCell ref="AR2:AV2"/>
    <mergeCell ref="AW2:BA2"/>
    <mergeCell ref="BB2:BF2"/>
    <mergeCell ref="AM3:AQ3"/>
    <mergeCell ref="AR3:AV3"/>
    <mergeCell ref="AW3:BA3"/>
    <mergeCell ref="BB3:BF3"/>
    <mergeCell ref="BL2:BP2"/>
    <mergeCell ref="BL3:BP3"/>
    <mergeCell ref="CA2:CE2"/>
    <mergeCell ref="CA3:CE3"/>
    <mergeCell ref="BG2:BK2"/>
    <mergeCell ref="BG3:BK3"/>
    <mergeCell ref="BV2:BZ2"/>
    <mergeCell ref="BV3:BZ3"/>
    <mergeCell ref="BQ2:BU2"/>
    <mergeCell ref="BQ3:BU3"/>
  </mergeCells>
  <pageMargins left="0.7" right="0.7" top="0.75" bottom="0.75" header="0.3" footer="0.3"/>
  <pageSetup paperSize="9" scale="46" orientation="portrait" horizontalDpi="4294967294" r:id="rId5"/>
  <headerFooter>
    <oddFooter>&amp;L&amp;1#&amp;"Calibri"&amp;8&amp;K000000TAJEMNICA PRZEDSIĘBIORSTWA w rozumieniu art. 11 ust. 2 ustawy z dnia 16 kwietnia 1993 r. o zwalczaniu nieuczciwej konkurencji – DO UŻYTKU SŁUŻBOWEGO</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D19"/>
  <sheetViews>
    <sheetView showGridLines="0" zoomScale="80" zoomScaleNormal="80" zoomScaleSheetLayoutView="70" workbookViewId="0">
      <pane xSplit="2" topLeftCell="BD1" activePane="topRight" state="frozen"/>
      <selection pane="topRight" activeCell="BX14" sqref="BX14"/>
    </sheetView>
  </sheetViews>
  <sheetFormatPr defaultColWidth="9" defaultRowHeight="12" outlineLevelCol="1"/>
  <cols>
    <col min="1" max="2" width="35.08203125" style="420" customWidth="1"/>
    <col min="3" max="6" width="8.58203125" style="420" customWidth="1"/>
    <col min="7" max="10" width="8.58203125" style="420" hidden="1" customWidth="1" outlineLevel="1"/>
    <col min="11" max="11" width="8.58203125" style="420" customWidth="1" collapsed="1"/>
    <col min="12" max="15" width="8.58203125" style="420" hidden="1" customWidth="1" outlineLevel="1"/>
    <col min="16" max="16" width="8.58203125" style="420" customWidth="1" collapsed="1"/>
    <col min="17" max="20" width="8.58203125" style="420" hidden="1" customWidth="1" outlineLevel="1"/>
    <col min="21" max="21" width="8.58203125" style="420" customWidth="1" collapsed="1"/>
    <col min="22" max="25" width="8.58203125" style="420" hidden="1" customWidth="1" outlineLevel="1"/>
    <col min="26" max="26" width="8.58203125" style="420" customWidth="1" collapsed="1"/>
    <col min="27" max="30" width="8.58203125" style="420" hidden="1" customWidth="1" outlineLevel="1"/>
    <col min="31" max="31" width="8.58203125" style="420" customWidth="1" collapsed="1"/>
    <col min="32" max="35" width="8.58203125" style="420" hidden="1" customWidth="1" outlineLevel="1"/>
    <col min="36" max="36" width="8.58203125" style="420" customWidth="1" collapsed="1"/>
    <col min="37" max="40" width="8.58203125" style="420" hidden="1" customWidth="1" outlineLevel="1"/>
    <col min="41" max="41" width="8.58203125" style="420" customWidth="1" collapsed="1"/>
    <col min="42" max="45" width="8.58203125" style="420" hidden="1" customWidth="1" outlineLevel="1"/>
    <col min="46" max="46" width="8.58203125" style="420" customWidth="1" collapsed="1"/>
    <col min="47" max="50" width="8.58203125" style="420" hidden="1" customWidth="1" outlineLevel="1"/>
    <col min="51" max="51" width="8.58203125" style="420" customWidth="1" collapsed="1"/>
    <col min="52" max="55" width="8.58203125" style="420" hidden="1" customWidth="1" outlineLevel="1"/>
    <col min="56" max="56" width="8.58203125" style="420" customWidth="1" collapsed="1"/>
    <col min="57" max="60" width="8.58203125" style="420" hidden="1" customWidth="1" outlineLevel="1"/>
    <col min="61" max="61" width="8.58203125" style="420" customWidth="1" collapsed="1"/>
    <col min="62" max="62" width="8.58203125" style="420" hidden="1" customWidth="1" outlineLevel="1"/>
    <col min="63" max="65" width="0" style="420" hidden="1" customWidth="1" outlineLevel="1"/>
    <col min="66" max="66" width="8.58203125" style="420" customWidth="1" collapsed="1"/>
    <col min="67" max="67" width="8.58203125" style="420" hidden="1" customWidth="1" outlineLevel="1"/>
    <col min="68" max="70" width="0" style="420" hidden="1" customWidth="1" outlineLevel="1"/>
    <col min="71" max="71" width="8.58203125" style="420" customWidth="1" collapsed="1"/>
    <col min="72" max="75" width="9" style="420" hidden="1" customWidth="1" outlineLevel="1"/>
    <col min="76" max="76" width="8.58203125" style="420" customWidth="1" collapsed="1"/>
    <col min="77" max="16384" width="9" style="420"/>
  </cols>
  <sheetData>
    <row r="1" spans="1:82" ht="94.5" customHeight="1">
      <c r="A1" s="419"/>
      <c r="B1" s="419"/>
      <c r="AP1" s="450"/>
      <c r="AQ1" s="450"/>
      <c r="AR1" s="450"/>
      <c r="AS1" s="450"/>
      <c r="AT1" s="451"/>
      <c r="AU1" s="450"/>
      <c r="AV1" s="450"/>
      <c r="AW1" s="450"/>
      <c r="AX1" s="450"/>
      <c r="AY1" s="451"/>
      <c r="AZ1" s="450"/>
      <c r="BA1" s="450"/>
      <c r="BB1" s="450"/>
      <c r="BC1" s="450"/>
      <c r="BD1" s="451"/>
      <c r="BE1" s="450"/>
      <c r="BF1" s="450"/>
      <c r="BG1" s="450"/>
      <c r="BH1" s="450"/>
      <c r="BI1" s="451"/>
      <c r="BJ1" s="450"/>
      <c r="BK1" s="450"/>
      <c r="BL1" s="450"/>
      <c r="BM1" s="450"/>
      <c r="BN1" s="451"/>
      <c r="BO1" s="450"/>
      <c r="BP1" s="450"/>
      <c r="BQ1" s="450"/>
      <c r="BR1" s="450"/>
      <c r="BS1" s="451"/>
      <c r="BX1" s="451"/>
    </row>
    <row r="2" spans="1:82" s="425" customFormat="1" ht="42">
      <c r="A2" s="426" t="s">
        <v>489</v>
      </c>
      <c r="B2" s="421" t="s">
        <v>490</v>
      </c>
      <c r="C2" s="422">
        <v>2006</v>
      </c>
      <c r="D2" s="422">
        <v>2007</v>
      </c>
      <c r="E2" s="422">
        <v>2008</v>
      </c>
      <c r="F2" s="422">
        <v>2009</v>
      </c>
      <c r="G2" s="423" t="s">
        <v>491</v>
      </c>
      <c r="H2" s="423" t="s">
        <v>492</v>
      </c>
      <c r="I2" s="423" t="s">
        <v>493</v>
      </c>
      <c r="J2" s="423" t="s">
        <v>494</v>
      </c>
      <c r="K2" s="422">
        <v>2010</v>
      </c>
      <c r="L2" s="423" t="s">
        <v>495</v>
      </c>
      <c r="M2" s="423" t="s">
        <v>496</v>
      </c>
      <c r="N2" s="423" t="s">
        <v>497</v>
      </c>
      <c r="O2" s="423" t="s">
        <v>498</v>
      </c>
      <c r="P2" s="422">
        <v>2011</v>
      </c>
      <c r="Q2" s="423" t="s">
        <v>499</v>
      </c>
      <c r="R2" s="423" t="s">
        <v>500</v>
      </c>
      <c r="S2" s="423" t="s">
        <v>501</v>
      </c>
      <c r="T2" s="423" t="s">
        <v>502</v>
      </c>
      <c r="U2" s="422">
        <v>2012</v>
      </c>
      <c r="V2" s="423" t="s">
        <v>503</v>
      </c>
      <c r="W2" s="423" t="s">
        <v>504</v>
      </c>
      <c r="X2" s="423" t="s">
        <v>505</v>
      </c>
      <c r="Y2" s="423" t="s">
        <v>506</v>
      </c>
      <c r="Z2" s="422">
        <v>2013</v>
      </c>
      <c r="AA2" s="423" t="s">
        <v>507</v>
      </c>
      <c r="AB2" s="423" t="s">
        <v>508</v>
      </c>
      <c r="AC2" s="423" t="s">
        <v>509</v>
      </c>
      <c r="AD2" s="423" t="s">
        <v>510</v>
      </c>
      <c r="AE2" s="422">
        <v>2014</v>
      </c>
      <c r="AF2" s="423" t="s">
        <v>511</v>
      </c>
      <c r="AG2" s="423" t="s">
        <v>512</v>
      </c>
      <c r="AH2" s="423" t="s">
        <v>513</v>
      </c>
      <c r="AI2" s="423" t="s">
        <v>514</v>
      </c>
      <c r="AJ2" s="422">
        <v>2015</v>
      </c>
      <c r="AK2" s="423" t="s">
        <v>515</v>
      </c>
      <c r="AL2" s="423" t="s">
        <v>516</v>
      </c>
      <c r="AM2" s="423" t="s">
        <v>517</v>
      </c>
      <c r="AN2" s="423" t="s">
        <v>518</v>
      </c>
      <c r="AO2" s="422">
        <v>2016</v>
      </c>
      <c r="AP2" s="428" t="s">
        <v>519</v>
      </c>
      <c r="AQ2" s="428" t="s">
        <v>520</v>
      </c>
      <c r="AR2" s="428" t="s">
        <v>521</v>
      </c>
      <c r="AS2" s="428" t="s">
        <v>522</v>
      </c>
      <c r="AT2" s="429" t="s">
        <v>523</v>
      </c>
      <c r="AU2" s="428" t="s">
        <v>524</v>
      </c>
      <c r="AV2" s="428" t="s">
        <v>525</v>
      </c>
      <c r="AW2" s="428" t="s">
        <v>526</v>
      </c>
      <c r="AX2" s="428" t="s">
        <v>527</v>
      </c>
      <c r="AY2" s="429" t="s">
        <v>528</v>
      </c>
      <c r="AZ2" s="428" t="s">
        <v>529</v>
      </c>
      <c r="BA2" s="428" t="s">
        <v>530</v>
      </c>
      <c r="BB2" s="428" t="s">
        <v>531</v>
      </c>
      <c r="BC2" s="428" t="s">
        <v>531</v>
      </c>
      <c r="BD2" s="429" t="s">
        <v>532</v>
      </c>
      <c r="BE2" s="428" t="s">
        <v>533</v>
      </c>
      <c r="BF2" s="428" t="s">
        <v>534</v>
      </c>
      <c r="BG2" s="428" t="s">
        <v>535</v>
      </c>
      <c r="BH2" s="428" t="s">
        <v>536</v>
      </c>
      <c r="BI2" s="429" t="s">
        <v>537</v>
      </c>
      <c r="BJ2" s="428" t="s">
        <v>538</v>
      </c>
      <c r="BK2" s="428" t="s">
        <v>539</v>
      </c>
      <c r="BL2" s="428" t="s">
        <v>540</v>
      </c>
      <c r="BM2" s="428" t="s">
        <v>541</v>
      </c>
      <c r="BN2" s="429" t="s">
        <v>542</v>
      </c>
      <c r="BO2" s="428" t="s">
        <v>543</v>
      </c>
      <c r="BP2" s="428" t="s">
        <v>544</v>
      </c>
      <c r="BQ2" s="428" t="s">
        <v>545</v>
      </c>
      <c r="BR2" s="428" t="s">
        <v>546</v>
      </c>
      <c r="BS2" s="429" t="s">
        <v>547</v>
      </c>
      <c r="BT2" s="428" t="s">
        <v>548</v>
      </c>
      <c r="BU2" s="428" t="s">
        <v>549</v>
      </c>
      <c r="BV2" s="428" t="s">
        <v>550</v>
      </c>
      <c r="BW2" s="428" t="s">
        <v>551</v>
      </c>
      <c r="BX2" s="429" t="s">
        <v>552</v>
      </c>
      <c r="BY2" s="428" t="s">
        <v>553</v>
      </c>
      <c r="BZ2" s="428" t="s">
        <v>554</v>
      </c>
      <c r="CA2" s="428" t="s">
        <v>775</v>
      </c>
      <c r="CB2" s="428" t="s">
        <v>777</v>
      </c>
      <c r="CC2" s="429" t="s">
        <v>780</v>
      </c>
      <c r="CD2" s="428" t="s">
        <v>794</v>
      </c>
    </row>
    <row r="3" spans="1:82" s="430" customFormat="1" ht="42">
      <c r="A3" s="426" t="s">
        <v>489</v>
      </c>
      <c r="B3" s="421" t="s">
        <v>490</v>
      </c>
      <c r="C3" s="427">
        <v>2006</v>
      </c>
      <c r="D3" s="427">
        <v>2007</v>
      </c>
      <c r="E3" s="427">
        <v>2008</v>
      </c>
      <c r="F3" s="427">
        <v>2009</v>
      </c>
      <c r="G3" s="428" t="s">
        <v>491</v>
      </c>
      <c r="H3" s="428" t="s">
        <v>492</v>
      </c>
      <c r="I3" s="428" t="s">
        <v>493</v>
      </c>
      <c r="J3" s="428" t="s">
        <v>494</v>
      </c>
      <c r="K3" s="427">
        <v>2010</v>
      </c>
      <c r="L3" s="428" t="s">
        <v>495</v>
      </c>
      <c r="M3" s="428" t="s">
        <v>496</v>
      </c>
      <c r="N3" s="428" t="s">
        <v>497</v>
      </c>
      <c r="O3" s="428" t="s">
        <v>498</v>
      </c>
      <c r="P3" s="427">
        <v>2011</v>
      </c>
      <c r="Q3" s="428" t="s">
        <v>499</v>
      </c>
      <c r="R3" s="428" t="s">
        <v>500</v>
      </c>
      <c r="S3" s="428" t="s">
        <v>501</v>
      </c>
      <c r="T3" s="428" t="s">
        <v>502</v>
      </c>
      <c r="U3" s="427">
        <v>2012</v>
      </c>
      <c r="V3" s="428" t="s">
        <v>503</v>
      </c>
      <c r="W3" s="428" t="s">
        <v>504</v>
      </c>
      <c r="X3" s="428" t="s">
        <v>505</v>
      </c>
      <c r="Y3" s="428" t="s">
        <v>506</v>
      </c>
      <c r="Z3" s="427">
        <v>2013</v>
      </c>
      <c r="AA3" s="428" t="s">
        <v>507</v>
      </c>
      <c r="AB3" s="428" t="s">
        <v>508</v>
      </c>
      <c r="AC3" s="428" t="s">
        <v>509</v>
      </c>
      <c r="AD3" s="428" t="s">
        <v>510</v>
      </c>
      <c r="AE3" s="427">
        <v>2014</v>
      </c>
      <c r="AF3" s="428" t="s">
        <v>511</v>
      </c>
      <c r="AG3" s="428" t="s">
        <v>512</v>
      </c>
      <c r="AH3" s="428" t="s">
        <v>513</v>
      </c>
      <c r="AI3" s="428" t="s">
        <v>514</v>
      </c>
      <c r="AJ3" s="427">
        <v>2015</v>
      </c>
      <c r="AK3" s="428" t="s">
        <v>515</v>
      </c>
      <c r="AL3" s="428" t="s">
        <v>516</v>
      </c>
      <c r="AM3" s="428" t="s">
        <v>517</v>
      </c>
      <c r="AN3" s="428" t="s">
        <v>518</v>
      </c>
      <c r="AO3" s="427">
        <v>2016</v>
      </c>
      <c r="AP3" s="423" t="s">
        <v>555</v>
      </c>
      <c r="AQ3" s="423" t="s">
        <v>556</v>
      </c>
      <c r="AR3" s="423" t="s">
        <v>557</v>
      </c>
      <c r="AS3" s="423" t="s">
        <v>558</v>
      </c>
      <c r="AT3" s="424" t="s">
        <v>559</v>
      </c>
      <c r="AU3" s="423" t="s">
        <v>560</v>
      </c>
      <c r="AV3" s="423" t="s">
        <v>561</v>
      </c>
      <c r="AW3" s="423" t="s">
        <v>562</v>
      </c>
      <c r="AX3" s="423" t="s">
        <v>563</v>
      </c>
      <c r="AY3" s="424" t="s">
        <v>564</v>
      </c>
      <c r="AZ3" s="423" t="s">
        <v>565</v>
      </c>
      <c r="BA3" s="423" t="s">
        <v>566</v>
      </c>
      <c r="BB3" s="423" t="s">
        <v>567</v>
      </c>
      <c r="BC3" s="423" t="s">
        <v>568</v>
      </c>
      <c r="BD3" s="424" t="s">
        <v>569</v>
      </c>
      <c r="BE3" s="423" t="s">
        <v>570</v>
      </c>
      <c r="BF3" s="423" t="s">
        <v>571</v>
      </c>
      <c r="BG3" s="423" t="s">
        <v>572</v>
      </c>
      <c r="BH3" s="423" t="s">
        <v>573</v>
      </c>
      <c r="BI3" s="424" t="s">
        <v>574</v>
      </c>
      <c r="BJ3" s="423" t="s">
        <v>575</v>
      </c>
      <c r="BK3" s="423" t="s">
        <v>576</v>
      </c>
      <c r="BL3" s="423" t="s">
        <v>577</v>
      </c>
      <c r="BM3" s="423" t="s">
        <v>578</v>
      </c>
      <c r="BN3" s="424" t="s">
        <v>579</v>
      </c>
      <c r="BO3" s="423" t="s">
        <v>580</v>
      </c>
      <c r="BP3" s="423" t="s">
        <v>581</v>
      </c>
      <c r="BQ3" s="423" t="s">
        <v>582</v>
      </c>
      <c r="BR3" s="423" t="s">
        <v>583</v>
      </c>
      <c r="BS3" s="424" t="s">
        <v>584</v>
      </c>
      <c r="BT3" s="423" t="s">
        <v>585</v>
      </c>
      <c r="BU3" s="423" t="s">
        <v>586</v>
      </c>
      <c r="BV3" s="423" t="s">
        <v>587</v>
      </c>
      <c r="BW3" s="423" t="s">
        <v>588</v>
      </c>
      <c r="BX3" s="424" t="s">
        <v>779</v>
      </c>
      <c r="BY3" s="423" t="s">
        <v>589</v>
      </c>
      <c r="BZ3" s="423" t="s">
        <v>590</v>
      </c>
      <c r="CA3" s="423" t="s">
        <v>776</v>
      </c>
      <c r="CB3" s="423" t="s">
        <v>778</v>
      </c>
      <c r="CC3" s="424" t="s">
        <v>781</v>
      </c>
      <c r="CD3" s="423" t="s">
        <v>795</v>
      </c>
    </row>
    <row r="4" spans="1:82" s="434" customFormat="1" ht="24" customHeight="1">
      <c r="A4" s="431" t="s">
        <v>591</v>
      </c>
      <c r="B4" s="431" t="s">
        <v>592</v>
      </c>
      <c r="C4" s="432">
        <v>0.155</v>
      </c>
      <c r="D4" s="432">
        <v>0.21099999999999999</v>
      </c>
      <c r="E4" s="432">
        <v>0.317</v>
      </c>
      <c r="F4" s="432">
        <v>0.251</v>
      </c>
      <c r="G4" s="433">
        <v>0.32900000000000001</v>
      </c>
      <c r="H4" s="433">
        <v>0.29499999999999998</v>
      </c>
      <c r="I4" s="433">
        <v>0.28499999999999998</v>
      </c>
      <c r="J4" s="433">
        <v>0.191</v>
      </c>
      <c r="K4" s="432">
        <v>0.27500000000000002</v>
      </c>
      <c r="L4" s="433">
        <v>0.30870278738464518</v>
      </c>
      <c r="M4" s="433">
        <v>0.34613505621374752</v>
      </c>
      <c r="N4" s="433">
        <v>0.31878501150261895</v>
      </c>
      <c r="O4" s="433">
        <v>0.27406013939927337</v>
      </c>
      <c r="P4" s="432">
        <v>0.31073681541046316</v>
      </c>
      <c r="Q4" s="433">
        <v>0.38466527099742531</v>
      </c>
      <c r="R4" s="433">
        <v>0.3779041668709594</v>
      </c>
      <c r="S4" s="433">
        <v>0.4001250502295432</v>
      </c>
      <c r="T4" s="433">
        <v>0.32927622113037824</v>
      </c>
      <c r="U4" s="432">
        <v>0.37154971807437509</v>
      </c>
      <c r="V4" s="433">
        <v>0.3519157165072388</v>
      </c>
      <c r="W4" s="433">
        <v>0.34957890245592677</v>
      </c>
      <c r="X4" s="433">
        <v>0.3961214215056621</v>
      </c>
      <c r="Y4" s="433">
        <v>0.34405245121739447</v>
      </c>
      <c r="Z4" s="432">
        <v>0.35944885852796471</v>
      </c>
      <c r="AA4" s="433">
        <v>0.38927182921261261</v>
      </c>
      <c r="AB4" s="433">
        <v>0.40603700097370976</v>
      </c>
      <c r="AC4" s="433">
        <v>0.37613655149611497</v>
      </c>
      <c r="AD4" s="433">
        <v>0.33211693308476481</v>
      </c>
      <c r="AE4" s="432">
        <v>0.36954614772129168</v>
      </c>
      <c r="AF4" s="433">
        <v>0.38497209102619145</v>
      </c>
      <c r="AG4" s="433">
        <v>0.39567471245747615</v>
      </c>
      <c r="AH4" s="433">
        <v>0.3852747525777464</v>
      </c>
      <c r="AI4" s="433">
        <v>0.33759914172956829</v>
      </c>
      <c r="AJ4" s="432">
        <v>0.37515015779293487</v>
      </c>
      <c r="AK4" s="433">
        <v>0.35807952622673433</v>
      </c>
      <c r="AL4" s="433">
        <v>0.3827418232428671</v>
      </c>
      <c r="AM4" s="433">
        <v>0.4007873356227491</v>
      </c>
      <c r="AN4" s="433">
        <v>0.35592284328034396</v>
      </c>
      <c r="AO4" s="432">
        <v>0.37419063084544396</v>
      </c>
      <c r="AP4" s="433">
        <v>0.38914008205643491</v>
      </c>
      <c r="AQ4" s="433">
        <v>0.39017773998947319</v>
      </c>
      <c r="AR4" s="433">
        <v>0.35597473754653058</v>
      </c>
      <c r="AS4" s="433">
        <v>0.33836073200992561</v>
      </c>
      <c r="AT4" s="432">
        <v>0.36800765114054906</v>
      </c>
      <c r="AU4" s="433">
        <v>0.37938531054179631</v>
      </c>
      <c r="AV4" s="433">
        <v>0.36355255070682235</v>
      </c>
      <c r="AW4" s="433">
        <v>0.33638025594149901</v>
      </c>
      <c r="AX4" s="433">
        <v>0.31355762824783479</v>
      </c>
      <c r="AY4" s="432">
        <v>0.3460289535003418</v>
      </c>
      <c r="AZ4" s="433">
        <v>0.37193724029230529</v>
      </c>
      <c r="BA4" s="433">
        <v>0.36814916182004787</v>
      </c>
      <c r="BB4" s="433">
        <v>0.35282118655787575</v>
      </c>
      <c r="BC4" s="433">
        <v>0.34596461503372328</v>
      </c>
      <c r="BD4" s="432">
        <v>0.35942652084171944</v>
      </c>
      <c r="BE4" s="433">
        <v>0.36043139424960502</v>
      </c>
      <c r="BF4" s="433">
        <v>0.33534774862891703</v>
      </c>
      <c r="BG4" s="433">
        <v>0.35921425004161806</v>
      </c>
      <c r="BH4" s="433">
        <v>0.34673652177205838</v>
      </c>
      <c r="BI4" s="432">
        <v>0.35040486809552868</v>
      </c>
      <c r="BJ4" s="433">
        <f>'P&amp;L'!BG39</f>
        <v>0.36242217312713398</v>
      </c>
      <c r="BK4" s="433">
        <f>'P&amp;L'!BH39</f>
        <v>0.3610785834098173</v>
      </c>
      <c r="BL4" s="433">
        <f>'P&amp;L'!BI39</f>
        <v>1.5155513044625486</v>
      </c>
      <c r="BM4" s="433">
        <f>'P&amp;L'!BJ39</f>
        <v>0.2698315467075037</v>
      </c>
      <c r="BN4" s="432">
        <f>'P&amp;L'!BK39</f>
        <v>0.61873995499839274</v>
      </c>
      <c r="BO4" s="433">
        <f>'P&amp;L'!BL39</f>
        <v>0.25667124250845413</v>
      </c>
      <c r="BP4" s="433">
        <f>'P&amp;L'!BM39</f>
        <v>0.27672624763792941</v>
      </c>
      <c r="BQ4" s="433">
        <f>'P&amp;L'!BN39</f>
        <v>0.29135711883579463</v>
      </c>
      <c r="BR4" s="433">
        <f>'P&amp;L'!BO39</f>
        <v>0.2502624212736177</v>
      </c>
      <c r="BS4" s="432">
        <f>'P&amp;L'!BP39</f>
        <v>0.2687665017459912</v>
      </c>
      <c r="BT4" s="433">
        <f>'P&amp;L'!BQ39</f>
        <v>0.23792704654143107</v>
      </c>
      <c r="BU4" s="433">
        <f>'P&amp;L'!BR39</f>
        <v>0.24271992218371943</v>
      </c>
      <c r="BV4" s="433">
        <f>'P&amp;L'!BS39</f>
        <v>0.28787221112943845</v>
      </c>
      <c r="BW4" s="433">
        <f>'P&amp;L'!BT39</f>
        <v>0.18381094662501704</v>
      </c>
      <c r="BX4" s="432">
        <f>'P&amp;L'!BU39</f>
        <v>0.2371296683619179</v>
      </c>
      <c r="BY4" s="433">
        <f>'P&amp;L'!BV39</f>
        <v>0.27791454054059839</v>
      </c>
      <c r="BZ4" s="433">
        <f>'P&amp;L'!BW39</f>
        <v>0.25041252931129326</v>
      </c>
      <c r="CA4" s="433">
        <f>'P&amp;L'!BX39</f>
        <v>0.24763235088699534</v>
      </c>
      <c r="CB4" s="433">
        <f>'P&amp;L'!BY39</f>
        <v>0.19333176556661699</v>
      </c>
      <c r="CC4" s="432">
        <f>'P&amp;L'!BZ39</f>
        <v>0.24096614723999829</v>
      </c>
      <c r="CD4" s="433">
        <f>'P&amp;L'!CA39</f>
        <v>0.22919381338167816</v>
      </c>
    </row>
    <row r="5" spans="1:82" s="434" customFormat="1" ht="24" customHeight="1">
      <c r="A5" s="431" t="s">
        <v>593</v>
      </c>
      <c r="B5" s="431" t="s">
        <v>594</v>
      </c>
      <c r="C5" s="432">
        <v>0.11600000000000001</v>
      </c>
      <c r="D5" s="432">
        <v>0.14399999999999999</v>
      </c>
      <c r="E5" s="432">
        <v>0.246</v>
      </c>
      <c r="F5" s="432">
        <v>0.182</v>
      </c>
      <c r="G5" s="433">
        <v>0.23</v>
      </c>
      <c r="H5" s="433">
        <v>0.182</v>
      </c>
      <c r="I5" s="433">
        <v>0.188</v>
      </c>
      <c r="J5" s="433">
        <v>9.8000000000000004E-2</v>
      </c>
      <c r="K5" s="432">
        <v>0.17399999999999999</v>
      </c>
      <c r="L5" s="433">
        <v>0.18967721753120198</v>
      </c>
      <c r="M5" s="433">
        <v>0.1105688210628496</v>
      </c>
      <c r="N5" s="433" t="s">
        <v>595</v>
      </c>
      <c r="O5" s="433">
        <v>0.10608165132384817</v>
      </c>
      <c r="P5" s="432">
        <v>6.7707133573549461E-2</v>
      </c>
      <c r="Q5" s="433">
        <v>0.30649285055729641</v>
      </c>
      <c r="R5" s="433">
        <v>0.13939020375571728</v>
      </c>
      <c r="S5" s="433">
        <v>0.266952761732768</v>
      </c>
      <c r="T5" s="433">
        <v>0.1620322508446396</v>
      </c>
      <c r="U5" s="432">
        <v>0.21535338337745638</v>
      </c>
      <c r="V5" s="433">
        <v>0.13643419081993929</v>
      </c>
      <c r="W5" s="433">
        <v>0.10971771925199814</v>
      </c>
      <c r="X5" s="433">
        <v>0.26051734065642024</v>
      </c>
      <c r="Y5" s="433">
        <v>0.21631129917457795</v>
      </c>
      <c r="Z5" s="432">
        <v>0.18051820848101818</v>
      </c>
      <c r="AA5" s="433">
        <v>0.13582744164810381</v>
      </c>
      <c r="AB5" s="433">
        <v>7.5662981843175381E-2</v>
      </c>
      <c r="AC5" s="433">
        <v>1.9920648040998381E-2</v>
      </c>
      <c r="AD5" s="433">
        <v>5.5531315695532789E-3</v>
      </c>
      <c r="AE5" s="432">
        <v>3.94742169260043E-2</v>
      </c>
      <c r="AF5" s="433">
        <v>7.3336195792185463E-2</v>
      </c>
      <c r="AG5" s="433">
        <v>0.12331929369836385</v>
      </c>
      <c r="AH5" s="433">
        <v>0.20808315044101192</v>
      </c>
      <c r="AI5" s="433">
        <v>7.111383577914876E-2</v>
      </c>
      <c r="AJ5" s="432">
        <v>0.11843632291560617</v>
      </c>
      <c r="AK5" s="433">
        <v>7.5507614213197988E-2</v>
      </c>
      <c r="AL5" s="433">
        <v>9.4518809611527338E-2</v>
      </c>
      <c r="AM5" s="433">
        <v>0.11299103777535824</v>
      </c>
      <c r="AN5" s="433">
        <v>0.134827028519585</v>
      </c>
      <c r="AO5" s="432">
        <v>0.10493535324467103</v>
      </c>
      <c r="AP5" s="433">
        <v>0.11362304278656968</v>
      </c>
      <c r="AQ5" s="433">
        <v>0.11405320053443456</v>
      </c>
      <c r="AR5" s="433">
        <v>9.8247521853695272E-2</v>
      </c>
      <c r="AS5" s="433">
        <v>6.0949131513647663E-2</v>
      </c>
      <c r="AT5" s="432">
        <v>9.6168325092078288E-2</v>
      </c>
      <c r="AU5" s="433">
        <v>0.12455773903405941</v>
      </c>
      <c r="AV5" s="433">
        <v>8.8890596189305407E-2</v>
      </c>
      <c r="AW5" s="433">
        <v>8.3034734917733014E-2</v>
      </c>
      <c r="AX5" s="433">
        <v>2.1785476349100594E-2</v>
      </c>
      <c r="AY5" s="432">
        <v>7.6370237972693752E-2</v>
      </c>
      <c r="AZ5" s="433">
        <v>0.1064980656254476</v>
      </c>
      <c r="BA5" s="433">
        <v>9.1994526171741281E-2</v>
      </c>
      <c r="BB5" s="433">
        <v>8.1766007467846707E-2</v>
      </c>
      <c r="BC5" s="433">
        <v>0.10162588380958593</v>
      </c>
      <c r="BD5" s="432">
        <v>9.5459956663612081E-2</v>
      </c>
      <c r="BE5" s="433">
        <v>6.4521266111988732E-2</v>
      </c>
      <c r="BF5" s="433">
        <v>0.10154749013169415</v>
      </c>
      <c r="BG5" s="433">
        <v>0.11486598967870809</v>
      </c>
      <c r="BH5" s="433">
        <v>0.10056941383535499</v>
      </c>
      <c r="BI5" s="432">
        <v>9.5809410472377121E-2</v>
      </c>
      <c r="BJ5" s="433">
        <f>'P&amp;L'!BG34/'P&amp;L'!BG5</f>
        <v>0.13068219856731605</v>
      </c>
      <c r="BK5" s="433">
        <f>'P&amp;L'!BH34/'P&amp;L'!BH5</f>
        <v>0.17144032661328604</v>
      </c>
      <c r="BL5" s="433">
        <f>'P&amp;L'!BI34/'P&amp;L'!BI5</f>
        <v>1.0385236980111483</v>
      </c>
      <c r="BM5" s="433">
        <f>'P&amp;L'!BJ34/'P&amp;L'!BJ5</f>
        <v>0.10220520673813159</v>
      </c>
      <c r="BN5" s="432">
        <f>'P&amp;L'!BK34/'P&amp;L'!BK5</f>
        <v>0.35474927675988421</v>
      </c>
      <c r="BO5" s="433">
        <f>'P&amp;L'!BL34/'P&amp;L'!BL5</f>
        <v>7.1249204807982039E-2</v>
      </c>
      <c r="BP5" s="433">
        <f>'P&amp;L'!BM34/'P&amp;L'!BM5</f>
        <v>8.7574734363867243E-2</v>
      </c>
      <c r="BQ5" s="433">
        <f>'P&amp;L'!BN34/'P&amp;L'!BN5</f>
        <v>7.065333700204858E-2</v>
      </c>
      <c r="BR5" s="433">
        <f>'P&amp;L'!BO34/'P&amp;L'!BO5</f>
        <v>5.0880569162584259E-2</v>
      </c>
      <c r="BS5" s="432">
        <f>'P&amp;L'!BP34/'P&amp;L'!BP5</f>
        <v>6.9769962757349827E-2</v>
      </c>
      <c r="BT5" s="433">
        <f>'P&amp;L'!BQ34/'P&amp;L'!BQ5</f>
        <v>2.2192354577564022E-2</v>
      </c>
      <c r="BU5" s="433">
        <f>'P&amp;L'!BR34/'P&amp;L'!BR5</f>
        <v>2.4621557541492471E-3</v>
      </c>
      <c r="BV5" s="433">
        <f>'P&amp;L'!BS34/'P&amp;L'!BS5</f>
        <v>2.9574326475099232E-2</v>
      </c>
      <c r="BW5" s="433">
        <f>'P&amp;L'!BT34/'P&amp;L'!BT5</f>
        <v>3.5393182126850532E-2</v>
      </c>
      <c r="BX5" s="432">
        <f>'P&amp;L'!BU34/'P&amp;L'!BU5</f>
        <v>2.2867542913336852E-2</v>
      </c>
      <c r="BY5" s="433">
        <f>'P&amp;L'!BV34/'P&amp;L'!BV5</f>
        <v>5.4125904225446393E-2</v>
      </c>
      <c r="BZ5" s="433">
        <f>'P&amp;L'!BW34/'P&amp;L'!BW5</f>
        <v>5.0806241496106408E-2</v>
      </c>
      <c r="CA5" s="433">
        <f>'P&amp;L'!BX34/'P&amp;L'!BX5</f>
        <v>6.9786283000418975E-2</v>
      </c>
      <c r="CB5" s="433">
        <f>'P&amp;L'!BY34/'P&amp;L'!BY5</f>
        <v>4.381907972093748E-2</v>
      </c>
      <c r="CC5" s="432">
        <f>'P&amp;L'!BZ34/'P&amp;L'!BZ5</f>
        <v>5.4486482057335035E-2</v>
      </c>
      <c r="CD5" s="433">
        <f>'P&amp;L'!CA34/'P&amp;L'!CA5</f>
        <v>2.4559515041640764E-2</v>
      </c>
    </row>
    <row r="6" spans="1:82" s="4" customFormat="1" ht="24" customHeight="1">
      <c r="A6" s="4" t="s">
        <v>596</v>
      </c>
      <c r="B6" s="4" t="s">
        <v>597</v>
      </c>
      <c r="C6" s="432">
        <v>0.158</v>
      </c>
      <c r="D6" s="432">
        <v>0.191</v>
      </c>
      <c r="E6" s="432">
        <v>0.35599999999999998</v>
      </c>
      <c r="F6" s="432">
        <v>0.29699999999999999</v>
      </c>
      <c r="G6" s="433">
        <v>0.10100000000000001</v>
      </c>
      <c r="H6" s="433">
        <v>7.0999999999999994E-2</v>
      </c>
      <c r="I6" s="433">
        <v>6.9000000000000006E-2</v>
      </c>
      <c r="J6" s="433">
        <v>3.5999999999999997E-2</v>
      </c>
      <c r="K6" s="432">
        <v>0.255</v>
      </c>
      <c r="L6" s="433">
        <v>6.2271468324674333E-2</v>
      </c>
      <c r="M6" s="433">
        <v>1.3239521157757844E-2</v>
      </c>
      <c r="N6" s="433" t="s">
        <v>595</v>
      </c>
      <c r="O6" s="433">
        <v>1.4264993041101997E-2</v>
      </c>
      <c r="P6" s="432">
        <v>2.9950184610851395E-2</v>
      </c>
      <c r="Q6" s="433">
        <v>3.7273881405565285E-2</v>
      </c>
      <c r="R6" s="433">
        <v>1.7775372865166162E-2</v>
      </c>
      <c r="S6" s="433">
        <v>3.1199624869035991E-2</v>
      </c>
      <c r="T6" s="433">
        <v>2.1869529763033944E-2</v>
      </c>
      <c r="U6" s="432">
        <v>0.10758152928832863</v>
      </c>
      <c r="V6" s="433">
        <v>1.6894118349245417E-2</v>
      </c>
      <c r="W6" s="433">
        <v>1.4437552333780404E-2</v>
      </c>
      <c r="X6" s="433">
        <v>3.1520471398527435E-2</v>
      </c>
      <c r="Y6" s="433">
        <v>3.0503344649529706E-2</v>
      </c>
      <c r="Z6" s="432">
        <v>9.2569363820704936E-2</v>
      </c>
      <c r="AA6" s="433">
        <v>1.6778114005449145E-2</v>
      </c>
      <c r="AB6" s="433">
        <v>4.7471709233085704E-3</v>
      </c>
      <c r="AC6" s="433">
        <v>1.7539263205391209E-3</v>
      </c>
      <c r="AD6" s="433">
        <v>5.1209457655268075E-4</v>
      </c>
      <c r="AE6" s="432">
        <v>1.0699118831546462E-2</v>
      </c>
      <c r="AF6" s="433">
        <v>6.3051655844275677E-3</v>
      </c>
      <c r="AG6" s="433">
        <v>1.1218857997627276E-2</v>
      </c>
      <c r="AH6" s="433">
        <v>1.9220838831831989E-2</v>
      </c>
      <c r="AI6" s="433">
        <v>7.0063910668514045E-3</v>
      </c>
      <c r="AJ6" s="432">
        <v>4.3918294004175129E-2</v>
      </c>
      <c r="AK6" s="433">
        <v>6.2950750295357192E-3</v>
      </c>
      <c r="AL6" s="433">
        <v>8.3716748062985218E-3</v>
      </c>
      <c r="AM6" s="433">
        <v>9.8133713549945403E-3</v>
      </c>
      <c r="AN6" s="433">
        <v>1.232631187949209E-2</v>
      </c>
      <c r="AO6" s="432">
        <v>3.6820258715510319E-2</v>
      </c>
      <c r="AP6" s="433">
        <v>9.8500355675565938E-3</v>
      </c>
      <c r="AQ6" s="433">
        <v>1.0312071016747503E-2</v>
      </c>
      <c r="AR6" s="433">
        <v>8.7347448740545761E-3</v>
      </c>
      <c r="AS6" s="433">
        <v>5.6636402939904901E-3</v>
      </c>
      <c r="AT6" s="432">
        <v>3.4053898256232916E-2</v>
      </c>
      <c r="AU6" s="433">
        <v>1.0475220832855341E-2</v>
      </c>
      <c r="AV6" s="433">
        <v>7.7777329622608473E-3</v>
      </c>
      <c r="AW6" s="433">
        <v>7.4715498777771496E-3</v>
      </c>
      <c r="AX6" s="433">
        <v>2.1305152328581472E-3</v>
      </c>
      <c r="AY6" s="432">
        <v>2.658583305100215E-2</v>
      </c>
      <c r="AZ6" s="433">
        <v>9.4489540360668291E-3</v>
      </c>
      <c r="BA6" s="433">
        <v>8.5748360927574603E-3</v>
      </c>
      <c r="BB6" s="433">
        <v>7.5612976657490755E-3</v>
      </c>
      <c r="BC6" s="433">
        <v>9.5705378402926155E-3</v>
      </c>
      <c r="BD6" s="432">
        <v>3.4201094827797859E-2</v>
      </c>
      <c r="BE6" s="433">
        <v>5.6275610027343359E-3</v>
      </c>
      <c r="BF6" s="433">
        <v>8.9109457189450597E-3</v>
      </c>
      <c r="BG6" s="433">
        <v>1.0513773042685913E-2</v>
      </c>
      <c r="BH6" s="433">
        <v>9.8647008914389284E-3</v>
      </c>
      <c r="BI6" s="432">
        <v>3.4611456939151457E-2</v>
      </c>
      <c r="BJ6" s="433">
        <f>'P&amp;L'!BG34/'Balance sheet'!AM41</f>
        <v>1.1846637029844181E-2</v>
      </c>
      <c r="BK6" s="433">
        <f>'P&amp;L'!BH34/'Balance sheet'!AN41</f>
        <v>1.6453892954015972E-2</v>
      </c>
      <c r="BL6" s="433">
        <f>'P&amp;L'!BI34/'Balance sheet'!AO41</f>
        <v>8.7543164087479253E-2</v>
      </c>
      <c r="BM6" s="433">
        <f>'P&amp;L'!BJ34/'Balance sheet'!AP41</f>
        <v>1.0351459503055485E-2</v>
      </c>
      <c r="BN6" s="432">
        <f>'P&amp;L'!BK34/'Balance sheet'!AP41</f>
        <v>0.13693892111548836</v>
      </c>
      <c r="BO6" s="433">
        <f>'P&amp;L'!BL34/'Balance sheet'!AQ41</f>
        <v>6.671850309764478E-3</v>
      </c>
      <c r="BP6" s="433">
        <f>'P&amp;L'!BM34/'Balance sheet'!AR41</f>
        <v>8.8860250204312492E-3</v>
      </c>
      <c r="BQ6" s="433">
        <f>'P&amp;L'!BN34/'Balance sheet'!AS41</f>
        <v>7.2933958631833671E-3</v>
      </c>
      <c r="BR6" s="433">
        <f>'P&amp;L'!BO34/'Balance sheet'!AT41</f>
        <v>5.4013730940426705E-3</v>
      </c>
      <c r="BS6" s="432">
        <f>'P&amp;L'!BP34/'Balance sheet'!AT41</f>
        <v>2.7892133495942009E-2</v>
      </c>
      <c r="BT6" s="433">
        <f>'P&amp;L'!BQ34/'Balance sheet'!AU41</f>
        <v>2.1639348259404152E-3</v>
      </c>
      <c r="BU6" s="433">
        <f>'P&amp;L'!BR34/'Balance sheet'!AV41</f>
        <v>2.3343881309332922E-4</v>
      </c>
      <c r="BV6" s="433">
        <f>'P&amp;L'!BS34/'Balance sheet'!AW41</f>
        <v>2.7792659148326432E-3</v>
      </c>
      <c r="BW6" s="433">
        <f>'P&amp;L'!BT34/'Balance sheet'!AX41</f>
        <v>3.5048834350547581E-3</v>
      </c>
      <c r="BX6" s="432">
        <f>'P&amp;L'!BU34/'Balance sheet'!AX41</f>
        <v>8.3815938477595376E-3</v>
      </c>
      <c r="BY6" s="433">
        <f>'P&amp;L'!BV34/'Balance sheet'!AY41</f>
        <v>5.0409220256834829E-3</v>
      </c>
      <c r="BZ6" s="433">
        <f>'P&amp;L'!BW34/'Balance sheet'!AZ41</f>
        <v>4.7719912663043134E-3</v>
      </c>
      <c r="CA6" s="433">
        <f>'P&amp;L'!BX34/'Balance sheet'!BA41</f>
        <v>6.7189731644534496E-3</v>
      </c>
      <c r="CB6" s="433">
        <f>'P&amp;L'!BY34/'Balance sheet'!BB41</f>
        <v>4.4758193658588612E-3</v>
      </c>
      <c r="CC6" s="432">
        <f>'P&amp;L'!BZ34/'Balance sheet'!BB41</f>
        <v>2.0745666427885112E-2</v>
      </c>
      <c r="CD6" s="433">
        <f>'P&amp;L'!CA34/'Balance sheet'!BC41</f>
        <v>2.3739896168758685E-3</v>
      </c>
    </row>
    <row r="7" spans="1:82" s="4" customFormat="1" ht="24" customHeight="1">
      <c r="A7" s="4" t="s">
        <v>598</v>
      </c>
      <c r="B7" s="4" t="s">
        <v>599</v>
      </c>
      <c r="C7" s="432" t="s">
        <v>595</v>
      </c>
      <c r="D7" s="432" t="s">
        <v>595</v>
      </c>
      <c r="E7" s="432">
        <v>11.443</v>
      </c>
      <c r="F7" s="432">
        <v>2.5009999999999999</v>
      </c>
      <c r="G7" s="433">
        <v>0.26700000000000002</v>
      </c>
      <c r="H7" s="433">
        <v>0.26200000000000001</v>
      </c>
      <c r="I7" s="433">
        <v>0.21199999999999999</v>
      </c>
      <c r="J7" s="433">
        <v>9.5000000000000001E-2</v>
      </c>
      <c r="K7" s="432">
        <v>1.5249999999999999</v>
      </c>
      <c r="L7" s="433">
        <v>0.17852586122288744</v>
      </c>
      <c r="M7" s="433">
        <v>3.8577428856174406E-2</v>
      </c>
      <c r="N7" s="433" t="s">
        <v>595</v>
      </c>
      <c r="O7" s="433">
        <v>4.1927279961049509E-2</v>
      </c>
      <c r="P7" s="432">
        <v>9.1999999999999998E-2</v>
      </c>
      <c r="Q7" s="433">
        <v>0.10877317095676947</v>
      </c>
      <c r="R7" s="433">
        <v>4.7546166174335783E-2</v>
      </c>
      <c r="S7" s="433">
        <v>7.8824364260900753E-2</v>
      </c>
      <c r="T7" s="433">
        <v>5.1825928219061103E-2</v>
      </c>
      <c r="U7" s="432">
        <v>0.31992749070239374</v>
      </c>
      <c r="V7" s="433">
        <v>3.854988705193179E-2</v>
      </c>
      <c r="W7" s="433">
        <v>3.1460520932769673E-2</v>
      </c>
      <c r="X7" s="433">
        <v>6.6607225701146078E-2</v>
      </c>
      <c r="Y7" s="433">
        <v>6.122340013627673E-2</v>
      </c>
      <c r="Z7" s="432">
        <v>0.21223515288993153</v>
      </c>
      <c r="AA7" s="433">
        <v>3.2613364596168266E-2</v>
      </c>
      <c r="AB7" s="433">
        <v>1.4743961784008204E-2</v>
      </c>
      <c r="AC7" s="433">
        <v>5.3069088907238835E-3</v>
      </c>
      <c r="AD7" s="433">
        <v>1.5445378522098774E-3</v>
      </c>
      <c r="AE7" s="432">
        <v>3.3292737061360989E-2</v>
      </c>
      <c r="AF7" s="433">
        <v>1.8684840992878312E-2</v>
      </c>
      <c r="AG7" s="433">
        <v>3.2907179060443298E-2</v>
      </c>
      <c r="AH7" s="433">
        <v>5.2576510593774481E-2</v>
      </c>
      <c r="AI7" s="433">
        <v>1.8441055193998745E-2</v>
      </c>
      <c r="AJ7" s="432">
        <v>0.12803327940836601</v>
      </c>
      <c r="AK7" s="433">
        <v>1.7454310774736723E-2</v>
      </c>
      <c r="AL7" s="433">
        <v>2.1926367667866348E-2</v>
      </c>
      <c r="AM7" s="433">
        <v>2.5065730185716849E-2</v>
      </c>
      <c r="AN7" s="433">
        <v>3.0971927726127686E-2</v>
      </c>
      <c r="AO7" s="432">
        <v>9.8584477531236128E-2</v>
      </c>
      <c r="AP7" s="433">
        <v>2.3855356028443631E-2</v>
      </c>
      <c r="AQ7" s="433">
        <v>2.4616809689427963E-2</v>
      </c>
      <c r="AR7" s="433">
        <v>2.003411513859275E-2</v>
      </c>
      <c r="AS7" s="433">
        <v>1.3144252316130978E-2</v>
      </c>
      <c r="AT7" s="432">
        <v>8.4607397328941306E-2</v>
      </c>
      <c r="AU7" s="433">
        <v>2.3166941519725995E-2</v>
      </c>
      <c r="AV7" s="433">
        <v>1.7500340326410829E-2</v>
      </c>
      <c r="AW7" s="433">
        <v>1.6879487446299284E-2</v>
      </c>
      <c r="AX7" s="433">
        <v>4.7357673536184428E-3</v>
      </c>
      <c r="AY7" s="432">
        <v>6.2492821097931937E-2</v>
      </c>
      <c r="AZ7" s="433">
        <v>2.1426563749972937E-2</v>
      </c>
      <c r="BA7" s="433">
        <v>1.9700210995193979E-2</v>
      </c>
      <c r="BB7" s="433">
        <v>1.6991651459198471E-2</v>
      </c>
      <c r="BC7" s="433">
        <v>2.2038353376764706E-2</v>
      </c>
      <c r="BD7" s="432">
        <v>8.3491262106832345E-2</v>
      </c>
      <c r="BE7" s="433">
        <v>1.2713485180485014E-2</v>
      </c>
      <c r="BF7" s="433">
        <v>1.9846661159394624E-2</v>
      </c>
      <c r="BG7" s="433">
        <v>2.412874257778895E-2</v>
      </c>
      <c r="BH7" s="433">
        <v>2.3157985929700729E-2</v>
      </c>
      <c r="BI7" s="432">
        <v>8.626396577458123E-2</v>
      </c>
      <c r="BJ7" s="433">
        <f>'P&amp;L'!BG34/('Balance sheet'!AM55-'P&amp;L'!BG34)</f>
        <v>2.6068550137220467E-2</v>
      </c>
      <c r="BK7" s="433">
        <f>'P&amp;L'!BH34/('Balance sheet'!AN55-'P&amp;L'!BH34)</f>
        <v>3.7564057223297066E-2</v>
      </c>
      <c r="BL7" s="433">
        <f>'P&amp;L'!BI34/('Balance sheet'!AO55-'P&amp;L'!BI34)</f>
        <v>0.21933753613597581</v>
      </c>
      <c r="BM7" s="433">
        <f>'P&amp;L'!BJ34/('Balance sheet'!AP55-'P&amp;L'!BJ34)</f>
        <v>2.2171431608740983E-2</v>
      </c>
      <c r="BN7" s="432">
        <f>'P&amp;L'!BK34/('Balance sheet'!AP55-'P&amp;L'!BK34)</f>
        <v>0.40241201082943617</v>
      </c>
      <c r="BO7" s="433">
        <f>'P&amp;L'!BL34/('Balance sheet'!AQ55-'P&amp;L'!BL34)</f>
        <v>1.3823477825920315E-2</v>
      </c>
      <c r="BP7" s="433">
        <f>'P&amp;L'!BM34/('Balance sheet'!AR55-'P&amp;L'!BM34)</f>
        <v>1.8669801414599018E-2</v>
      </c>
      <c r="BQ7" s="433">
        <f>'P&amp;L'!BN34/('Balance sheet'!AS55-'P&amp;L'!BN34)</f>
        <v>1.4983726026686772E-2</v>
      </c>
      <c r="BR7" s="433">
        <f>'P&amp;L'!BO34/('Balance sheet'!AT55-'P&amp;L'!BO34)</f>
        <v>1.1159929139246429E-2</v>
      </c>
      <c r="BS7" s="432">
        <f>'P&amp;L'!BP34/('Balance sheet'!AT55-'P&amp;L'!BP34)</f>
        <v>6.0437165067036912E-2</v>
      </c>
      <c r="BT7" s="433">
        <f>'P&amp;L'!BQ34/('Balance sheet'!AU55-'P&amp;L'!BQ34)</f>
        <v>4.4940406489141875E-3</v>
      </c>
      <c r="BU7" s="433">
        <f>'P&amp;L'!BR34/('Balance sheet'!AV55-'P&amp;L'!BR34)</f>
        <v>5.1119581955419901E-4</v>
      </c>
      <c r="BV7" s="433">
        <f>'P&amp;L'!BS34/('Balance sheet'!AW55-'P&amp;L'!BS34)</f>
        <v>6.5256396340023131E-3</v>
      </c>
      <c r="BW7" s="433">
        <f>'P&amp;L'!BT34/('Balance sheet'!AX55-'P&amp;L'!BT34)</f>
        <v>8.0556912252935237E-3</v>
      </c>
      <c r="BX7" s="432">
        <f>'P&amp;L'!BU34/('Balance sheet'!AX55-'P&amp;L'!BU34)</f>
        <v>1.9482793117247026E-2</v>
      </c>
      <c r="BY7" s="433">
        <f>'P&amp;L'!BV34/('Balance sheet'!AY55-'P&amp;L'!BV34)</f>
        <v>1.1304305496395673E-2</v>
      </c>
      <c r="BZ7" s="433">
        <f>'P&amp;L'!BW34/('Balance sheet'!AZ55-'P&amp;L'!BW34)</f>
        <v>1.064397569170682E-2</v>
      </c>
      <c r="CA7" s="433">
        <f>'P&amp;L'!BX34/('Balance sheet'!BA55-'P&amp;L'!BX34)</f>
        <v>1.5001291143953526E-2</v>
      </c>
      <c r="CB7" s="433">
        <f>'P&amp;L'!BY34/('Balance sheet'!BB55-'P&amp;L'!BY34)</f>
        <v>9.9221375491077655E-3</v>
      </c>
      <c r="CC7" s="432">
        <f>'P&amp;L'!BZ34/('Balance sheet'!BB55-'P&amp;L'!BZ34)</f>
        <v>4.7710444656477474E-2</v>
      </c>
      <c r="CD7" s="433">
        <f>'P&amp;L'!CA34/('Balance sheet'!BC55-'P&amp;L'!CA34)</f>
        <v>5.0842090448489537E-3</v>
      </c>
    </row>
    <row r="8" spans="1:82" s="4" customFormat="1" ht="24" customHeight="1">
      <c r="A8" s="4" t="s">
        <v>600</v>
      </c>
      <c r="B8" s="4" t="s">
        <v>601</v>
      </c>
      <c r="C8" s="435">
        <v>0.6</v>
      </c>
      <c r="D8" s="435">
        <v>1.1000000000000001</v>
      </c>
      <c r="E8" s="435">
        <v>1.4</v>
      </c>
      <c r="F8" s="435">
        <v>1</v>
      </c>
      <c r="G8" s="436">
        <v>1.2</v>
      </c>
      <c r="H8" s="436">
        <v>0.9</v>
      </c>
      <c r="I8" s="436">
        <v>1</v>
      </c>
      <c r="J8" s="436">
        <v>0.9</v>
      </c>
      <c r="K8" s="435">
        <v>0.9</v>
      </c>
      <c r="L8" s="436">
        <v>0.99222253558666473</v>
      </c>
      <c r="M8" s="436">
        <v>1.1972812574503593</v>
      </c>
      <c r="N8" s="436">
        <v>1.1937547068795404</v>
      </c>
      <c r="O8" s="436">
        <v>1.1052998425278158</v>
      </c>
      <c r="P8" s="435">
        <v>1.1000000000000001</v>
      </c>
      <c r="Q8" s="436">
        <v>1.2520302028925108</v>
      </c>
      <c r="R8" s="436">
        <v>1.13470796163891</v>
      </c>
      <c r="S8" s="436">
        <v>1.0480052530350539</v>
      </c>
      <c r="T8" s="436">
        <v>1.0172641031890362</v>
      </c>
      <c r="U8" s="435">
        <v>1.0172641031890362</v>
      </c>
      <c r="V8" s="436">
        <v>1.1953668834873901</v>
      </c>
      <c r="W8" s="436">
        <v>1.1434662606816619</v>
      </c>
      <c r="X8" s="436">
        <v>1.2291320432164132</v>
      </c>
      <c r="Y8" s="436">
        <v>1.2518939180227138</v>
      </c>
      <c r="Z8" s="435">
        <v>1.2518939180227138</v>
      </c>
      <c r="AA8" s="436">
        <v>1.3919076872487033</v>
      </c>
      <c r="AB8" s="436">
        <v>1.1114925821972736</v>
      </c>
      <c r="AC8" s="436">
        <v>0.94501659921971548</v>
      </c>
      <c r="AD8" s="436">
        <v>0.95569502090756708</v>
      </c>
      <c r="AE8" s="435">
        <v>0.95569502090756708</v>
      </c>
      <c r="AF8" s="436">
        <v>0.95351583208829338</v>
      </c>
      <c r="AG8" s="436">
        <v>1.0069261213720315</v>
      </c>
      <c r="AH8" s="436">
        <v>0.47434112256006483</v>
      </c>
      <c r="AI8" s="436">
        <v>0.49948621035847135</v>
      </c>
      <c r="AJ8" s="435">
        <v>0.49948621035847135</v>
      </c>
      <c r="AK8" s="436">
        <v>0.92874645654158483</v>
      </c>
      <c r="AL8" s="436">
        <v>0.9143403550836332</v>
      </c>
      <c r="AM8" s="436">
        <v>0.99730487345250907</v>
      </c>
      <c r="AN8" s="436">
        <v>1.0242312289470821</v>
      </c>
      <c r="AO8" s="435">
        <v>1.0242312289470821</v>
      </c>
      <c r="AP8" s="436">
        <v>0.89580852038479164</v>
      </c>
      <c r="AQ8" s="436">
        <v>0.89208350653549495</v>
      </c>
      <c r="AR8" s="436">
        <v>0.91086116341294232</v>
      </c>
      <c r="AS8" s="436">
        <v>1.0040863235857489</v>
      </c>
      <c r="AT8" s="435">
        <v>1.0040863235857489</v>
      </c>
      <c r="AU8" s="436">
        <v>1.490674318507891</v>
      </c>
      <c r="AV8" s="436">
        <v>1.1393504531722054</v>
      </c>
      <c r="AW8" s="436">
        <v>1.1493006613900034</v>
      </c>
      <c r="AX8" s="436">
        <v>1.0805204638743873</v>
      </c>
      <c r="AY8" s="435">
        <v>1.0805204638743873</v>
      </c>
      <c r="AZ8" s="436">
        <v>1.0288783163318305</v>
      </c>
      <c r="BA8" s="436">
        <v>0.90459880771651757</v>
      </c>
      <c r="BB8" s="436">
        <v>0.8907010624311551</v>
      </c>
      <c r="BC8" s="436">
        <v>0.8494768412801198</v>
      </c>
      <c r="BD8" s="435">
        <v>0.8494768412801198</v>
      </c>
      <c r="BE8" s="436">
        <v>1.0446639929570576</v>
      </c>
      <c r="BF8" s="436">
        <v>1.4179311763798159</v>
      </c>
      <c r="BG8" s="436">
        <v>1.1340274796049807</v>
      </c>
      <c r="BH8" s="436">
        <v>1.0005308660700745</v>
      </c>
      <c r="BI8" s="435">
        <v>1.0005308660700745</v>
      </c>
      <c r="BJ8" s="436">
        <f>'Balance sheet'!AM38/'Balance sheet'!AM77</f>
        <v>1.2774572249281877</v>
      </c>
      <c r="BK8" s="436">
        <f>'Balance sheet'!AN38/'Balance sheet'!AN77</f>
        <v>1.0301228183581126</v>
      </c>
      <c r="BL8" s="436">
        <f>'Balance sheet'!AO38/'Balance sheet'!AO77</f>
        <v>1.7694467309501412</v>
      </c>
      <c r="BM8" s="436">
        <f>'Balance sheet'!AP38/'Balance sheet'!AP77</f>
        <v>1.4356326537866806</v>
      </c>
      <c r="BN8" s="435">
        <f>'Balance sheet'!AP38/'Balance sheet'!AP77</f>
        <v>1.4356326537866806</v>
      </c>
      <c r="BO8" s="436">
        <f>'Balance sheet'!AQ38/'Balance sheet'!AQ77</f>
        <v>1.4459542259866642</v>
      </c>
      <c r="BP8" s="436">
        <f>'Balance sheet'!AR38/'Balance sheet'!AR77</f>
        <v>1.0795776506819179</v>
      </c>
      <c r="BQ8" s="436">
        <f>'Balance sheet'!AS38/'Balance sheet'!AS77</f>
        <v>1.2105886363228622</v>
      </c>
      <c r="BR8" s="436">
        <f>'Balance sheet'!AT38/'Balance sheet'!AT77</f>
        <v>1.0139658612281091</v>
      </c>
      <c r="BS8" s="435">
        <f>'Balance sheet'!AT38/'Balance sheet'!AT77</f>
        <v>1.0139658612281091</v>
      </c>
      <c r="BT8" s="436">
        <f>'Balance sheet'!AU38/'Balance sheet'!AU77</f>
        <v>1.1551395360405923</v>
      </c>
      <c r="BU8" s="436">
        <f>'Balance sheet'!AV38/'Balance sheet'!AV77</f>
        <v>1.5649167096303938</v>
      </c>
      <c r="BV8" s="436">
        <f>'Balance sheet'!AW38/'Balance sheet'!AW77</f>
        <v>1.4882702070659974</v>
      </c>
      <c r="BW8" s="436">
        <f>'Balance sheet'!AX38/'Balance sheet'!AX77</f>
        <v>1.6351027956053521</v>
      </c>
      <c r="BX8" s="435">
        <f>'Balance sheet'!AX38/'Balance sheet'!AX77</f>
        <v>1.6351027956053521</v>
      </c>
      <c r="BY8" s="436">
        <f>'Balance sheet'!AY38/'Balance sheet'!AY77</f>
        <v>1.6367324074252931</v>
      </c>
      <c r="BZ8" s="436">
        <f>'Balance sheet'!AZ38/'Balance sheet'!AZ77</f>
        <v>1.6487937684337894</v>
      </c>
      <c r="CA8" s="436">
        <f>'Balance sheet'!BA38/'Balance sheet'!BA77</f>
        <v>1.5810121545362466</v>
      </c>
      <c r="CB8" s="436">
        <f>'Balance sheet'!BB38/'Balance sheet'!BB77</f>
        <v>1.5849507315616602</v>
      </c>
      <c r="CC8" s="435">
        <f>'Balance sheet'!BB38/'Balance sheet'!BB77</f>
        <v>1.5849507315616602</v>
      </c>
      <c r="CD8" s="436">
        <f>'Balance sheet'!BC38/'Balance sheet'!BC77</f>
        <v>1.6350738030011862</v>
      </c>
    </row>
    <row r="9" spans="1:82" s="4" customFormat="1" ht="24" customHeight="1">
      <c r="A9" s="445" t="s">
        <v>602</v>
      </c>
      <c r="B9" s="445" t="s">
        <v>603</v>
      </c>
      <c r="C9" s="446">
        <v>1.177</v>
      </c>
      <c r="D9" s="446">
        <v>0.89700000000000002</v>
      </c>
      <c r="E9" s="446">
        <v>0.61299999999999999</v>
      </c>
      <c r="F9" s="446">
        <v>0.58399999999999996</v>
      </c>
      <c r="G9" s="447">
        <v>0.52300000000000002</v>
      </c>
      <c r="H9" s="447">
        <v>0.65900000000000003</v>
      </c>
      <c r="I9" s="447">
        <v>0.60299999999999998</v>
      </c>
      <c r="J9" s="447">
        <v>0.57799999999999996</v>
      </c>
      <c r="K9" s="446">
        <v>0.57799999999999996</v>
      </c>
      <c r="L9" s="447">
        <v>0.58891930091111089</v>
      </c>
      <c r="M9" s="447">
        <v>0.64356702219385198</v>
      </c>
      <c r="N9" s="447">
        <v>0.66091379189163646</v>
      </c>
      <c r="O9" s="447">
        <v>0.64550322816584982</v>
      </c>
      <c r="P9" s="446">
        <v>0.64600000000000002</v>
      </c>
      <c r="Q9" s="447">
        <v>0.6200507963830475</v>
      </c>
      <c r="R9" s="447">
        <v>0.60836960799428208</v>
      </c>
      <c r="S9" s="447">
        <v>0.57298843092335383</v>
      </c>
      <c r="T9" s="447">
        <v>0.55614999608907556</v>
      </c>
      <c r="U9" s="446">
        <v>0.55614999608907556</v>
      </c>
      <c r="V9" s="447">
        <v>0.54486547055728474</v>
      </c>
      <c r="W9" s="447">
        <v>0.52665229914601286</v>
      </c>
      <c r="X9" s="447">
        <v>0.49525051978561557</v>
      </c>
      <c r="Y9" s="447">
        <v>0.47126649202023174</v>
      </c>
      <c r="Z9" s="446">
        <v>0.47126649202023174</v>
      </c>
      <c r="AA9" s="447">
        <v>0.46876671667355413</v>
      </c>
      <c r="AB9" s="447">
        <v>0.67327892593910244</v>
      </c>
      <c r="AC9" s="447">
        <v>0.66774740549903211</v>
      </c>
      <c r="AD9" s="447">
        <v>0.66793699017975172</v>
      </c>
      <c r="AE9" s="446">
        <v>0.66793699017975172</v>
      </c>
      <c r="AF9" s="447">
        <v>0.65624665453377584</v>
      </c>
      <c r="AG9" s="447">
        <v>0.64785681126528083</v>
      </c>
      <c r="AH9" s="447">
        <v>0.61520071910800012</v>
      </c>
      <c r="AI9" s="447">
        <v>0.61305921834949684</v>
      </c>
      <c r="AJ9" s="446">
        <v>0.61305921834949684</v>
      </c>
      <c r="AK9" s="447">
        <v>0.63304473558921559</v>
      </c>
      <c r="AL9" s="447">
        <v>0.60981976788452963</v>
      </c>
      <c r="AM9" s="447">
        <v>0.59868152930210516</v>
      </c>
      <c r="AN9" s="447">
        <v>0.58969032755965733</v>
      </c>
      <c r="AO9" s="446">
        <v>0.58969032755965733</v>
      </c>
      <c r="AP9" s="447">
        <v>0.57724329660438722</v>
      </c>
      <c r="AQ9" s="447">
        <v>0.57078429578109258</v>
      </c>
      <c r="AR9" s="447">
        <v>0.55527171043335344</v>
      </c>
      <c r="AS9" s="447">
        <v>0.56345294711053473</v>
      </c>
      <c r="AT9" s="446">
        <v>0.56345294711053473</v>
      </c>
      <c r="AU9" s="447">
        <v>0.53736233796030752</v>
      </c>
      <c r="AV9" s="447">
        <v>0.54778902647252581</v>
      </c>
      <c r="AW9" s="447">
        <v>0.54988764710333504</v>
      </c>
      <c r="AX9" s="447">
        <v>0.54799197310468839</v>
      </c>
      <c r="AY9" s="446">
        <v>0.54799197310468839</v>
      </c>
      <c r="AZ9" s="447">
        <v>0.5495585402907468</v>
      </c>
      <c r="BA9" s="447">
        <v>0.55615895813668714</v>
      </c>
      <c r="BB9" s="447">
        <v>0.54743795100023351</v>
      </c>
      <c r="BC9" s="447">
        <v>0.5561620885190367</v>
      </c>
      <c r="BD9" s="446">
        <v>0.5561620885190367</v>
      </c>
      <c r="BE9" s="447">
        <v>0.55172741107270029</v>
      </c>
      <c r="BF9" s="447">
        <v>0.54209939061024826</v>
      </c>
      <c r="BG9" s="447">
        <v>0.55374976001170229</v>
      </c>
      <c r="BH9" s="447">
        <v>0.56436056167899751</v>
      </c>
      <c r="BI9" s="446">
        <v>0.56436056167899751</v>
      </c>
      <c r="BJ9" s="447">
        <f>'Balance sheet'!AM80/'Balance sheet'!AM41</f>
        <v>0.53371163270570032</v>
      </c>
      <c r="BK9" s="447">
        <f>'Balance sheet'!AN80/'Balance sheet'!AN41</f>
        <v>0.54552385465171038</v>
      </c>
      <c r="BL9" s="447">
        <f>'Balance sheet'!AO80/'Balance sheet'!AO41</f>
        <v>0.51333151687361345</v>
      </c>
      <c r="BM9" s="447">
        <f>'Balance sheet'!AP80/'Balance sheet'!AP41</f>
        <v>0.52276576604522751</v>
      </c>
      <c r="BN9" s="446">
        <f>'Balance sheet'!AP80/'Balance sheet'!AP41</f>
        <v>0.52276576604522751</v>
      </c>
      <c r="BO9" s="447">
        <f>'Balance sheet'!AQ80/'Balance sheet'!AQ41</f>
        <v>0.51068185808522926</v>
      </c>
      <c r="BP9" s="447">
        <f>'Balance sheet'!AR80/'Balance sheet'!AR41</f>
        <v>0.51515684918589311</v>
      </c>
      <c r="BQ9" s="447">
        <f>'Balance sheet'!AS80/'Balance sheet'!AS41</f>
        <v>0.50595211795671313</v>
      </c>
      <c r="BR9" s="447">
        <f>'Balance sheet'!AT80/'Balance sheet'!AT41</f>
        <v>0.51060154890951082</v>
      </c>
      <c r="BS9" s="446">
        <f>'Balance sheet'!AT80/'Balance sheet'!AT41</f>
        <v>0.51060154890951082</v>
      </c>
      <c r="BT9" s="447">
        <f>'Balance sheet'!AU80/'Balance sheet'!AU41</f>
        <v>0.51632399285596731</v>
      </c>
      <c r="BU9" s="447">
        <f>'Balance sheet'!AV80/'Balance sheet'!AV41</f>
        <v>0.54311413140587805</v>
      </c>
      <c r="BV9" s="447">
        <f>'Balance sheet'!AW80/'Balance sheet'!AW41</f>
        <v>0.57132134786238553</v>
      </c>
      <c r="BW9" s="447">
        <f>'Balance sheet'!AX80/'Balance sheet'!AX41</f>
        <v>0.56141346596120678</v>
      </c>
      <c r="BX9" s="446">
        <f>'Balance sheet'!AX80/'Balance sheet'!AX41</f>
        <v>0.56141346596120678</v>
      </c>
      <c r="BY9" s="447">
        <f>'Balance sheet'!AY80/'Balance sheet'!AY41</f>
        <v>0.54902969051298534</v>
      </c>
      <c r="BZ9" s="447">
        <f>'Balance sheet'!AZ80/'Balance sheet'!AZ41</f>
        <v>0.546900109035242</v>
      </c>
      <c r="CA9" s="447">
        <f>'Balance sheet'!BA80/'Balance sheet'!BA41</f>
        <v>0.54538803549382298</v>
      </c>
      <c r="CB9" s="447">
        <f>'Balance sheet'!BB80/'Balance sheet'!BB41</f>
        <v>0.54442991352620906</v>
      </c>
      <c r="CC9" s="446">
        <f>'Balance sheet'!BB80/'Balance sheet'!BB41</f>
        <v>0.54442991352620906</v>
      </c>
      <c r="CD9" s="447">
        <f>'Balance sheet'!BC80/'Balance sheet'!BC41</f>
        <v>0.53069209874920598</v>
      </c>
    </row>
    <row r="13" spans="1:82" s="438" customFormat="1" ht="13.5">
      <c r="A13" s="437" t="s">
        <v>604</v>
      </c>
      <c r="B13" s="437" t="s">
        <v>605</v>
      </c>
    </row>
    <row r="14" spans="1:82" s="438" customFormat="1" ht="13.5">
      <c r="A14" s="437" t="s">
        <v>606</v>
      </c>
      <c r="B14" s="437" t="s">
        <v>607</v>
      </c>
    </row>
    <row r="15" spans="1:82" s="438" customFormat="1" ht="13.5">
      <c r="A15" s="437" t="s">
        <v>608</v>
      </c>
      <c r="B15" s="437" t="s">
        <v>609</v>
      </c>
    </row>
    <row r="16" spans="1:82" s="438" customFormat="1" ht="13.5">
      <c r="A16" s="437" t="s">
        <v>610</v>
      </c>
      <c r="B16" s="437" t="s">
        <v>611</v>
      </c>
    </row>
    <row r="17" spans="1:2" s="438" customFormat="1" ht="13.5">
      <c r="A17" s="437" t="s">
        <v>612</v>
      </c>
      <c r="B17" s="437" t="s">
        <v>613</v>
      </c>
    </row>
    <row r="18" spans="1:2" s="438" customFormat="1" ht="13.5">
      <c r="A18" s="437" t="s">
        <v>614</v>
      </c>
      <c r="B18" s="437" t="s">
        <v>615</v>
      </c>
    </row>
    <row r="19" spans="1:2" s="438" customFormat="1" ht="13.5">
      <c r="A19" s="437" t="s">
        <v>616</v>
      </c>
      <c r="B19" s="437" t="s">
        <v>617</v>
      </c>
    </row>
  </sheetData>
  <pageMargins left="0.70866141732283472" right="0.70866141732283472" top="0.74803149606299213" bottom="0.74803149606299213" header="0.31496062992125984" footer="0.31496062992125984"/>
  <pageSetup paperSize="9" scale="19" orientation="landscape"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49"/>
  <sheetViews>
    <sheetView showGridLines="0" zoomScale="80" zoomScaleNormal="80" zoomScaleSheetLayoutView="85" workbookViewId="0">
      <pane xSplit="22" ySplit="4" topLeftCell="Y5" activePane="bottomRight" state="frozen"/>
      <selection pane="topRight" activeCell="W1" sqref="W1"/>
      <selection pane="bottomLeft" activeCell="A5" sqref="A5"/>
      <selection pane="bottomRight" activeCell="AJ13" sqref="AJ13"/>
    </sheetView>
  </sheetViews>
  <sheetFormatPr defaultColWidth="9" defaultRowHeight="28.5" customHeight="1" outlineLevelCol="1"/>
  <cols>
    <col min="1" max="2" width="40.58203125" style="538" customWidth="1"/>
    <col min="3" max="5" width="9" style="538" hidden="1" customWidth="1" outlineLevel="1"/>
    <col min="6" max="6" width="10.58203125" style="538" hidden="1" customWidth="1" outlineLevel="1"/>
    <col min="7" max="22" width="9" style="538" hidden="1" customWidth="1" outlineLevel="1"/>
    <col min="23" max="23" width="9" style="538" collapsed="1"/>
    <col min="24" max="16384" width="9" style="538"/>
  </cols>
  <sheetData>
    <row r="1" spans="1:36" s="518" customFormat="1" ht="89.25" customHeight="1">
      <c r="A1" s="517"/>
      <c r="B1" s="517"/>
      <c r="H1" s="519"/>
      <c r="I1" s="519"/>
      <c r="L1" s="519"/>
      <c r="M1" s="519"/>
      <c r="P1" s="519"/>
      <c r="Q1" s="519"/>
      <c r="T1" s="519"/>
      <c r="U1" s="519"/>
      <c r="V1" s="686"/>
      <c r="X1" s="519"/>
      <c r="Y1" s="519"/>
      <c r="Z1" s="686"/>
      <c r="AB1" s="519"/>
      <c r="AC1" s="519"/>
      <c r="AD1" s="686"/>
    </row>
    <row r="2" spans="1:36" s="521" customFormat="1" ht="12">
      <c r="A2" s="971"/>
      <c r="B2" s="971"/>
      <c r="C2" s="520"/>
      <c r="D2" s="520"/>
      <c r="E2" s="520"/>
      <c r="F2" s="520"/>
      <c r="G2" s="520"/>
      <c r="H2" s="520"/>
      <c r="I2" s="520"/>
      <c r="J2" s="520"/>
      <c r="K2" s="520"/>
      <c r="L2" s="520"/>
      <c r="M2" s="520"/>
      <c r="N2" s="520"/>
      <c r="O2" s="520"/>
      <c r="P2" s="520"/>
      <c r="Q2" s="520"/>
      <c r="S2" s="520"/>
      <c r="T2" s="520"/>
      <c r="U2" s="520"/>
      <c r="W2" s="520"/>
      <c r="X2" s="719"/>
      <c r="Y2" s="520"/>
      <c r="AA2" s="520"/>
      <c r="AB2" s="719"/>
      <c r="AC2" s="520"/>
    </row>
    <row r="3" spans="1:36" s="523" customFormat="1" ht="20.149999999999999" customHeight="1">
      <c r="A3" s="522" t="s">
        <v>618</v>
      </c>
      <c r="B3" s="522" t="s">
        <v>619</v>
      </c>
      <c r="C3" s="969">
        <v>2018</v>
      </c>
      <c r="D3" s="969"/>
      <c r="E3" s="969"/>
      <c r="F3" s="969"/>
      <c r="G3" s="968">
        <v>2019</v>
      </c>
      <c r="H3" s="969"/>
      <c r="I3" s="969"/>
      <c r="J3" s="970"/>
      <c r="K3" s="969">
        <v>2020</v>
      </c>
      <c r="L3" s="969"/>
      <c r="M3" s="969"/>
      <c r="N3" s="969"/>
      <c r="O3" s="968">
        <v>2021</v>
      </c>
      <c r="P3" s="969"/>
      <c r="Q3" s="969"/>
      <c r="R3" s="970"/>
      <c r="S3" s="968">
        <v>2022</v>
      </c>
      <c r="T3" s="969"/>
      <c r="U3" s="969"/>
      <c r="V3" s="970"/>
      <c r="W3" s="968">
        <v>2023</v>
      </c>
      <c r="X3" s="969"/>
      <c r="Y3" s="969"/>
      <c r="Z3" s="970"/>
      <c r="AA3" s="968">
        <v>2024</v>
      </c>
      <c r="AB3" s="969"/>
      <c r="AC3" s="969"/>
      <c r="AD3" s="970"/>
      <c r="AE3" s="968">
        <v>2025</v>
      </c>
      <c r="AF3" s="969"/>
      <c r="AG3" s="969"/>
      <c r="AH3" s="970"/>
    </row>
    <row r="4" spans="1:36" s="523" customFormat="1" ht="21.75" customHeight="1">
      <c r="A4" s="522"/>
      <c r="B4" s="522"/>
      <c r="C4" s="524" t="s">
        <v>620</v>
      </c>
      <c r="D4" s="524" t="s">
        <v>621</v>
      </c>
      <c r="E4" s="524" t="s">
        <v>622</v>
      </c>
      <c r="F4" s="524" t="s">
        <v>623</v>
      </c>
      <c r="G4" s="525" t="str">
        <f t="shared" ref="G4:R4" si="0">C4</f>
        <v>1Q</v>
      </c>
      <c r="H4" s="524" t="str">
        <f t="shared" si="0"/>
        <v>2Q</v>
      </c>
      <c r="I4" s="524" t="str">
        <f t="shared" si="0"/>
        <v>3Q</v>
      </c>
      <c r="J4" s="526" t="str">
        <f t="shared" si="0"/>
        <v>4Q</v>
      </c>
      <c r="K4" s="524" t="str">
        <f t="shared" si="0"/>
        <v>1Q</v>
      </c>
      <c r="L4" s="524" t="str">
        <f t="shared" si="0"/>
        <v>2Q</v>
      </c>
      <c r="M4" s="524" t="str">
        <f t="shared" si="0"/>
        <v>3Q</v>
      </c>
      <c r="N4" s="524" t="str">
        <f t="shared" si="0"/>
        <v>4Q</v>
      </c>
      <c r="O4" s="525" t="str">
        <f t="shared" si="0"/>
        <v>1Q</v>
      </c>
      <c r="P4" s="524" t="str">
        <f t="shared" si="0"/>
        <v>2Q</v>
      </c>
      <c r="Q4" s="524" t="str">
        <f t="shared" si="0"/>
        <v>3Q</v>
      </c>
      <c r="R4" s="526" t="str">
        <f t="shared" si="0"/>
        <v>4Q</v>
      </c>
      <c r="S4" s="525" t="str">
        <f t="shared" ref="S4" si="1">O4</f>
        <v>1Q</v>
      </c>
      <c r="T4" s="524" t="str">
        <f t="shared" ref="T4" si="2">P4</f>
        <v>2Q</v>
      </c>
      <c r="U4" s="524" t="str">
        <f t="shared" ref="U4" si="3">Q4</f>
        <v>3Q</v>
      </c>
      <c r="V4" s="526" t="str">
        <f t="shared" ref="V4" si="4">R4</f>
        <v>4Q</v>
      </c>
      <c r="W4" s="525" t="str">
        <f t="shared" ref="W4" si="5">S4</f>
        <v>1Q</v>
      </c>
      <c r="X4" s="524" t="str">
        <f t="shared" ref="X4" si="6">T4</f>
        <v>2Q</v>
      </c>
      <c r="Y4" s="524" t="str">
        <f t="shared" ref="Y4" si="7">U4</f>
        <v>3Q</v>
      </c>
      <c r="Z4" s="526" t="str">
        <f t="shared" ref="Z4" si="8">V4</f>
        <v>4Q</v>
      </c>
      <c r="AA4" s="525" t="str">
        <f t="shared" ref="AA4" si="9">W4</f>
        <v>1Q</v>
      </c>
      <c r="AB4" s="524" t="str">
        <f t="shared" ref="AB4" si="10">X4</f>
        <v>2Q</v>
      </c>
      <c r="AC4" s="524" t="str">
        <f t="shared" ref="AC4" si="11">Y4</f>
        <v>3Q</v>
      </c>
      <c r="AD4" s="526" t="str">
        <f t="shared" ref="AD4" si="12">Z4</f>
        <v>4Q</v>
      </c>
      <c r="AE4" s="525" t="str">
        <f t="shared" ref="AE4" si="13">AA4</f>
        <v>1Q</v>
      </c>
      <c r="AF4" s="524" t="str">
        <f t="shared" ref="AF4" si="14">AB4</f>
        <v>2Q</v>
      </c>
      <c r="AG4" s="524" t="str">
        <f t="shared" ref="AG4" si="15">AC4</f>
        <v>3Q</v>
      </c>
      <c r="AH4" s="526" t="str">
        <f t="shared" ref="AH4" si="16">AD4</f>
        <v>4Q</v>
      </c>
    </row>
    <row r="5" spans="1:36" s="531" customFormat="1" ht="20.149999999999999" customHeight="1">
      <c r="A5" s="527" t="s">
        <v>624</v>
      </c>
      <c r="B5" s="527" t="s">
        <v>625</v>
      </c>
      <c r="C5" s="528"/>
      <c r="D5" s="528"/>
      <c r="E5" s="528"/>
      <c r="F5" s="528"/>
      <c r="G5" s="529"/>
      <c r="H5" s="528"/>
      <c r="I5" s="528"/>
      <c r="J5" s="528"/>
      <c r="K5" s="530"/>
      <c r="L5" s="528"/>
      <c r="M5" s="528"/>
      <c r="N5" s="528"/>
      <c r="O5" s="529"/>
      <c r="P5" s="528"/>
      <c r="Q5" s="528"/>
      <c r="R5" s="618"/>
      <c r="S5" s="529"/>
      <c r="T5" s="528"/>
      <c r="U5" s="528"/>
      <c r="V5" s="618"/>
      <c r="W5" s="529"/>
      <c r="X5" s="528"/>
      <c r="Y5" s="528"/>
      <c r="Z5" s="618"/>
      <c r="AA5" s="529"/>
      <c r="AB5" s="528"/>
      <c r="AC5" s="528"/>
      <c r="AD5" s="618"/>
      <c r="AE5" s="529"/>
      <c r="AF5" s="528"/>
      <c r="AG5" s="528"/>
      <c r="AH5" s="618"/>
    </row>
    <row r="6" spans="1:36" ht="20.149999999999999" customHeight="1">
      <c r="A6" s="532" t="s">
        <v>626</v>
      </c>
      <c r="B6" s="533" t="s">
        <v>627</v>
      </c>
      <c r="C6" s="534">
        <f t="shared" ref="C6:AD6" si="17">SUM(C7:C9)</f>
        <v>12361.7</v>
      </c>
      <c r="D6" s="534">
        <f t="shared" si="17"/>
        <v>12435.4</v>
      </c>
      <c r="E6" s="534">
        <f t="shared" si="17"/>
        <v>12508</v>
      </c>
      <c r="F6" s="534">
        <f t="shared" si="17"/>
        <v>12646.4</v>
      </c>
      <c r="G6" s="535">
        <f t="shared" si="17"/>
        <v>12677.4</v>
      </c>
      <c r="H6" s="534">
        <f t="shared" si="17"/>
        <v>12715.1</v>
      </c>
      <c r="I6" s="534">
        <f t="shared" si="17"/>
        <v>12793.1</v>
      </c>
      <c r="J6" s="534">
        <f t="shared" si="17"/>
        <v>12901.7</v>
      </c>
      <c r="K6" s="536">
        <f t="shared" si="17"/>
        <v>12907.6</v>
      </c>
      <c r="L6" s="534">
        <f t="shared" si="17"/>
        <v>12984.099999999999</v>
      </c>
      <c r="M6" s="534">
        <f t="shared" si="17"/>
        <v>13084</v>
      </c>
      <c r="N6" s="534">
        <f t="shared" si="17"/>
        <v>13169.3</v>
      </c>
      <c r="O6" s="535">
        <f t="shared" si="17"/>
        <v>13172</v>
      </c>
      <c r="P6" s="534">
        <f t="shared" si="17"/>
        <v>13188</v>
      </c>
      <c r="Q6" s="534">
        <f t="shared" si="17"/>
        <v>13494</v>
      </c>
      <c r="R6" s="619">
        <f t="shared" si="17"/>
        <v>13465</v>
      </c>
      <c r="S6" s="535">
        <f t="shared" si="17"/>
        <v>13379</v>
      </c>
      <c r="T6" s="534">
        <f t="shared" si="17"/>
        <v>13349</v>
      </c>
      <c r="U6" s="534">
        <f t="shared" si="17"/>
        <v>13341</v>
      </c>
      <c r="V6" s="619">
        <f t="shared" si="17"/>
        <v>13285</v>
      </c>
      <c r="W6" s="535">
        <f t="shared" si="17"/>
        <v>13163</v>
      </c>
      <c r="X6" s="534">
        <f t="shared" si="17"/>
        <v>13083</v>
      </c>
      <c r="Y6" s="534">
        <f t="shared" si="17"/>
        <v>13054</v>
      </c>
      <c r="Z6" s="619">
        <f t="shared" si="17"/>
        <v>13083</v>
      </c>
      <c r="AA6" s="535">
        <f t="shared" si="17"/>
        <v>13077</v>
      </c>
      <c r="AB6" s="534">
        <f t="shared" si="17"/>
        <v>13086</v>
      </c>
      <c r="AC6" s="534">
        <f t="shared" si="17"/>
        <v>13129</v>
      </c>
      <c r="AD6" s="619">
        <f t="shared" si="17"/>
        <v>13209.116</v>
      </c>
      <c r="AE6" s="535">
        <f t="shared" ref="AE6" si="18">SUM(AE7:AE9)</f>
        <v>13289</v>
      </c>
      <c r="AF6" s="534"/>
      <c r="AG6" s="534"/>
      <c r="AH6" s="619"/>
      <c r="AI6" s="763"/>
      <c r="AJ6" s="763"/>
    </row>
    <row r="7" spans="1:36" ht="20.149999999999999" customHeight="1">
      <c r="A7" s="539" t="s">
        <v>628</v>
      </c>
      <c r="B7" s="539" t="s">
        <v>629</v>
      </c>
      <c r="C7" s="540">
        <v>5220.5</v>
      </c>
      <c r="D7" s="540">
        <v>5270</v>
      </c>
      <c r="E7" s="540">
        <v>5288.3</v>
      </c>
      <c r="F7" s="540">
        <v>5358.7</v>
      </c>
      <c r="G7" s="541">
        <v>5345.9</v>
      </c>
      <c r="H7" s="540">
        <v>5334.3</v>
      </c>
      <c r="I7" s="540">
        <v>5317.8</v>
      </c>
      <c r="J7" s="542">
        <v>5336</v>
      </c>
      <c r="K7" s="540">
        <v>5300.7</v>
      </c>
      <c r="L7" s="540">
        <v>5319.4</v>
      </c>
      <c r="M7" s="540">
        <v>5339.7</v>
      </c>
      <c r="N7" s="540">
        <v>5355.3</v>
      </c>
      <c r="O7" s="541">
        <v>5344</v>
      </c>
      <c r="P7" s="540">
        <v>5332</v>
      </c>
      <c r="Q7" s="540">
        <v>5306</v>
      </c>
      <c r="R7" s="620">
        <v>5264</v>
      </c>
      <c r="S7" s="541">
        <v>5177</v>
      </c>
      <c r="T7" s="540">
        <v>5117</v>
      </c>
      <c r="U7" s="540">
        <v>5106</v>
      </c>
      <c r="V7" s="624">
        <v>5049</v>
      </c>
      <c r="W7" s="541">
        <v>4951</v>
      </c>
      <c r="X7" s="540">
        <v>4895</v>
      </c>
      <c r="Y7" s="738">
        <v>4863</v>
      </c>
      <c r="Z7" s="624">
        <v>4843</v>
      </c>
      <c r="AA7" s="541">
        <v>4804</v>
      </c>
      <c r="AB7" s="540">
        <v>4749</v>
      </c>
      <c r="AC7" s="540">
        <v>4694</v>
      </c>
      <c r="AD7" s="624">
        <v>4682.8559999999998</v>
      </c>
      <c r="AE7" s="541">
        <v>4661</v>
      </c>
      <c r="AF7" s="540"/>
      <c r="AG7" s="738"/>
      <c r="AH7" s="624"/>
      <c r="AI7" s="763"/>
      <c r="AJ7" s="763"/>
    </row>
    <row r="8" spans="1:36" ht="20.149999999999999" customHeight="1">
      <c r="A8" s="539" t="s">
        <v>630</v>
      </c>
      <c r="B8" s="539" t="s">
        <v>631</v>
      </c>
      <c r="C8" s="540">
        <v>5109</v>
      </c>
      <c r="D8" s="540">
        <v>5150.6000000000004</v>
      </c>
      <c r="E8" s="540">
        <v>5212.2</v>
      </c>
      <c r="F8" s="540">
        <v>5271.2</v>
      </c>
      <c r="G8" s="541">
        <v>5334.6</v>
      </c>
      <c r="H8" s="540">
        <v>5396.4</v>
      </c>
      <c r="I8" s="540">
        <v>5494.2</v>
      </c>
      <c r="J8" s="542">
        <v>5578.1</v>
      </c>
      <c r="K8" s="540">
        <v>5628.3</v>
      </c>
      <c r="L8" s="540">
        <v>5683.4</v>
      </c>
      <c r="M8" s="540">
        <v>5760.6</v>
      </c>
      <c r="N8" s="540">
        <v>5810.2</v>
      </c>
      <c r="O8" s="541">
        <v>5832</v>
      </c>
      <c r="P8" s="540">
        <v>5864</v>
      </c>
      <c r="Q8" s="540">
        <v>6182</v>
      </c>
      <c r="R8" s="620">
        <v>6195</v>
      </c>
      <c r="S8" s="541">
        <v>6205</v>
      </c>
      <c r="T8" s="540">
        <v>6230</v>
      </c>
      <c r="U8" s="540">
        <v>6232</v>
      </c>
      <c r="V8" s="624">
        <v>6238</v>
      </c>
      <c r="W8" s="541">
        <v>6232</v>
      </c>
      <c r="X8" s="540">
        <v>6218</v>
      </c>
      <c r="Y8" s="738">
        <v>6213</v>
      </c>
      <c r="Z8" s="624">
        <v>6246</v>
      </c>
      <c r="AA8" s="541">
        <v>6273</v>
      </c>
      <c r="AB8" s="540">
        <v>6317</v>
      </c>
      <c r="AC8" s="540">
        <v>6378</v>
      </c>
      <c r="AD8" s="624">
        <v>6437.26</v>
      </c>
      <c r="AE8" s="541">
        <v>6483</v>
      </c>
      <c r="AF8" s="540"/>
      <c r="AG8" s="738"/>
      <c r="AH8" s="624"/>
      <c r="AI8" s="763"/>
      <c r="AJ8" s="763"/>
    </row>
    <row r="9" spans="1:36" ht="18.75" customHeight="1">
      <c r="A9" s="539" t="s">
        <v>632</v>
      </c>
      <c r="B9" s="539" t="s">
        <v>633</v>
      </c>
      <c r="C9" s="540">
        <v>2032.2</v>
      </c>
      <c r="D9" s="540">
        <v>2014.8</v>
      </c>
      <c r="E9" s="540">
        <v>2007.5</v>
      </c>
      <c r="F9" s="540">
        <v>2016.5</v>
      </c>
      <c r="G9" s="541">
        <v>1996.9</v>
      </c>
      <c r="H9" s="540">
        <v>1984.4</v>
      </c>
      <c r="I9" s="540">
        <v>1981.1</v>
      </c>
      <c r="J9" s="542">
        <v>1987.6</v>
      </c>
      <c r="K9" s="540">
        <v>1978.6</v>
      </c>
      <c r="L9" s="540">
        <v>1981.3</v>
      </c>
      <c r="M9" s="540">
        <v>1983.7</v>
      </c>
      <c r="N9" s="540">
        <v>2003.8</v>
      </c>
      <c r="O9" s="541">
        <v>1996</v>
      </c>
      <c r="P9" s="540">
        <v>1992</v>
      </c>
      <c r="Q9" s="540">
        <v>2006</v>
      </c>
      <c r="R9" s="620">
        <v>2006</v>
      </c>
      <c r="S9" s="541">
        <v>1997</v>
      </c>
      <c r="T9" s="540">
        <v>2002</v>
      </c>
      <c r="U9" s="540">
        <v>2003</v>
      </c>
      <c r="V9" s="624">
        <v>1998</v>
      </c>
      <c r="W9" s="541">
        <v>1980</v>
      </c>
      <c r="X9" s="540">
        <v>1970</v>
      </c>
      <c r="Y9" s="738">
        <v>1978</v>
      </c>
      <c r="Z9" s="624">
        <v>1994</v>
      </c>
      <c r="AA9" s="541">
        <v>2000</v>
      </c>
      <c r="AB9" s="540">
        <v>2020</v>
      </c>
      <c r="AC9" s="540">
        <v>2057</v>
      </c>
      <c r="AD9" s="624">
        <v>2089</v>
      </c>
      <c r="AE9" s="541">
        <v>2145</v>
      </c>
      <c r="AF9" s="540"/>
      <c r="AG9" s="738"/>
      <c r="AH9" s="624"/>
      <c r="AI9" s="763"/>
      <c r="AJ9" s="763"/>
    </row>
    <row r="10" spans="1:36" s="543" customFormat="1" ht="20.149999999999999" customHeight="1">
      <c r="A10" s="532" t="s">
        <v>634</v>
      </c>
      <c r="B10" s="533" t="s">
        <v>635</v>
      </c>
      <c r="C10" s="534">
        <v>6252</v>
      </c>
      <c r="D10" s="534">
        <v>6217</v>
      </c>
      <c r="E10" s="534">
        <v>6192</v>
      </c>
      <c r="F10" s="534">
        <v>6176.3</v>
      </c>
      <c r="G10" s="535">
        <v>6133.1</v>
      </c>
      <c r="H10" s="534">
        <v>6100.4</v>
      </c>
      <c r="I10" s="534">
        <v>6082.7</v>
      </c>
      <c r="J10" s="534">
        <v>6086.7</v>
      </c>
      <c r="K10" s="536">
        <v>6046.1</v>
      </c>
      <c r="L10" s="534">
        <v>6033</v>
      </c>
      <c r="M10" s="534">
        <v>6018.3</v>
      </c>
      <c r="N10" s="534">
        <v>6003.6</v>
      </c>
      <c r="O10" s="535">
        <v>5962</v>
      </c>
      <c r="P10" s="534">
        <v>5932</v>
      </c>
      <c r="Q10" s="534">
        <v>6069</v>
      </c>
      <c r="R10" s="619">
        <v>6047</v>
      </c>
      <c r="S10" s="535">
        <v>6012</v>
      </c>
      <c r="T10" s="534">
        <v>5990</v>
      </c>
      <c r="U10" s="534">
        <v>5967</v>
      </c>
      <c r="V10" s="619">
        <v>5934</v>
      </c>
      <c r="W10" s="758">
        <v>5887</v>
      </c>
      <c r="X10" s="759">
        <v>5848</v>
      </c>
      <c r="Y10" s="760">
        <v>5820</v>
      </c>
      <c r="Z10" s="619">
        <v>5795</v>
      </c>
      <c r="AA10" s="535">
        <v>5772</v>
      </c>
      <c r="AB10" s="534">
        <v>5758</v>
      </c>
      <c r="AC10" s="534">
        <v>5747</v>
      </c>
      <c r="AD10" s="619">
        <v>5737</v>
      </c>
      <c r="AE10" s="758">
        <v>5721</v>
      </c>
      <c r="AF10" s="759"/>
      <c r="AG10" s="760"/>
      <c r="AH10" s="619"/>
      <c r="AI10" s="763"/>
      <c r="AJ10" s="763"/>
    </row>
    <row r="11" spans="1:36" s="549" customFormat="1" ht="20.149999999999999" customHeight="1">
      <c r="A11" s="544" t="s">
        <v>636</v>
      </c>
      <c r="B11" s="545" t="s">
        <v>637</v>
      </c>
      <c r="C11" s="546">
        <v>60.6</v>
      </c>
      <c r="D11" s="546">
        <v>61.3</v>
      </c>
      <c r="E11" s="546">
        <v>62.5</v>
      </c>
      <c r="F11" s="546">
        <v>62.6</v>
      </c>
      <c r="G11" s="547">
        <v>62</v>
      </c>
      <c r="H11" s="546">
        <v>62.2</v>
      </c>
      <c r="I11" s="546">
        <v>63.4</v>
      </c>
      <c r="J11" s="546">
        <v>63.8</v>
      </c>
      <c r="K11" s="548">
        <v>63.3</v>
      </c>
      <c r="L11" s="546">
        <v>63.3</v>
      </c>
      <c r="M11" s="546">
        <v>64.900000000000006</v>
      </c>
      <c r="N11" s="546">
        <v>66.2</v>
      </c>
      <c r="O11" s="547">
        <v>67.2</v>
      </c>
      <c r="P11" s="546">
        <v>67.8</v>
      </c>
      <c r="Q11" s="546">
        <v>68.599999999999994</v>
      </c>
      <c r="R11" s="621">
        <v>69.099999999999994</v>
      </c>
      <c r="S11" s="547">
        <v>69.8</v>
      </c>
      <c r="T11" s="546">
        <v>70.2</v>
      </c>
      <c r="U11" s="546">
        <v>71.3</v>
      </c>
      <c r="V11" s="621">
        <v>71.7</v>
      </c>
      <c r="W11" s="547">
        <v>71.400000000000006</v>
      </c>
      <c r="X11" s="546">
        <v>71.8</v>
      </c>
      <c r="Y11" s="546">
        <v>73.5</v>
      </c>
      <c r="Z11" s="621">
        <v>73.599999999999994</v>
      </c>
      <c r="AA11" s="547">
        <v>74.599999999999994</v>
      </c>
      <c r="AB11" s="546">
        <v>75.2</v>
      </c>
      <c r="AC11" s="546">
        <v>77.2</v>
      </c>
      <c r="AD11" s="621">
        <v>77.400000000000006</v>
      </c>
      <c r="AE11" s="547">
        <v>77.7</v>
      </c>
      <c r="AF11" s="546"/>
      <c r="AG11" s="546"/>
      <c r="AH11" s="621"/>
      <c r="AI11" s="774"/>
    </row>
    <row r="12" spans="1:36" s="549" customFormat="1" ht="20.149999999999999" customHeight="1">
      <c r="A12" s="544" t="s">
        <v>638</v>
      </c>
      <c r="B12" s="545" t="s">
        <v>639</v>
      </c>
      <c r="C12" s="546">
        <v>60.6</v>
      </c>
      <c r="D12" s="546">
        <v>60.9</v>
      </c>
      <c r="E12" s="546">
        <v>61.5</v>
      </c>
      <c r="F12" s="546">
        <v>61.8</v>
      </c>
      <c r="G12" s="547">
        <v>62</v>
      </c>
      <c r="H12" s="546">
        <v>62.1</v>
      </c>
      <c r="I12" s="546">
        <v>62.5</v>
      </c>
      <c r="J12" s="546">
        <v>62.9</v>
      </c>
      <c r="K12" s="548">
        <v>63.3</v>
      </c>
      <c r="L12" s="546">
        <v>63.3</v>
      </c>
      <c r="M12" s="546">
        <v>63.9</v>
      </c>
      <c r="N12" s="546">
        <v>64.5</v>
      </c>
      <c r="O12" s="547">
        <v>67.2</v>
      </c>
      <c r="P12" s="546">
        <v>67.5</v>
      </c>
      <c r="Q12" s="546">
        <v>67.900000000000006</v>
      </c>
      <c r="R12" s="621">
        <v>68.2</v>
      </c>
      <c r="S12" s="547">
        <v>69.8</v>
      </c>
      <c r="T12" s="546">
        <v>70</v>
      </c>
      <c r="U12" s="546">
        <v>70.400000000000006</v>
      </c>
      <c r="V12" s="621">
        <v>70.8</v>
      </c>
      <c r="W12" s="547">
        <v>71.400000000000006</v>
      </c>
      <c r="X12" s="546">
        <v>71.599999999999994</v>
      </c>
      <c r="Y12" s="546">
        <v>72.2</v>
      </c>
      <c r="Z12" s="766">
        <v>72.599999999999994</v>
      </c>
      <c r="AA12" s="547">
        <v>74.599999999999994</v>
      </c>
      <c r="AB12" s="546">
        <v>74.900000000000006</v>
      </c>
      <c r="AC12" s="546">
        <v>75.7</v>
      </c>
      <c r="AD12" s="621">
        <v>76.099999999999994</v>
      </c>
      <c r="AE12" s="547">
        <v>77.7</v>
      </c>
      <c r="AF12" s="546"/>
      <c r="AG12" s="546"/>
      <c r="AH12" s="766"/>
      <c r="AI12" s="774"/>
    </row>
    <row r="13" spans="1:36" ht="20.149999999999999" customHeight="1">
      <c r="A13" s="550" t="s">
        <v>640</v>
      </c>
      <c r="B13" s="550" t="s">
        <v>641</v>
      </c>
      <c r="C13" s="551" t="s">
        <v>642</v>
      </c>
      <c r="D13" s="551" t="s">
        <v>642</v>
      </c>
      <c r="E13" s="551" t="s">
        <v>642</v>
      </c>
      <c r="F13" s="551" t="s">
        <v>642</v>
      </c>
      <c r="G13" s="552">
        <v>7.9000000000000001E-2</v>
      </c>
      <c r="H13" s="551">
        <v>7.6999999999999999E-2</v>
      </c>
      <c r="I13" s="551">
        <v>7.3999999999999996E-2</v>
      </c>
      <c r="J13" s="551">
        <v>7.1999999999999995E-2</v>
      </c>
      <c r="K13" s="553">
        <v>7.1999999999999995E-2</v>
      </c>
      <c r="L13" s="551">
        <v>6.9000000000000006E-2</v>
      </c>
      <c r="M13" s="551">
        <v>6.7000000000000004E-2</v>
      </c>
      <c r="N13" s="551">
        <v>6.9000000000000006E-2</v>
      </c>
      <c r="O13" s="552">
        <v>7.0999999999999994E-2</v>
      </c>
      <c r="P13" s="551">
        <v>7.2999999999999995E-2</v>
      </c>
      <c r="Q13" s="551">
        <v>6.9000000000000006E-2</v>
      </c>
      <c r="R13" s="622">
        <v>6.9000000000000006E-2</v>
      </c>
      <c r="S13" s="552">
        <v>6.8000000000000005E-2</v>
      </c>
      <c r="T13" s="551">
        <v>6.8000000000000005E-2</v>
      </c>
      <c r="U13" s="551">
        <v>6.8000000000000005E-2</v>
      </c>
      <c r="V13" s="622">
        <v>7.0000000000000007E-2</v>
      </c>
      <c r="W13" s="552">
        <v>7.1999999999999995E-2</v>
      </c>
      <c r="X13" s="551">
        <v>7.2999999999999995E-2</v>
      </c>
      <c r="Y13" s="736">
        <v>7.4999999999999997E-2</v>
      </c>
      <c r="Z13" s="622">
        <v>7.5999999999999998E-2</v>
      </c>
      <c r="AA13" s="552">
        <v>7.5999999999999998E-2</v>
      </c>
      <c r="AB13" s="551">
        <v>7.4999999999999997E-2</v>
      </c>
      <c r="AC13" s="551">
        <v>7.1999999999999995E-2</v>
      </c>
      <c r="AD13" s="622">
        <v>7.0000000000000007E-2</v>
      </c>
      <c r="AE13" s="552">
        <v>6.8000000000000005E-2</v>
      </c>
      <c r="AF13" s="551"/>
      <c r="AG13" s="736"/>
      <c r="AH13" s="622"/>
    </row>
    <row r="14" spans="1:36" ht="20.149999999999999" customHeight="1">
      <c r="A14" s="550" t="s">
        <v>643</v>
      </c>
      <c r="B14" s="550" t="s">
        <v>644</v>
      </c>
      <c r="C14" s="554">
        <v>1.98</v>
      </c>
      <c r="D14" s="554">
        <v>2</v>
      </c>
      <c r="E14" s="554">
        <v>2.02</v>
      </c>
      <c r="F14" s="554">
        <v>2.0499999999999998</v>
      </c>
      <c r="G14" s="555">
        <v>2.0699999999999998</v>
      </c>
      <c r="H14" s="554">
        <v>2.08</v>
      </c>
      <c r="I14" s="554">
        <v>2.1</v>
      </c>
      <c r="J14" s="554">
        <v>2.12</v>
      </c>
      <c r="K14" s="556">
        <v>2.13</v>
      </c>
      <c r="L14" s="554">
        <v>2.15</v>
      </c>
      <c r="M14" s="554">
        <v>2.17</v>
      </c>
      <c r="N14" s="554">
        <v>2.19</v>
      </c>
      <c r="O14" s="555">
        <v>2.21</v>
      </c>
      <c r="P14" s="554">
        <v>2.2200000000000002</v>
      </c>
      <c r="Q14" s="554">
        <v>2.2200000000000002</v>
      </c>
      <c r="R14" s="623">
        <v>2.23</v>
      </c>
      <c r="S14" s="555">
        <v>2.23</v>
      </c>
      <c r="T14" s="554">
        <v>2.23</v>
      </c>
      <c r="U14" s="554">
        <v>2.2400000000000002</v>
      </c>
      <c r="V14" s="623">
        <v>2.2400000000000002</v>
      </c>
      <c r="W14" s="555">
        <v>2.2400000000000002</v>
      </c>
      <c r="X14" s="554">
        <v>2.2400000000000002</v>
      </c>
      <c r="Y14" s="735">
        <v>2.2400000000000002</v>
      </c>
      <c r="Z14" s="623">
        <v>2.2599999999999998</v>
      </c>
      <c r="AA14" s="555">
        <v>2.27</v>
      </c>
      <c r="AB14" s="554">
        <v>2.27</v>
      </c>
      <c r="AC14" s="554">
        <v>2.29</v>
      </c>
      <c r="AD14" s="623">
        <v>2.2999999999999998</v>
      </c>
      <c r="AE14" s="555">
        <v>2.3199999999999998</v>
      </c>
      <c r="AF14" s="554"/>
      <c r="AG14" s="735"/>
      <c r="AH14" s="623"/>
    </row>
    <row r="15" spans="1:36" s="531" customFormat="1" ht="20.149999999999999" customHeight="1">
      <c r="A15" s="527" t="s">
        <v>645</v>
      </c>
      <c r="B15" s="527" t="s">
        <v>646</v>
      </c>
      <c r="C15" s="528"/>
      <c r="D15" s="528"/>
      <c r="E15" s="528"/>
      <c r="F15" s="528"/>
      <c r="G15" s="529"/>
      <c r="H15" s="528"/>
      <c r="I15" s="528"/>
      <c r="J15" s="528"/>
      <c r="K15" s="530"/>
      <c r="L15" s="528"/>
      <c r="M15" s="528"/>
      <c r="N15" s="528"/>
      <c r="O15" s="529"/>
      <c r="P15" s="528"/>
      <c r="Q15" s="528"/>
      <c r="R15" s="618"/>
      <c r="S15" s="529"/>
      <c r="T15" s="528"/>
      <c r="U15" s="528"/>
      <c r="V15" s="618"/>
      <c r="W15" s="529"/>
      <c r="X15" s="528"/>
      <c r="Y15" s="734"/>
      <c r="Z15" s="618"/>
      <c r="AA15" s="529"/>
      <c r="AB15" s="528"/>
      <c r="AC15" s="734"/>
      <c r="AD15" s="618"/>
      <c r="AE15" s="529"/>
      <c r="AF15" s="528"/>
      <c r="AG15" s="734"/>
      <c r="AH15" s="618"/>
    </row>
    <row r="16" spans="1:36" s="537" customFormat="1" ht="20.149999999999999" customHeight="1">
      <c r="A16" s="557" t="s">
        <v>647</v>
      </c>
      <c r="B16" s="558" t="s">
        <v>648</v>
      </c>
      <c r="C16" s="534">
        <f t="shared" ref="C16:R16" si="19">SUM(C17:C19)</f>
        <v>2783.2</v>
      </c>
      <c r="D16" s="534">
        <f t="shared" si="19"/>
        <v>2768.7</v>
      </c>
      <c r="E16" s="534">
        <f t="shared" si="19"/>
        <v>2794.2000000000003</v>
      </c>
      <c r="F16" s="534">
        <f t="shared" si="19"/>
        <v>2646.9</v>
      </c>
      <c r="G16" s="535">
        <f t="shared" si="19"/>
        <v>2642.7999999999997</v>
      </c>
      <c r="H16" s="534">
        <f t="shared" si="19"/>
        <v>2607.4</v>
      </c>
      <c r="I16" s="534">
        <f t="shared" si="19"/>
        <v>2678.9</v>
      </c>
      <c r="J16" s="534">
        <f t="shared" si="19"/>
        <v>2657.5</v>
      </c>
      <c r="K16" s="536">
        <f t="shared" si="19"/>
        <v>2638.7000000000003</v>
      </c>
      <c r="L16" s="534">
        <f t="shared" si="19"/>
        <v>2525.1999999999998</v>
      </c>
      <c r="M16" s="534">
        <f t="shared" si="19"/>
        <v>2671.2</v>
      </c>
      <c r="N16" s="534">
        <f t="shared" si="19"/>
        <v>2617.8000000000002</v>
      </c>
      <c r="O16" s="535">
        <f t="shared" si="19"/>
        <v>2736</v>
      </c>
      <c r="P16" s="534">
        <f t="shared" si="19"/>
        <v>2596</v>
      </c>
      <c r="Q16" s="534">
        <f t="shared" si="19"/>
        <v>2773</v>
      </c>
      <c r="R16" s="619">
        <f t="shared" si="19"/>
        <v>2665.6990000000001</v>
      </c>
      <c r="S16" s="535">
        <f t="shared" ref="S16:V16" si="20">SUM(S17:S19)</f>
        <v>2832</v>
      </c>
      <c r="T16" s="534">
        <f t="shared" si="20"/>
        <v>2772</v>
      </c>
      <c r="U16" s="534">
        <f t="shared" si="20"/>
        <v>2832</v>
      </c>
      <c r="V16" s="619">
        <f t="shared" si="20"/>
        <v>2691</v>
      </c>
      <c r="W16" s="535">
        <f t="shared" ref="W16:AD16" si="21">SUM(W17:W19)</f>
        <v>2693</v>
      </c>
      <c r="X16" s="534">
        <f t="shared" si="21"/>
        <v>2656</v>
      </c>
      <c r="Y16" s="534">
        <f t="shared" si="21"/>
        <v>2738</v>
      </c>
      <c r="Z16" s="619">
        <f t="shared" si="21"/>
        <v>2646</v>
      </c>
      <c r="AA16" s="535">
        <f t="shared" si="21"/>
        <v>2624</v>
      </c>
      <c r="AB16" s="534">
        <f t="shared" si="21"/>
        <v>2609</v>
      </c>
      <c r="AC16" s="534">
        <f t="shared" si="21"/>
        <v>2566</v>
      </c>
      <c r="AD16" s="619">
        <f t="shared" si="21"/>
        <v>2468</v>
      </c>
      <c r="AE16" s="535">
        <f t="shared" ref="AE16" si="22">SUM(AE17:AE19)</f>
        <v>2430</v>
      </c>
      <c r="AF16" s="534"/>
      <c r="AG16" s="534"/>
      <c r="AH16" s="619"/>
    </row>
    <row r="17" spans="1:35" s="537" customFormat="1" ht="20.149999999999999" customHeight="1">
      <c r="A17" s="559" t="s">
        <v>649</v>
      </c>
      <c r="B17" s="559" t="s">
        <v>650</v>
      </c>
      <c r="C17" s="560">
        <v>75.2</v>
      </c>
      <c r="D17" s="560">
        <v>59.7</v>
      </c>
      <c r="E17" s="560">
        <v>91.3</v>
      </c>
      <c r="F17" s="560">
        <v>95.7</v>
      </c>
      <c r="G17" s="561">
        <v>144.6</v>
      </c>
      <c r="H17" s="560">
        <v>87.2</v>
      </c>
      <c r="I17" s="560">
        <v>142.9</v>
      </c>
      <c r="J17" s="560">
        <v>161.19999999999999</v>
      </c>
      <c r="K17" s="562">
        <v>172</v>
      </c>
      <c r="L17" s="560">
        <v>93.3</v>
      </c>
      <c r="M17" s="560">
        <v>158.1</v>
      </c>
      <c r="N17" s="560">
        <v>114.4</v>
      </c>
      <c r="O17" s="561">
        <v>225</v>
      </c>
      <c r="P17" s="560">
        <v>135</v>
      </c>
      <c r="Q17" s="560">
        <v>145</v>
      </c>
      <c r="R17" s="624">
        <v>89.698999999999998</v>
      </c>
      <c r="S17" s="561">
        <v>129</v>
      </c>
      <c r="T17" s="560">
        <v>81</v>
      </c>
      <c r="U17" s="560">
        <v>161</v>
      </c>
      <c r="V17" s="624">
        <v>82</v>
      </c>
      <c r="W17" s="561">
        <v>121</v>
      </c>
      <c r="X17" s="540">
        <v>79</v>
      </c>
      <c r="Y17" s="560">
        <v>128</v>
      </c>
      <c r="Z17" s="624">
        <v>98</v>
      </c>
      <c r="AA17" s="561">
        <v>123</v>
      </c>
      <c r="AB17" s="560">
        <v>112</v>
      </c>
      <c r="AC17" s="560">
        <v>86</v>
      </c>
      <c r="AD17" s="624">
        <v>86</v>
      </c>
      <c r="AE17" s="561">
        <v>108</v>
      </c>
      <c r="AF17" s="540"/>
      <c r="AG17" s="560"/>
      <c r="AH17" s="624"/>
    </row>
    <row r="18" spans="1:35" s="537" customFormat="1" ht="20.149999999999999" customHeight="1">
      <c r="A18" s="559" t="s">
        <v>630</v>
      </c>
      <c r="B18" s="559" t="s">
        <v>651</v>
      </c>
      <c r="C18" s="560">
        <v>2539.4</v>
      </c>
      <c r="D18" s="560">
        <v>2545.6999999999998</v>
      </c>
      <c r="E18" s="560">
        <v>2550.4</v>
      </c>
      <c r="F18" s="560">
        <v>2423.8000000000002</v>
      </c>
      <c r="G18" s="561">
        <v>2387.6999999999998</v>
      </c>
      <c r="H18" s="560">
        <v>2418.4</v>
      </c>
      <c r="I18" s="560">
        <v>2443.3000000000002</v>
      </c>
      <c r="J18" s="560">
        <v>2415.8000000000002</v>
      </c>
      <c r="K18" s="562">
        <v>2393.4</v>
      </c>
      <c r="L18" s="560">
        <v>2364.1999999999998</v>
      </c>
      <c r="M18" s="560">
        <v>2449.1999999999998</v>
      </c>
      <c r="N18" s="560">
        <v>2445.9</v>
      </c>
      <c r="O18" s="561">
        <v>2458</v>
      </c>
      <c r="P18" s="560">
        <v>2414</v>
      </c>
      <c r="Q18" s="560">
        <v>2584</v>
      </c>
      <c r="R18" s="624">
        <v>2537</v>
      </c>
      <c r="S18" s="561">
        <v>2666</v>
      </c>
      <c r="T18" s="560">
        <v>2655</v>
      </c>
      <c r="U18" s="560">
        <v>2636</v>
      </c>
      <c r="V18" s="624">
        <v>2578</v>
      </c>
      <c r="W18" s="561">
        <v>2542</v>
      </c>
      <c r="X18" s="540">
        <v>2548</v>
      </c>
      <c r="Y18" s="560">
        <v>2582</v>
      </c>
      <c r="Z18" s="624">
        <v>2522</v>
      </c>
      <c r="AA18" s="561">
        <v>2476</v>
      </c>
      <c r="AB18" s="560">
        <v>2473</v>
      </c>
      <c r="AC18" s="560">
        <v>2456</v>
      </c>
      <c r="AD18" s="624">
        <v>2358</v>
      </c>
      <c r="AE18" s="561">
        <v>2297</v>
      </c>
      <c r="AF18" s="540"/>
      <c r="AG18" s="560"/>
      <c r="AH18" s="624"/>
    </row>
    <row r="19" spans="1:35" s="537" customFormat="1" ht="20.149999999999999" customHeight="1">
      <c r="A19" s="559" t="s">
        <v>652</v>
      </c>
      <c r="B19" s="559" t="s">
        <v>653</v>
      </c>
      <c r="C19" s="560">
        <v>168.6</v>
      </c>
      <c r="D19" s="560">
        <v>163.30000000000001</v>
      </c>
      <c r="E19" s="560">
        <v>152.5</v>
      </c>
      <c r="F19" s="560">
        <v>127.4</v>
      </c>
      <c r="G19" s="561">
        <v>110.5</v>
      </c>
      <c r="H19" s="560">
        <v>101.8</v>
      </c>
      <c r="I19" s="560">
        <v>92.7</v>
      </c>
      <c r="J19" s="560">
        <v>80.5</v>
      </c>
      <c r="K19" s="562">
        <v>73.3</v>
      </c>
      <c r="L19" s="560">
        <v>67.7</v>
      </c>
      <c r="M19" s="560">
        <v>63.9</v>
      </c>
      <c r="N19" s="560">
        <v>57.5</v>
      </c>
      <c r="O19" s="561">
        <v>53</v>
      </c>
      <c r="P19" s="560">
        <v>47</v>
      </c>
      <c r="Q19" s="560">
        <v>44</v>
      </c>
      <c r="R19" s="624">
        <v>39</v>
      </c>
      <c r="S19" s="561">
        <v>37</v>
      </c>
      <c r="T19" s="560">
        <v>36</v>
      </c>
      <c r="U19" s="560">
        <v>35</v>
      </c>
      <c r="V19" s="624">
        <v>31</v>
      </c>
      <c r="W19" s="561">
        <v>30</v>
      </c>
      <c r="X19" s="540">
        <v>29</v>
      </c>
      <c r="Y19" s="560">
        <v>28</v>
      </c>
      <c r="Z19" s="624">
        <v>26</v>
      </c>
      <c r="AA19" s="561">
        <v>25</v>
      </c>
      <c r="AB19" s="560">
        <v>24</v>
      </c>
      <c r="AC19" s="560">
        <v>24</v>
      </c>
      <c r="AD19" s="624">
        <v>24</v>
      </c>
      <c r="AE19" s="561">
        <v>25</v>
      </c>
      <c r="AF19" s="540"/>
      <c r="AG19" s="560"/>
      <c r="AH19" s="624"/>
    </row>
    <row r="20" spans="1:35" s="549" customFormat="1" ht="20.149999999999999" customHeight="1">
      <c r="A20" s="544" t="s">
        <v>654</v>
      </c>
      <c r="B20" s="545" t="s">
        <v>655</v>
      </c>
      <c r="C20" s="546">
        <v>15.1</v>
      </c>
      <c r="D20" s="546">
        <v>15.4</v>
      </c>
      <c r="E20" s="546">
        <v>15.9</v>
      </c>
      <c r="F20" s="546">
        <v>15.2</v>
      </c>
      <c r="G20" s="547">
        <v>15</v>
      </c>
      <c r="H20" s="546">
        <v>15.5</v>
      </c>
      <c r="I20" s="546">
        <v>15.7</v>
      </c>
      <c r="J20" s="546">
        <v>15.2</v>
      </c>
      <c r="K20" s="548">
        <v>15.1</v>
      </c>
      <c r="L20" s="546">
        <v>15.2</v>
      </c>
      <c r="M20" s="546">
        <v>15.9</v>
      </c>
      <c r="N20" s="546">
        <v>15.8</v>
      </c>
      <c r="O20" s="547">
        <v>15.6</v>
      </c>
      <c r="P20" s="546">
        <v>16</v>
      </c>
      <c r="Q20" s="546">
        <v>16.399999999999999</v>
      </c>
      <c r="R20" s="621">
        <v>16.600000000000001</v>
      </c>
      <c r="S20" s="547">
        <v>17.2</v>
      </c>
      <c r="T20" s="546">
        <v>17.399999999999999</v>
      </c>
      <c r="U20" s="546">
        <v>17.899999999999999</v>
      </c>
      <c r="V20" s="621">
        <v>17.399999999999999</v>
      </c>
      <c r="W20" s="547">
        <v>17.100000000000001</v>
      </c>
      <c r="X20" s="546">
        <v>17.8</v>
      </c>
      <c r="Y20" s="546">
        <v>17.899999999999999</v>
      </c>
      <c r="Z20" s="621">
        <v>17.399999999999999</v>
      </c>
      <c r="AA20" s="547">
        <v>17.3</v>
      </c>
      <c r="AB20" s="546">
        <v>18</v>
      </c>
      <c r="AC20" s="546">
        <v>17.8</v>
      </c>
      <c r="AD20" s="621">
        <v>17.3</v>
      </c>
      <c r="AE20" s="547">
        <v>17</v>
      </c>
      <c r="AF20" s="546"/>
      <c r="AG20" s="546"/>
      <c r="AH20" s="621"/>
    </row>
    <row r="21" spans="1:35" s="549" customFormat="1" ht="20.149999999999999" customHeight="1" thickBot="1">
      <c r="A21" s="563" t="s">
        <v>656</v>
      </c>
      <c r="B21" s="564" t="s">
        <v>657</v>
      </c>
      <c r="C21" s="565">
        <v>15.1</v>
      </c>
      <c r="D21" s="565">
        <v>15.3</v>
      </c>
      <c r="E21" s="565">
        <v>15.5</v>
      </c>
      <c r="F21" s="565">
        <v>15.4</v>
      </c>
      <c r="G21" s="566">
        <v>15</v>
      </c>
      <c r="H21" s="565">
        <v>15.3</v>
      </c>
      <c r="I21" s="565">
        <v>15.4</v>
      </c>
      <c r="J21" s="565">
        <v>15.4</v>
      </c>
      <c r="K21" s="567">
        <v>15.1</v>
      </c>
      <c r="L21" s="565">
        <v>15.1</v>
      </c>
      <c r="M21" s="565">
        <v>15.4</v>
      </c>
      <c r="N21" s="565">
        <v>15.5</v>
      </c>
      <c r="O21" s="566">
        <v>15.6</v>
      </c>
      <c r="P21" s="565">
        <v>15.8</v>
      </c>
      <c r="Q21" s="565">
        <v>16</v>
      </c>
      <c r="R21" s="625">
        <v>16.2</v>
      </c>
      <c r="S21" s="566">
        <v>17.2</v>
      </c>
      <c r="T21" s="565">
        <v>17.3</v>
      </c>
      <c r="U21" s="565">
        <v>17.5</v>
      </c>
      <c r="V21" s="625">
        <v>17.5</v>
      </c>
      <c r="W21" s="566">
        <v>17.100000000000001</v>
      </c>
      <c r="X21" s="565">
        <v>17.5</v>
      </c>
      <c r="Y21" s="565">
        <v>17.600000000000001</v>
      </c>
      <c r="Z21" s="625">
        <v>17.600000000000001</v>
      </c>
      <c r="AA21" s="566">
        <v>17.3</v>
      </c>
      <c r="AB21" s="565">
        <v>17.7</v>
      </c>
      <c r="AC21" s="565">
        <v>17.7</v>
      </c>
      <c r="AD21" s="625">
        <v>17.600000000000001</v>
      </c>
      <c r="AE21" s="566">
        <v>17</v>
      </c>
      <c r="AF21" s="565"/>
      <c r="AG21" s="565"/>
      <c r="AH21" s="625"/>
    </row>
    <row r="22" spans="1:35" s="531" customFormat="1" ht="20.149999999999999" customHeight="1">
      <c r="A22" s="527" t="s">
        <v>658</v>
      </c>
      <c r="B22" s="527" t="s">
        <v>659</v>
      </c>
      <c r="C22" s="528"/>
      <c r="D22" s="528"/>
      <c r="E22" s="528"/>
      <c r="F22" s="528"/>
      <c r="G22" s="529"/>
      <c r="H22" s="528"/>
      <c r="I22" s="528"/>
      <c r="J22" s="528"/>
      <c r="K22" s="530"/>
      <c r="L22" s="528"/>
      <c r="M22" s="528"/>
      <c r="N22" s="528"/>
      <c r="O22" s="529"/>
      <c r="P22" s="528"/>
      <c r="Q22" s="528"/>
      <c r="R22" s="618"/>
      <c r="S22" s="529"/>
      <c r="T22" s="528"/>
      <c r="U22" s="528"/>
      <c r="V22" s="618"/>
      <c r="W22" s="529"/>
      <c r="X22" s="528"/>
      <c r="Y22" s="737"/>
      <c r="Z22" s="618"/>
      <c r="AA22" s="529"/>
      <c r="AB22" s="528"/>
      <c r="AC22" s="737"/>
      <c r="AD22" s="618"/>
      <c r="AE22" s="529"/>
      <c r="AF22" s="528"/>
      <c r="AG22" s="737"/>
      <c r="AH22" s="618"/>
    </row>
    <row r="23" spans="1:35" s="549" customFormat="1" ht="20.149999999999999" customHeight="1">
      <c r="A23" s="544" t="s">
        <v>660</v>
      </c>
      <c r="B23" s="545" t="s">
        <v>661</v>
      </c>
      <c r="C23" s="546">
        <v>68.2</v>
      </c>
      <c r="D23" s="546">
        <v>68</v>
      </c>
      <c r="E23" s="546">
        <v>68.099999999999994</v>
      </c>
      <c r="F23" s="546">
        <v>68.2</v>
      </c>
      <c r="G23" s="547">
        <v>68.2</v>
      </c>
      <c r="H23" s="546">
        <v>68.2</v>
      </c>
      <c r="I23" s="546">
        <v>68.400000000000006</v>
      </c>
      <c r="J23" s="546">
        <v>68.7</v>
      </c>
      <c r="K23" s="548">
        <v>68.900000000000006</v>
      </c>
      <c r="L23" s="546">
        <v>68.599999999999994</v>
      </c>
      <c r="M23" s="546">
        <v>68.900000000000006</v>
      </c>
      <c r="N23" s="546">
        <v>69.3</v>
      </c>
      <c r="O23" s="547">
        <v>68.8</v>
      </c>
      <c r="P23" s="546">
        <v>68.3</v>
      </c>
      <c r="Q23" s="546">
        <v>68.8</v>
      </c>
      <c r="R23" s="621">
        <v>68.900000000000006</v>
      </c>
      <c r="S23" s="547">
        <v>68.900000000000006</v>
      </c>
      <c r="T23" s="546">
        <v>68.8</v>
      </c>
      <c r="U23" s="546">
        <v>69.099999999999994</v>
      </c>
      <c r="V23" s="621">
        <v>69.099999999999994</v>
      </c>
      <c r="W23" s="547">
        <v>69.3</v>
      </c>
      <c r="X23" s="546">
        <v>69</v>
      </c>
      <c r="Y23" s="546">
        <v>68.8</v>
      </c>
      <c r="Z23" s="621">
        <v>68.8</v>
      </c>
      <c r="AA23" s="547">
        <v>68.400000000000006</v>
      </c>
      <c r="AB23" s="546">
        <v>68.5</v>
      </c>
      <c r="AC23" s="546">
        <v>68.3</v>
      </c>
      <c r="AD23" s="621">
        <v>68.2</v>
      </c>
      <c r="AE23" s="547">
        <v>68</v>
      </c>
      <c r="AF23" s="546"/>
      <c r="AG23" s="546"/>
      <c r="AH23" s="621"/>
    </row>
    <row r="24" spans="1:35" ht="20.149999999999999" customHeight="1">
      <c r="A24" s="544" t="s">
        <v>662</v>
      </c>
      <c r="B24" s="545" t="s">
        <v>663</v>
      </c>
      <c r="C24" s="560">
        <v>1412.8</v>
      </c>
      <c r="D24" s="560">
        <v>1438.5</v>
      </c>
      <c r="E24" s="560">
        <v>1442.3</v>
      </c>
      <c r="F24" s="560">
        <v>1408.8</v>
      </c>
      <c r="G24" s="561">
        <v>1391.3</v>
      </c>
      <c r="H24" s="560">
        <v>1384.2</v>
      </c>
      <c r="I24" s="560">
        <v>1409.9</v>
      </c>
      <c r="J24" s="560">
        <v>1413.9</v>
      </c>
      <c r="K24" s="562">
        <v>1392.9</v>
      </c>
      <c r="L24" s="560">
        <v>1376.1</v>
      </c>
      <c r="M24" s="560">
        <v>1368.6</v>
      </c>
      <c r="N24" s="560">
        <v>1384.2</v>
      </c>
      <c r="O24" s="561">
        <v>1404</v>
      </c>
      <c r="P24" s="560">
        <v>1387</v>
      </c>
      <c r="Q24" s="560">
        <v>1367</v>
      </c>
      <c r="R24" s="624">
        <v>1403</v>
      </c>
      <c r="S24" s="561">
        <v>1392</v>
      </c>
      <c r="T24" s="560">
        <v>1378</v>
      </c>
      <c r="U24" s="560">
        <v>1425</v>
      </c>
      <c r="V24" s="624">
        <v>1427</v>
      </c>
      <c r="W24" s="561">
        <v>1434</v>
      </c>
      <c r="X24" s="560">
        <v>1463</v>
      </c>
      <c r="Y24" s="560">
        <v>1456</v>
      </c>
      <c r="Z24" s="624">
        <v>1463</v>
      </c>
      <c r="AA24" s="561">
        <v>1490</v>
      </c>
      <c r="AB24" s="560">
        <v>1485</v>
      </c>
      <c r="AC24" s="560">
        <v>1514</v>
      </c>
      <c r="AD24" s="624">
        <v>1530</v>
      </c>
      <c r="AE24" s="561">
        <v>1508</v>
      </c>
      <c r="AF24" s="560"/>
      <c r="AG24" s="560"/>
      <c r="AH24" s="624"/>
      <c r="AI24" s="774"/>
    </row>
    <row r="25" spans="1:35" ht="20.149999999999999" customHeight="1" thickBot="1">
      <c r="A25" s="568" t="s">
        <v>664</v>
      </c>
      <c r="B25" s="569" t="s">
        <v>665</v>
      </c>
      <c r="C25" s="570">
        <v>1412.8</v>
      </c>
      <c r="D25" s="570">
        <v>1425.6</v>
      </c>
      <c r="E25" s="570">
        <v>1431.2</v>
      </c>
      <c r="F25" s="570">
        <v>1425.6</v>
      </c>
      <c r="G25" s="571">
        <v>1391.3</v>
      </c>
      <c r="H25" s="570">
        <v>1387.8</v>
      </c>
      <c r="I25" s="570">
        <v>1395.1</v>
      </c>
      <c r="J25" s="570">
        <v>1399.9</v>
      </c>
      <c r="K25" s="572">
        <v>1392.9</v>
      </c>
      <c r="L25" s="570">
        <v>1384.5</v>
      </c>
      <c r="M25" s="570">
        <v>1379.2</v>
      </c>
      <c r="N25" s="570">
        <v>1380.5</v>
      </c>
      <c r="O25" s="571">
        <v>1404</v>
      </c>
      <c r="P25" s="570">
        <v>1396</v>
      </c>
      <c r="Q25" s="570">
        <v>1386</v>
      </c>
      <c r="R25" s="626">
        <v>1390</v>
      </c>
      <c r="S25" s="571">
        <v>1392</v>
      </c>
      <c r="T25" s="570">
        <v>1385</v>
      </c>
      <c r="U25" s="570">
        <v>1398</v>
      </c>
      <c r="V25" s="626">
        <v>1406</v>
      </c>
      <c r="W25" s="571">
        <v>1434</v>
      </c>
      <c r="X25" s="570">
        <v>1449</v>
      </c>
      <c r="Y25" s="570">
        <v>1451</v>
      </c>
      <c r="Z25" s="626">
        <v>1454</v>
      </c>
      <c r="AA25" s="571">
        <v>1490</v>
      </c>
      <c r="AB25" s="570">
        <v>1487</v>
      </c>
      <c r="AC25" s="570">
        <v>1496</v>
      </c>
      <c r="AD25" s="626">
        <v>1504</v>
      </c>
      <c r="AE25" s="571">
        <v>1508</v>
      </c>
      <c r="AF25" s="570"/>
      <c r="AG25" s="570"/>
      <c r="AH25" s="626"/>
    </row>
    <row r="26" spans="1:35" ht="20.149999999999999" customHeight="1">
      <c r="C26" s="549"/>
      <c r="D26" s="549"/>
      <c r="E26" s="549"/>
      <c r="F26" s="549"/>
      <c r="G26" s="549"/>
      <c r="H26" s="549"/>
      <c r="I26" s="549"/>
      <c r="J26" s="549"/>
      <c r="K26" s="549"/>
      <c r="L26" s="549"/>
      <c r="M26" s="549"/>
      <c r="N26" s="549"/>
      <c r="O26" s="549"/>
      <c r="P26" s="549"/>
      <c r="Q26" s="549"/>
      <c r="S26" s="549"/>
      <c r="T26" s="549"/>
      <c r="U26" s="549"/>
      <c r="W26" s="549"/>
      <c r="X26" s="549"/>
      <c r="Y26" s="549"/>
      <c r="AA26" s="774"/>
      <c r="AB26" s="549"/>
      <c r="AC26" s="549"/>
    </row>
    <row r="27" spans="1:35" ht="60">
      <c r="A27" s="573" t="s">
        <v>666</v>
      </c>
      <c r="B27" s="574" t="s">
        <v>667</v>
      </c>
      <c r="C27" s="575"/>
      <c r="D27" s="575"/>
      <c r="E27" s="575"/>
      <c r="F27" s="575"/>
      <c r="G27" s="575"/>
      <c r="H27" s="575"/>
      <c r="I27" s="575"/>
      <c r="J27" s="575"/>
      <c r="K27" s="575"/>
      <c r="L27" s="575"/>
      <c r="M27" s="575"/>
      <c r="N27" s="575"/>
      <c r="O27" s="575"/>
      <c r="P27" s="575"/>
      <c r="Q27" s="575"/>
      <c r="S27" s="575"/>
      <c r="T27" s="575"/>
      <c r="U27" s="575"/>
      <c r="W27" s="575"/>
      <c r="X27" s="575"/>
      <c r="Y27" s="575"/>
      <c r="AA27" s="575"/>
      <c r="AB27" s="575"/>
      <c r="AC27" s="575"/>
    </row>
    <row r="28" spans="1:35" ht="60">
      <c r="A28" s="573" t="s">
        <v>668</v>
      </c>
      <c r="B28" s="574" t="s">
        <v>669</v>
      </c>
      <c r="C28" s="576"/>
      <c r="D28" s="576"/>
      <c r="E28" s="576"/>
      <c r="F28" s="576"/>
      <c r="G28" s="577"/>
      <c r="H28" s="577"/>
      <c r="I28" s="577"/>
      <c r="J28" s="577"/>
      <c r="K28" s="577"/>
      <c r="L28" s="577"/>
      <c r="M28" s="577"/>
      <c r="N28" s="577"/>
      <c r="O28" s="577"/>
      <c r="P28" s="577"/>
      <c r="Q28" s="649"/>
      <c r="R28" s="649"/>
      <c r="S28" s="650"/>
      <c r="T28" s="651"/>
      <c r="U28" s="577"/>
      <c r="W28" s="650"/>
      <c r="X28" s="651"/>
      <c r="Y28" s="577"/>
      <c r="AA28" s="650"/>
      <c r="AB28" s="651"/>
      <c r="AC28" s="577"/>
    </row>
    <row r="29" spans="1:35" ht="36">
      <c r="A29" s="578" t="s">
        <v>670</v>
      </c>
      <c r="B29" s="574" t="s">
        <v>671</v>
      </c>
      <c r="C29" s="576"/>
      <c r="D29" s="576"/>
      <c r="E29" s="576"/>
      <c r="F29" s="576"/>
      <c r="G29" s="577"/>
      <c r="H29" s="577"/>
      <c r="I29" s="577"/>
      <c r="J29" s="577"/>
      <c r="K29" s="577"/>
      <c r="L29" s="577"/>
      <c r="M29" s="577"/>
      <c r="N29" s="577"/>
      <c r="O29" s="577"/>
      <c r="P29" s="577"/>
      <c r="Q29" s="649"/>
      <c r="S29" s="650"/>
      <c r="T29" s="651"/>
      <c r="U29" s="577"/>
      <c r="W29" s="650"/>
      <c r="X29" s="651"/>
      <c r="Y29" s="577"/>
      <c r="AA29" s="650"/>
      <c r="AB29" s="651"/>
      <c r="AC29" s="577"/>
    </row>
    <row r="30" spans="1:35" ht="132" customHeight="1">
      <c r="A30" s="578" t="s">
        <v>672</v>
      </c>
      <c r="B30" s="574" t="s">
        <v>673</v>
      </c>
      <c r="G30" s="577"/>
      <c r="H30" s="577"/>
      <c r="I30" s="577"/>
      <c r="J30" s="577"/>
      <c r="K30" s="577"/>
      <c r="L30" s="577"/>
      <c r="M30" s="577"/>
      <c r="N30" s="577"/>
      <c r="O30" s="577"/>
      <c r="P30" s="577"/>
      <c r="Q30" s="577"/>
      <c r="S30" s="577"/>
      <c r="T30" s="577"/>
      <c r="U30" s="577"/>
      <c r="W30" s="577"/>
      <c r="X30" s="577"/>
      <c r="Y30" s="577"/>
      <c r="AA30" s="577"/>
      <c r="AB30" s="577"/>
      <c r="AC30" s="577"/>
    </row>
    <row r="31" spans="1:35" ht="36">
      <c r="A31" s="578" t="s">
        <v>674</v>
      </c>
      <c r="B31" s="574" t="s">
        <v>675</v>
      </c>
      <c r="C31" s="576"/>
      <c r="D31" s="576"/>
      <c r="E31" s="576"/>
      <c r="F31" s="576"/>
    </row>
    <row r="32" spans="1:35" ht="12">
      <c r="A32" s="579"/>
      <c r="B32" s="574"/>
    </row>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sheetData>
  <mergeCells count="9">
    <mergeCell ref="AE3:AH3"/>
    <mergeCell ref="AA3:AD3"/>
    <mergeCell ref="W3:Z3"/>
    <mergeCell ref="S3:V3"/>
    <mergeCell ref="A2:B2"/>
    <mergeCell ref="C3:F3"/>
    <mergeCell ref="G3:J3"/>
    <mergeCell ref="K3:N3"/>
    <mergeCell ref="O3:R3"/>
  </mergeCells>
  <pageMargins left="0.7" right="0.7" top="0.75" bottom="0.75" header="0.3" footer="0.3"/>
  <pageSetup paperSize="9" scale="45" orientation="landscape"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V67"/>
  <sheetViews>
    <sheetView showGridLines="0" zoomScale="80" zoomScaleNormal="80" workbookViewId="0">
      <pane xSplit="2" ySplit="3" topLeftCell="BF4" activePane="bottomRight" state="frozen"/>
      <selection pane="topRight" activeCell="C1" sqref="C1"/>
      <selection pane="bottomLeft" activeCell="A4" sqref="A4"/>
      <selection pane="bottomRight" activeCell="BU8" sqref="BU8"/>
    </sheetView>
  </sheetViews>
  <sheetFormatPr defaultColWidth="9" defaultRowHeight="14" outlineLevelCol="1"/>
  <cols>
    <col min="1" max="1" width="1.58203125" style="113" customWidth="1"/>
    <col min="2" max="2" width="35" customWidth="1"/>
    <col min="3" max="3" width="35.08203125" customWidth="1"/>
    <col min="4" max="32" width="3.1640625" hidden="1" customWidth="1"/>
    <col min="33" max="38" width="8.6640625" hidden="1" customWidth="1" outlineLevel="1"/>
    <col min="39" max="40" width="8.6640625" style="113" hidden="1" customWidth="1" outlineLevel="1"/>
    <col min="41" max="44" width="8.6640625" hidden="1" customWidth="1" outlineLevel="1"/>
    <col min="45" max="45" width="6.58203125" hidden="1" customWidth="1" outlineLevel="1"/>
    <col min="46" max="48" width="8.6640625" hidden="1" customWidth="1" outlineLevel="1"/>
    <col min="49" max="49" width="9.1640625" hidden="1" customWidth="1" outlineLevel="1"/>
    <col min="50" max="52" width="8.6640625" hidden="1" customWidth="1" outlineLevel="1"/>
    <col min="53" max="53" width="8.6640625" customWidth="1" collapsed="1"/>
    <col min="54" max="62" width="8.6640625" customWidth="1"/>
    <col min="68" max="68" width="10.5" bestFit="1" customWidth="1"/>
    <col min="69" max="69" width="9.6640625" bestFit="1" customWidth="1"/>
    <col min="70" max="70" width="10.1640625" bestFit="1" customWidth="1"/>
  </cols>
  <sheetData>
    <row r="1" spans="1:74" s="113" customFormat="1" ht="89.25" customHeight="1" thickBot="1">
      <c r="B1" s="2"/>
      <c r="C1" s="2"/>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K1"/>
      <c r="AP1"/>
      <c r="AU1"/>
      <c r="AZ1"/>
      <c r="BE1"/>
      <c r="BJ1"/>
    </row>
    <row r="2" spans="1:74" ht="20.25" customHeight="1" thickBot="1">
      <c r="A2"/>
      <c r="B2" s="990"/>
      <c r="C2" s="990"/>
      <c r="D2" s="984"/>
      <c r="E2" s="985"/>
      <c r="F2" s="985"/>
      <c r="G2" s="986"/>
      <c r="H2" s="984"/>
      <c r="I2" s="985"/>
      <c r="J2" s="985"/>
      <c r="K2" s="985"/>
      <c r="L2" s="986"/>
      <c r="M2" s="984"/>
      <c r="N2" s="985"/>
      <c r="O2" s="985"/>
      <c r="P2" s="985"/>
      <c r="Q2" s="986"/>
      <c r="R2" s="984"/>
      <c r="S2" s="985"/>
      <c r="T2" s="985"/>
      <c r="U2" s="985"/>
      <c r="V2" s="986"/>
      <c r="W2" s="984"/>
      <c r="X2" s="985"/>
      <c r="Y2" s="985"/>
      <c r="Z2" s="985"/>
      <c r="AA2" s="986"/>
      <c r="AB2" s="984"/>
      <c r="AC2" s="985"/>
      <c r="AD2" s="985"/>
      <c r="AE2" s="985"/>
      <c r="AF2" s="986"/>
      <c r="AG2" s="972">
        <v>2018</v>
      </c>
      <c r="AH2" s="973"/>
      <c r="AI2" s="973"/>
      <c r="AJ2" s="973"/>
      <c r="AK2" s="988">
        <v>2018</v>
      </c>
      <c r="AL2" s="972">
        <v>2019</v>
      </c>
      <c r="AM2" s="973"/>
      <c r="AN2" s="973"/>
      <c r="AO2" s="973"/>
      <c r="AP2" s="974">
        <v>2019</v>
      </c>
      <c r="AQ2" s="972">
        <v>2020</v>
      </c>
      <c r="AR2" s="973"/>
      <c r="AS2" s="973"/>
      <c r="AT2" s="973"/>
      <c r="AU2" s="974">
        <v>2020</v>
      </c>
      <c r="AV2" s="972">
        <v>2021</v>
      </c>
      <c r="AW2" s="973"/>
      <c r="AX2" s="973"/>
      <c r="AY2" s="973"/>
      <c r="AZ2" s="974">
        <v>2021</v>
      </c>
      <c r="BA2" s="972">
        <v>2022</v>
      </c>
      <c r="BB2" s="973"/>
      <c r="BC2" s="973"/>
      <c r="BD2" s="973"/>
      <c r="BE2" s="974">
        <v>2022</v>
      </c>
      <c r="BF2" s="972">
        <v>2023</v>
      </c>
      <c r="BG2" s="973"/>
      <c r="BH2" s="973"/>
      <c r="BI2" s="973"/>
      <c r="BJ2" s="974">
        <v>2023</v>
      </c>
      <c r="BK2" s="972">
        <v>2024</v>
      </c>
      <c r="BL2" s="973"/>
      <c r="BM2" s="973"/>
      <c r="BN2" s="973"/>
      <c r="BO2" s="974">
        <v>2024</v>
      </c>
      <c r="BP2" s="972">
        <v>2025</v>
      </c>
      <c r="BQ2" s="973"/>
      <c r="BR2" s="973"/>
      <c r="BS2" s="973"/>
      <c r="BT2" s="974">
        <v>2025</v>
      </c>
    </row>
    <row r="3" spans="1:74" s="315" customFormat="1" ht="20.25" customHeight="1" thickBot="1">
      <c r="B3" s="991"/>
      <c r="C3" s="991"/>
      <c r="D3" s="316"/>
      <c r="E3" s="317"/>
      <c r="F3" s="317"/>
      <c r="G3" s="987"/>
      <c r="H3" s="316"/>
      <c r="I3" s="317"/>
      <c r="J3" s="317"/>
      <c r="K3" s="317"/>
      <c r="L3" s="987"/>
      <c r="M3" s="316"/>
      <c r="N3" s="317"/>
      <c r="O3" s="317"/>
      <c r="P3" s="317"/>
      <c r="Q3" s="987"/>
      <c r="R3" s="316"/>
      <c r="S3" s="317"/>
      <c r="T3" s="317"/>
      <c r="U3" s="317"/>
      <c r="V3" s="987"/>
      <c r="W3" s="316"/>
      <c r="X3" s="317"/>
      <c r="Y3" s="317"/>
      <c r="Z3" s="317"/>
      <c r="AA3" s="987"/>
      <c r="AB3" s="316"/>
      <c r="AC3" s="317"/>
      <c r="AD3" s="317"/>
      <c r="AE3" s="317"/>
      <c r="AF3" s="987"/>
      <c r="AG3" s="332" t="s">
        <v>620</v>
      </c>
      <c r="AH3" s="333" t="s">
        <v>621</v>
      </c>
      <c r="AI3" s="333" t="s">
        <v>622</v>
      </c>
      <c r="AJ3" s="333" t="s">
        <v>623</v>
      </c>
      <c r="AK3" s="989"/>
      <c r="AL3" s="332" t="s">
        <v>620</v>
      </c>
      <c r="AM3" s="333" t="s">
        <v>621</v>
      </c>
      <c r="AN3" s="333" t="s">
        <v>622</v>
      </c>
      <c r="AO3" s="333" t="s">
        <v>623</v>
      </c>
      <c r="AP3" s="975"/>
      <c r="AQ3" s="332" t="s">
        <v>620</v>
      </c>
      <c r="AR3" s="333" t="s">
        <v>621</v>
      </c>
      <c r="AS3" s="333" t="s">
        <v>622</v>
      </c>
      <c r="AT3" s="333" t="s">
        <v>623</v>
      </c>
      <c r="AU3" s="975"/>
      <c r="AV3" s="332" t="s">
        <v>620</v>
      </c>
      <c r="AW3" s="333" t="s">
        <v>621</v>
      </c>
      <c r="AX3" s="333" t="s">
        <v>622</v>
      </c>
      <c r="AY3" s="333" t="s">
        <v>623</v>
      </c>
      <c r="AZ3" s="975"/>
      <c r="BA3" s="332" t="s">
        <v>620</v>
      </c>
      <c r="BB3" s="333" t="s">
        <v>621</v>
      </c>
      <c r="BC3" s="333" t="s">
        <v>622</v>
      </c>
      <c r="BD3" s="333" t="s">
        <v>623</v>
      </c>
      <c r="BE3" s="975"/>
      <c r="BF3" s="332" t="s">
        <v>620</v>
      </c>
      <c r="BG3" s="333" t="s">
        <v>621</v>
      </c>
      <c r="BH3" s="333" t="s">
        <v>622</v>
      </c>
      <c r="BI3" s="333" t="s">
        <v>623</v>
      </c>
      <c r="BJ3" s="975"/>
      <c r="BK3" s="332" t="s">
        <v>620</v>
      </c>
      <c r="BL3" s="333" t="s">
        <v>621</v>
      </c>
      <c r="BM3" s="333" t="s">
        <v>622</v>
      </c>
      <c r="BN3" s="333" t="s">
        <v>623</v>
      </c>
      <c r="BO3" s="975"/>
      <c r="BP3" s="332" t="s">
        <v>620</v>
      </c>
      <c r="BQ3" s="333" t="s">
        <v>621</v>
      </c>
      <c r="BR3" s="333" t="s">
        <v>622</v>
      </c>
      <c r="BS3" s="333" t="s">
        <v>623</v>
      </c>
      <c r="BT3" s="975"/>
    </row>
    <row r="4" spans="1:74" ht="20.25" customHeight="1" thickBot="1">
      <c r="A4"/>
      <c r="B4" s="336" t="s">
        <v>676</v>
      </c>
      <c r="C4" s="337" t="s">
        <v>677</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8"/>
      <c r="AH4" s="338"/>
      <c r="AI4" s="338"/>
      <c r="AJ4" s="338"/>
      <c r="AK4" s="452"/>
      <c r="AL4" s="338"/>
      <c r="AM4" s="338"/>
      <c r="AN4" s="338"/>
      <c r="AO4" s="338"/>
      <c r="AP4" s="452"/>
      <c r="AQ4" s="338"/>
      <c r="AR4" s="338"/>
      <c r="AS4" s="338"/>
      <c r="AT4" s="338"/>
      <c r="AU4" s="452"/>
      <c r="AV4" s="338"/>
      <c r="AW4" s="338"/>
      <c r="AX4" s="338"/>
      <c r="AY4" s="338"/>
      <c r="AZ4" s="452"/>
      <c r="BA4" s="338"/>
      <c r="BB4" s="338"/>
      <c r="BC4" s="338"/>
      <c r="BD4" s="338"/>
      <c r="BE4" s="452"/>
      <c r="BF4" s="338"/>
      <c r="BG4" s="338"/>
      <c r="BH4" s="338"/>
      <c r="BI4" s="338"/>
      <c r="BJ4" s="452"/>
      <c r="BK4" s="338"/>
      <c r="BL4" s="338"/>
      <c r="BM4" s="338"/>
      <c r="BN4" s="338"/>
      <c r="BO4" s="452"/>
      <c r="BP4" s="338"/>
      <c r="BQ4" s="338"/>
      <c r="BR4" s="338"/>
      <c r="BS4" s="338"/>
      <c r="BT4" s="452"/>
    </row>
    <row r="5" spans="1:74" ht="25.5" customHeight="1" thickBot="1">
      <c r="A5"/>
      <c r="B5" s="339" t="s">
        <v>678</v>
      </c>
      <c r="C5" s="339" t="s">
        <v>679</v>
      </c>
      <c r="D5" s="340"/>
      <c r="E5" s="340"/>
      <c r="F5" s="341"/>
      <c r="G5" s="342"/>
      <c r="H5" s="340"/>
      <c r="I5" s="340"/>
      <c r="J5" s="340"/>
      <c r="K5" s="341"/>
      <c r="L5" s="342"/>
      <c r="M5" s="340"/>
      <c r="N5" s="340"/>
      <c r="O5" s="340"/>
      <c r="P5" s="341"/>
      <c r="Q5" s="342"/>
      <c r="R5" s="340"/>
      <c r="S5" s="340"/>
      <c r="T5" s="340"/>
      <c r="U5" s="341"/>
      <c r="V5" s="342"/>
      <c r="W5" s="340"/>
      <c r="X5" s="340"/>
      <c r="Y5" s="340"/>
      <c r="Z5" s="341"/>
      <c r="AA5" s="342"/>
      <c r="AB5" s="340"/>
      <c r="AC5" s="340"/>
      <c r="AD5" s="340"/>
      <c r="AE5" s="341"/>
      <c r="AF5" s="342"/>
      <c r="AG5" s="343">
        <v>0.2392</v>
      </c>
      <c r="AH5" s="340">
        <v>0.24160000000000001</v>
      </c>
      <c r="AI5" s="340">
        <v>0.25054333360988129</v>
      </c>
      <c r="AJ5" s="340">
        <v>0.24169975469679564</v>
      </c>
      <c r="AK5" s="453">
        <v>0.24299999999999999</v>
      </c>
      <c r="AL5" s="343">
        <v>0.23364792536680987</v>
      </c>
      <c r="AM5" s="340">
        <v>0.24935000000000002</v>
      </c>
      <c r="AN5" s="340">
        <v>0.24822427628137333</v>
      </c>
      <c r="AO5" s="340">
        <v>0.24182527254608499</v>
      </c>
      <c r="AP5" s="453">
        <v>0.2429</v>
      </c>
      <c r="AQ5" s="343">
        <v>0.23250381468797382</v>
      </c>
      <c r="AR5" s="340">
        <v>0.23040912825290802</v>
      </c>
      <c r="AS5" s="340">
        <v>0.24614294127335679</v>
      </c>
      <c r="AT5" s="341">
        <v>0.24959999999999999</v>
      </c>
      <c r="AU5" s="453">
        <v>0.2394</v>
      </c>
      <c r="AV5" s="340">
        <v>0.24402895821124099</v>
      </c>
      <c r="AW5" s="340">
        <v>0.25085533390902925</v>
      </c>
      <c r="AX5" s="340">
        <v>0.24971187343000292</v>
      </c>
      <c r="AY5" s="341">
        <v>0.24015232926794333</v>
      </c>
      <c r="AZ5" s="453">
        <v>0.2457</v>
      </c>
      <c r="BA5" s="340">
        <v>0.23194245292240989</v>
      </c>
      <c r="BB5" s="340">
        <v>0.22814234798524977</v>
      </c>
      <c r="BC5" s="340">
        <v>0.22469900811855634</v>
      </c>
      <c r="BD5" s="341">
        <v>0.21629999999999999</v>
      </c>
      <c r="BE5" s="453">
        <v>0.2253</v>
      </c>
      <c r="BF5" s="340">
        <v>0.2185</v>
      </c>
      <c r="BG5" s="340">
        <v>0.21959999999999999</v>
      </c>
      <c r="BH5" s="340">
        <v>0.22220400000000001</v>
      </c>
      <c r="BI5" s="341">
        <v>0.22</v>
      </c>
      <c r="BJ5" s="453">
        <v>0.22</v>
      </c>
      <c r="BK5" s="340">
        <v>0.21529999999999999</v>
      </c>
      <c r="BL5" s="340">
        <v>0.22040000000000001</v>
      </c>
      <c r="BM5" s="340">
        <v>0.21709999999999999</v>
      </c>
      <c r="BN5" s="341">
        <v>0.2271</v>
      </c>
      <c r="BO5" s="453">
        <v>0.21997499999999998</v>
      </c>
      <c r="BP5" s="340">
        <v>0.22140000000000001</v>
      </c>
      <c r="BQ5" s="340"/>
      <c r="BR5" s="340"/>
      <c r="BS5" s="341"/>
      <c r="BT5" s="453"/>
    </row>
    <row r="6" spans="1:74" s="718" customFormat="1" ht="25.5" customHeight="1">
      <c r="A6" s="785"/>
      <c r="B6" s="165" t="s">
        <v>680</v>
      </c>
      <c r="C6" s="165" t="s">
        <v>681</v>
      </c>
      <c r="D6" s="118"/>
      <c r="E6" s="118"/>
      <c r="F6" s="114"/>
      <c r="G6" s="320"/>
      <c r="H6" s="118"/>
      <c r="I6" s="118"/>
      <c r="J6" s="118"/>
      <c r="K6" s="114"/>
      <c r="L6" s="320"/>
      <c r="M6" s="118"/>
      <c r="N6" s="118"/>
      <c r="O6" s="118"/>
      <c r="P6" s="114"/>
      <c r="Q6" s="320"/>
      <c r="R6" s="118"/>
      <c r="S6" s="118"/>
      <c r="T6" s="118"/>
      <c r="U6" s="114"/>
      <c r="V6" s="320"/>
      <c r="W6" s="118"/>
      <c r="X6" s="118"/>
      <c r="Y6" s="118"/>
      <c r="Z6" s="114"/>
      <c r="AA6" s="320"/>
      <c r="AB6" s="118"/>
      <c r="AC6" s="118"/>
      <c r="AD6" s="118"/>
      <c r="AE6" s="114"/>
      <c r="AF6" s="320"/>
      <c r="AG6" s="119">
        <v>0.1187</v>
      </c>
      <c r="AH6" s="118">
        <v>0.1114</v>
      </c>
      <c r="AI6" s="118">
        <v>0.1133</v>
      </c>
      <c r="AJ6" s="118">
        <v>0.11070000000000001</v>
      </c>
      <c r="AK6" s="454">
        <v>0.1137</v>
      </c>
      <c r="AL6" s="119">
        <v>0.112</v>
      </c>
      <c r="AM6" s="118">
        <v>0.1138</v>
      </c>
      <c r="AN6" s="118">
        <v>0.1099</v>
      </c>
      <c r="AO6" s="118">
        <v>0.1043</v>
      </c>
      <c r="AP6" s="454">
        <v>0.1099</v>
      </c>
      <c r="AQ6" s="119">
        <v>9.9000000000000005E-2</v>
      </c>
      <c r="AR6" s="118">
        <v>9.1800000000000007E-2</v>
      </c>
      <c r="AS6" s="118">
        <v>9.3799999999999994E-2</v>
      </c>
      <c r="AT6" s="166">
        <v>9.5500000000000002E-2</v>
      </c>
      <c r="AU6" s="454">
        <v>9.5100000000000004E-2</v>
      </c>
      <c r="AV6" s="118">
        <v>9.2155000000000001E-2</v>
      </c>
      <c r="AW6" s="118">
        <v>8.9494000000000004E-2</v>
      </c>
      <c r="AX6" s="118">
        <v>8.7143507332248127E-2</v>
      </c>
      <c r="AY6" s="166">
        <v>8.8921403903550189E-2</v>
      </c>
      <c r="AZ6" s="454">
        <v>8.9530308836228353E-2</v>
      </c>
      <c r="BA6" s="118">
        <v>8.3168000000000006E-2</v>
      </c>
      <c r="BB6" s="118">
        <v>7.6904E-2</v>
      </c>
      <c r="BC6" s="118">
        <v>7.5086E-2</v>
      </c>
      <c r="BD6" s="166">
        <v>7.8100000000000003E-2</v>
      </c>
      <c r="BE6" s="454">
        <v>7.8522999999999996E-2</v>
      </c>
      <c r="BF6" s="118">
        <v>7.9980999999999997E-2</v>
      </c>
      <c r="BG6" s="118">
        <v>7.7648999999999996E-2</v>
      </c>
      <c r="BH6" s="118">
        <v>7.1568999999999994E-2</v>
      </c>
      <c r="BI6" s="166">
        <v>7.4999999999999997E-2</v>
      </c>
      <c r="BJ6" s="454">
        <v>7.6100000000000001E-2</v>
      </c>
      <c r="BK6" s="118">
        <v>7.0999999999999994E-2</v>
      </c>
      <c r="BL6" s="118">
        <v>7.0499999999999993E-2</v>
      </c>
      <c r="BM6" s="118">
        <v>6.7185999999999996E-2</v>
      </c>
      <c r="BN6" s="166">
        <v>7.5399999999999995E-2</v>
      </c>
      <c r="BO6" s="454">
        <v>7.1099999999999997E-2</v>
      </c>
      <c r="BP6" s="118">
        <v>7.5200000000000003E-2</v>
      </c>
      <c r="BQ6" s="118"/>
      <c r="BR6" s="118"/>
      <c r="BS6" s="166"/>
      <c r="BT6" s="454"/>
    </row>
    <row r="7" spans="1:74" s="718" customFormat="1" ht="25.5" customHeight="1">
      <c r="A7" s="785"/>
      <c r="B7" s="165" t="s">
        <v>682</v>
      </c>
      <c r="C7" s="167" t="s">
        <v>683</v>
      </c>
      <c r="D7" s="118"/>
      <c r="E7" s="118"/>
      <c r="F7" s="166"/>
      <c r="G7" s="320"/>
      <c r="H7" s="118"/>
      <c r="I7" s="118"/>
      <c r="J7" s="118"/>
      <c r="K7" s="166"/>
      <c r="L7" s="320"/>
      <c r="M7" s="118"/>
      <c r="N7" s="118"/>
      <c r="O7" s="118"/>
      <c r="P7" s="166"/>
      <c r="Q7" s="320"/>
      <c r="R7" s="118"/>
      <c r="S7" s="118"/>
      <c r="T7" s="118"/>
      <c r="U7" s="166"/>
      <c r="V7" s="320"/>
      <c r="W7" s="118"/>
      <c r="X7" s="118"/>
      <c r="Y7" s="118"/>
      <c r="Z7" s="166"/>
      <c r="AA7" s="320"/>
      <c r="AB7" s="118"/>
      <c r="AC7" s="118"/>
      <c r="AD7" s="118"/>
      <c r="AE7" s="166"/>
      <c r="AF7" s="320"/>
      <c r="AG7" s="119">
        <v>0.1205</v>
      </c>
      <c r="AH7" s="118">
        <v>0.13009999999999999</v>
      </c>
      <c r="AI7" s="118">
        <v>0.13726561528746634</v>
      </c>
      <c r="AJ7" s="118">
        <v>0.13099975469679564</v>
      </c>
      <c r="AK7" s="455">
        <v>0.12939999999999999</v>
      </c>
      <c r="AL7" s="119">
        <v>0.1216</v>
      </c>
      <c r="AM7" s="118">
        <v>0.13550000000000001</v>
      </c>
      <c r="AN7" s="118">
        <v>0.13844127269311104</v>
      </c>
      <c r="AO7" s="118">
        <v>0.13762187191363667</v>
      </c>
      <c r="AP7" s="455">
        <v>0.13300000000000001</v>
      </c>
      <c r="AQ7" s="119">
        <v>0.13355841310577754</v>
      </c>
      <c r="AR7" s="118">
        <v>0.13863586912018128</v>
      </c>
      <c r="AS7" s="118">
        <v>0.15230242840291572</v>
      </c>
      <c r="AT7" s="166">
        <v>0.15409999999999999</v>
      </c>
      <c r="AU7" s="455">
        <v>0.14419999999999999</v>
      </c>
      <c r="AV7" s="118">
        <v>0.15187354531355715</v>
      </c>
      <c r="AW7" s="118">
        <v>0.16135533390902926</v>
      </c>
      <c r="AX7" s="118">
        <v>0.16261187343000294</v>
      </c>
      <c r="AY7" s="166">
        <v>0.15123092536439314</v>
      </c>
      <c r="AZ7" s="455">
        <v>0.15635797009177527</v>
      </c>
      <c r="BA7" s="118">
        <v>0.14877267548397363</v>
      </c>
      <c r="BB7" s="118">
        <v>0.15123834798524977</v>
      </c>
      <c r="BC7" s="118">
        <v>0.149613</v>
      </c>
      <c r="BD7" s="166">
        <v>0.13819999999999999</v>
      </c>
      <c r="BE7" s="455">
        <v>0.14677699999999999</v>
      </c>
      <c r="BF7" s="118">
        <v>0.138519</v>
      </c>
      <c r="BG7" s="118">
        <v>0.14195099999999999</v>
      </c>
      <c r="BH7" s="118">
        <v>0.15063500000000002</v>
      </c>
      <c r="BI7" s="166">
        <v>0.14499999999999999</v>
      </c>
      <c r="BJ7" s="455">
        <v>0.1439</v>
      </c>
      <c r="BK7" s="118">
        <v>0.14429999999999998</v>
      </c>
      <c r="BL7" s="118">
        <v>0.14990000000000001</v>
      </c>
      <c r="BM7" s="118">
        <v>0.14991399999999999</v>
      </c>
      <c r="BN7" s="166">
        <v>0.1517</v>
      </c>
      <c r="BO7" s="455">
        <v>0.1489</v>
      </c>
      <c r="BP7" s="118">
        <v>0.1462</v>
      </c>
      <c r="BQ7" s="118"/>
      <c r="BR7" s="118"/>
      <c r="BS7" s="166"/>
      <c r="BT7" s="455"/>
    </row>
    <row r="8" spans="1:74" s="115" customFormat="1" ht="25.5" customHeight="1">
      <c r="B8" s="116" t="s">
        <v>684</v>
      </c>
      <c r="C8" s="116" t="s">
        <v>685</v>
      </c>
      <c r="D8" s="321"/>
      <c r="E8" s="321"/>
      <c r="F8" s="117"/>
      <c r="G8" s="322"/>
      <c r="H8" s="321"/>
      <c r="I8" s="321"/>
      <c r="J8" s="321"/>
      <c r="K8" s="117"/>
      <c r="L8" s="322"/>
      <c r="M8" s="321"/>
      <c r="N8" s="321"/>
      <c r="O8" s="321"/>
      <c r="P8" s="117"/>
      <c r="Q8" s="322"/>
      <c r="R8" s="321"/>
      <c r="S8" s="321"/>
      <c r="T8" s="321"/>
      <c r="U8" s="117"/>
      <c r="V8" s="322"/>
      <c r="W8" s="321"/>
      <c r="X8" s="321"/>
      <c r="Y8" s="321"/>
      <c r="Z8" s="117"/>
      <c r="AA8" s="322"/>
      <c r="AB8" s="321"/>
      <c r="AC8" s="321"/>
      <c r="AD8" s="321"/>
      <c r="AE8" s="117"/>
      <c r="AF8" s="322"/>
      <c r="AG8" s="118">
        <v>0.27055000000000001</v>
      </c>
      <c r="AH8" s="118">
        <v>0.26307285482727094</v>
      </c>
      <c r="AI8" s="118">
        <v>0.27107489405369956</v>
      </c>
      <c r="AJ8" s="118">
        <v>0.2799015081566204</v>
      </c>
      <c r="AK8" s="455">
        <v>0.27143265306764186</v>
      </c>
      <c r="AL8" s="119">
        <v>0.27277595774888108</v>
      </c>
      <c r="AM8" s="119">
        <v>0.26956701442344921</v>
      </c>
      <c r="AN8" s="119">
        <v>0.25968869690122404</v>
      </c>
      <c r="AO8" s="119">
        <v>0.26098146875847023</v>
      </c>
      <c r="AP8" s="455">
        <v>0.2659147690729412</v>
      </c>
      <c r="AQ8" s="119">
        <v>0.2642789018622998</v>
      </c>
      <c r="AR8" s="119">
        <v>0.27327354861641062</v>
      </c>
      <c r="AS8" s="119">
        <v>0.25869999999999999</v>
      </c>
      <c r="AT8" s="119">
        <v>0.26550000000000001</v>
      </c>
      <c r="AU8" s="455">
        <v>0.26569999999999999</v>
      </c>
      <c r="AV8" s="118">
        <v>0.24552122777620281</v>
      </c>
      <c r="AW8" s="119">
        <v>0.24025279408748573</v>
      </c>
      <c r="AX8" s="119">
        <v>0.24019199288108664</v>
      </c>
      <c r="AY8" s="119">
        <v>0.24716767238182133</v>
      </c>
      <c r="AZ8" s="455">
        <v>0.24349999999999999</v>
      </c>
      <c r="BA8" s="118">
        <v>0.24870403561745946</v>
      </c>
      <c r="BB8" s="118">
        <v>0.24280764993354145</v>
      </c>
      <c r="BC8" s="118">
        <v>0.23386599999999999</v>
      </c>
      <c r="BD8" s="118">
        <v>0.22439999999999999</v>
      </c>
      <c r="BE8" s="455">
        <v>0.23760000000000001</v>
      </c>
      <c r="BF8" s="118">
        <v>0.2334</v>
      </c>
      <c r="BG8" s="118">
        <v>0.2346</v>
      </c>
      <c r="BH8" s="118">
        <v>0.23289399999999999</v>
      </c>
      <c r="BI8" s="118">
        <v>0.23769999999999999</v>
      </c>
      <c r="BJ8" s="455">
        <v>0.23469999999999999</v>
      </c>
      <c r="BK8" s="118">
        <v>0.24160000000000001</v>
      </c>
      <c r="BL8" s="118">
        <v>0.22989999999999999</v>
      </c>
      <c r="BM8" s="118">
        <v>0.23089999999999999</v>
      </c>
      <c r="BN8" s="118">
        <v>0.218</v>
      </c>
      <c r="BO8" s="455">
        <v>0.2301</v>
      </c>
      <c r="BP8" s="118">
        <v>0.2205</v>
      </c>
      <c r="BQ8" s="118"/>
      <c r="BR8" s="118"/>
      <c r="BS8" s="118"/>
      <c r="BT8" s="455"/>
    </row>
    <row r="9" spans="1:74" s="115" customFormat="1" ht="25.5" customHeight="1" thickBot="1">
      <c r="B9" s="116" t="s">
        <v>686</v>
      </c>
      <c r="C9" s="116" t="s">
        <v>687</v>
      </c>
      <c r="D9" s="321"/>
      <c r="E9" s="321"/>
      <c r="F9" s="117"/>
      <c r="G9" s="322"/>
      <c r="H9" s="321"/>
      <c r="I9" s="321"/>
      <c r="J9" s="321"/>
      <c r="K9" s="117"/>
      <c r="L9" s="322"/>
      <c r="M9" s="321"/>
      <c r="N9" s="321"/>
      <c r="O9" s="321"/>
      <c r="P9" s="117"/>
      <c r="Q9" s="322"/>
      <c r="R9" s="321"/>
      <c r="S9" s="321"/>
      <c r="T9" s="321"/>
      <c r="U9" s="117"/>
      <c r="V9" s="322"/>
      <c r="W9" s="321"/>
      <c r="X9" s="321"/>
      <c r="Y9" s="321"/>
      <c r="Z9" s="117"/>
      <c r="AA9" s="322"/>
      <c r="AB9" s="321"/>
      <c r="AC9" s="321"/>
      <c r="AD9" s="321"/>
      <c r="AE9" s="117"/>
      <c r="AF9" s="322"/>
      <c r="AG9" s="118">
        <v>0.21878</v>
      </c>
      <c r="AH9" s="118">
        <v>0.22343613004529736</v>
      </c>
      <c r="AI9" s="118">
        <v>0.20803558567084823</v>
      </c>
      <c r="AJ9" s="118">
        <v>0.20762155694075871</v>
      </c>
      <c r="AK9" s="456">
        <v>0.21439941200856841</v>
      </c>
      <c r="AL9" s="119">
        <v>0.21973490554611111</v>
      </c>
      <c r="AM9" s="119">
        <v>0.20743316354782532</v>
      </c>
      <c r="AN9" s="119">
        <v>0.21547125280795693</v>
      </c>
      <c r="AO9" s="119">
        <v>0.21739933081273113</v>
      </c>
      <c r="AP9" s="456">
        <v>0.21521707371036924</v>
      </c>
      <c r="AQ9" s="119">
        <v>0.21964706993225061</v>
      </c>
      <c r="AR9" s="119">
        <v>0.19273450590189634</v>
      </c>
      <c r="AS9" s="119">
        <v>0.19040000000000001</v>
      </c>
      <c r="AT9" s="119">
        <v>0.19350000000000001</v>
      </c>
      <c r="AU9" s="456">
        <v>0.19969999999999999</v>
      </c>
      <c r="AV9" s="118">
        <v>0.2145969192163136</v>
      </c>
      <c r="AW9" s="119">
        <v>0.21298580449377358</v>
      </c>
      <c r="AX9" s="119">
        <v>0.21154341175910182</v>
      </c>
      <c r="AY9" s="119">
        <v>0.21409536596163978</v>
      </c>
      <c r="AZ9" s="456">
        <v>0.21340000000000001</v>
      </c>
      <c r="BA9" s="118">
        <v>0.20908218103661699</v>
      </c>
      <c r="BB9" s="118">
        <v>0.20999839993245734</v>
      </c>
      <c r="BC9" s="118">
        <v>0.22115899999999999</v>
      </c>
      <c r="BD9" s="118">
        <v>0.23910000000000001</v>
      </c>
      <c r="BE9" s="456">
        <v>0.2198</v>
      </c>
      <c r="BF9" s="118">
        <v>0.2049</v>
      </c>
      <c r="BG9" s="118">
        <v>0.19850000000000001</v>
      </c>
      <c r="BH9" s="118">
        <v>0.20371600000000001</v>
      </c>
      <c r="BI9" s="118">
        <v>0.1893</v>
      </c>
      <c r="BJ9" s="456">
        <v>0.19889999999999999</v>
      </c>
      <c r="BK9" s="118">
        <v>0.1643</v>
      </c>
      <c r="BL9" s="118">
        <v>0.18279999999999999</v>
      </c>
      <c r="BM9" s="118">
        <v>0.18590000000000001</v>
      </c>
      <c r="BN9" s="118">
        <v>0.161</v>
      </c>
      <c r="BO9" s="456">
        <v>0.1729</v>
      </c>
      <c r="BP9" s="118">
        <v>0.16089999999999999</v>
      </c>
      <c r="BQ9" s="118"/>
      <c r="BR9" s="118"/>
      <c r="BS9" s="118"/>
      <c r="BT9" s="456"/>
    </row>
    <row r="10" spans="1:74" ht="20.25" customHeight="1">
      <c r="A10"/>
      <c r="B10" s="331" t="s">
        <v>688</v>
      </c>
      <c r="C10" s="319" t="s">
        <v>689</v>
      </c>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29"/>
      <c r="AH10" s="329"/>
      <c r="AI10" s="329"/>
      <c r="AJ10" s="329"/>
      <c r="AK10" s="457"/>
      <c r="AL10" s="329"/>
      <c r="AM10" s="329"/>
      <c r="AN10" s="329"/>
      <c r="AO10" s="329"/>
      <c r="AP10" s="457"/>
      <c r="AQ10" s="329"/>
      <c r="AR10" s="329"/>
      <c r="AS10" s="329"/>
      <c r="AT10" s="329"/>
      <c r="AU10" s="457"/>
      <c r="AV10" s="329"/>
      <c r="AW10" s="329"/>
      <c r="AX10" s="329"/>
      <c r="AY10" s="329"/>
      <c r="AZ10" s="457"/>
      <c r="BA10" s="329"/>
      <c r="BB10" s="329"/>
      <c r="BC10" s="329"/>
      <c r="BD10" s="329"/>
      <c r="BE10" s="457"/>
      <c r="BF10" s="329"/>
      <c r="BG10" s="329"/>
      <c r="BH10" s="329"/>
      <c r="BI10" s="329"/>
      <c r="BJ10" s="457"/>
      <c r="BK10" s="329"/>
      <c r="BL10" s="329"/>
      <c r="BM10" s="329"/>
      <c r="BN10" s="329"/>
      <c r="BO10" s="457"/>
      <c r="BP10" s="329"/>
      <c r="BQ10" s="329"/>
      <c r="BR10" s="329"/>
      <c r="BS10" s="329"/>
      <c r="BT10" s="457"/>
    </row>
    <row r="11" spans="1:74" ht="31.5" thickBot="1">
      <c r="A11"/>
      <c r="B11" s="580" t="s">
        <v>690</v>
      </c>
      <c r="C11" s="580" t="s">
        <v>691</v>
      </c>
      <c r="D11" s="121"/>
      <c r="E11" s="121"/>
      <c r="F11" s="122"/>
      <c r="G11" s="581"/>
      <c r="H11" s="121"/>
      <c r="I11" s="121"/>
      <c r="J11" s="121"/>
      <c r="K11" s="122"/>
      <c r="L11" s="581"/>
      <c r="M11" s="121"/>
      <c r="N11" s="121"/>
      <c r="O11" s="121"/>
      <c r="P11" s="122"/>
      <c r="Q11" s="581"/>
      <c r="R11" s="121"/>
      <c r="S11" s="121"/>
      <c r="T11" s="121"/>
      <c r="U11" s="122"/>
      <c r="V11" s="581"/>
      <c r="W11" s="121"/>
      <c r="X11" s="121"/>
      <c r="Y11" s="121"/>
      <c r="Z11" s="122"/>
      <c r="AA11" s="581"/>
      <c r="AB11" s="121"/>
      <c r="AC11" s="121"/>
      <c r="AD11" s="121"/>
      <c r="AE11" s="122"/>
      <c r="AF11" s="581"/>
      <c r="AG11" s="120">
        <v>996.4</v>
      </c>
      <c r="AH11" s="121">
        <v>1201.9000000000001</v>
      </c>
      <c r="AI11" s="121">
        <v>871.7</v>
      </c>
      <c r="AJ11" s="121">
        <v>1328.2</v>
      </c>
      <c r="AK11" s="458">
        <v>4398.2</v>
      </c>
      <c r="AL11" s="120">
        <v>965.6</v>
      </c>
      <c r="AM11" s="121">
        <v>1203.5999999999999</v>
      </c>
      <c r="AN11" s="121">
        <v>888.2</v>
      </c>
      <c r="AO11" s="121">
        <v>1324.059</v>
      </c>
      <c r="AP11" s="458">
        <v>4381.5060000000003</v>
      </c>
      <c r="AQ11" s="120">
        <v>933.12800000000004</v>
      </c>
      <c r="AR11" s="121">
        <v>778.1</v>
      </c>
      <c r="AS11" s="121">
        <v>894.93439594398706</v>
      </c>
      <c r="AT11" s="121">
        <v>1387.066</v>
      </c>
      <c r="AU11" s="458">
        <f>SUM(AQ11:AT11)</f>
        <v>3993.2283959439874</v>
      </c>
      <c r="AV11" s="121">
        <v>955.63900000000001</v>
      </c>
      <c r="AW11" s="121">
        <v>1193.1590000000001</v>
      </c>
      <c r="AX11" s="121">
        <v>947.99099999999999</v>
      </c>
      <c r="AY11" s="121">
        <v>1450.482</v>
      </c>
      <c r="AZ11" s="458">
        <f>SUM(AV11:AY11)</f>
        <v>4547.2710000000006</v>
      </c>
      <c r="BA11" s="121">
        <v>970.04899999999998</v>
      </c>
      <c r="BB11" s="121">
        <v>1153.1379999999999</v>
      </c>
      <c r="BC11" s="121">
        <v>937.74599999999998</v>
      </c>
      <c r="BD11" s="121">
        <v>1448.0350000000001</v>
      </c>
      <c r="BE11" s="458">
        <f>BA11+BB11+BC11+BD11</f>
        <v>4508.9679999999998</v>
      </c>
      <c r="BF11" s="121">
        <v>1001.424</v>
      </c>
      <c r="BG11" s="121">
        <v>1216.4749999999999</v>
      </c>
      <c r="BH11" s="121">
        <v>997.88300000000004</v>
      </c>
      <c r="BI11" s="121">
        <v>1467.9880000000001</v>
      </c>
      <c r="BJ11" s="458">
        <f>BF11+BG11+BH11+BI11</f>
        <v>4683.7700000000004</v>
      </c>
      <c r="BK11" s="121">
        <v>1103.895</v>
      </c>
      <c r="BL11" s="121">
        <v>1285.9269999999999</v>
      </c>
      <c r="BM11" s="121">
        <v>1073.0740000000001</v>
      </c>
      <c r="BN11" s="121">
        <v>1508.8389999999999</v>
      </c>
      <c r="BO11" s="458">
        <f>BK11+BL11+BM11+BN11</f>
        <v>4971.7350000000006</v>
      </c>
      <c r="BP11" s="121">
        <v>1114.336</v>
      </c>
      <c r="BQ11" s="121"/>
      <c r="BR11" s="121"/>
      <c r="BS11" s="121"/>
      <c r="BT11" s="458"/>
      <c r="BV11" s="950"/>
    </row>
    <row r="12" spans="1:74" s="125" customFormat="1" ht="31.5" thickBot="1">
      <c r="B12" s="347" t="s">
        <v>692</v>
      </c>
      <c r="C12" s="347" t="s">
        <v>693</v>
      </c>
      <c r="D12" s="348"/>
      <c r="E12" s="348"/>
      <c r="F12" s="349"/>
      <c r="G12" s="350"/>
      <c r="H12" s="348"/>
      <c r="I12" s="348"/>
      <c r="J12" s="348"/>
      <c r="K12" s="349"/>
      <c r="L12" s="350"/>
      <c r="M12" s="348"/>
      <c r="N12" s="348"/>
      <c r="O12" s="348"/>
      <c r="P12" s="349"/>
      <c r="Q12" s="350"/>
      <c r="R12" s="348"/>
      <c r="S12" s="348"/>
      <c r="T12" s="348"/>
      <c r="U12" s="349"/>
      <c r="V12" s="350"/>
      <c r="W12" s="348"/>
      <c r="X12" s="348"/>
      <c r="Y12" s="348"/>
      <c r="Z12" s="349"/>
      <c r="AA12" s="350"/>
      <c r="AB12" s="348"/>
      <c r="AC12" s="348"/>
      <c r="AD12" s="348"/>
      <c r="AE12" s="349"/>
      <c r="AF12" s="350"/>
      <c r="AG12" s="351">
        <v>269.10000000000002</v>
      </c>
      <c r="AH12" s="348">
        <v>321.39999999999998</v>
      </c>
      <c r="AI12" s="348">
        <v>240.8</v>
      </c>
      <c r="AJ12" s="348">
        <v>369.9</v>
      </c>
      <c r="AK12" s="459">
        <v>1201.3</v>
      </c>
      <c r="AL12" s="351">
        <v>270.60000000000002</v>
      </c>
      <c r="AM12" s="348">
        <v>324.89999999999998</v>
      </c>
      <c r="AN12" s="348">
        <v>249.9</v>
      </c>
      <c r="AO12" s="348">
        <v>379</v>
      </c>
      <c r="AP12" s="459">
        <v>1224.4000000000001</v>
      </c>
      <c r="AQ12" s="351">
        <v>262.54000000000002</v>
      </c>
      <c r="AR12" s="348">
        <v>212.9</v>
      </c>
      <c r="AS12" s="348">
        <v>252</v>
      </c>
      <c r="AT12" s="349">
        <v>396.08300000000003</v>
      </c>
      <c r="AU12" s="459">
        <v>1123.538</v>
      </c>
      <c r="AV12" s="349">
        <v>271.495</v>
      </c>
      <c r="AW12" s="349">
        <v>330.48700000000002</v>
      </c>
      <c r="AX12" s="349">
        <v>267.33800000000002</v>
      </c>
      <c r="AY12" s="349">
        <v>402.26600000000002</v>
      </c>
      <c r="AZ12" s="459">
        <f>SUM(AV12:AY12)</f>
        <v>1271.586</v>
      </c>
      <c r="BA12" s="349">
        <v>273.03399999999999</v>
      </c>
      <c r="BB12" s="349">
        <v>330.09300000000002</v>
      </c>
      <c r="BC12" s="349">
        <v>275.01</v>
      </c>
      <c r="BD12" s="349">
        <v>410.49900000000002</v>
      </c>
      <c r="BE12" s="459">
        <f>BA12+BB12+BC12+BD12</f>
        <v>1288.636</v>
      </c>
      <c r="BF12" s="349">
        <v>284.25200000000001</v>
      </c>
      <c r="BG12" s="349">
        <v>344.64100000000002</v>
      </c>
      <c r="BH12" s="349">
        <v>288.06400000000002</v>
      </c>
      <c r="BI12" s="349">
        <v>415.15899999999999</v>
      </c>
      <c r="BJ12" s="459">
        <f>BF12+BG12+BH12+BI12</f>
        <v>1332.116</v>
      </c>
      <c r="BK12" s="349">
        <v>306.91899999999998</v>
      </c>
      <c r="BL12" s="349">
        <v>361.238</v>
      </c>
      <c r="BM12" s="349">
        <v>296.67500000000001</v>
      </c>
      <c r="BN12" s="349">
        <v>422.72300000000001</v>
      </c>
      <c r="BO12" s="459">
        <f>BK12+BL12+BM12+BN12</f>
        <v>1387.5549999999998</v>
      </c>
      <c r="BP12" s="349">
        <v>319.512</v>
      </c>
      <c r="BQ12" s="349"/>
      <c r="BR12" s="349"/>
      <c r="BS12" s="349"/>
      <c r="BT12" s="459"/>
    </row>
    <row r="13" spans="1:74" ht="31.5" thickBot="1">
      <c r="A13"/>
      <c r="B13" s="339" t="s">
        <v>694</v>
      </c>
      <c r="C13" s="339" t="s">
        <v>695</v>
      </c>
      <c r="D13" s="340"/>
      <c r="E13" s="340"/>
      <c r="F13" s="341"/>
      <c r="G13" s="342"/>
      <c r="H13" s="340"/>
      <c r="I13" s="340"/>
      <c r="J13" s="340"/>
      <c r="K13" s="341"/>
      <c r="L13" s="342"/>
      <c r="M13" s="340"/>
      <c r="N13" s="340"/>
      <c r="O13" s="340"/>
      <c r="P13" s="341"/>
      <c r="Q13" s="342"/>
      <c r="R13" s="340"/>
      <c r="S13" s="340"/>
      <c r="T13" s="340"/>
      <c r="U13" s="341"/>
      <c r="V13" s="342"/>
      <c r="W13" s="340"/>
      <c r="X13" s="340"/>
      <c r="Y13" s="340"/>
      <c r="Z13" s="341"/>
      <c r="AA13" s="342"/>
      <c r="AB13" s="340"/>
      <c r="AC13" s="340"/>
      <c r="AD13" s="340"/>
      <c r="AE13" s="341"/>
      <c r="AF13" s="342"/>
      <c r="AG13" s="344">
        <f>AG12/AG11</f>
        <v>0.27007226013649138</v>
      </c>
      <c r="AH13" s="345">
        <f t="shared" ref="AH13:AT13" si="0">AH12/AH11</f>
        <v>0.26740993427073795</v>
      </c>
      <c r="AI13" s="345">
        <f t="shared" si="0"/>
        <v>0.27624182631639327</v>
      </c>
      <c r="AJ13" s="345">
        <f t="shared" si="0"/>
        <v>0.27849721427495855</v>
      </c>
      <c r="AK13" s="452">
        <f t="shared" si="0"/>
        <v>0.27313446409894959</v>
      </c>
      <c r="AL13" s="344">
        <f t="shared" si="0"/>
        <v>0.28024026512013256</v>
      </c>
      <c r="AM13" s="345">
        <f t="shared" si="0"/>
        <v>0.26994017946161514</v>
      </c>
      <c r="AN13" s="345">
        <f t="shared" si="0"/>
        <v>0.28135555055167755</v>
      </c>
      <c r="AO13" s="345">
        <f t="shared" si="0"/>
        <v>0.28624102098169341</v>
      </c>
      <c r="AP13" s="452">
        <f t="shared" si="0"/>
        <v>0.27944729506247395</v>
      </c>
      <c r="AQ13" s="344">
        <f t="shared" si="0"/>
        <v>0.28135475518899872</v>
      </c>
      <c r="AR13" s="345">
        <f t="shared" si="0"/>
        <v>0.27361521655314225</v>
      </c>
      <c r="AS13" s="345">
        <f t="shared" si="0"/>
        <v>0.28158488615714394</v>
      </c>
      <c r="AT13" s="346">
        <f t="shared" si="0"/>
        <v>0.28555454462873431</v>
      </c>
      <c r="AU13" s="452">
        <f>AU12/AU11</f>
        <v>0.28136081601072532</v>
      </c>
      <c r="AV13" s="345">
        <f t="shared" ref="AV13:BJ13" si="1">AV12/AV11</f>
        <v>0.28409786540733478</v>
      </c>
      <c r="AW13" s="345">
        <f>ROUNDUP(AW12/AW11,3)</f>
        <v>0.27700000000000002</v>
      </c>
      <c r="AX13" s="345">
        <f t="shared" si="1"/>
        <v>0.28200478696527714</v>
      </c>
      <c r="AY13" s="346">
        <f t="shared" si="1"/>
        <v>0.27733263839192768</v>
      </c>
      <c r="AZ13" s="452">
        <f t="shared" si="1"/>
        <v>0.27963717139356764</v>
      </c>
      <c r="BA13" s="345">
        <f t="shared" si="1"/>
        <v>0.28146413222424849</v>
      </c>
      <c r="BB13" s="345">
        <f t="shared" si="1"/>
        <v>0.28625628502399542</v>
      </c>
      <c r="BC13" s="345">
        <f t="shared" si="1"/>
        <v>0.29326704672693887</v>
      </c>
      <c r="BD13" s="345">
        <f t="shared" si="1"/>
        <v>0.28348693229100125</v>
      </c>
      <c r="BE13" s="452">
        <f t="shared" si="1"/>
        <v>0.28579399986870613</v>
      </c>
      <c r="BF13" s="345">
        <f t="shared" si="1"/>
        <v>0.28384780073175797</v>
      </c>
      <c r="BG13" s="345">
        <f t="shared" si="1"/>
        <v>0.28331120655993758</v>
      </c>
      <c r="BH13" s="345">
        <f t="shared" si="1"/>
        <v>0.28867512524013339</v>
      </c>
      <c r="BI13" s="345">
        <f t="shared" si="1"/>
        <v>0.28280817009403347</v>
      </c>
      <c r="BJ13" s="452">
        <f t="shared" si="1"/>
        <v>0.28441106202909194</v>
      </c>
      <c r="BK13" s="345">
        <f t="shared" ref="BK13:BP13" si="2">BK12/BK11</f>
        <v>0.27803278391513686</v>
      </c>
      <c r="BL13" s="345">
        <f t="shared" si="2"/>
        <v>0.28091641282903307</v>
      </c>
      <c r="BM13" s="345">
        <f t="shared" si="2"/>
        <v>0.27647207927878226</v>
      </c>
      <c r="BN13" s="345">
        <f t="shared" si="2"/>
        <v>0.28016441780733398</v>
      </c>
      <c r="BO13" s="452">
        <f t="shared" si="2"/>
        <v>0.27908868835527229</v>
      </c>
      <c r="BP13" s="345">
        <f t="shared" si="2"/>
        <v>0.28672859891451052</v>
      </c>
      <c r="BQ13" s="345"/>
      <c r="BR13" s="345"/>
      <c r="BS13" s="345"/>
      <c r="BT13" s="452"/>
    </row>
    <row r="14" spans="1:74" ht="14.5">
      <c r="A1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5"/>
      <c r="AH14" s="125"/>
      <c r="AI14" s="125"/>
      <c r="AJ14" s="125"/>
      <c r="AK14" s="125"/>
      <c r="AL14" s="125"/>
      <c r="AM14" s="125"/>
      <c r="AN14" s="125"/>
      <c r="AO14" s="125"/>
      <c r="AP14" s="125"/>
      <c r="AQ14" s="125"/>
      <c r="AR14" s="125"/>
      <c r="AS14" s="125"/>
      <c r="AT14" s="125"/>
      <c r="AU14" s="125"/>
      <c r="AV14" s="169"/>
      <c r="AW14" s="125"/>
      <c r="AX14" s="125"/>
      <c r="AY14" s="125"/>
      <c r="AZ14" s="125"/>
      <c r="BA14" s="169"/>
      <c r="BB14" s="125"/>
      <c r="BC14" s="125"/>
      <c r="BD14" s="125"/>
      <c r="BE14" s="125"/>
      <c r="BF14" s="169"/>
      <c r="BG14" s="125"/>
      <c r="BH14" s="125"/>
      <c r="BI14" s="125"/>
      <c r="BJ14" s="125"/>
      <c r="BK14" s="169"/>
      <c r="BL14" s="125"/>
      <c r="BM14" s="125"/>
      <c r="BN14" s="125"/>
      <c r="BO14" s="125"/>
      <c r="BP14" s="169"/>
      <c r="BQ14" s="125"/>
      <c r="BR14" s="125"/>
      <c r="BS14" s="125"/>
      <c r="BT14" s="125"/>
    </row>
    <row r="15" spans="1:74" s="113" customFormat="1" hidden="1">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P15"/>
      <c r="AU15"/>
      <c r="AV15" s="170"/>
      <c r="AZ15"/>
      <c r="BA15" s="170"/>
      <c r="BE15"/>
      <c r="BF15" s="170"/>
      <c r="BJ15"/>
      <c r="BK15" s="170"/>
      <c r="BO15"/>
      <c r="BP15" s="170"/>
      <c r="BT15"/>
    </row>
    <row r="16" spans="1:74" s="113" customFormat="1" hidden="1">
      <c r="B16" s="127"/>
      <c r="C16" s="127"/>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127"/>
      <c r="AH16" s="127"/>
      <c r="AI16" s="127"/>
      <c r="AK16"/>
      <c r="AP16"/>
      <c r="AU16"/>
      <c r="AZ16"/>
      <c r="BE16"/>
      <c r="BJ16"/>
      <c r="BO16"/>
      <c r="BT16"/>
    </row>
    <row r="17" spans="2:72" s="128" customFormat="1" ht="27.75" customHeight="1">
      <c r="B17" s="352" t="s">
        <v>696</v>
      </c>
      <c r="C17" s="352" t="s">
        <v>697</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2"/>
      <c r="AH17" s="2"/>
      <c r="AI17" s="2"/>
      <c r="AJ17" s="113"/>
      <c r="AK17"/>
      <c r="AL17" s="113"/>
      <c r="AM17" s="113"/>
      <c r="AN17" s="113"/>
      <c r="AO17" s="113"/>
      <c r="AP17"/>
      <c r="AU17" s="330"/>
      <c r="AZ17" s="330"/>
      <c r="BE17" s="330"/>
      <c r="BJ17" s="330"/>
      <c r="BO17" s="330"/>
      <c r="BP17" s="949"/>
      <c r="BT17" s="330"/>
    </row>
    <row r="18" spans="2:72" s="128" customFormat="1" ht="27.75" customHeight="1" thickBot="1">
      <c r="B18" s="129" t="s">
        <v>698</v>
      </c>
      <c r="C18" s="129" t="s">
        <v>699</v>
      </c>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2"/>
      <c r="AH18" s="2"/>
      <c r="AI18" s="2"/>
      <c r="AJ18" s="113"/>
      <c r="AK18"/>
      <c r="AL18" s="113"/>
      <c r="AM18" s="113"/>
      <c r="AN18" s="113"/>
      <c r="AO18" s="113"/>
      <c r="AP18"/>
      <c r="AU18" s="330"/>
      <c r="AZ18" s="330"/>
      <c r="BE18" s="330"/>
      <c r="BJ18" s="330"/>
      <c r="BO18" s="330"/>
      <c r="BT18" s="330"/>
    </row>
    <row r="19" spans="2:72" s="353" customFormat="1" ht="20.25" customHeight="1" thickBot="1">
      <c r="B19" s="976" t="s">
        <v>700</v>
      </c>
      <c r="C19" s="982" t="s">
        <v>701</v>
      </c>
      <c r="D19" s="978"/>
      <c r="E19" s="979"/>
      <c r="F19" s="979"/>
      <c r="G19" s="980"/>
      <c r="H19" s="978"/>
      <c r="I19" s="979"/>
      <c r="J19" s="979"/>
      <c r="K19" s="979"/>
      <c r="L19" s="980"/>
      <c r="M19" s="978"/>
      <c r="N19" s="979"/>
      <c r="O19" s="979"/>
      <c r="P19" s="979"/>
      <c r="Q19" s="980"/>
      <c r="R19" s="978"/>
      <c r="S19" s="979"/>
      <c r="T19" s="979"/>
      <c r="U19" s="979"/>
      <c r="V19" s="980"/>
      <c r="W19" s="978"/>
      <c r="X19" s="979"/>
      <c r="Y19" s="979"/>
      <c r="Z19" s="979"/>
      <c r="AA19" s="980"/>
      <c r="AB19" s="978"/>
      <c r="AC19" s="979"/>
      <c r="AD19" s="979"/>
      <c r="AE19" s="979"/>
      <c r="AF19" s="980"/>
      <c r="AG19" s="972">
        <v>2018</v>
      </c>
      <c r="AH19" s="973"/>
      <c r="AI19" s="973"/>
      <c r="AJ19" s="973"/>
      <c r="AK19" s="974">
        <v>2018</v>
      </c>
      <c r="AL19" s="972">
        <v>2019</v>
      </c>
      <c r="AM19" s="973"/>
      <c r="AN19" s="973"/>
      <c r="AO19" s="973"/>
      <c r="AP19" s="974">
        <v>2019</v>
      </c>
      <c r="AQ19" s="972">
        <v>2020</v>
      </c>
      <c r="AR19" s="973"/>
      <c r="AS19" s="973"/>
      <c r="AT19" s="973"/>
      <c r="AU19" s="974">
        <v>2020</v>
      </c>
      <c r="AV19" s="972">
        <f>AV2</f>
        <v>2021</v>
      </c>
      <c r="AW19" s="973"/>
      <c r="AX19" s="973"/>
      <c r="AY19" s="973"/>
      <c r="AZ19" s="974">
        <v>2021</v>
      </c>
      <c r="BA19" s="972">
        <f>BA2</f>
        <v>2022</v>
      </c>
      <c r="BB19" s="973"/>
      <c r="BC19" s="973"/>
      <c r="BD19" s="973"/>
      <c r="BE19" s="974">
        <v>2022</v>
      </c>
      <c r="BF19" s="972">
        <f>BF2</f>
        <v>2023</v>
      </c>
      <c r="BG19" s="973"/>
      <c r="BH19" s="973"/>
      <c r="BI19" s="973"/>
      <c r="BJ19" s="974">
        <v>2023</v>
      </c>
      <c r="BK19" s="972">
        <f>BK2</f>
        <v>2024</v>
      </c>
      <c r="BL19" s="973"/>
      <c r="BM19" s="973"/>
      <c r="BN19" s="973"/>
      <c r="BO19" s="974">
        <v>2024</v>
      </c>
      <c r="BP19" s="972">
        <f>BP2</f>
        <v>2025</v>
      </c>
      <c r="BQ19" s="973"/>
      <c r="BR19" s="973"/>
      <c r="BS19" s="973"/>
      <c r="BT19" s="974">
        <v>2025</v>
      </c>
    </row>
    <row r="20" spans="2:72" s="354" customFormat="1" ht="20.25" customHeight="1" thickBot="1">
      <c r="B20" s="977"/>
      <c r="C20" s="983"/>
      <c r="D20" s="334"/>
      <c r="E20" s="335"/>
      <c r="F20" s="335"/>
      <c r="G20" s="981"/>
      <c r="H20" s="334"/>
      <c r="I20" s="335"/>
      <c r="J20" s="335"/>
      <c r="K20" s="335"/>
      <c r="L20" s="981"/>
      <c r="M20" s="334"/>
      <c r="N20" s="335"/>
      <c r="O20" s="335"/>
      <c r="P20" s="335"/>
      <c r="Q20" s="981"/>
      <c r="R20" s="334"/>
      <c r="S20" s="335"/>
      <c r="T20" s="335"/>
      <c r="U20" s="335"/>
      <c r="V20" s="981"/>
      <c r="W20" s="334"/>
      <c r="X20" s="335"/>
      <c r="Y20" s="335"/>
      <c r="Z20" s="335"/>
      <c r="AA20" s="981"/>
      <c r="AB20" s="334"/>
      <c r="AC20" s="335"/>
      <c r="AD20" s="335"/>
      <c r="AE20" s="335"/>
      <c r="AF20" s="981"/>
      <c r="AG20" s="332" t="s">
        <v>620</v>
      </c>
      <c r="AH20" s="333" t="s">
        <v>621</v>
      </c>
      <c r="AI20" s="333" t="s">
        <v>622</v>
      </c>
      <c r="AJ20" s="333" t="s">
        <v>623</v>
      </c>
      <c r="AK20" s="975"/>
      <c r="AL20" s="332" t="s">
        <v>620</v>
      </c>
      <c r="AM20" s="333" t="s">
        <v>621</v>
      </c>
      <c r="AN20" s="333" t="s">
        <v>622</v>
      </c>
      <c r="AO20" s="333" t="s">
        <v>623</v>
      </c>
      <c r="AP20" s="975"/>
      <c r="AQ20" s="332" t="s">
        <v>620</v>
      </c>
      <c r="AR20" s="333" t="s">
        <v>621</v>
      </c>
      <c r="AS20" s="333" t="s">
        <v>622</v>
      </c>
      <c r="AT20" s="333" t="s">
        <v>623</v>
      </c>
      <c r="AU20" s="975"/>
      <c r="AV20" s="332" t="s">
        <v>620</v>
      </c>
      <c r="AW20" s="333" t="s">
        <v>621</v>
      </c>
      <c r="AX20" s="333" t="s">
        <v>622</v>
      </c>
      <c r="AY20" s="333" t="s">
        <v>623</v>
      </c>
      <c r="AZ20" s="975"/>
      <c r="BA20" s="332" t="s">
        <v>620</v>
      </c>
      <c r="BB20" s="333" t="s">
        <v>621</v>
      </c>
      <c r="BC20" s="333" t="s">
        <v>622</v>
      </c>
      <c r="BD20" s="333" t="s">
        <v>623</v>
      </c>
      <c r="BE20" s="975"/>
      <c r="BF20" s="332" t="s">
        <v>620</v>
      </c>
      <c r="BG20" s="333" t="s">
        <v>621</v>
      </c>
      <c r="BH20" s="333" t="s">
        <v>622</v>
      </c>
      <c r="BI20" s="333" t="s">
        <v>623</v>
      </c>
      <c r="BJ20" s="975"/>
      <c r="BK20" s="332" t="s">
        <v>620</v>
      </c>
      <c r="BL20" s="333" t="s">
        <v>621</v>
      </c>
      <c r="BM20" s="333" t="s">
        <v>622</v>
      </c>
      <c r="BN20" s="333" t="s">
        <v>623</v>
      </c>
      <c r="BO20" s="975"/>
      <c r="BP20" s="332" t="s">
        <v>620</v>
      </c>
      <c r="BQ20" s="333" t="s">
        <v>621</v>
      </c>
      <c r="BR20" s="333" t="s">
        <v>622</v>
      </c>
      <c r="BS20" s="333" t="s">
        <v>623</v>
      </c>
      <c r="BT20" s="975"/>
    </row>
    <row r="21" spans="2:72" s="135" customFormat="1" ht="23.15" customHeight="1">
      <c r="B21" s="130" t="s">
        <v>702</v>
      </c>
      <c r="C21" s="130" t="s">
        <v>703</v>
      </c>
      <c r="D21" s="132"/>
      <c r="E21" s="132"/>
      <c r="F21" s="132"/>
      <c r="G21" s="323"/>
      <c r="H21" s="132"/>
      <c r="I21" s="132"/>
      <c r="J21" s="132"/>
      <c r="K21" s="132"/>
      <c r="L21" s="323"/>
      <c r="M21" s="132"/>
      <c r="N21" s="132"/>
      <c r="O21" s="132"/>
      <c r="P21" s="132"/>
      <c r="Q21" s="323"/>
      <c r="R21" s="132"/>
      <c r="S21" s="132"/>
      <c r="T21" s="132"/>
      <c r="U21" s="132"/>
      <c r="V21" s="323"/>
      <c r="W21" s="132"/>
      <c r="X21" s="132"/>
      <c r="Y21" s="132"/>
      <c r="Z21" s="132"/>
      <c r="AA21" s="323"/>
      <c r="AB21" s="132"/>
      <c r="AC21" s="132"/>
      <c r="AD21" s="132"/>
      <c r="AE21" s="132"/>
      <c r="AF21" s="323"/>
      <c r="AG21" s="133">
        <v>8.9575186666666706</v>
      </c>
      <c r="AH21" s="133">
        <v>9.2269073333333296</v>
      </c>
      <c r="AI21" s="133">
        <v>8.9584399999999995</v>
      </c>
      <c r="AJ21" s="133">
        <v>8.6488606666666694</v>
      </c>
      <c r="AK21" s="460">
        <v>8.9479316666666708</v>
      </c>
      <c r="AL21" s="133">
        <v>9.0586716666666707</v>
      </c>
      <c r="AM21" s="133">
        <v>9.5436246666666662</v>
      </c>
      <c r="AN21" s="133">
        <v>9.9339253333333346</v>
      </c>
      <c r="AO21" s="133">
        <v>9.897098333333334</v>
      </c>
      <c r="AP21" s="460">
        <v>9.6083300000000005</v>
      </c>
      <c r="AQ21" s="133">
        <v>9.8268776666666646</v>
      </c>
      <c r="AR21" s="133">
        <v>10.836056000000001</v>
      </c>
      <c r="AS21" s="134">
        <v>18.484831</v>
      </c>
      <c r="AT21" s="141">
        <v>19.728791999999999</v>
      </c>
      <c r="AU21" s="460">
        <f>AVERAGE(AQ21:AT21)</f>
        <v>14.719139166666666</v>
      </c>
      <c r="AV21" s="134">
        <v>20.181743999999998</v>
      </c>
      <c r="AW21" s="134">
        <v>20.329488000000001</v>
      </c>
      <c r="AX21" s="134">
        <v>19.864871999999998</v>
      </c>
      <c r="AY21" s="134">
        <v>20.539062000000001</v>
      </c>
      <c r="AZ21" s="463">
        <f>AVERAGE(AV21:AY21)</f>
        <v>20.2287915</v>
      </c>
      <c r="BA21" s="134">
        <v>21.168755999999998</v>
      </c>
      <c r="BB21" s="134">
        <v>20.781953999999999</v>
      </c>
      <c r="BC21" s="134">
        <v>20.450285999999998</v>
      </c>
      <c r="BD21" s="134">
        <v>21.187601999999998</v>
      </c>
      <c r="BE21" s="705">
        <f>AVERAGE(BA21:BD21)</f>
        <v>20.897149499999998</v>
      </c>
      <c r="BF21" s="134">
        <v>21.172428</v>
      </c>
      <c r="BG21" s="134">
        <v>20.955024000000002</v>
      </c>
      <c r="BH21" s="134">
        <v>20.53782</v>
      </c>
      <c r="BI21" s="134">
        <v>20.8</v>
      </c>
      <c r="BJ21" s="705">
        <f>AVERAGE(BF21:BI21)</f>
        <v>20.866318</v>
      </c>
      <c r="BK21" s="134">
        <v>20.953782</v>
      </c>
      <c r="BL21" s="134">
        <v>20.380625999999999</v>
      </c>
      <c r="BM21" s="134">
        <v>19.417914</v>
      </c>
      <c r="BN21" s="134">
        <v>20.81268</v>
      </c>
      <c r="BO21" s="705">
        <f>AVERAGE(BK21:BN21)</f>
        <v>20.391250499999998</v>
      </c>
      <c r="BP21" s="134">
        <v>21.002490000000002</v>
      </c>
      <c r="BQ21" s="134"/>
      <c r="BR21" s="134"/>
      <c r="BS21" s="134"/>
      <c r="BT21" s="705"/>
    </row>
    <row r="22" spans="2:72" s="137" customFormat="1" ht="23.15" customHeight="1">
      <c r="B22" s="792" t="s">
        <v>704</v>
      </c>
      <c r="C22" s="792" t="s">
        <v>705</v>
      </c>
      <c r="D22" s="123"/>
      <c r="E22" s="123"/>
      <c r="F22" s="123"/>
      <c r="G22" s="323"/>
      <c r="H22" s="123"/>
      <c r="I22" s="123"/>
      <c r="J22" s="123"/>
      <c r="K22" s="123"/>
      <c r="L22" s="323"/>
      <c r="M22" s="123"/>
      <c r="N22" s="123"/>
      <c r="O22" s="123"/>
      <c r="P22" s="123"/>
      <c r="Q22" s="323"/>
      <c r="R22" s="123"/>
      <c r="S22" s="123"/>
      <c r="T22" s="123"/>
      <c r="U22" s="123"/>
      <c r="V22" s="323"/>
      <c r="W22" s="123"/>
      <c r="X22" s="123"/>
      <c r="Y22" s="123"/>
      <c r="Z22" s="123"/>
      <c r="AA22" s="323"/>
      <c r="AB22" s="123"/>
      <c r="AC22" s="123"/>
      <c r="AD22" s="123"/>
      <c r="AE22" s="123"/>
      <c r="AF22" s="323"/>
      <c r="AG22" s="136">
        <v>21.2333173333333</v>
      </c>
      <c r="AH22" s="136">
        <v>20.898015999999998</v>
      </c>
      <c r="AI22" s="136">
        <v>20.942602666666701</v>
      </c>
      <c r="AJ22" s="136">
        <v>21.839365666666701</v>
      </c>
      <c r="AK22" s="461">
        <v>21.228325416666699</v>
      </c>
      <c r="AL22" s="136">
        <v>22.457554666666667</v>
      </c>
      <c r="AM22" s="136">
        <v>21.564558000000002</v>
      </c>
      <c r="AN22" s="136">
        <v>20.811750666666669</v>
      </c>
      <c r="AO22" s="136">
        <v>21.400824666666669</v>
      </c>
      <c r="AP22" s="461">
        <v>21.558671999999998</v>
      </c>
      <c r="AQ22" s="136">
        <v>21.740159999999999</v>
      </c>
      <c r="AR22" s="136">
        <v>21.146581999999999</v>
      </c>
      <c r="AS22" s="136">
        <v>20.966215666666667</v>
      </c>
      <c r="AT22" s="142">
        <v>21.769559999999998</v>
      </c>
      <c r="AU22" s="461">
        <f>AVERAGE(AQ22:AT22)</f>
        <v>21.405629416666667</v>
      </c>
      <c r="AV22" s="136">
        <v>21.706271999999998</v>
      </c>
      <c r="AW22" s="136">
        <v>21.781169999999999</v>
      </c>
      <c r="AX22" s="136">
        <v>21.017016000000002</v>
      </c>
      <c r="AY22" s="136">
        <v>21.063780000000001</v>
      </c>
      <c r="AZ22" s="461">
        <f>AVERAGE(AV22:AY22)</f>
        <v>21.392059500000002</v>
      </c>
      <c r="BA22" s="136">
        <v>22.066668</v>
      </c>
      <c r="BB22" s="136">
        <v>21.783384000000002</v>
      </c>
      <c r="BC22" s="136">
        <v>22.015961999999998</v>
      </c>
      <c r="BD22" s="136">
        <v>22.645872000000001</v>
      </c>
      <c r="BE22" s="461">
        <f>AVERAGE(BA22:BD22)</f>
        <v>22.127971500000001</v>
      </c>
      <c r="BF22" s="136">
        <v>23.164596</v>
      </c>
      <c r="BG22" s="136">
        <v>22.845293999999999</v>
      </c>
      <c r="BH22" s="136">
        <v>21.37077</v>
      </c>
      <c r="BI22" s="136">
        <v>21.1</v>
      </c>
      <c r="BJ22" s="461">
        <f>AVERAGE(BF22:BI22)</f>
        <v>22.120165</v>
      </c>
      <c r="BK22" s="136">
        <v>21.105899999999998</v>
      </c>
      <c r="BL22" s="136">
        <v>20.518380000000001</v>
      </c>
      <c r="BM22" s="136">
        <v>20.243141999999999</v>
      </c>
      <c r="BN22" s="136">
        <v>20.327544</v>
      </c>
      <c r="BO22" s="461">
        <f>AVERAGE(BK22:BN22)</f>
        <v>20.548741499999998</v>
      </c>
      <c r="BP22" s="136">
        <v>19.635587999999998</v>
      </c>
      <c r="BQ22" s="136"/>
      <c r="BR22" s="136"/>
      <c r="BS22" s="136"/>
      <c r="BT22" s="461"/>
    </row>
    <row r="23" spans="2:72" s="137" customFormat="1" ht="23.15" customHeight="1">
      <c r="B23" s="792" t="s">
        <v>706</v>
      </c>
      <c r="C23" s="792" t="s">
        <v>707</v>
      </c>
      <c r="D23" s="117"/>
      <c r="E23" s="117"/>
      <c r="F23" s="117"/>
      <c r="G23" s="323"/>
      <c r="H23" s="117"/>
      <c r="I23" s="117"/>
      <c r="J23" s="117"/>
      <c r="K23" s="117"/>
      <c r="L23" s="323"/>
      <c r="M23" s="117"/>
      <c r="N23" s="117"/>
      <c r="O23" s="117"/>
      <c r="P23" s="117"/>
      <c r="Q23" s="323"/>
      <c r="R23" s="117"/>
      <c r="S23" s="117"/>
      <c r="T23" s="117"/>
      <c r="U23" s="117"/>
      <c r="V23" s="323"/>
      <c r="W23" s="117"/>
      <c r="X23" s="117"/>
      <c r="Y23" s="117"/>
      <c r="Z23" s="117"/>
      <c r="AA23" s="323"/>
      <c r="AB23" s="117"/>
      <c r="AC23" s="117"/>
      <c r="AD23" s="117"/>
      <c r="AE23" s="117"/>
      <c r="AF23" s="323"/>
      <c r="AG23" s="136">
        <v>21.468349</v>
      </c>
      <c r="AH23" s="136">
        <v>20.808209333333298</v>
      </c>
      <c r="AI23" s="136">
        <v>20.612301333333299</v>
      </c>
      <c r="AJ23" s="136">
        <v>21.082352</v>
      </c>
      <c r="AK23" s="461">
        <v>20.992802916666701</v>
      </c>
      <c r="AL23" s="136">
        <v>21.450856666666667</v>
      </c>
      <c r="AM23" s="136">
        <v>20.752137333333334</v>
      </c>
      <c r="AN23" s="136">
        <v>20.033246999999999</v>
      </c>
      <c r="AO23" s="136">
        <v>20.897084333333332</v>
      </c>
      <c r="AP23" s="461">
        <v>20.783331333333333</v>
      </c>
      <c r="AQ23" s="136">
        <v>21.910613000000001</v>
      </c>
      <c r="AR23" s="136">
        <v>21.920766666666665</v>
      </c>
      <c r="AS23" s="136">
        <v>20.933972666666669</v>
      </c>
      <c r="AT23" s="142">
        <v>21.592872</v>
      </c>
      <c r="AU23" s="461">
        <f t="shared" ref="AU23:AU25" si="3">AVERAGE(AQ23:AT23)</f>
        <v>21.589556083333335</v>
      </c>
      <c r="AV23" s="136">
        <v>21.562200000000001</v>
      </c>
      <c r="AW23" s="136">
        <v>21.70017</v>
      </c>
      <c r="AX23" s="136">
        <v>22.279806000000001</v>
      </c>
      <c r="AY23" s="136">
        <v>23.346792000000001</v>
      </c>
      <c r="AZ23" s="461">
        <f t="shared" ref="AZ23:AZ25" si="4">AVERAGE(AV23:AY23)</f>
        <v>22.222242000000001</v>
      </c>
      <c r="BA23" s="136">
        <v>22.519566000000001</v>
      </c>
      <c r="BB23" s="136">
        <v>21.660533999999998</v>
      </c>
      <c r="BC23" s="136">
        <v>21.742937999999999</v>
      </c>
      <c r="BD23" s="136">
        <v>22.101606</v>
      </c>
      <c r="BE23" s="461">
        <f>AVERAGE(BA23:BD23)</f>
        <v>22.006160999999999</v>
      </c>
      <c r="BF23" s="136">
        <v>22.138757999999999</v>
      </c>
      <c r="BG23" s="136">
        <v>21.514247999999998</v>
      </c>
      <c r="BH23" s="136">
        <v>20.962152</v>
      </c>
      <c r="BI23" s="136">
        <v>21.2</v>
      </c>
      <c r="BJ23" s="461">
        <f>AVERAGE(BF23:BI23)</f>
        <v>21.453789499999999</v>
      </c>
      <c r="BK23" s="136">
        <v>20.714238000000002</v>
      </c>
      <c r="BL23" s="136">
        <v>20.173428000000001</v>
      </c>
      <c r="BM23" s="136">
        <v>20.155878000000001</v>
      </c>
      <c r="BN23" s="136">
        <v>20.670282</v>
      </c>
      <c r="BO23" s="461">
        <f>AVERAGE(BK23:BN23)</f>
        <v>20.428456500000003</v>
      </c>
      <c r="BP23" s="136">
        <v>20.898972000000001</v>
      </c>
      <c r="BQ23" s="136"/>
      <c r="BR23" s="136"/>
      <c r="BS23" s="136"/>
      <c r="BT23" s="461"/>
    </row>
    <row r="24" spans="2:72" s="137" customFormat="1" ht="23.15" customHeight="1">
      <c r="B24" s="792" t="s">
        <v>708</v>
      </c>
      <c r="C24" s="792" t="s">
        <v>709</v>
      </c>
      <c r="D24" s="327"/>
      <c r="E24" s="327"/>
      <c r="F24" s="788"/>
      <c r="G24" s="323"/>
      <c r="H24" s="327"/>
      <c r="I24" s="327"/>
      <c r="J24" s="788"/>
      <c r="K24" s="788"/>
      <c r="L24" s="323"/>
      <c r="M24" s="327"/>
      <c r="N24" s="327"/>
      <c r="O24" s="788"/>
      <c r="P24" s="788"/>
      <c r="Q24" s="323"/>
      <c r="R24" s="327"/>
      <c r="S24" s="327"/>
      <c r="T24" s="788"/>
      <c r="U24" s="788"/>
      <c r="V24" s="323"/>
      <c r="W24" s="327"/>
      <c r="X24" s="327"/>
      <c r="Y24" s="788"/>
      <c r="Z24" s="788"/>
      <c r="AA24" s="323"/>
      <c r="AB24" s="327"/>
      <c r="AC24" s="327"/>
      <c r="AD24" s="788"/>
      <c r="AE24" s="788"/>
      <c r="AF24" s="323"/>
      <c r="AG24" s="793">
        <v>15.9318236666667</v>
      </c>
      <c r="AH24" s="793">
        <v>15.865494</v>
      </c>
      <c r="AI24" s="793">
        <v>16.060423333333301</v>
      </c>
      <c r="AJ24" s="793">
        <v>17.065826666666698</v>
      </c>
      <c r="AK24" s="461">
        <v>16.2308919166667</v>
      </c>
      <c r="AL24" s="793">
        <v>17.787435666666667</v>
      </c>
      <c r="AM24" s="793">
        <v>16.994359333333335</v>
      </c>
      <c r="AN24" s="793">
        <v>16.433279333333335</v>
      </c>
      <c r="AO24" s="793">
        <v>17.680521000000002</v>
      </c>
      <c r="AP24" s="461">
        <v>17.223898833333333</v>
      </c>
      <c r="AQ24" s="793">
        <v>18.596202000000002</v>
      </c>
      <c r="AR24" s="793">
        <v>17.204713999999999</v>
      </c>
      <c r="AS24" s="793">
        <v>15.98324</v>
      </c>
      <c r="AT24" s="793">
        <v>17.756712</v>
      </c>
      <c r="AU24" s="461">
        <f t="shared" si="3"/>
        <v>17.385217000000001</v>
      </c>
      <c r="AV24" s="136">
        <v>17.12556</v>
      </c>
      <c r="AW24" s="136">
        <v>16.734383999999999</v>
      </c>
      <c r="AX24" s="136">
        <v>16.549271999999998</v>
      </c>
      <c r="AY24" s="136">
        <v>17.245547999999999</v>
      </c>
      <c r="AZ24" s="461">
        <f t="shared" si="4"/>
        <v>16.913691</v>
      </c>
      <c r="BA24" s="136">
        <v>17.649467999999999</v>
      </c>
      <c r="BB24" s="136">
        <v>17.706437999999999</v>
      </c>
      <c r="BC24" s="136">
        <v>17.554212</v>
      </c>
      <c r="BD24" s="136">
        <v>18.561095999999999</v>
      </c>
      <c r="BE24" s="461">
        <f>AVERAGE(BA24:BD24)</f>
        <v>17.867803500000001</v>
      </c>
      <c r="BF24" s="136">
        <v>18.665154000000001</v>
      </c>
      <c r="BG24" s="136">
        <v>17.358246000000001</v>
      </c>
      <c r="BH24" s="136">
        <v>17.206398</v>
      </c>
      <c r="BI24" s="136">
        <v>16.98705</v>
      </c>
      <c r="BJ24" s="461">
        <f>AVERAGE(BF24:BI24)</f>
        <v>17.554212</v>
      </c>
      <c r="BK24" s="136">
        <v>16.645878</v>
      </c>
      <c r="BL24" s="136">
        <v>16.181424</v>
      </c>
      <c r="BM24" s="136">
        <v>15.016536</v>
      </c>
      <c r="BN24" s="136">
        <v>15.410682</v>
      </c>
      <c r="BO24" s="461">
        <f>AVERAGE(BK24:BN24)</f>
        <v>15.813630000000002</v>
      </c>
      <c r="BP24" s="136">
        <v>15.1</v>
      </c>
      <c r="BQ24" s="136"/>
      <c r="BR24" s="136"/>
      <c r="BS24" s="136"/>
      <c r="BT24" s="461"/>
    </row>
    <row r="25" spans="2:72" s="137" customFormat="1" ht="23.15" customHeight="1" thickBot="1">
      <c r="B25" s="794" t="s">
        <v>710</v>
      </c>
      <c r="C25" s="794" t="s">
        <v>711</v>
      </c>
      <c r="D25" s="639"/>
      <c r="E25" s="639"/>
      <c r="F25" s="795"/>
      <c r="G25" s="324"/>
      <c r="H25" s="639"/>
      <c r="I25" s="639"/>
      <c r="J25" s="795"/>
      <c r="K25" s="795"/>
      <c r="L25" s="324"/>
      <c r="M25" s="639"/>
      <c r="N25" s="639"/>
      <c r="O25" s="795"/>
      <c r="P25" s="795"/>
      <c r="Q25" s="324"/>
      <c r="R25" s="639"/>
      <c r="S25" s="639"/>
      <c r="T25" s="795"/>
      <c r="U25" s="795"/>
      <c r="V25" s="324"/>
      <c r="W25" s="639"/>
      <c r="X25" s="639"/>
      <c r="Y25" s="795"/>
      <c r="Z25" s="795"/>
      <c r="AA25" s="324"/>
      <c r="AB25" s="639"/>
      <c r="AC25" s="639"/>
      <c r="AD25" s="795"/>
      <c r="AE25" s="795"/>
      <c r="AF25" s="324"/>
      <c r="AG25" s="796">
        <v>16.4260943333333</v>
      </c>
      <c r="AH25" s="796">
        <v>15.977968000000001</v>
      </c>
      <c r="AI25" s="796">
        <v>16.207808</v>
      </c>
      <c r="AJ25" s="796">
        <v>17.236224666666701</v>
      </c>
      <c r="AK25" s="462">
        <v>16.46202375</v>
      </c>
      <c r="AL25" s="796">
        <v>17.738139</v>
      </c>
      <c r="AM25" s="796">
        <v>16.633941666666665</v>
      </c>
      <c r="AN25" s="796">
        <v>15.505186333333333</v>
      </c>
      <c r="AO25" s="796">
        <v>16.117697666666668</v>
      </c>
      <c r="AP25" s="462">
        <v>16.498741166666665</v>
      </c>
      <c r="AQ25" s="796">
        <v>16.987466000000001</v>
      </c>
      <c r="AR25" s="640">
        <v>16.000780333333335</v>
      </c>
      <c r="AS25" s="640">
        <v>14.976542333333335</v>
      </c>
      <c r="AT25" s="796">
        <v>17.669664000000001</v>
      </c>
      <c r="AU25" s="462">
        <f t="shared" si="3"/>
        <v>16.408613166666669</v>
      </c>
      <c r="AV25" s="645">
        <v>17.595576000000001</v>
      </c>
      <c r="AW25" s="645">
        <v>17.638991999999998</v>
      </c>
      <c r="AX25" s="645">
        <v>17.396370000000001</v>
      </c>
      <c r="AY25" s="645">
        <v>17.984159999999999</v>
      </c>
      <c r="AZ25" s="647">
        <f t="shared" si="4"/>
        <v>17.653774500000001</v>
      </c>
      <c r="BA25" s="645">
        <v>18.547865999999999</v>
      </c>
      <c r="BB25" s="645">
        <v>17.891604000000001</v>
      </c>
      <c r="BC25" s="645">
        <v>17.8767</v>
      </c>
      <c r="BD25" s="645">
        <v>18.523350000000001</v>
      </c>
      <c r="BE25" s="462">
        <f>AVERAGE(BA25:BD25)</f>
        <v>18.209879999999998</v>
      </c>
      <c r="BF25" s="645">
        <v>18.543654</v>
      </c>
      <c r="BG25" s="645">
        <v>19.430226000000001</v>
      </c>
      <c r="BH25" s="645">
        <v>18.916632</v>
      </c>
      <c r="BI25" s="645">
        <v>18.877752000000001</v>
      </c>
      <c r="BJ25" s="462">
        <f>AVERAGE(BF25:BI25)</f>
        <v>18.942066000000001</v>
      </c>
      <c r="BK25" s="645">
        <v>18.027684000000001</v>
      </c>
      <c r="BL25" s="645">
        <v>16.980029999999999</v>
      </c>
      <c r="BM25" s="645">
        <v>16.29693</v>
      </c>
      <c r="BN25" s="645">
        <v>16.557749999999999</v>
      </c>
      <c r="BO25" s="462">
        <f>AVERAGE(BK25:BN25)</f>
        <v>16.965598499999999</v>
      </c>
      <c r="BP25" s="645">
        <v>16.899999999999999</v>
      </c>
      <c r="BQ25" s="645"/>
      <c r="BR25" s="645"/>
      <c r="BS25" s="645"/>
      <c r="BT25" s="462"/>
    </row>
    <row r="26" spans="2:72" s="113" customFormat="1" ht="20.149999999999999" customHeight="1">
      <c r="D26"/>
      <c r="E26"/>
      <c r="F26"/>
      <c r="G26"/>
      <c r="H26"/>
      <c r="I26"/>
      <c r="J26"/>
      <c r="K26"/>
      <c r="L26"/>
      <c r="M26"/>
      <c r="N26"/>
      <c r="O26"/>
      <c r="P26"/>
      <c r="Q26"/>
      <c r="R26"/>
      <c r="S26"/>
      <c r="T26"/>
      <c r="U26"/>
      <c r="V26"/>
      <c r="W26"/>
      <c r="X26"/>
      <c r="Y26"/>
      <c r="Z26"/>
      <c r="AA26"/>
      <c r="AB26"/>
      <c r="AC26"/>
      <c r="AD26"/>
      <c r="AE26"/>
      <c r="AF26"/>
      <c r="AK26"/>
      <c r="AP26"/>
      <c r="AU26"/>
      <c r="AZ26"/>
      <c r="BE26"/>
      <c r="BJ26"/>
      <c r="BO26"/>
      <c r="BT26"/>
    </row>
    <row r="27" spans="2:72" s="113" customFormat="1" ht="27.75" customHeight="1" thickBot="1">
      <c r="B27" s="138" t="s">
        <v>712</v>
      </c>
      <c r="C27" s="138" t="s">
        <v>713</v>
      </c>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K27"/>
      <c r="AP27"/>
      <c r="AU27"/>
      <c r="AZ27"/>
      <c r="BE27"/>
      <c r="BJ27"/>
      <c r="BO27"/>
      <c r="BT27"/>
    </row>
    <row r="28" spans="2:72" s="355" customFormat="1" ht="20.25" customHeight="1">
      <c r="B28" s="976" t="s">
        <v>714</v>
      </c>
      <c r="C28" s="976" t="s">
        <v>715</v>
      </c>
      <c r="D28" s="972"/>
      <c r="E28" s="973"/>
      <c r="F28" s="973"/>
      <c r="G28" s="974"/>
      <c r="H28" s="972"/>
      <c r="I28" s="973"/>
      <c r="J28" s="973"/>
      <c r="K28" s="973"/>
      <c r="L28" s="974"/>
      <c r="M28" s="972"/>
      <c r="N28" s="973"/>
      <c r="O28" s="973"/>
      <c r="P28" s="973"/>
      <c r="Q28" s="974"/>
      <c r="R28" s="972"/>
      <c r="S28" s="973"/>
      <c r="T28" s="973"/>
      <c r="U28" s="973"/>
      <c r="V28" s="974"/>
      <c r="W28" s="972"/>
      <c r="X28" s="973"/>
      <c r="Y28" s="973"/>
      <c r="Z28" s="973"/>
      <c r="AA28" s="974"/>
      <c r="AB28" s="972"/>
      <c r="AC28" s="973"/>
      <c r="AD28" s="973"/>
      <c r="AE28" s="973"/>
      <c r="AF28" s="974"/>
      <c r="AG28" s="972">
        <v>2018</v>
      </c>
      <c r="AH28" s="973"/>
      <c r="AI28" s="973"/>
      <c r="AJ28" s="973"/>
      <c r="AK28" s="974">
        <v>2018</v>
      </c>
      <c r="AL28" s="972">
        <v>2019</v>
      </c>
      <c r="AM28" s="973"/>
      <c r="AN28" s="973"/>
      <c r="AO28" s="973"/>
      <c r="AP28" s="974">
        <v>2019</v>
      </c>
      <c r="AQ28" s="972">
        <v>2020</v>
      </c>
      <c r="AR28" s="973"/>
      <c r="AS28" s="973"/>
      <c r="AT28" s="973"/>
      <c r="AU28" s="974">
        <v>2020</v>
      </c>
      <c r="AV28" s="972">
        <f>AV2</f>
        <v>2021</v>
      </c>
      <c r="AW28" s="973"/>
      <c r="AX28" s="973"/>
      <c r="AY28" s="973"/>
      <c r="AZ28" s="974">
        <v>2021</v>
      </c>
      <c r="BA28" s="972">
        <f>BA2</f>
        <v>2022</v>
      </c>
      <c r="BB28" s="973"/>
      <c r="BC28" s="973"/>
      <c r="BD28" s="973"/>
      <c r="BE28" s="974">
        <v>2022</v>
      </c>
      <c r="BF28" s="972">
        <f>BF2</f>
        <v>2023</v>
      </c>
      <c r="BG28" s="973"/>
      <c r="BH28" s="973"/>
      <c r="BI28" s="973"/>
      <c r="BJ28" s="974">
        <v>2023</v>
      </c>
      <c r="BK28" s="972">
        <f>BK2</f>
        <v>2024</v>
      </c>
      <c r="BL28" s="973"/>
      <c r="BM28" s="973"/>
      <c r="BN28" s="973"/>
      <c r="BO28" s="974">
        <v>2024</v>
      </c>
      <c r="BP28" s="972">
        <f>BP2</f>
        <v>2025</v>
      </c>
      <c r="BQ28" s="973"/>
      <c r="BR28" s="973"/>
      <c r="BS28" s="973"/>
      <c r="BT28" s="974">
        <v>2025</v>
      </c>
    </row>
    <row r="29" spans="2:72" s="356" customFormat="1" ht="20.25" customHeight="1" thickBot="1">
      <c r="B29" s="977"/>
      <c r="C29" s="977"/>
      <c r="D29" s="332"/>
      <c r="E29" s="333"/>
      <c r="F29" s="333"/>
      <c r="G29" s="975"/>
      <c r="H29" s="332"/>
      <c r="I29" s="333"/>
      <c r="J29" s="333"/>
      <c r="K29" s="333"/>
      <c r="L29" s="975"/>
      <c r="M29" s="332"/>
      <c r="N29" s="333"/>
      <c r="O29" s="333"/>
      <c r="P29" s="333"/>
      <c r="Q29" s="975"/>
      <c r="R29" s="332"/>
      <c r="S29" s="333"/>
      <c r="T29" s="333"/>
      <c r="U29" s="333"/>
      <c r="V29" s="975"/>
      <c r="W29" s="332"/>
      <c r="X29" s="333"/>
      <c r="Y29" s="333"/>
      <c r="Z29" s="333"/>
      <c r="AA29" s="975"/>
      <c r="AB29" s="332"/>
      <c r="AC29" s="333"/>
      <c r="AD29" s="333"/>
      <c r="AE29" s="333"/>
      <c r="AF29" s="975"/>
      <c r="AG29" s="332" t="s">
        <v>620</v>
      </c>
      <c r="AH29" s="333" t="s">
        <v>621</v>
      </c>
      <c r="AI29" s="333" t="s">
        <v>622</v>
      </c>
      <c r="AJ29" s="333" t="s">
        <v>623</v>
      </c>
      <c r="AK29" s="975"/>
      <c r="AL29" s="332" t="s">
        <v>620</v>
      </c>
      <c r="AM29" s="333" t="s">
        <v>621</v>
      </c>
      <c r="AN29" s="333" t="s">
        <v>622</v>
      </c>
      <c r="AO29" s="333" t="s">
        <v>623</v>
      </c>
      <c r="AP29" s="975"/>
      <c r="AQ29" s="332" t="s">
        <v>620</v>
      </c>
      <c r="AR29" s="333" t="s">
        <v>621</v>
      </c>
      <c r="AS29" s="333" t="s">
        <v>622</v>
      </c>
      <c r="AT29" s="333" t="s">
        <v>623</v>
      </c>
      <c r="AU29" s="975"/>
      <c r="AV29" s="332" t="s">
        <v>620</v>
      </c>
      <c r="AW29" s="333" t="s">
        <v>621</v>
      </c>
      <c r="AX29" s="333" t="s">
        <v>622</v>
      </c>
      <c r="AY29" s="333" t="s">
        <v>623</v>
      </c>
      <c r="AZ29" s="975"/>
      <c r="BA29" s="332" t="s">
        <v>620</v>
      </c>
      <c r="BB29" s="333" t="s">
        <v>621</v>
      </c>
      <c r="BC29" s="333" t="s">
        <v>622</v>
      </c>
      <c r="BD29" s="333" t="s">
        <v>623</v>
      </c>
      <c r="BE29" s="975"/>
      <c r="BF29" s="332" t="s">
        <v>620</v>
      </c>
      <c r="BG29" s="333" t="s">
        <v>621</v>
      </c>
      <c r="BH29" s="333" t="s">
        <v>622</v>
      </c>
      <c r="BI29" s="333" t="s">
        <v>623</v>
      </c>
      <c r="BJ29" s="975"/>
      <c r="BK29" s="332" t="s">
        <v>620</v>
      </c>
      <c r="BL29" s="333" t="s">
        <v>621</v>
      </c>
      <c r="BM29" s="333" t="s">
        <v>622</v>
      </c>
      <c r="BN29" s="333" t="s">
        <v>623</v>
      </c>
      <c r="BO29" s="975"/>
      <c r="BP29" s="332" t="s">
        <v>620</v>
      </c>
      <c r="BQ29" s="333" t="s">
        <v>621</v>
      </c>
      <c r="BR29" s="333" t="s">
        <v>622</v>
      </c>
      <c r="BS29" s="333" t="s">
        <v>623</v>
      </c>
      <c r="BT29" s="975"/>
    </row>
    <row r="30" spans="2:72" s="140" customFormat="1" ht="20.149999999999999" customHeight="1">
      <c r="B30" s="130" t="s">
        <v>716</v>
      </c>
      <c r="C30" s="130" t="s">
        <v>717</v>
      </c>
      <c r="D30" s="132"/>
      <c r="E30" s="132"/>
      <c r="F30" s="132"/>
      <c r="G30" s="323"/>
      <c r="H30" s="132"/>
      <c r="I30" s="132"/>
      <c r="J30" s="132"/>
      <c r="K30" s="132"/>
      <c r="L30" s="323"/>
      <c r="M30" s="132"/>
      <c r="N30" s="132"/>
      <c r="O30" s="132"/>
      <c r="P30" s="132"/>
      <c r="Q30" s="323"/>
      <c r="R30" s="132"/>
      <c r="S30" s="132"/>
      <c r="T30" s="132"/>
      <c r="U30" s="132"/>
      <c r="V30" s="323"/>
      <c r="W30" s="132"/>
      <c r="X30" s="132"/>
      <c r="Y30" s="132"/>
      <c r="Z30" s="132"/>
      <c r="AA30" s="323"/>
      <c r="AB30" s="132"/>
      <c r="AC30" s="132"/>
      <c r="AD30" s="132"/>
      <c r="AE30" s="132"/>
      <c r="AF30" s="323"/>
      <c r="AG30" s="139">
        <v>119.246591</v>
      </c>
      <c r="AH30" s="139">
        <v>122.659119</v>
      </c>
      <c r="AI30" s="139">
        <v>115.47829</v>
      </c>
      <c r="AJ30" s="139">
        <v>124.290809</v>
      </c>
      <c r="AK30" s="467">
        <v>120.418702</v>
      </c>
      <c r="AL30" s="139">
        <v>141.89801766666699</v>
      </c>
      <c r="AM30" s="139">
        <v>142.39620733333334</v>
      </c>
      <c r="AN30" s="139">
        <v>147.647065</v>
      </c>
      <c r="AO30" s="139">
        <v>147.21163000000001</v>
      </c>
      <c r="AP30" s="467">
        <v>144.52833590909091</v>
      </c>
      <c r="AQ30" s="139">
        <v>156.99415033333335</v>
      </c>
      <c r="AR30" s="139">
        <v>175.901262</v>
      </c>
      <c r="AS30" s="131">
        <v>1489.1514456666669</v>
      </c>
      <c r="AT30" s="132">
        <v>1713.2906539999999</v>
      </c>
      <c r="AU30" s="467">
        <f>AVERAGE(AQ30:AT30)</f>
        <v>883.83437800000002</v>
      </c>
      <c r="AV30" s="131">
        <v>1739.0040570000001</v>
      </c>
      <c r="AW30" s="131">
        <v>2028.1014210000001</v>
      </c>
      <c r="AX30" s="131">
        <v>1995.4577059999999</v>
      </c>
      <c r="AY30" s="131">
        <v>1963.315611</v>
      </c>
      <c r="AZ30" s="464">
        <f>AVERAGE(AV30:AY30)</f>
        <v>1931.4696987500001</v>
      </c>
      <c r="BA30" s="131">
        <v>2170.3631930000001</v>
      </c>
      <c r="BB30" s="131">
        <v>2022.7836483333333</v>
      </c>
      <c r="BC30" s="131">
        <v>1970.2891830000001</v>
      </c>
      <c r="BD30" s="131">
        <v>2016.2877403333332</v>
      </c>
      <c r="BE30" s="464">
        <f>AVERAGE(BA30:BD30)</f>
        <v>2044.9309411666666</v>
      </c>
      <c r="BF30" s="131">
        <v>1937.6943776666667</v>
      </c>
      <c r="BG30" s="131">
        <v>1901.3941786666667</v>
      </c>
      <c r="BH30" s="131">
        <v>1943.9644653333332</v>
      </c>
      <c r="BI30" s="131">
        <v>1981.9090626666668</v>
      </c>
      <c r="BJ30" s="464">
        <f>AVERAGE(BF30:BI30)</f>
        <v>1941.2405210833333</v>
      </c>
      <c r="BK30" s="131">
        <v>1925.8604773333332</v>
      </c>
      <c r="BL30" s="131">
        <v>1808.4986039999999</v>
      </c>
      <c r="BM30" s="131">
        <v>1805.4340793333333</v>
      </c>
      <c r="BN30" s="131">
        <v>1813.276404</v>
      </c>
      <c r="BO30" s="464">
        <f>AVERAGE(BK30:BN30)</f>
        <v>1838.2673911666666</v>
      </c>
      <c r="BP30" s="131">
        <v>1907.0047123333331</v>
      </c>
      <c r="BQ30" s="131"/>
      <c r="BR30" s="131"/>
      <c r="BS30" s="131"/>
      <c r="BT30" s="464"/>
    </row>
    <row r="31" spans="2:72" s="113" customFormat="1" ht="20.149999999999999" customHeight="1">
      <c r="B31" s="792" t="s">
        <v>704</v>
      </c>
      <c r="C31" s="792" t="s">
        <v>705</v>
      </c>
      <c r="D31" s="123"/>
      <c r="E31" s="123"/>
      <c r="F31" s="123"/>
      <c r="G31" s="323"/>
      <c r="H31" s="123"/>
      <c r="I31" s="123"/>
      <c r="J31" s="123"/>
      <c r="K31" s="123"/>
      <c r="L31" s="323"/>
      <c r="M31" s="123"/>
      <c r="N31" s="123"/>
      <c r="O31" s="123"/>
      <c r="P31" s="123"/>
      <c r="Q31" s="323"/>
      <c r="R31" s="123"/>
      <c r="S31" s="123"/>
      <c r="T31" s="123"/>
      <c r="U31" s="123"/>
      <c r="V31" s="323"/>
      <c r="W31" s="123"/>
      <c r="X31" s="123"/>
      <c r="Y31" s="123"/>
      <c r="Z31" s="123"/>
      <c r="AA31" s="323"/>
      <c r="AB31" s="123"/>
      <c r="AC31" s="123"/>
      <c r="AD31" s="123"/>
      <c r="AE31" s="123"/>
      <c r="AF31" s="323"/>
      <c r="AG31" s="85">
        <v>3986.0391209999998</v>
      </c>
      <c r="AH31" s="85">
        <v>2843.8153569999999</v>
      </c>
      <c r="AI31" s="85">
        <v>2795.8327979999999</v>
      </c>
      <c r="AJ31" s="85">
        <v>2824.1565719999999</v>
      </c>
      <c r="AK31" s="465">
        <v>3112.4609620000001</v>
      </c>
      <c r="AL31" s="85">
        <v>3067.8559336666667</v>
      </c>
      <c r="AM31" s="85">
        <v>2816.4148613333336</v>
      </c>
      <c r="AN31" s="85">
        <v>2891.7096685000001</v>
      </c>
      <c r="AO31" s="85">
        <v>2865.860862</v>
      </c>
      <c r="AP31" s="465">
        <v>2912.164937090909</v>
      </c>
      <c r="AQ31" s="85">
        <v>3348.4315183333333</v>
      </c>
      <c r="AR31" s="85">
        <v>3454.8804993333333</v>
      </c>
      <c r="AS31" s="85">
        <v>2850.2637966666666</v>
      </c>
      <c r="AT31" s="123">
        <v>3489.1977529999999</v>
      </c>
      <c r="AU31" s="465">
        <f>AVERAGE(AQ31:AT31)</f>
        <v>3285.6933918333334</v>
      </c>
      <c r="AV31" s="85">
        <v>3448.092208</v>
      </c>
      <c r="AW31" s="85">
        <v>3363.2307430000001</v>
      </c>
      <c r="AX31" s="85">
        <v>3250.0863800000002</v>
      </c>
      <c r="AY31" s="85">
        <v>3592.842443</v>
      </c>
      <c r="AZ31" s="465">
        <f>AVERAGE(AV31:AY31)</f>
        <v>3413.5629435000001</v>
      </c>
      <c r="BA31" s="85">
        <v>4208.8861299999999</v>
      </c>
      <c r="BB31" s="85">
        <v>3907.9663673333334</v>
      </c>
      <c r="BC31" s="85">
        <v>3675.5723446666666</v>
      </c>
      <c r="BD31" s="85">
        <v>3774.7006889999998</v>
      </c>
      <c r="BE31" s="465">
        <f>AVERAGE(BA31:BD31)</f>
        <v>3891.7813827499999</v>
      </c>
      <c r="BF31" s="85">
        <v>3714.641404</v>
      </c>
      <c r="BG31" s="85">
        <v>3368.0013926666666</v>
      </c>
      <c r="BH31" s="85">
        <v>3294.5533236666665</v>
      </c>
      <c r="BI31" s="85">
        <v>3598.3460009999999</v>
      </c>
      <c r="BJ31" s="465">
        <f>AVERAGE(BF31:BI31)</f>
        <v>3493.8855303333335</v>
      </c>
      <c r="BK31" s="85">
        <v>3564.7950786666665</v>
      </c>
      <c r="BL31" s="85">
        <v>3194.4056190000001</v>
      </c>
      <c r="BM31" s="85">
        <v>3144.4129743333333</v>
      </c>
      <c r="BN31" s="85">
        <v>3078.2427290000001</v>
      </c>
      <c r="BO31" s="465">
        <f>AVERAGE(BK31:BN31)</f>
        <v>3245.4641002499998</v>
      </c>
      <c r="BP31" s="85">
        <v>1457.3401200000001</v>
      </c>
      <c r="BQ31" s="85"/>
      <c r="BR31" s="85"/>
      <c r="BS31" s="85"/>
      <c r="BT31" s="465"/>
    </row>
    <row r="32" spans="2:72" s="113" customFormat="1" ht="20.149999999999999" customHeight="1">
      <c r="B32" s="792" t="s">
        <v>706</v>
      </c>
      <c r="C32" s="792" t="s">
        <v>707</v>
      </c>
      <c r="D32" s="117"/>
      <c r="E32" s="117"/>
      <c r="F32" s="117"/>
      <c r="G32" s="323"/>
      <c r="H32" s="117"/>
      <c r="I32" s="117"/>
      <c r="J32" s="117"/>
      <c r="K32" s="117"/>
      <c r="L32" s="323"/>
      <c r="M32" s="117"/>
      <c r="N32" s="117"/>
      <c r="O32" s="117"/>
      <c r="P32" s="117"/>
      <c r="Q32" s="323"/>
      <c r="R32" s="117"/>
      <c r="S32" s="117"/>
      <c r="T32" s="117"/>
      <c r="U32" s="117"/>
      <c r="V32" s="323"/>
      <c r="W32" s="117"/>
      <c r="X32" s="117"/>
      <c r="Y32" s="117"/>
      <c r="Z32" s="117"/>
      <c r="AA32" s="323"/>
      <c r="AB32" s="117"/>
      <c r="AC32" s="117"/>
      <c r="AD32" s="117"/>
      <c r="AE32" s="117"/>
      <c r="AF32" s="323"/>
      <c r="AG32" s="85">
        <v>3147.101705</v>
      </c>
      <c r="AH32" s="85">
        <v>2634.622558</v>
      </c>
      <c r="AI32" s="85">
        <v>2262.472448</v>
      </c>
      <c r="AJ32" s="85">
        <v>1989.323279</v>
      </c>
      <c r="AK32" s="465">
        <v>2508.379997</v>
      </c>
      <c r="AL32" s="85">
        <v>2306.4432736666663</v>
      </c>
      <c r="AM32" s="85">
        <v>2056.0130949999998</v>
      </c>
      <c r="AN32" s="85">
        <v>2009.5032535</v>
      </c>
      <c r="AO32" s="85">
        <v>2040.8401793333333</v>
      </c>
      <c r="AP32" s="465">
        <v>2111.7178319090908</v>
      </c>
      <c r="AQ32" s="85">
        <v>2424.047912</v>
      </c>
      <c r="AR32" s="85">
        <v>2514.4230903333337</v>
      </c>
      <c r="AS32" s="85">
        <v>2247.1015526666665</v>
      </c>
      <c r="AT32" s="123">
        <v>2523.0223740000001</v>
      </c>
      <c r="AU32" s="465">
        <f t="shared" ref="AU32:AU34" si="5">AVERAGE(AQ32:AT32)</f>
        <v>2427.1487322500002</v>
      </c>
      <c r="AV32" s="85">
        <v>2360.7921510000001</v>
      </c>
      <c r="AW32" s="85">
        <v>2293.3762510000001</v>
      </c>
      <c r="AX32" s="85">
        <v>2353.431529</v>
      </c>
      <c r="AY32" s="85">
        <v>2488.5984250000001</v>
      </c>
      <c r="AZ32" s="465">
        <f t="shared" ref="AZ32:AZ34" si="6">AVERAGE(AV32:AY32)</f>
        <v>2374.0495890000002</v>
      </c>
      <c r="BA32" s="85">
        <v>3253.3832609999999</v>
      </c>
      <c r="BB32" s="85">
        <v>2762.1132349999998</v>
      </c>
      <c r="BC32" s="85">
        <v>2627.8295539999999</v>
      </c>
      <c r="BD32" s="85">
        <v>2698.7417666666665</v>
      </c>
      <c r="BE32" s="465">
        <f>AVERAGE(BA32:BD32)</f>
        <v>2835.5169541666664</v>
      </c>
      <c r="BF32" s="85">
        <v>2675.1429913333336</v>
      </c>
      <c r="BG32" s="85">
        <v>2433.421331</v>
      </c>
      <c r="BH32" s="85">
        <v>2428.8323660000001</v>
      </c>
      <c r="BI32" s="85">
        <v>2752.8977966666666</v>
      </c>
      <c r="BJ32" s="465">
        <f>AVERAGE(BF32:BI32)</f>
        <v>2572.5736212500001</v>
      </c>
      <c r="BK32" s="85">
        <v>2671.5144916666663</v>
      </c>
      <c r="BL32" s="85">
        <v>2485.0086373333334</v>
      </c>
      <c r="BM32" s="85">
        <v>2416.0164423333335</v>
      </c>
      <c r="BN32" s="85">
        <v>2479.3285553333335</v>
      </c>
      <c r="BO32" s="465">
        <f>AVERAGE(BK32:BN32)</f>
        <v>2512.9670316666666</v>
      </c>
      <c r="BP32" s="85">
        <v>2510.4569663333336</v>
      </c>
      <c r="BQ32" s="85"/>
      <c r="BR32" s="85"/>
      <c r="BS32" s="85"/>
      <c r="BT32" s="465"/>
    </row>
    <row r="33" spans="2:72" s="113" customFormat="1" ht="20.149999999999999" customHeight="1">
      <c r="B33" s="792" t="s">
        <v>708</v>
      </c>
      <c r="C33" s="792" t="s">
        <v>709</v>
      </c>
      <c r="D33" s="327"/>
      <c r="E33" s="327"/>
      <c r="F33" s="788"/>
      <c r="G33" s="323"/>
      <c r="H33" s="327"/>
      <c r="I33" s="327"/>
      <c r="J33" s="788"/>
      <c r="K33" s="788"/>
      <c r="L33" s="323"/>
      <c r="M33" s="327"/>
      <c r="N33" s="327"/>
      <c r="O33" s="788"/>
      <c r="P33" s="788"/>
      <c r="Q33" s="323"/>
      <c r="R33" s="327"/>
      <c r="S33" s="327"/>
      <c r="T33" s="788"/>
      <c r="U33" s="788"/>
      <c r="V33" s="323"/>
      <c r="W33" s="327"/>
      <c r="X33" s="327"/>
      <c r="Y33" s="788"/>
      <c r="Z33" s="788"/>
      <c r="AA33" s="323"/>
      <c r="AB33" s="327"/>
      <c r="AC33" s="327"/>
      <c r="AD33" s="788"/>
      <c r="AE33" s="788"/>
      <c r="AF33" s="323"/>
      <c r="AG33" s="797">
        <v>496.51288099999999</v>
      </c>
      <c r="AH33" s="797">
        <v>494.34597000000002</v>
      </c>
      <c r="AI33" s="797">
        <v>475.84753799999999</v>
      </c>
      <c r="AJ33" s="797">
        <v>550.75379799999996</v>
      </c>
      <c r="AK33" s="465">
        <v>504.365047</v>
      </c>
      <c r="AL33" s="797">
        <v>653.34457066666664</v>
      </c>
      <c r="AM33" s="797">
        <v>688.13588766666658</v>
      </c>
      <c r="AN33" s="797">
        <v>704.99070133333339</v>
      </c>
      <c r="AO33" s="797">
        <v>733.35113000000001</v>
      </c>
      <c r="AP33" s="465">
        <v>694.95557241666666</v>
      </c>
      <c r="AQ33" s="797">
        <v>908.30737366666665</v>
      </c>
      <c r="AR33" s="797">
        <v>796.95762233333335</v>
      </c>
      <c r="AS33" s="797">
        <v>826.83673199999998</v>
      </c>
      <c r="AT33" s="123">
        <v>914.32968500000004</v>
      </c>
      <c r="AU33" s="465">
        <f t="shared" si="5"/>
        <v>861.60785324999995</v>
      </c>
      <c r="AV33" s="797">
        <v>918.73843299999999</v>
      </c>
      <c r="AW33" s="797">
        <v>816.42182000000003</v>
      </c>
      <c r="AX33" s="797">
        <v>824.29132700000002</v>
      </c>
      <c r="AY33" s="797">
        <v>859.91131800000005</v>
      </c>
      <c r="AZ33" s="465">
        <f t="shared" si="6"/>
        <v>854.84072449999996</v>
      </c>
      <c r="BA33" s="797">
        <v>830.924621</v>
      </c>
      <c r="BB33" s="797">
        <v>832.0364933333334</v>
      </c>
      <c r="BC33" s="797">
        <v>777.37135566666666</v>
      </c>
      <c r="BD33" s="797">
        <v>861.91970433333336</v>
      </c>
      <c r="BE33" s="465">
        <f>AVERAGE(BA33:BD33)</f>
        <v>825.56304358333341</v>
      </c>
      <c r="BF33" s="797">
        <v>1022.4914056666667</v>
      </c>
      <c r="BG33" s="797">
        <v>674.50910599999997</v>
      </c>
      <c r="BH33" s="797">
        <v>690.1505566666666</v>
      </c>
      <c r="BI33" s="797">
        <v>761.94536466666659</v>
      </c>
      <c r="BJ33" s="465">
        <f>AVERAGE(BF33:BI33)</f>
        <v>787.27410824999993</v>
      </c>
      <c r="BK33" s="797">
        <v>865.02938099999994</v>
      </c>
      <c r="BL33" s="797">
        <v>797.89691933333336</v>
      </c>
      <c r="BM33" s="797">
        <v>765.91233999999997</v>
      </c>
      <c r="BN33" s="797">
        <v>641.67133799999999</v>
      </c>
      <c r="BO33" s="465">
        <f>AVERAGE(BK33:BN33)</f>
        <v>767.62749458333337</v>
      </c>
      <c r="BP33" s="797">
        <v>478</v>
      </c>
      <c r="BQ33" s="797"/>
      <c r="BR33" s="797"/>
      <c r="BS33" s="797"/>
      <c r="BT33" s="465"/>
    </row>
    <row r="34" spans="2:72" s="113" customFormat="1" ht="20.149999999999999" customHeight="1" thickBot="1">
      <c r="B34" s="794" t="s">
        <v>710</v>
      </c>
      <c r="C34" s="794" t="s">
        <v>711</v>
      </c>
      <c r="D34" s="639"/>
      <c r="E34" s="639"/>
      <c r="F34" s="795"/>
      <c r="G34" s="324"/>
      <c r="H34" s="639"/>
      <c r="I34" s="639"/>
      <c r="J34" s="795"/>
      <c r="K34" s="795"/>
      <c r="L34" s="324"/>
      <c r="M34" s="639"/>
      <c r="N34" s="639"/>
      <c r="O34" s="795"/>
      <c r="P34" s="795"/>
      <c r="Q34" s="324"/>
      <c r="R34" s="639"/>
      <c r="S34" s="639"/>
      <c r="T34" s="795"/>
      <c r="U34" s="795"/>
      <c r="V34" s="324"/>
      <c r="W34" s="639"/>
      <c r="X34" s="639"/>
      <c r="Y34" s="795"/>
      <c r="Z34" s="795"/>
      <c r="AA34" s="324"/>
      <c r="AB34" s="639"/>
      <c r="AC34" s="639"/>
      <c r="AD34" s="795"/>
      <c r="AE34" s="795"/>
      <c r="AF34" s="324"/>
      <c r="AG34" s="798">
        <v>701.28572999999994</v>
      </c>
      <c r="AH34" s="798">
        <v>632.023324</v>
      </c>
      <c r="AI34" s="798">
        <v>599.56303200000002</v>
      </c>
      <c r="AJ34" s="798">
        <v>627.25341200000003</v>
      </c>
      <c r="AK34" s="466">
        <v>640.03137500000003</v>
      </c>
      <c r="AL34" s="798">
        <v>652.00119633333338</v>
      </c>
      <c r="AM34" s="798">
        <v>532.50463433333334</v>
      </c>
      <c r="AN34" s="798">
        <v>542.2565065</v>
      </c>
      <c r="AO34" s="798">
        <v>522.11580900000001</v>
      </c>
      <c r="AP34" s="466">
        <v>564.03435745454544</v>
      </c>
      <c r="AQ34" s="798">
        <v>645.25113733333342</v>
      </c>
      <c r="AR34" s="641">
        <v>585.152736</v>
      </c>
      <c r="AS34" s="641">
        <v>505.00412899999998</v>
      </c>
      <c r="AT34" s="642">
        <v>608.30699400000003</v>
      </c>
      <c r="AU34" s="466">
        <f t="shared" si="5"/>
        <v>585.92874908333329</v>
      </c>
      <c r="AV34" s="646">
        <v>589.85531400000002</v>
      </c>
      <c r="AW34" s="646">
        <v>572.48614299999997</v>
      </c>
      <c r="AX34" s="646">
        <v>605.14870599999995</v>
      </c>
      <c r="AY34" s="646">
        <v>608.22494300000005</v>
      </c>
      <c r="AZ34" s="648">
        <f t="shared" si="6"/>
        <v>593.92877650000003</v>
      </c>
      <c r="BA34" s="646">
        <v>708.24070340000003</v>
      </c>
      <c r="BB34" s="646">
        <v>574.09954033333338</v>
      </c>
      <c r="BC34" s="646">
        <v>594.76668800000004</v>
      </c>
      <c r="BD34" s="646">
        <v>671.62155900000005</v>
      </c>
      <c r="BE34" s="648">
        <f>AVERAGE(BA34:BD34)</f>
        <v>637.18212268333343</v>
      </c>
      <c r="BF34" s="646">
        <v>663.36616300000003</v>
      </c>
      <c r="BG34" s="646">
        <v>669.95557933333339</v>
      </c>
      <c r="BH34" s="646">
        <v>833.66920233333337</v>
      </c>
      <c r="BI34" s="646">
        <v>935.58436733333338</v>
      </c>
      <c r="BJ34" s="648">
        <f>AVERAGE(BF34:BI34)</f>
        <v>775.6438280000001</v>
      </c>
      <c r="BK34" s="646">
        <v>905.88883066666665</v>
      </c>
      <c r="BL34" s="646">
        <v>860.33346233333339</v>
      </c>
      <c r="BM34" s="646">
        <v>812.06469933333335</v>
      </c>
      <c r="BN34" s="646">
        <v>709.83626200000003</v>
      </c>
      <c r="BO34" s="648">
        <f>AVERAGE(BK34:BN34)</f>
        <v>822.03081358333338</v>
      </c>
      <c r="BP34" s="646">
        <v>769</v>
      </c>
      <c r="BQ34" s="646"/>
      <c r="BR34" s="646"/>
      <c r="BS34" s="646"/>
      <c r="BT34" s="648"/>
    </row>
    <row r="35" spans="2:72" s="113" customFormat="1" ht="20.149999999999999" customHeight="1">
      <c r="D35"/>
      <c r="E35"/>
      <c r="F35"/>
      <c r="G35"/>
      <c r="H35"/>
      <c r="I35"/>
      <c r="J35"/>
      <c r="K35"/>
      <c r="L35"/>
      <c r="M35"/>
      <c r="N35"/>
      <c r="O35"/>
      <c r="P35"/>
      <c r="Q35"/>
      <c r="R35"/>
      <c r="S35"/>
      <c r="T35"/>
      <c r="U35"/>
      <c r="V35"/>
      <c r="W35"/>
      <c r="X35"/>
      <c r="Y35"/>
      <c r="Z35"/>
      <c r="AA35"/>
      <c r="AB35"/>
      <c r="AC35"/>
      <c r="AD35"/>
      <c r="AE35"/>
      <c r="AF35"/>
      <c r="AK35"/>
      <c r="AP35"/>
      <c r="AU35"/>
      <c r="AZ35"/>
      <c r="BE35"/>
      <c r="BJ35"/>
    </row>
    <row r="36" spans="2:72" s="113" customFormat="1" ht="252">
      <c r="B36" s="126" t="s">
        <v>718</v>
      </c>
      <c r="C36" s="126" t="s">
        <v>719</v>
      </c>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K36"/>
      <c r="AP36"/>
      <c r="AR36"/>
      <c r="AS36" s="164"/>
      <c r="AT36" s="164"/>
      <c r="AU36"/>
      <c r="AW36"/>
      <c r="AX36" s="164"/>
      <c r="AY36" s="164"/>
      <c r="AZ36"/>
      <c r="BB36"/>
      <c r="BC36" s="164"/>
      <c r="BD36" s="164"/>
      <c r="BE36"/>
      <c r="BG36"/>
      <c r="BH36" s="164"/>
      <c r="BI36" s="164"/>
      <c r="BJ36"/>
    </row>
    <row r="66" customFormat="1"/>
    <row r="67" customFormat="1"/>
  </sheetData>
  <mergeCells count="90">
    <mergeCell ref="BK2:BN2"/>
    <mergeCell ref="BO2:BO3"/>
    <mergeCell ref="BK19:BN19"/>
    <mergeCell ref="BO19:BO20"/>
    <mergeCell ref="BK28:BN28"/>
    <mergeCell ref="BO28:BO29"/>
    <mergeCell ref="L2:L3"/>
    <mergeCell ref="B2:B3"/>
    <mergeCell ref="C2:C3"/>
    <mergeCell ref="D2:F2"/>
    <mergeCell ref="G2:G3"/>
    <mergeCell ref="H2:K2"/>
    <mergeCell ref="AP2:AP3"/>
    <mergeCell ref="M2:P2"/>
    <mergeCell ref="Q2:Q3"/>
    <mergeCell ref="R2:U2"/>
    <mergeCell ref="V2:V3"/>
    <mergeCell ref="W2:Z2"/>
    <mergeCell ref="AA2:AA3"/>
    <mergeCell ref="AB2:AE2"/>
    <mergeCell ref="AF2:AF3"/>
    <mergeCell ref="AG2:AJ2"/>
    <mergeCell ref="AK2:AK3"/>
    <mergeCell ref="AL2:AO2"/>
    <mergeCell ref="BF2:BI2"/>
    <mergeCell ref="BJ2:BJ3"/>
    <mergeCell ref="B19:B20"/>
    <mergeCell ref="C19:C20"/>
    <mergeCell ref="D19:F19"/>
    <mergeCell ref="G19:G20"/>
    <mergeCell ref="H19:K19"/>
    <mergeCell ref="L19:L20"/>
    <mergeCell ref="M19:P19"/>
    <mergeCell ref="Q19:Q20"/>
    <mergeCell ref="AQ2:AT2"/>
    <mergeCell ref="AU2:AU3"/>
    <mergeCell ref="AV2:AY2"/>
    <mergeCell ref="AZ2:AZ3"/>
    <mergeCell ref="BA2:BD2"/>
    <mergeCell ref="BE2:BE3"/>
    <mergeCell ref="BF19:BI19"/>
    <mergeCell ref="BJ19:BJ20"/>
    <mergeCell ref="AG19:AJ19"/>
    <mergeCell ref="AK19:AK20"/>
    <mergeCell ref="AL19:AO19"/>
    <mergeCell ref="AP19:AP20"/>
    <mergeCell ref="AQ19:AT19"/>
    <mergeCell ref="AU19:AU20"/>
    <mergeCell ref="L28:L29"/>
    <mergeCell ref="AV19:AY19"/>
    <mergeCell ref="AZ19:AZ20"/>
    <mergeCell ref="BA19:BD19"/>
    <mergeCell ref="BE19:BE20"/>
    <mergeCell ref="R19:U19"/>
    <mergeCell ref="V19:V20"/>
    <mergeCell ref="W19:Z19"/>
    <mergeCell ref="AA19:AA20"/>
    <mergeCell ref="AB19:AE19"/>
    <mergeCell ref="AF19:AF20"/>
    <mergeCell ref="AP28:AP29"/>
    <mergeCell ref="M28:P28"/>
    <mergeCell ref="Q28:Q29"/>
    <mergeCell ref="R28:U28"/>
    <mergeCell ref="V28:V29"/>
    <mergeCell ref="B28:B29"/>
    <mergeCell ref="C28:C29"/>
    <mergeCell ref="D28:F28"/>
    <mergeCell ref="G28:G29"/>
    <mergeCell ref="H28:K28"/>
    <mergeCell ref="W28:Z28"/>
    <mergeCell ref="AA28:AA29"/>
    <mergeCell ref="AB28:AE28"/>
    <mergeCell ref="AF28:AF29"/>
    <mergeCell ref="AG28:AJ28"/>
    <mergeCell ref="AK28:AK29"/>
    <mergeCell ref="AL28:AO28"/>
    <mergeCell ref="BF28:BI28"/>
    <mergeCell ref="BJ28:BJ29"/>
    <mergeCell ref="AQ28:AT28"/>
    <mergeCell ref="AU28:AU29"/>
    <mergeCell ref="AV28:AY28"/>
    <mergeCell ref="AZ28:AZ29"/>
    <mergeCell ref="BA28:BD28"/>
    <mergeCell ref="BE28:BE29"/>
    <mergeCell ref="BP2:BS2"/>
    <mergeCell ref="BT2:BT3"/>
    <mergeCell ref="BP19:BS19"/>
    <mergeCell ref="BT19:BT20"/>
    <mergeCell ref="BP28:BS28"/>
    <mergeCell ref="BT28:BT29"/>
  </mergeCells>
  <pageMargins left="0.7" right="0.7" top="0.75" bottom="0.75" header="0.3" footer="0.3"/>
  <pageSetup paperSize="9" orientation="portrait"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O717"/>
  <sheetViews>
    <sheetView showGridLines="0" zoomScale="85" zoomScaleNormal="85" zoomScaleSheetLayoutView="100" workbookViewId="0">
      <pane xSplit="2" topLeftCell="N1" activePane="topRight" state="frozen"/>
      <selection pane="topRight" activeCell="J25" sqref="J25"/>
    </sheetView>
  </sheetViews>
  <sheetFormatPr defaultColWidth="9" defaultRowHeight="14.5"/>
  <cols>
    <col min="1" max="1" width="40" style="144" customWidth="1"/>
    <col min="2" max="2" width="34.33203125" style="144" customWidth="1"/>
    <col min="3" max="3" width="9.1640625" style="143" bestFit="1" customWidth="1"/>
    <col min="4" max="7" width="9" style="143"/>
    <col min="8" max="8" width="9.1640625" style="143" bestFit="1" customWidth="1"/>
    <col min="9" max="10" width="9" style="143"/>
    <col min="11" max="11" width="9.6640625" style="143" bestFit="1" customWidth="1"/>
    <col min="12" max="431" width="9" style="143"/>
    <col min="432" max="16384" width="9" style="144"/>
  </cols>
  <sheetData>
    <row r="1" spans="1:431" ht="89.25" customHeight="1">
      <c r="A1" s="2"/>
      <c r="B1" s="3"/>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782"/>
      <c r="AS1" s="782"/>
      <c r="AT1" s="782"/>
      <c r="AU1" s="782"/>
      <c r="AV1" s="782"/>
      <c r="AW1" s="782"/>
      <c r="AX1" s="782"/>
      <c r="AY1" s="782"/>
      <c r="AZ1" s="782"/>
      <c r="BA1" s="782"/>
      <c r="BB1" s="782"/>
      <c r="BC1" s="782"/>
      <c r="BD1" s="782"/>
      <c r="BE1" s="782"/>
      <c r="BF1" s="782"/>
      <c r="BG1" s="782"/>
      <c r="BH1" s="782"/>
      <c r="BI1" s="782"/>
      <c r="BJ1" s="782"/>
      <c r="BK1" s="782"/>
      <c r="BL1" s="782"/>
      <c r="BM1" s="782"/>
      <c r="BN1" s="782"/>
      <c r="BO1" s="782"/>
      <c r="BP1" s="782"/>
      <c r="BQ1" s="782"/>
      <c r="BR1" s="782"/>
      <c r="BS1" s="782"/>
      <c r="BT1" s="782"/>
      <c r="BU1" s="782"/>
      <c r="BV1" s="782"/>
      <c r="BW1" s="782"/>
      <c r="BX1" s="782"/>
      <c r="BY1" s="782"/>
      <c r="BZ1" s="782"/>
      <c r="CA1" s="782"/>
      <c r="CB1" s="782"/>
      <c r="CC1" s="782"/>
      <c r="CD1" s="782"/>
      <c r="CE1" s="782"/>
      <c r="CF1" s="782"/>
      <c r="CG1" s="782"/>
      <c r="CH1" s="782"/>
      <c r="CI1" s="782"/>
      <c r="CJ1" s="782"/>
      <c r="CK1" s="782"/>
      <c r="CL1" s="782"/>
      <c r="CM1" s="782"/>
      <c r="CN1" s="782"/>
      <c r="CO1" s="782"/>
      <c r="CP1" s="782"/>
      <c r="CQ1" s="782"/>
      <c r="CR1" s="782"/>
      <c r="CS1" s="782"/>
      <c r="CT1" s="782"/>
      <c r="CU1" s="782"/>
      <c r="CV1" s="782"/>
      <c r="CW1" s="782"/>
      <c r="CX1" s="782"/>
      <c r="CY1" s="782"/>
      <c r="CZ1" s="782"/>
      <c r="DA1" s="782"/>
      <c r="DB1" s="782"/>
      <c r="DC1" s="782"/>
      <c r="DD1" s="782"/>
      <c r="DE1" s="782"/>
      <c r="DF1" s="782"/>
      <c r="DG1" s="782"/>
      <c r="DH1" s="782"/>
      <c r="DI1" s="782"/>
      <c r="DJ1" s="782"/>
      <c r="DK1" s="782"/>
      <c r="DL1" s="782"/>
      <c r="DM1" s="782"/>
      <c r="DN1" s="782"/>
      <c r="DO1" s="782"/>
      <c r="DP1" s="782"/>
      <c r="DQ1" s="782"/>
      <c r="DR1" s="782"/>
      <c r="DS1" s="782"/>
      <c r="DT1" s="782"/>
      <c r="DU1" s="782"/>
      <c r="DV1" s="782"/>
      <c r="DW1" s="782"/>
      <c r="DX1" s="782"/>
      <c r="DY1" s="782"/>
      <c r="DZ1" s="782"/>
      <c r="EA1" s="782"/>
      <c r="EB1" s="782"/>
      <c r="EC1" s="782"/>
      <c r="ED1" s="782"/>
      <c r="EE1" s="782"/>
      <c r="EF1" s="782"/>
      <c r="EG1" s="782"/>
      <c r="EH1" s="782"/>
      <c r="EI1" s="782"/>
      <c r="EJ1" s="782"/>
      <c r="EK1" s="782"/>
      <c r="EL1" s="782"/>
      <c r="EM1" s="782"/>
      <c r="EN1" s="782"/>
      <c r="EO1" s="782"/>
      <c r="EP1" s="782"/>
      <c r="EQ1" s="782"/>
      <c r="ER1" s="782"/>
      <c r="ES1" s="782"/>
      <c r="ET1" s="782"/>
      <c r="EU1" s="782"/>
      <c r="EV1" s="782"/>
      <c r="EW1" s="782"/>
      <c r="EX1" s="782"/>
      <c r="EY1" s="782"/>
      <c r="EZ1" s="782"/>
      <c r="FA1" s="782"/>
      <c r="FB1" s="782"/>
      <c r="FC1" s="782"/>
      <c r="FD1" s="782"/>
      <c r="FE1" s="782"/>
      <c r="FF1" s="782"/>
      <c r="FG1" s="782"/>
      <c r="FH1" s="782"/>
      <c r="FI1" s="782"/>
      <c r="FJ1" s="782"/>
      <c r="FK1" s="782"/>
      <c r="FL1" s="782"/>
      <c r="FM1" s="782"/>
      <c r="FN1" s="782"/>
      <c r="FO1" s="782"/>
      <c r="FP1" s="782"/>
      <c r="FQ1" s="782"/>
      <c r="FR1" s="782"/>
      <c r="FS1" s="782"/>
      <c r="FT1" s="782"/>
      <c r="FU1" s="782"/>
      <c r="FV1" s="782"/>
      <c r="FW1" s="782"/>
      <c r="FX1" s="782"/>
      <c r="FY1" s="782"/>
      <c r="FZ1" s="782"/>
      <c r="GA1" s="782"/>
      <c r="GB1" s="782"/>
      <c r="GC1" s="782"/>
      <c r="GD1" s="782"/>
      <c r="GE1" s="782"/>
      <c r="GF1" s="782"/>
      <c r="GG1" s="782"/>
      <c r="GH1" s="782"/>
      <c r="GI1" s="782"/>
      <c r="GJ1" s="782"/>
      <c r="GK1" s="782"/>
      <c r="GL1" s="782"/>
      <c r="GM1" s="782"/>
      <c r="GN1" s="782"/>
      <c r="GO1" s="782"/>
      <c r="GP1" s="782"/>
      <c r="GQ1" s="782"/>
      <c r="GR1" s="782"/>
      <c r="GS1" s="782"/>
      <c r="GT1" s="782"/>
      <c r="GU1" s="782"/>
      <c r="GV1" s="782"/>
      <c r="GW1" s="782"/>
      <c r="GX1" s="782"/>
      <c r="GY1" s="782"/>
      <c r="GZ1" s="782"/>
      <c r="HA1" s="782"/>
      <c r="HB1" s="782"/>
      <c r="HC1" s="782"/>
      <c r="HD1" s="782"/>
      <c r="HE1" s="782"/>
      <c r="HF1" s="782"/>
      <c r="HG1" s="782"/>
      <c r="HH1" s="782"/>
      <c r="HI1" s="782"/>
      <c r="HJ1" s="782"/>
      <c r="HK1" s="782"/>
      <c r="HL1" s="782"/>
      <c r="HM1" s="782"/>
      <c r="HN1" s="782"/>
      <c r="HO1" s="782"/>
      <c r="HP1" s="782"/>
      <c r="HQ1" s="782"/>
      <c r="HR1" s="782"/>
      <c r="HS1" s="782"/>
      <c r="HT1" s="782"/>
      <c r="HU1" s="782"/>
      <c r="HV1" s="782"/>
      <c r="HW1" s="782"/>
      <c r="HX1" s="782"/>
      <c r="HY1" s="782"/>
      <c r="HZ1" s="782"/>
      <c r="IA1" s="782"/>
      <c r="IB1" s="782"/>
      <c r="IC1" s="782"/>
      <c r="ID1" s="782"/>
      <c r="IE1" s="782"/>
      <c r="IF1" s="782"/>
      <c r="IG1" s="782"/>
      <c r="IH1" s="782"/>
      <c r="II1" s="782"/>
      <c r="IJ1" s="782"/>
      <c r="IK1" s="782"/>
      <c r="IL1" s="782"/>
      <c r="IM1" s="782"/>
      <c r="IN1" s="782"/>
      <c r="IO1" s="782"/>
      <c r="IP1" s="782"/>
      <c r="IQ1" s="782"/>
      <c r="IR1" s="782"/>
      <c r="IS1" s="782"/>
      <c r="IT1" s="782"/>
      <c r="IU1" s="782"/>
      <c r="IV1" s="782"/>
      <c r="IW1" s="782"/>
      <c r="IX1" s="782"/>
      <c r="IY1" s="782"/>
      <c r="IZ1" s="782"/>
      <c r="JA1" s="782"/>
      <c r="JB1" s="782"/>
      <c r="JC1" s="782"/>
      <c r="JD1" s="782"/>
      <c r="JE1" s="782"/>
      <c r="JF1" s="782"/>
      <c r="JG1" s="782"/>
      <c r="JH1" s="782"/>
      <c r="JI1" s="782"/>
      <c r="JJ1" s="782"/>
      <c r="JK1" s="782"/>
      <c r="JL1" s="782"/>
      <c r="JM1" s="782"/>
      <c r="JN1" s="782"/>
      <c r="JO1" s="782"/>
      <c r="JP1" s="782"/>
      <c r="JQ1" s="782"/>
      <c r="JR1" s="782"/>
      <c r="JS1" s="782"/>
      <c r="JT1" s="782"/>
      <c r="JU1" s="782"/>
      <c r="JV1" s="782"/>
      <c r="JW1" s="782"/>
      <c r="JX1" s="782"/>
      <c r="JY1" s="782"/>
      <c r="JZ1" s="782"/>
      <c r="KA1" s="782"/>
      <c r="KB1" s="782"/>
      <c r="KC1" s="782"/>
      <c r="KD1" s="782"/>
      <c r="KE1" s="782"/>
      <c r="KF1" s="782"/>
      <c r="KG1" s="782"/>
      <c r="KH1" s="782"/>
      <c r="KI1" s="782"/>
      <c r="KJ1" s="782"/>
      <c r="KK1" s="782"/>
      <c r="KL1" s="782"/>
      <c r="KM1" s="782"/>
      <c r="KN1" s="782"/>
      <c r="KO1" s="782"/>
      <c r="KP1" s="782"/>
      <c r="KQ1" s="782"/>
      <c r="KR1" s="782"/>
      <c r="KS1" s="782"/>
      <c r="KT1" s="782"/>
      <c r="KU1" s="782"/>
      <c r="KV1" s="782"/>
      <c r="KW1" s="782"/>
      <c r="KX1" s="782"/>
      <c r="KY1" s="782"/>
      <c r="KZ1" s="782"/>
      <c r="LA1" s="782"/>
      <c r="LB1" s="782"/>
      <c r="LC1" s="782"/>
      <c r="LD1" s="782"/>
      <c r="LE1" s="782"/>
      <c r="LF1" s="782"/>
      <c r="LG1" s="782"/>
      <c r="LH1" s="782"/>
      <c r="LI1" s="782"/>
      <c r="LJ1" s="782"/>
      <c r="LK1" s="782"/>
      <c r="LL1" s="782"/>
      <c r="LM1" s="782"/>
      <c r="LN1" s="782"/>
      <c r="LO1" s="782"/>
      <c r="LP1" s="782"/>
      <c r="LQ1" s="782"/>
      <c r="LR1" s="782"/>
      <c r="LS1" s="782"/>
      <c r="LT1" s="782"/>
      <c r="LU1" s="782"/>
      <c r="LV1" s="782"/>
      <c r="LW1" s="782"/>
      <c r="LX1" s="782"/>
      <c r="LY1" s="782"/>
      <c r="LZ1" s="782"/>
      <c r="MA1" s="782"/>
      <c r="MB1" s="782"/>
      <c r="MC1" s="782"/>
      <c r="MD1" s="782"/>
      <c r="ME1" s="782"/>
      <c r="MF1" s="782"/>
      <c r="MG1" s="782"/>
      <c r="MH1" s="782"/>
      <c r="MI1" s="782"/>
      <c r="MJ1" s="782"/>
      <c r="MK1" s="782"/>
      <c r="ML1" s="782"/>
      <c r="MM1" s="782"/>
      <c r="MN1" s="782"/>
      <c r="MO1" s="782"/>
      <c r="MP1" s="782"/>
      <c r="MQ1" s="782"/>
      <c r="MR1" s="782"/>
      <c r="MS1" s="782"/>
      <c r="MT1" s="782"/>
      <c r="MU1" s="782"/>
      <c r="MV1" s="782"/>
      <c r="MW1" s="782"/>
      <c r="MX1" s="782"/>
      <c r="MY1" s="782"/>
      <c r="MZ1" s="782"/>
      <c r="NA1" s="782"/>
      <c r="NB1" s="782"/>
      <c r="NC1" s="782"/>
      <c r="ND1" s="782"/>
      <c r="NE1" s="782"/>
      <c r="NF1" s="782"/>
      <c r="NG1" s="782"/>
      <c r="NH1" s="782"/>
      <c r="NI1" s="782"/>
      <c r="NJ1" s="782"/>
      <c r="NK1" s="782"/>
      <c r="NL1" s="782"/>
      <c r="NM1" s="782"/>
      <c r="NN1" s="782"/>
      <c r="NO1" s="782"/>
      <c r="NP1" s="782"/>
      <c r="NQ1" s="782"/>
      <c r="NR1" s="782"/>
      <c r="NS1" s="782"/>
      <c r="NT1" s="782"/>
      <c r="NU1" s="782"/>
      <c r="NV1" s="782"/>
      <c r="NW1" s="782"/>
      <c r="NX1" s="782"/>
      <c r="NY1" s="782"/>
      <c r="NZ1" s="782"/>
      <c r="OA1" s="782"/>
      <c r="OB1" s="782"/>
      <c r="OC1" s="782"/>
      <c r="OD1" s="782"/>
      <c r="OE1" s="782"/>
      <c r="OF1" s="782"/>
      <c r="OG1" s="782"/>
      <c r="OH1" s="782"/>
      <c r="OI1" s="782"/>
      <c r="OJ1" s="782"/>
      <c r="OK1" s="782"/>
      <c r="OL1" s="782"/>
      <c r="OM1" s="782"/>
      <c r="ON1" s="782"/>
      <c r="OO1" s="782"/>
      <c r="OP1" s="782"/>
      <c r="OQ1" s="782"/>
      <c r="OR1" s="782"/>
      <c r="OS1" s="782"/>
      <c r="OT1" s="782"/>
      <c r="OU1" s="782"/>
      <c r="OV1" s="782"/>
      <c r="OW1" s="782"/>
      <c r="OX1" s="782"/>
      <c r="OY1" s="782"/>
      <c r="OZ1" s="782"/>
      <c r="PA1" s="782"/>
      <c r="PB1" s="782"/>
      <c r="PC1" s="782"/>
      <c r="PD1" s="782"/>
      <c r="PE1" s="782"/>
      <c r="PF1" s="782"/>
      <c r="PG1" s="782"/>
      <c r="PH1" s="782"/>
      <c r="PI1" s="782"/>
      <c r="PJ1" s="782"/>
      <c r="PK1" s="782"/>
      <c r="PL1" s="782"/>
      <c r="PM1" s="782"/>
      <c r="PN1" s="782"/>
      <c r="PO1" s="782"/>
    </row>
    <row r="2" spans="1:431" s="753" customFormat="1" ht="32.15" customHeight="1">
      <c r="A2" s="380"/>
      <c r="B2" s="380"/>
      <c r="C2" s="992">
        <v>2022</v>
      </c>
      <c r="D2" s="992"/>
      <c r="E2" s="992"/>
      <c r="F2" s="992"/>
      <c r="G2" s="992"/>
      <c r="H2" s="992">
        <v>2023</v>
      </c>
      <c r="I2" s="992"/>
      <c r="J2" s="992"/>
      <c r="K2" s="992"/>
      <c r="L2" s="992"/>
      <c r="M2" s="992">
        <v>2024</v>
      </c>
      <c r="N2" s="992"/>
      <c r="O2" s="992"/>
      <c r="P2" s="992"/>
      <c r="Q2" s="992"/>
      <c r="R2" s="992">
        <v>2025</v>
      </c>
      <c r="S2" s="992"/>
      <c r="T2" s="992"/>
      <c r="U2" s="992"/>
      <c r="V2" s="992"/>
    </row>
    <row r="3" spans="1:431" s="753" customFormat="1" ht="16.5" customHeight="1" thickBot="1">
      <c r="A3" s="487"/>
      <c r="B3" s="384"/>
      <c r="C3" s="389" t="s">
        <v>21</v>
      </c>
      <c r="D3" s="389" t="s">
        <v>22</v>
      </c>
      <c r="E3" s="390" t="s">
        <v>23</v>
      </c>
      <c r="F3" s="389" t="s">
        <v>24</v>
      </c>
      <c r="G3" s="389">
        <v>2022</v>
      </c>
      <c r="H3" s="389" t="s">
        <v>21</v>
      </c>
      <c r="I3" s="389" t="s">
        <v>22</v>
      </c>
      <c r="J3" s="390" t="s">
        <v>23</v>
      </c>
      <c r="K3" s="389" t="s">
        <v>24</v>
      </c>
      <c r="L3" s="389">
        <v>2023</v>
      </c>
      <c r="M3" s="389" t="s">
        <v>21</v>
      </c>
      <c r="N3" s="389" t="s">
        <v>22</v>
      </c>
      <c r="O3" s="390" t="s">
        <v>23</v>
      </c>
      <c r="P3" s="389" t="s">
        <v>24</v>
      </c>
      <c r="Q3" s="389">
        <v>2024</v>
      </c>
      <c r="R3" s="389" t="s">
        <v>21</v>
      </c>
      <c r="S3" s="389" t="s">
        <v>22</v>
      </c>
      <c r="T3" s="390" t="s">
        <v>23</v>
      </c>
      <c r="U3" s="389" t="s">
        <v>24</v>
      </c>
      <c r="V3" s="389">
        <v>2024</v>
      </c>
    </row>
    <row r="4" spans="1:431" s="59" customFormat="1" ht="26.75" customHeight="1" thickBot="1">
      <c r="A4" s="490" t="s">
        <v>720</v>
      </c>
      <c r="B4" s="511" t="s">
        <v>721</v>
      </c>
      <c r="C4" s="752">
        <f t="shared" ref="C4:L4" si="0">SUM(C5:C7)</f>
        <v>82.8</v>
      </c>
      <c r="D4" s="752">
        <f t="shared" si="0"/>
        <v>109.6</v>
      </c>
      <c r="E4" s="752">
        <f t="shared" si="0"/>
        <v>135.9</v>
      </c>
      <c r="F4" s="752">
        <f t="shared" si="0"/>
        <v>176.6</v>
      </c>
      <c r="G4" s="503">
        <f t="shared" si="0"/>
        <v>504.9</v>
      </c>
      <c r="H4" s="752">
        <f t="shared" si="0"/>
        <v>149.30000000000001</v>
      </c>
      <c r="I4" s="752">
        <f t="shared" si="0"/>
        <v>145.1</v>
      </c>
      <c r="J4" s="392">
        <f t="shared" si="0"/>
        <v>191.3</v>
      </c>
      <c r="K4" s="392">
        <f t="shared" si="0"/>
        <v>179.3</v>
      </c>
      <c r="L4" s="723">
        <f t="shared" si="0"/>
        <v>665</v>
      </c>
      <c r="M4" s="752">
        <f>SUM(M5:M7)</f>
        <v>198.9</v>
      </c>
      <c r="N4" s="752">
        <f t="shared" ref="N4:P4" si="1">SUM(N5:N7)</f>
        <v>222</v>
      </c>
      <c r="O4" s="752">
        <f t="shared" si="1"/>
        <v>300.60000000000002</v>
      </c>
      <c r="P4" s="392">
        <f t="shared" si="1"/>
        <v>294.90000000000003</v>
      </c>
      <c r="Q4" s="723">
        <f t="shared" ref="Q4" si="2">SUM(Q5:Q7)</f>
        <v>1016.3999999999999</v>
      </c>
      <c r="R4" s="752">
        <f>SUM(R5:R7)</f>
        <v>278.29999999999995</v>
      </c>
      <c r="S4" s="752"/>
      <c r="T4" s="752"/>
      <c r="U4" s="392"/>
      <c r="V4" s="723">
        <f t="shared" ref="V4" si="3">SUM(V5:V7)</f>
        <v>278.29999999999995</v>
      </c>
      <c r="W4" s="11"/>
      <c r="X4" s="942"/>
      <c r="Y4" s="943"/>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row>
    <row r="5" spans="1:431" s="756" customFormat="1" ht="26.75" customHeight="1">
      <c r="A5" s="799" t="s">
        <v>722</v>
      </c>
      <c r="B5" s="800" t="s">
        <v>723</v>
      </c>
      <c r="C5" s="793">
        <v>69</v>
      </c>
      <c r="D5" s="754">
        <v>80.5</v>
      </c>
      <c r="E5" s="793">
        <v>108.9</v>
      </c>
      <c r="F5" s="754">
        <v>168.5</v>
      </c>
      <c r="G5" s="755">
        <f>SUM(C5:F5)</f>
        <v>426.9</v>
      </c>
      <c r="H5" s="793">
        <v>140</v>
      </c>
      <c r="I5" s="754">
        <v>117.8</v>
      </c>
      <c r="J5" s="793">
        <v>157.1</v>
      </c>
      <c r="K5" s="754">
        <v>150.1</v>
      </c>
      <c r="L5" s="755">
        <f>SUM(H5:K5)</f>
        <v>565</v>
      </c>
      <c r="M5" s="793">
        <v>135.1</v>
      </c>
      <c r="N5" s="754">
        <v>124.2</v>
      </c>
      <c r="O5" s="793">
        <v>187.7</v>
      </c>
      <c r="P5" s="754">
        <v>169.3</v>
      </c>
      <c r="Q5" s="755">
        <f>SUM(M5:P5)</f>
        <v>616.29999999999995</v>
      </c>
      <c r="R5" s="793">
        <v>157.19999999999999</v>
      </c>
      <c r="S5" s="754"/>
      <c r="T5" s="793"/>
      <c r="U5" s="754"/>
      <c r="V5" s="755">
        <f>SUM(R5:U5)</f>
        <v>157.19999999999999</v>
      </c>
      <c r="W5" s="789"/>
      <c r="X5" s="942"/>
      <c r="Y5" s="943"/>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789"/>
      <c r="CG5" s="789"/>
      <c r="CH5" s="789"/>
      <c r="CI5" s="789"/>
      <c r="CJ5" s="789"/>
      <c r="CK5" s="789"/>
      <c r="CL5" s="789"/>
      <c r="CM5" s="789"/>
      <c r="CN5" s="789"/>
      <c r="CO5" s="789"/>
      <c r="CP5" s="789"/>
      <c r="CQ5" s="789"/>
      <c r="CR5" s="789"/>
      <c r="CS5" s="789"/>
      <c r="CT5" s="789"/>
      <c r="CU5" s="789"/>
      <c r="CV5" s="789"/>
      <c r="CW5" s="789"/>
      <c r="CX5" s="789"/>
      <c r="CY5" s="789"/>
      <c r="CZ5" s="789"/>
      <c r="DA5" s="789"/>
      <c r="DB5" s="789"/>
      <c r="DC5" s="789"/>
      <c r="DD5" s="789"/>
      <c r="DE5" s="789"/>
      <c r="DF5" s="789"/>
      <c r="DG5" s="789"/>
      <c r="DH5" s="789"/>
      <c r="DI5" s="789"/>
      <c r="DJ5" s="789"/>
      <c r="DK5" s="789"/>
      <c r="DL5" s="789"/>
      <c r="DM5" s="789"/>
      <c r="DN5" s="789"/>
      <c r="DO5" s="789"/>
      <c r="DP5" s="789"/>
      <c r="DQ5" s="789"/>
      <c r="DR5" s="789"/>
      <c r="DS5" s="789"/>
      <c r="DT5" s="789"/>
      <c r="DU5" s="789"/>
      <c r="DV5" s="789"/>
      <c r="DW5" s="789"/>
      <c r="DX5" s="789"/>
      <c r="DY5" s="789"/>
      <c r="DZ5" s="789"/>
      <c r="EA5" s="789"/>
      <c r="EB5" s="789"/>
      <c r="EC5" s="789"/>
      <c r="ED5" s="789"/>
      <c r="EE5" s="789"/>
      <c r="EF5" s="789"/>
      <c r="EG5" s="789"/>
      <c r="EH5" s="789"/>
      <c r="EI5" s="789"/>
      <c r="EJ5" s="789"/>
      <c r="EK5" s="789"/>
      <c r="EL5" s="789"/>
      <c r="EM5" s="789"/>
      <c r="EN5" s="789"/>
      <c r="EO5" s="789"/>
      <c r="EP5" s="789"/>
      <c r="EQ5" s="789"/>
      <c r="ER5" s="789"/>
      <c r="ES5" s="789"/>
      <c r="ET5" s="789"/>
      <c r="EU5" s="789"/>
      <c r="EV5" s="789"/>
      <c r="EW5" s="789"/>
      <c r="EX5" s="789"/>
      <c r="EY5" s="789"/>
      <c r="EZ5" s="789"/>
      <c r="FA5" s="789"/>
      <c r="FB5" s="789"/>
      <c r="FC5" s="789"/>
      <c r="FD5" s="789"/>
      <c r="FE5" s="789"/>
      <c r="FF5" s="789"/>
      <c r="FG5" s="789"/>
      <c r="FH5" s="789"/>
      <c r="FI5" s="789"/>
      <c r="FJ5" s="789"/>
      <c r="FK5" s="789"/>
      <c r="FL5" s="789"/>
      <c r="FM5" s="789"/>
      <c r="FN5" s="789"/>
      <c r="FO5" s="789"/>
      <c r="FP5" s="789"/>
      <c r="FQ5" s="789"/>
      <c r="FR5" s="789"/>
      <c r="FS5" s="789"/>
      <c r="FT5" s="789"/>
      <c r="FU5" s="789"/>
      <c r="FV5" s="789"/>
      <c r="FW5" s="789"/>
      <c r="FX5" s="789"/>
      <c r="FY5" s="789"/>
      <c r="FZ5" s="789"/>
      <c r="GA5" s="789"/>
      <c r="GB5" s="789"/>
      <c r="GC5" s="789"/>
      <c r="GD5" s="789"/>
      <c r="GE5" s="789"/>
      <c r="GF5" s="789"/>
      <c r="GG5" s="789"/>
      <c r="GH5" s="789"/>
      <c r="GI5" s="789"/>
      <c r="GJ5" s="789"/>
      <c r="GK5" s="789"/>
      <c r="GL5" s="789"/>
      <c r="GM5" s="789"/>
      <c r="GN5" s="789"/>
      <c r="GO5" s="789"/>
      <c r="GP5" s="789"/>
      <c r="GQ5" s="789"/>
      <c r="GR5" s="789"/>
      <c r="GS5" s="789"/>
      <c r="GT5" s="789"/>
      <c r="GU5" s="789"/>
      <c r="GV5" s="789"/>
      <c r="GW5" s="789"/>
      <c r="GX5" s="789"/>
      <c r="GY5" s="789"/>
      <c r="GZ5" s="789"/>
      <c r="HA5" s="789"/>
      <c r="HB5" s="789"/>
      <c r="HC5" s="789"/>
      <c r="HD5" s="789"/>
      <c r="HE5" s="789"/>
      <c r="HF5" s="789"/>
      <c r="HG5" s="789"/>
      <c r="HH5" s="789"/>
      <c r="HI5" s="789"/>
      <c r="HJ5" s="789"/>
      <c r="HK5" s="789"/>
      <c r="HL5" s="789"/>
      <c r="HM5" s="789"/>
      <c r="HN5" s="789"/>
      <c r="HO5" s="789"/>
      <c r="HP5" s="789"/>
      <c r="HQ5" s="789"/>
      <c r="HR5" s="789"/>
      <c r="HS5" s="789"/>
      <c r="HT5" s="789"/>
      <c r="HU5" s="789"/>
      <c r="HV5" s="789"/>
      <c r="HW5" s="789"/>
      <c r="HX5" s="789"/>
      <c r="HY5" s="789"/>
      <c r="HZ5" s="789"/>
      <c r="IA5" s="789"/>
      <c r="IB5" s="789"/>
      <c r="IC5" s="789"/>
      <c r="ID5" s="789"/>
      <c r="IE5" s="789"/>
      <c r="IF5" s="789"/>
      <c r="IG5" s="789"/>
      <c r="IH5" s="789"/>
      <c r="II5" s="789"/>
      <c r="IJ5" s="789"/>
      <c r="IK5" s="789"/>
      <c r="IL5" s="789"/>
      <c r="IM5" s="789"/>
      <c r="IN5" s="789"/>
      <c r="IO5" s="789"/>
      <c r="IP5" s="789"/>
      <c r="IQ5" s="789"/>
      <c r="IR5" s="789"/>
      <c r="IS5" s="789"/>
      <c r="IT5" s="789"/>
      <c r="IU5" s="789"/>
      <c r="IV5" s="789"/>
      <c r="IW5" s="789"/>
      <c r="IX5" s="789"/>
      <c r="IY5" s="789"/>
      <c r="IZ5" s="789"/>
      <c r="JA5" s="789"/>
      <c r="JB5" s="789"/>
      <c r="JC5" s="789"/>
      <c r="JD5" s="789"/>
      <c r="JE5" s="789"/>
      <c r="JF5" s="789"/>
      <c r="JG5" s="789"/>
      <c r="JH5" s="789"/>
      <c r="JI5" s="789"/>
      <c r="JJ5" s="789"/>
      <c r="JK5" s="789"/>
      <c r="JL5" s="789"/>
      <c r="JM5" s="789"/>
      <c r="JN5" s="789"/>
      <c r="JO5" s="789"/>
      <c r="JP5" s="789"/>
      <c r="JQ5" s="789"/>
      <c r="JR5" s="789"/>
      <c r="JS5" s="789"/>
      <c r="JT5" s="789"/>
      <c r="JU5" s="789"/>
      <c r="JV5" s="789"/>
      <c r="JW5" s="789"/>
      <c r="JX5" s="789"/>
      <c r="JY5" s="789"/>
      <c r="JZ5" s="789"/>
      <c r="KA5" s="789"/>
      <c r="KB5" s="789"/>
      <c r="KC5" s="789"/>
      <c r="KD5" s="789"/>
      <c r="KE5" s="789"/>
      <c r="KF5" s="789"/>
      <c r="KG5" s="789"/>
      <c r="KH5" s="789"/>
      <c r="KI5" s="789"/>
      <c r="KJ5" s="789"/>
      <c r="KK5" s="789"/>
      <c r="KL5" s="789"/>
      <c r="KM5" s="789"/>
      <c r="KN5" s="789"/>
      <c r="KO5" s="789"/>
      <c r="KP5" s="789"/>
      <c r="KQ5" s="789"/>
      <c r="KR5" s="789"/>
      <c r="KS5" s="789"/>
      <c r="KT5" s="789"/>
      <c r="KU5" s="789"/>
      <c r="KV5" s="789"/>
      <c r="KW5" s="789"/>
      <c r="KX5" s="789"/>
      <c r="KY5" s="789"/>
      <c r="KZ5" s="789"/>
      <c r="LA5" s="789"/>
      <c r="LB5" s="789"/>
      <c r="LC5" s="789"/>
      <c r="LD5" s="789"/>
      <c r="LE5" s="789"/>
      <c r="LF5" s="789"/>
      <c r="LG5" s="789"/>
      <c r="LH5" s="789"/>
      <c r="LI5" s="789"/>
      <c r="LJ5" s="789"/>
      <c r="LK5" s="789"/>
      <c r="LL5" s="789"/>
      <c r="LM5" s="789"/>
      <c r="LN5" s="789"/>
      <c r="LO5" s="789"/>
      <c r="LP5" s="789"/>
      <c r="LQ5" s="789"/>
      <c r="LR5" s="789"/>
      <c r="LS5" s="789"/>
      <c r="LT5" s="789"/>
      <c r="LU5" s="789"/>
      <c r="LV5" s="789"/>
      <c r="LW5" s="789"/>
      <c r="LX5" s="789"/>
      <c r="LY5" s="789"/>
      <c r="LZ5" s="789"/>
      <c r="MA5" s="789"/>
      <c r="MB5" s="789"/>
      <c r="MC5" s="789"/>
      <c r="MD5" s="789"/>
      <c r="ME5" s="789"/>
      <c r="MF5" s="789"/>
      <c r="MG5" s="789"/>
      <c r="MH5" s="789"/>
      <c r="MI5" s="789"/>
      <c r="MJ5" s="789"/>
      <c r="MK5" s="789"/>
      <c r="ML5" s="789"/>
      <c r="MM5" s="789"/>
      <c r="MN5" s="789"/>
      <c r="MO5" s="789"/>
      <c r="MP5" s="789"/>
      <c r="MQ5" s="789"/>
      <c r="MR5" s="789"/>
      <c r="MS5" s="789"/>
      <c r="MT5" s="789"/>
      <c r="MU5" s="789"/>
      <c r="MV5" s="789"/>
      <c r="MW5" s="789"/>
      <c r="MX5" s="789"/>
      <c r="MY5" s="789"/>
      <c r="MZ5" s="789"/>
      <c r="NA5" s="789"/>
      <c r="NB5" s="789"/>
      <c r="NC5" s="789"/>
      <c r="ND5" s="789"/>
      <c r="NE5" s="789"/>
      <c r="NF5" s="789"/>
      <c r="NG5" s="789"/>
      <c r="NH5" s="789"/>
      <c r="NI5" s="789"/>
      <c r="NJ5" s="789"/>
      <c r="NK5" s="789"/>
      <c r="NL5" s="789"/>
      <c r="NM5" s="789"/>
      <c r="NN5" s="789"/>
      <c r="NO5" s="789"/>
      <c r="NP5" s="789"/>
      <c r="NQ5" s="789"/>
      <c r="NR5" s="789"/>
      <c r="NS5" s="789"/>
      <c r="NT5" s="789"/>
      <c r="NU5" s="789"/>
      <c r="NV5" s="789"/>
      <c r="NW5" s="789"/>
      <c r="NX5" s="789"/>
      <c r="NY5" s="789"/>
      <c r="NZ5" s="789"/>
      <c r="OA5" s="789"/>
      <c r="OB5" s="789"/>
      <c r="OC5" s="789"/>
      <c r="OD5" s="789"/>
      <c r="OE5" s="789"/>
      <c r="OF5" s="789"/>
      <c r="OG5" s="789"/>
      <c r="OH5" s="789"/>
      <c r="OI5" s="789"/>
      <c r="OJ5" s="789"/>
      <c r="OK5" s="789"/>
      <c r="OL5" s="789"/>
      <c r="OM5" s="789"/>
      <c r="ON5" s="789"/>
      <c r="OO5" s="789"/>
      <c r="OP5" s="789"/>
      <c r="OQ5" s="789"/>
      <c r="OR5" s="789"/>
      <c r="OS5" s="789"/>
      <c r="OT5" s="789"/>
      <c r="OU5" s="789"/>
      <c r="OV5" s="789"/>
      <c r="OW5" s="789"/>
      <c r="OX5" s="789"/>
      <c r="OY5" s="789"/>
      <c r="OZ5" s="789"/>
      <c r="PA5" s="789"/>
      <c r="PB5" s="789"/>
      <c r="PC5" s="789"/>
      <c r="PD5" s="789"/>
      <c r="PE5" s="789"/>
      <c r="PF5" s="789"/>
      <c r="PG5" s="789"/>
      <c r="PH5" s="789"/>
      <c r="PI5" s="789"/>
      <c r="PJ5" s="789"/>
      <c r="PK5" s="789"/>
      <c r="PL5" s="789"/>
      <c r="PM5" s="789"/>
      <c r="PN5" s="789"/>
      <c r="PO5" s="789"/>
    </row>
    <row r="6" spans="1:431" s="756" customFormat="1" ht="26.75" customHeight="1">
      <c r="A6" s="799" t="s">
        <v>724</v>
      </c>
      <c r="B6" s="800" t="s">
        <v>725</v>
      </c>
      <c r="C6" s="793">
        <v>13.8</v>
      </c>
      <c r="D6" s="754">
        <v>29.1</v>
      </c>
      <c r="E6" s="793">
        <v>27</v>
      </c>
      <c r="F6" s="754">
        <v>8.1</v>
      </c>
      <c r="G6" s="755">
        <f t="shared" ref="G6:G7" si="4">SUM(C6:F6)</f>
        <v>78</v>
      </c>
      <c r="H6" s="793">
        <v>9.3000000000000007</v>
      </c>
      <c r="I6" s="754">
        <v>27.3</v>
      </c>
      <c r="J6" s="793">
        <v>27.9</v>
      </c>
      <c r="K6" s="754">
        <v>7.8</v>
      </c>
      <c r="L6" s="755">
        <f t="shared" ref="L6:L7" si="5">SUM(H6:K6)</f>
        <v>72.3</v>
      </c>
      <c r="M6" s="793">
        <v>11.9</v>
      </c>
      <c r="N6" s="754">
        <v>33.299999999999997</v>
      </c>
      <c r="O6" s="793">
        <v>31.8</v>
      </c>
      <c r="P6" s="754">
        <v>9.4</v>
      </c>
      <c r="Q6" s="755">
        <f t="shared" ref="Q6:Q7" si="6">SUM(M6:P6)</f>
        <v>86.4</v>
      </c>
      <c r="R6" s="793">
        <v>15.7</v>
      </c>
      <c r="S6" s="754"/>
      <c r="T6" s="793"/>
      <c r="U6" s="754"/>
      <c r="V6" s="755">
        <f t="shared" ref="V6:V7" si="7">SUM(R6:U6)</f>
        <v>15.7</v>
      </c>
      <c r="W6" s="789"/>
      <c r="X6" s="942"/>
      <c r="Y6" s="943"/>
      <c r="Z6" s="789"/>
      <c r="AA6" s="789"/>
      <c r="AB6" s="789"/>
      <c r="AC6" s="789"/>
      <c r="AD6" s="789"/>
      <c r="AE6" s="789"/>
      <c r="AF6" s="789"/>
      <c r="AG6" s="789"/>
      <c r="AH6" s="789"/>
      <c r="AI6" s="789"/>
      <c r="AJ6" s="789"/>
      <c r="AK6" s="789"/>
      <c r="AL6" s="789"/>
      <c r="AM6" s="789"/>
      <c r="AN6" s="789"/>
      <c r="AO6" s="789"/>
      <c r="AP6" s="789"/>
      <c r="AQ6" s="789"/>
      <c r="AR6" s="789"/>
      <c r="AS6" s="789"/>
      <c r="AT6" s="789"/>
      <c r="AU6" s="789"/>
      <c r="AV6" s="789"/>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789"/>
      <c r="CG6" s="789"/>
      <c r="CH6" s="789"/>
      <c r="CI6" s="789"/>
      <c r="CJ6" s="789"/>
      <c r="CK6" s="789"/>
      <c r="CL6" s="789"/>
      <c r="CM6" s="789"/>
      <c r="CN6" s="789"/>
      <c r="CO6" s="789"/>
      <c r="CP6" s="789"/>
      <c r="CQ6" s="789"/>
      <c r="CR6" s="789"/>
      <c r="CS6" s="789"/>
      <c r="CT6" s="789"/>
      <c r="CU6" s="789"/>
      <c r="CV6" s="789"/>
      <c r="CW6" s="789"/>
      <c r="CX6" s="789"/>
      <c r="CY6" s="789"/>
      <c r="CZ6" s="789"/>
      <c r="DA6" s="789"/>
      <c r="DB6" s="789"/>
      <c r="DC6" s="789"/>
      <c r="DD6" s="789"/>
      <c r="DE6" s="789"/>
      <c r="DF6" s="789"/>
      <c r="DG6" s="789"/>
      <c r="DH6" s="789"/>
      <c r="DI6" s="789"/>
      <c r="DJ6" s="789"/>
      <c r="DK6" s="789"/>
      <c r="DL6" s="789"/>
      <c r="DM6" s="789"/>
      <c r="DN6" s="789"/>
      <c r="DO6" s="789"/>
      <c r="DP6" s="789"/>
      <c r="DQ6" s="789"/>
      <c r="DR6" s="789"/>
      <c r="DS6" s="789"/>
      <c r="DT6" s="789"/>
      <c r="DU6" s="789"/>
      <c r="DV6" s="789"/>
      <c r="DW6" s="789"/>
      <c r="DX6" s="789"/>
      <c r="DY6" s="789"/>
      <c r="DZ6" s="789"/>
      <c r="EA6" s="789"/>
      <c r="EB6" s="789"/>
      <c r="EC6" s="789"/>
      <c r="ED6" s="789"/>
      <c r="EE6" s="789"/>
      <c r="EF6" s="789"/>
      <c r="EG6" s="789"/>
      <c r="EH6" s="789"/>
      <c r="EI6" s="789"/>
      <c r="EJ6" s="789"/>
      <c r="EK6" s="789"/>
      <c r="EL6" s="789"/>
      <c r="EM6" s="789"/>
      <c r="EN6" s="789"/>
      <c r="EO6" s="789"/>
      <c r="EP6" s="789"/>
      <c r="EQ6" s="789"/>
      <c r="ER6" s="789"/>
      <c r="ES6" s="789"/>
      <c r="ET6" s="789"/>
      <c r="EU6" s="789"/>
      <c r="EV6" s="789"/>
      <c r="EW6" s="789"/>
      <c r="EX6" s="789"/>
      <c r="EY6" s="789"/>
      <c r="EZ6" s="789"/>
      <c r="FA6" s="789"/>
      <c r="FB6" s="789"/>
      <c r="FC6" s="789"/>
      <c r="FD6" s="789"/>
      <c r="FE6" s="789"/>
      <c r="FF6" s="789"/>
      <c r="FG6" s="789"/>
      <c r="FH6" s="789"/>
      <c r="FI6" s="789"/>
      <c r="FJ6" s="789"/>
      <c r="FK6" s="789"/>
      <c r="FL6" s="789"/>
      <c r="FM6" s="789"/>
      <c r="FN6" s="789"/>
      <c r="FO6" s="789"/>
      <c r="FP6" s="789"/>
      <c r="FQ6" s="789"/>
      <c r="FR6" s="789"/>
      <c r="FS6" s="789"/>
      <c r="FT6" s="789"/>
      <c r="FU6" s="789"/>
      <c r="FV6" s="789"/>
      <c r="FW6" s="789"/>
      <c r="FX6" s="789"/>
      <c r="FY6" s="789"/>
      <c r="FZ6" s="789"/>
      <c r="GA6" s="789"/>
      <c r="GB6" s="789"/>
      <c r="GC6" s="789"/>
      <c r="GD6" s="789"/>
      <c r="GE6" s="789"/>
      <c r="GF6" s="789"/>
      <c r="GG6" s="789"/>
      <c r="GH6" s="789"/>
      <c r="GI6" s="789"/>
      <c r="GJ6" s="789"/>
      <c r="GK6" s="789"/>
      <c r="GL6" s="789"/>
      <c r="GM6" s="789"/>
      <c r="GN6" s="789"/>
      <c r="GO6" s="789"/>
      <c r="GP6" s="789"/>
      <c r="GQ6" s="789"/>
      <c r="GR6" s="789"/>
      <c r="GS6" s="789"/>
      <c r="GT6" s="789"/>
      <c r="GU6" s="789"/>
      <c r="GV6" s="789"/>
      <c r="GW6" s="789"/>
      <c r="GX6" s="789"/>
      <c r="GY6" s="789"/>
      <c r="GZ6" s="789"/>
      <c r="HA6" s="789"/>
      <c r="HB6" s="789"/>
      <c r="HC6" s="789"/>
      <c r="HD6" s="789"/>
      <c r="HE6" s="789"/>
      <c r="HF6" s="789"/>
      <c r="HG6" s="789"/>
      <c r="HH6" s="789"/>
      <c r="HI6" s="789"/>
      <c r="HJ6" s="789"/>
      <c r="HK6" s="789"/>
      <c r="HL6" s="789"/>
      <c r="HM6" s="789"/>
      <c r="HN6" s="789"/>
      <c r="HO6" s="789"/>
      <c r="HP6" s="789"/>
      <c r="HQ6" s="789"/>
      <c r="HR6" s="789"/>
      <c r="HS6" s="789"/>
      <c r="HT6" s="789"/>
      <c r="HU6" s="789"/>
      <c r="HV6" s="789"/>
      <c r="HW6" s="789"/>
      <c r="HX6" s="789"/>
      <c r="HY6" s="789"/>
      <c r="HZ6" s="789"/>
      <c r="IA6" s="789"/>
      <c r="IB6" s="789"/>
      <c r="IC6" s="789"/>
      <c r="ID6" s="789"/>
      <c r="IE6" s="789"/>
      <c r="IF6" s="789"/>
      <c r="IG6" s="789"/>
      <c r="IH6" s="789"/>
      <c r="II6" s="789"/>
      <c r="IJ6" s="789"/>
      <c r="IK6" s="789"/>
      <c r="IL6" s="789"/>
      <c r="IM6" s="789"/>
      <c r="IN6" s="789"/>
      <c r="IO6" s="789"/>
      <c r="IP6" s="789"/>
      <c r="IQ6" s="789"/>
      <c r="IR6" s="789"/>
      <c r="IS6" s="789"/>
      <c r="IT6" s="789"/>
      <c r="IU6" s="789"/>
      <c r="IV6" s="789"/>
      <c r="IW6" s="789"/>
      <c r="IX6" s="789"/>
      <c r="IY6" s="789"/>
      <c r="IZ6" s="789"/>
      <c r="JA6" s="789"/>
      <c r="JB6" s="789"/>
      <c r="JC6" s="789"/>
      <c r="JD6" s="789"/>
      <c r="JE6" s="789"/>
      <c r="JF6" s="789"/>
      <c r="JG6" s="789"/>
      <c r="JH6" s="789"/>
      <c r="JI6" s="789"/>
      <c r="JJ6" s="789"/>
      <c r="JK6" s="789"/>
      <c r="JL6" s="789"/>
      <c r="JM6" s="789"/>
      <c r="JN6" s="789"/>
      <c r="JO6" s="789"/>
      <c r="JP6" s="789"/>
      <c r="JQ6" s="789"/>
      <c r="JR6" s="789"/>
      <c r="JS6" s="789"/>
      <c r="JT6" s="789"/>
      <c r="JU6" s="789"/>
      <c r="JV6" s="789"/>
      <c r="JW6" s="789"/>
      <c r="JX6" s="789"/>
      <c r="JY6" s="789"/>
      <c r="JZ6" s="789"/>
      <c r="KA6" s="789"/>
      <c r="KB6" s="789"/>
      <c r="KC6" s="789"/>
      <c r="KD6" s="789"/>
      <c r="KE6" s="789"/>
      <c r="KF6" s="789"/>
      <c r="KG6" s="789"/>
      <c r="KH6" s="789"/>
      <c r="KI6" s="789"/>
      <c r="KJ6" s="789"/>
      <c r="KK6" s="789"/>
      <c r="KL6" s="789"/>
      <c r="KM6" s="789"/>
      <c r="KN6" s="789"/>
      <c r="KO6" s="789"/>
      <c r="KP6" s="789"/>
      <c r="KQ6" s="789"/>
      <c r="KR6" s="789"/>
      <c r="KS6" s="789"/>
      <c r="KT6" s="789"/>
      <c r="KU6" s="789"/>
      <c r="KV6" s="789"/>
      <c r="KW6" s="789"/>
      <c r="KX6" s="789"/>
      <c r="KY6" s="789"/>
      <c r="KZ6" s="789"/>
      <c r="LA6" s="789"/>
      <c r="LB6" s="789"/>
      <c r="LC6" s="789"/>
      <c r="LD6" s="789"/>
      <c r="LE6" s="789"/>
      <c r="LF6" s="789"/>
      <c r="LG6" s="789"/>
      <c r="LH6" s="789"/>
      <c r="LI6" s="789"/>
      <c r="LJ6" s="789"/>
      <c r="LK6" s="789"/>
      <c r="LL6" s="789"/>
      <c r="LM6" s="789"/>
      <c r="LN6" s="789"/>
      <c r="LO6" s="789"/>
      <c r="LP6" s="789"/>
      <c r="LQ6" s="789"/>
      <c r="LR6" s="789"/>
      <c r="LS6" s="789"/>
      <c r="LT6" s="789"/>
      <c r="LU6" s="789"/>
      <c r="LV6" s="789"/>
      <c r="LW6" s="789"/>
      <c r="LX6" s="789"/>
      <c r="LY6" s="789"/>
      <c r="LZ6" s="789"/>
      <c r="MA6" s="789"/>
      <c r="MB6" s="789"/>
      <c r="MC6" s="789"/>
      <c r="MD6" s="789"/>
      <c r="ME6" s="789"/>
      <c r="MF6" s="789"/>
      <c r="MG6" s="789"/>
      <c r="MH6" s="789"/>
      <c r="MI6" s="789"/>
      <c r="MJ6" s="789"/>
      <c r="MK6" s="789"/>
      <c r="ML6" s="789"/>
      <c r="MM6" s="789"/>
      <c r="MN6" s="789"/>
      <c r="MO6" s="789"/>
      <c r="MP6" s="789"/>
      <c r="MQ6" s="789"/>
      <c r="MR6" s="789"/>
      <c r="MS6" s="789"/>
      <c r="MT6" s="789"/>
      <c r="MU6" s="789"/>
      <c r="MV6" s="789"/>
      <c r="MW6" s="789"/>
      <c r="MX6" s="789"/>
      <c r="MY6" s="789"/>
      <c r="MZ6" s="789"/>
      <c r="NA6" s="789"/>
      <c r="NB6" s="789"/>
      <c r="NC6" s="789"/>
      <c r="ND6" s="789"/>
      <c r="NE6" s="789"/>
      <c r="NF6" s="789"/>
      <c r="NG6" s="789"/>
      <c r="NH6" s="789"/>
      <c r="NI6" s="789"/>
      <c r="NJ6" s="789"/>
      <c r="NK6" s="789"/>
      <c r="NL6" s="789"/>
      <c r="NM6" s="789"/>
      <c r="NN6" s="789"/>
      <c r="NO6" s="789"/>
      <c r="NP6" s="789"/>
      <c r="NQ6" s="789"/>
      <c r="NR6" s="789"/>
      <c r="NS6" s="789"/>
      <c r="NT6" s="789"/>
      <c r="NU6" s="789"/>
      <c r="NV6" s="789"/>
      <c r="NW6" s="789"/>
      <c r="NX6" s="789"/>
      <c r="NY6" s="789"/>
      <c r="NZ6" s="789"/>
      <c r="OA6" s="789"/>
      <c r="OB6" s="789"/>
      <c r="OC6" s="789"/>
      <c r="OD6" s="789"/>
      <c r="OE6" s="789"/>
      <c r="OF6" s="789"/>
      <c r="OG6" s="789"/>
      <c r="OH6" s="789"/>
      <c r="OI6" s="789"/>
      <c r="OJ6" s="789"/>
      <c r="OK6" s="789"/>
      <c r="OL6" s="789"/>
      <c r="OM6" s="789"/>
      <c r="ON6" s="789"/>
      <c r="OO6" s="789"/>
      <c r="OP6" s="789"/>
      <c r="OQ6" s="789"/>
      <c r="OR6" s="789"/>
      <c r="OS6" s="789"/>
      <c r="OT6" s="789"/>
      <c r="OU6" s="789"/>
      <c r="OV6" s="789"/>
      <c r="OW6" s="789"/>
      <c r="OX6" s="789"/>
      <c r="OY6" s="789"/>
      <c r="OZ6" s="789"/>
      <c r="PA6" s="789"/>
      <c r="PB6" s="789"/>
      <c r="PC6" s="789"/>
      <c r="PD6" s="789"/>
      <c r="PE6" s="789"/>
      <c r="PF6" s="789"/>
      <c r="PG6" s="789"/>
      <c r="PH6" s="789"/>
      <c r="PI6" s="789"/>
      <c r="PJ6" s="789"/>
      <c r="PK6" s="789"/>
      <c r="PL6" s="789"/>
      <c r="PM6" s="789"/>
      <c r="PN6" s="789"/>
      <c r="PO6" s="789"/>
    </row>
    <row r="7" spans="1:431" s="939" customFormat="1" ht="26.75" customHeight="1" thickBot="1">
      <c r="A7" s="929" t="s">
        <v>726</v>
      </c>
      <c r="B7" s="930" t="s">
        <v>727</v>
      </c>
      <c r="C7" s="931" t="s">
        <v>197</v>
      </c>
      <c r="D7" s="932" t="s">
        <v>197</v>
      </c>
      <c r="E7" s="931" t="s">
        <v>197</v>
      </c>
      <c r="F7" s="932" t="s">
        <v>197</v>
      </c>
      <c r="G7" s="933">
        <f t="shared" si="4"/>
        <v>0</v>
      </c>
      <c r="H7" s="934">
        <v>0</v>
      </c>
      <c r="I7" s="934">
        <v>0</v>
      </c>
      <c r="J7" s="935">
        <v>6.3</v>
      </c>
      <c r="K7" s="936">
        <v>21.4</v>
      </c>
      <c r="L7" s="933">
        <f t="shared" si="5"/>
        <v>27.7</v>
      </c>
      <c r="M7" s="935">
        <v>51.9</v>
      </c>
      <c r="N7" s="935">
        <v>64.5</v>
      </c>
      <c r="O7" s="935">
        <v>81.099999999999994</v>
      </c>
      <c r="P7" s="937">
        <v>116.2</v>
      </c>
      <c r="Q7" s="933">
        <f t="shared" si="6"/>
        <v>313.7</v>
      </c>
      <c r="R7" s="935">
        <v>105.4</v>
      </c>
      <c r="S7" s="935"/>
      <c r="T7" s="935"/>
      <c r="U7" s="937"/>
      <c r="V7" s="933">
        <f t="shared" si="7"/>
        <v>105.4</v>
      </c>
      <c r="W7" s="938"/>
      <c r="X7" s="942"/>
      <c r="Y7" s="943"/>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c r="BA7" s="938"/>
      <c r="BB7" s="938"/>
      <c r="BC7" s="938"/>
      <c r="BD7" s="938"/>
      <c r="BE7" s="938"/>
      <c r="BF7" s="938"/>
      <c r="BG7" s="938"/>
      <c r="BH7" s="938"/>
      <c r="BI7" s="938"/>
      <c r="BJ7" s="938"/>
      <c r="BK7" s="938"/>
      <c r="BL7" s="938"/>
      <c r="BM7" s="938"/>
      <c r="BN7" s="938"/>
      <c r="BO7" s="938"/>
      <c r="BP7" s="938"/>
      <c r="BQ7" s="938"/>
      <c r="BR7" s="938"/>
      <c r="BS7" s="938"/>
      <c r="BT7" s="938"/>
      <c r="BU7" s="938"/>
      <c r="BV7" s="938"/>
      <c r="BW7" s="938"/>
      <c r="BX7" s="938"/>
      <c r="BY7" s="938"/>
      <c r="BZ7" s="938"/>
      <c r="CA7" s="938"/>
      <c r="CB7" s="938"/>
      <c r="CC7" s="938"/>
      <c r="CD7" s="938"/>
      <c r="CE7" s="938"/>
      <c r="CF7" s="938"/>
      <c r="CG7" s="938"/>
      <c r="CH7" s="938"/>
      <c r="CI7" s="938"/>
      <c r="CJ7" s="938"/>
      <c r="CK7" s="938"/>
      <c r="CL7" s="938"/>
      <c r="CM7" s="938"/>
      <c r="CN7" s="938"/>
      <c r="CO7" s="938"/>
      <c r="CP7" s="938"/>
      <c r="CQ7" s="938"/>
      <c r="CR7" s="938"/>
      <c r="CS7" s="938"/>
      <c r="CT7" s="938"/>
      <c r="CU7" s="938"/>
      <c r="CV7" s="938"/>
      <c r="CW7" s="938"/>
      <c r="CX7" s="938"/>
      <c r="CY7" s="938"/>
      <c r="CZ7" s="938"/>
      <c r="DA7" s="938"/>
      <c r="DB7" s="938"/>
      <c r="DC7" s="938"/>
      <c r="DD7" s="938"/>
      <c r="DE7" s="938"/>
      <c r="DF7" s="938"/>
      <c r="DG7" s="938"/>
      <c r="DH7" s="938"/>
      <c r="DI7" s="938"/>
      <c r="DJ7" s="938"/>
      <c r="DK7" s="938"/>
      <c r="DL7" s="938"/>
      <c r="DM7" s="938"/>
      <c r="DN7" s="938"/>
      <c r="DO7" s="938"/>
      <c r="DP7" s="938"/>
      <c r="DQ7" s="938"/>
      <c r="DR7" s="938"/>
      <c r="DS7" s="938"/>
      <c r="DT7" s="938"/>
      <c r="DU7" s="938"/>
      <c r="DV7" s="938"/>
      <c r="DW7" s="938"/>
      <c r="DX7" s="938"/>
      <c r="DY7" s="938"/>
      <c r="DZ7" s="938"/>
      <c r="EA7" s="938"/>
      <c r="EB7" s="938"/>
      <c r="EC7" s="938"/>
      <c r="ED7" s="938"/>
      <c r="EE7" s="938"/>
      <c r="EF7" s="938"/>
      <c r="EG7" s="938"/>
      <c r="EH7" s="938"/>
      <c r="EI7" s="938"/>
      <c r="EJ7" s="938"/>
      <c r="EK7" s="938"/>
      <c r="EL7" s="938"/>
      <c r="EM7" s="938"/>
      <c r="EN7" s="938"/>
      <c r="EO7" s="938"/>
      <c r="EP7" s="938"/>
      <c r="EQ7" s="938"/>
      <c r="ER7" s="938"/>
      <c r="ES7" s="938"/>
      <c r="ET7" s="938"/>
      <c r="EU7" s="938"/>
      <c r="EV7" s="938"/>
      <c r="EW7" s="938"/>
      <c r="EX7" s="938"/>
      <c r="EY7" s="938"/>
      <c r="EZ7" s="938"/>
      <c r="FA7" s="938"/>
      <c r="FB7" s="938"/>
      <c r="FC7" s="938"/>
      <c r="FD7" s="938"/>
      <c r="FE7" s="938"/>
      <c r="FF7" s="938"/>
      <c r="FG7" s="938"/>
      <c r="FH7" s="938"/>
      <c r="FI7" s="938"/>
      <c r="FJ7" s="938"/>
      <c r="FK7" s="938"/>
      <c r="FL7" s="938"/>
      <c r="FM7" s="938"/>
      <c r="FN7" s="938"/>
      <c r="FO7" s="938"/>
      <c r="FP7" s="938"/>
      <c r="FQ7" s="938"/>
      <c r="FR7" s="938"/>
      <c r="FS7" s="938"/>
      <c r="FT7" s="938"/>
      <c r="FU7" s="938"/>
      <c r="FV7" s="938"/>
      <c r="FW7" s="938"/>
      <c r="FX7" s="938"/>
      <c r="FY7" s="938"/>
      <c r="FZ7" s="938"/>
      <c r="GA7" s="938"/>
      <c r="GB7" s="938"/>
      <c r="GC7" s="938"/>
      <c r="GD7" s="938"/>
      <c r="GE7" s="938"/>
      <c r="GF7" s="938"/>
      <c r="GG7" s="938"/>
      <c r="GH7" s="938"/>
      <c r="GI7" s="938"/>
      <c r="GJ7" s="938"/>
      <c r="GK7" s="938"/>
      <c r="GL7" s="938"/>
      <c r="GM7" s="938"/>
      <c r="GN7" s="938"/>
      <c r="GO7" s="938"/>
      <c r="GP7" s="938"/>
      <c r="GQ7" s="938"/>
      <c r="GR7" s="938"/>
      <c r="GS7" s="938"/>
      <c r="GT7" s="938"/>
      <c r="GU7" s="938"/>
      <c r="GV7" s="938"/>
      <c r="GW7" s="938"/>
      <c r="GX7" s="938"/>
      <c r="GY7" s="938"/>
      <c r="GZ7" s="938"/>
      <c r="HA7" s="938"/>
      <c r="HB7" s="938"/>
      <c r="HC7" s="938"/>
      <c r="HD7" s="938"/>
      <c r="HE7" s="938"/>
      <c r="HF7" s="938"/>
      <c r="HG7" s="938"/>
      <c r="HH7" s="938"/>
      <c r="HI7" s="938"/>
      <c r="HJ7" s="938"/>
      <c r="HK7" s="938"/>
      <c r="HL7" s="938"/>
      <c r="HM7" s="938"/>
      <c r="HN7" s="938"/>
      <c r="HO7" s="938"/>
      <c r="HP7" s="938"/>
      <c r="HQ7" s="938"/>
      <c r="HR7" s="938"/>
      <c r="HS7" s="938"/>
      <c r="HT7" s="938"/>
      <c r="HU7" s="938"/>
      <c r="HV7" s="938"/>
      <c r="HW7" s="938"/>
      <c r="HX7" s="938"/>
      <c r="HY7" s="938"/>
      <c r="HZ7" s="938"/>
      <c r="IA7" s="938"/>
      <c r="IB7" s="938"/>
      <c r="IC7" s="938"/>
      <c r="ID7" s="938"/>
      <c r="IE7" s="938"/>
      <c r="IF7" s="938"/>
      <c r="IG7" s="938"/>
      <c r="IH7" s="938"/>
      <c r="II7" s="938"/>
      <c r="IJ7" s="938"/>
      <c r="IK7" s="938"/>
      <c r="IL7" s="938"/>
      <c r="IM7" s="938"/>
      <c r="IN7" s="938"/>
      <c r="IO7" s="938"/>
      <c r="IP7" s="938"/>
      <c r="IQ7" s="938"/>
      <c r="IR7" s="938"/>
      <c r="IS7" s="938"/>
      <c r="IT7" s="938"/>
      <c r="IU7" s="938"/>
      <c r="IV7" s="938"/>
      <c r="IW7" s="938"/>
      <c r="IX7" s="938"/>
      <c r="IY7" s="938"/>
      <c r="IZ7" s="938"/>
      <c r="JA7" s="938"/>
      <c r="JB7" s="938"/>
      <c r="JC7" s="938"/>
      <c r="JD7" s="938"/>
      <c r="JE7" s="938"/>
      <c r="JF7" s="938"/>
      <c r="JG7" s="938"/>
      <c r="JH7" s="938"/>
      <c r="JI7" s="938"/>
      <c r="JJ7" s="938"/>
      <c r="JK7" s="938"/>
      <c r="JL7" s="938"/>
      <c r="JM7" s="938"/>
      <c r="JN7" s="938"/>
      <c r="JO7" s="938"/>
      <c r="JP7" s="938"/>
      <c r="JQ7" s="938"/>
      <c r="JR7" s="938"/>
      <c r="JS7" s="938"/>
      <c r="JT7" s="938"/>
      <c r="JU7" s="938"/>
      <c r="JV7" s="938"/>
      <c r="JW7" s="938"/>
      <c r="JX7" s="938"/>
      <c r="JY7" s="938"/>
      <c r="JZ7" s="938"/>
      <c r="KA7" s="938"/>
      <c r="KB7" s="938"/>
      <c r="KC7" s="938"/>
      <c r="KD7" s="938"/>
      <c r="KE7" s="938"/>
      <c r="KF7" s="938"/>
      <c r="KG7" s="938"/>
      <c r="KH7" s="938"/>
      <c r="KI7" s="938"/>
      <c r="KJ7" s="938"/>
      <c r="KK7" s="938"/>
      <c r="KL7" s="938"/>
      <c r="KM7" s="938"/>
      <c r="KN7" s="938"/>
      <c r="KO7" s="938"/>
      <c r="KP7" s="938"/>
      <c r="KQ7" s="938"/>
      <c r="KR7" s="938"/>
      <c r="KS7" s="938"/>
      <c r="KT7" s="938"/>
      <c r="KU7" s="938"/>
      <c r="KV7" s="938"/>
      <c r="KW7" s="938"/>
      <c r="KX7" s="938"/>
      <c r="KY7" s="938"/>
      <c r="KZ7" s="938"/>
      <c r="LA7" s="938"/>
      <c r="LB7" s="938"/>
      <c r="LC7" s="938"/>
      <c r="LD7" s="938"/>
      <c r="LE7" s="938"/>
      <c r="LF7" s="938"/>
      <c r="LG7" s="938"/>
      <c r="LH7" s="938"/>
      <c r="LI7" s="938"/>
      <c r="LJ7" s="938"/>
      <c r="LK7" s="938"/>
      <c r="LL7" s="938"/>
      <c r="LM7" s="938"/>
      <c r="LN7" s="938"/>
      <c r="LO7" s="938"/>
      <c r="LP7" s="938"/>
      <c r="LQ7" s="938"/>
      <c r="LR7" s="938"/>
      <c r="LS7" s="938"/>
      <c r="LT7" s="938"/>
      <c r="LU7" s="938"/>
      <c r="LV7" s="938"/>
      <c r="LW7" s="938"/>
      <c r="LX7" s="938"/>
      <c r="LY7" s="938"/>
      <c r="LZ7" s="938"/>
      <c r="MA7" s="938"/>
      <c r="MB7" s="938"/>
      <c r="MC7" s="938"/>
      <c r="MD7" s="938"/>
      <c r="ME7" s="938"/>
      <c r="MF7" s="938"/>
      <c r="MG7" s="938"/>
      <c r="MH7" s="938"/>
      <c r="MI7" s="938"/>
      <c r="MJ7" s="938"/>
      <c r="MK7" s="938"/>
      <c r="ML7" s="938"/>
      <c r="MM7" s="938"/>
      <c r="MN7" s="938"/>
      <c r="MO7" s="938"/>
      <c r="MP7" s="938"/>
      <c r="MQ7" s="938"/>
      <c r="MR7" s="938"/>
      <c r="MS7" s="938"/>
      <c r="MT7" s="938"/>
      <c r="MU7" s="938"/>
      <c r="MV7" s="938"/>
      <c r="MW7" s="938"/>
      <c r="MX7" s="938"/>
      <c r="MY7" s="938"/>
      <c r="MZ7" s="938"/>
      <c r="NA7" s="938"/>
      <c r="NB7" s="938"/>
      <c r="NC7" s="938"/>
      <c r="ND7" s="938"/>
      <c r="NE7" s="938"/>
      <c r="NF7" s="938"/>
      <c r="NG7" s="938"/>
      <c r="NH7" s="938"/>
      <c r="NI7" s="938"/>
      <c r="NJ7" s="938"/>
      <c r="NK7" s="938"/>
      <c r="NL7" s="938"/>
      <c r="NM7" s="938"/>
      <c r="NN7" s="938"/>
      <c r="NO7" s="938"/>
      <c r="NP7" s="938"/>
      <c r="NQ7" s="938"/>
      <c r="NR7" s="938"/>
      <c r="NS7" s="938"/>
      <c r="NT7" s="938"/>
      <c r="NU7" s="938"/>
      <c r="NV7" s="938"/>
      <c r="NW7" s="938"/>
      <c r="NX7" s="938"/>
      <c r="NY7" s="938"/>
      <c r="NZ7" s="938"/>
      <c r="OA7" s="938"/>
      <c r="OB7" s="938"/>
      <c r="OC7" s="938"/>
      <c r="OD7" s="938"/>
      <c r="OE7" s="938"/>
      <c r="OF7" s="938"/>
      <c r="OG7" s="938"/>
      <c r="OH7" s="938"/>
      <c r="OI7" s="938"/>
      <c r="OJ7" s="938"/>
      <c r="OK7" s="938"/>
      <c r="OL7" s="938"/>
      <c r="OM7" s="938"/>
      <c r="ON7" s="938"/>
      <c r="OO7" s="938"/>
      <c r="OP7" s="938"/>
      <c r="OQ7" s="938"/>
      <c r="OR7" s="938"/>
      <c r="OS7" s="938"/>
      <c r="OT7" s="938"/>
      <c r="OU7" s="938"/>
      <c r="OV7" s="938"/>
      <c r="OW7" s="938"/>
      <c r="OX7" s="938"/>
      <c r="OY7" s="938"/>
      <c r="OZ7" s="938"/>
      <c r="PA7" s="938"/>
      <c r="PB7" s="938"/>
      <c r="PC7" s="938"/>
      <c r="PD7" s="938"/>
      <c r="PE7" s="938"/>
      <c r="PF7" s="938"/>
      <c r="PG7" s="938"/>
      <c r="PH7" s="938"/>
      <c r="PI7" s="938"/>
      <c r="PJ7" s="938"/>
      <c r="PK7" s="938"/>
      <c r="PL7" s="938"/>
      <c r="PM7" s="938"/>
      <c r="PN7" s="938"/>
      <c r="PO7" s="938"/>
    </row>
    <row r="8" spans="1:431" s="143" customFormat="1">
      <c r="A8" s="782"/>
      <c r="B8" s="782"/>
      <c r="C8" s="785"/>
      <c r="D8" s="785"/>
      <c r="E8" s="785"/>
      <c r="F8" s="785"/>
      <c r="G8" s="785"/>
      <c r="H8" s="785"/>
      <c r="I8" s="785"/>
      <c r="J8" s="785"/>
      <c r="K8" s="785"/>
      <c r="L8" s="785"/>
      <c r="M8" s="785"/>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c r="BP8" s="782"/>
      <c r="BQ8" s="782"/>
      <c r="BR8" s="782"/>
      <c r="BS8" s="782"/>
      <c r="BT8" s="782"/>
      <c r="BU8" s="782"/>
      <c r="BV8" s="782"/>
      <c r="BW8" s="782"/>
      <c r="BX8" s="782"/>
      <c r="BY8" s="782"/>
      <c r="BZ8" s="782"/>
      <c r="CA8" s="782"/>
      <c r="CB8" s="782"/>
      <c r="CC8" s="782"/>
      <c r="CD8" s="782"/>
      <c r="CE8" s="782"/>
      <c r="CF8" s="782"/>
      <c r="CG8" s="782"/>
      <c r="CH8" s="782"/>
      <c r="CI8" s="782"/>
      <c r="CJ8" s="782"/>
      <c r="CK8" s="782"/>
      <c r="CL8" s="782"/>
      <c r="CM8" s="782"/>
      <c r="CN8" s="782"/>
      <c r="CO8" s="782"/>
      <c r="CP8" s="782"/>
      <c r="CQ8" s="782"/>
      <c r="CR8" s="782"/>
      <c r="CS8" s="782"/>
      <c r="CT8" s="782"/>
      <c r="CU8" s="782"/>
      <c r="CV8" s="782"/>
      <c r="CW8" s="782"/>
      <c r="CX8" s="782"/>
      <c r="CY8" s="782"/>
      <c r="CZ8" s="782"/>
      <c r="DA8" s="782"/>
      <c r="DB8" s="782"/>
      <c r="DC8" s="782"/>
      <c r="DD8" s="782"/>
      <c r="DE8" s="782"/>
      <c r="DF8" s="782"/>
      <c r="DG8" s="782"/>
      <c r="DH8" s="782"/>
      <c r="DI8" s="782"/>
      <c r="DJ8" s="782"/>
      <c r="DK8" s="782"/>
      <c r="DL8" s="782"/>
      <c r="DM8" s="782"/>
      <c r="DN8" s="782"/>
      <c r="DO8" s="782"/>
      <c r="DP8" s="782"/>
      <c r="DQ8" s="782"/>
      <c r="DR8" s="782"/>
      <c r="DS8" s="782"/>
      <c r="DT8" s="782"/>
      <c r="DU8" s="782"/>
      <c r="DV8" s="782"/>
      <c r="DW8" s="782"/>
      <c r="DX8" s="782"/>
      <c r="DY8" s="782"/>
      <c r="DZ8" s="782"/>
      <c r="EA8" s="782"/>
      <c r="EB8" s="782"/>
      <c r="EC8" s="782"/>
      <c r="ED8" s="782"/>
      <c r="EE8" s="782"/>
      <c r="EF8" s="782"/>
      <c r="EG8" s="782"/>
      <c r="EH8" s="782"/>
      <c r="EI8" s="782"/>
      <c r="EJ8" s="782"/>
      <c r="EK8" s="782"/>
      <c r="EL8" s="782"/>
      <c r="EM8" s="782"/>
      <c r="EN8" s="782"/>
      <c r="EO8" s="782"/>
      <c r="EP8" s="782"/>
      <c r="EQ8" s="782"/>
      <c r="ER8" s="782"/>
      <c r="ES8" s="782"/>
      <c r="ET8" s="782"/>
      <c r="EU8" s="782"/>
      <c r="EV8" s="782"/>
      <c r="EW8" s="782"/>
      <c r="EX8" s="782"/>
      <c r="EY8" s="782"/>
      <c r="EZ8" s="782"/>
      <c r="FA8" s="782"/>
      <c r="FB8" s="782"/>
      <c r="FC8" s="782"/>
      <c r="FD8" s="782"/>
      <c r="FE8" s="782"/>
      <c r="FF8" s="782"/>
      <c r="FG8" s="782"/>
      <c r="FH8" s="782"/>
      <c r="FI8" s="782"/>
      <c r="FJ8" s="782"/>
      <c r="FK8" s="782"/>
      <c r="FL8" s="782"/>
      <c r="FM8" s="782"/>
      <c r="FN8" s="782"/>
      <c r="FO8" s="782"/>
      <c r="FP8" s="782"/>
      <c r="FQ8" s="782"/>
      <c r="FR8" s="782"/>
      <c r="FS8" s="782"/>
      <c r="FT8" s="782"/>
      <c r="FU8" s="782"/>
      <c r="FV8" s="782"/>
      <c r="FW8" s="782"/>
      <c r="FX8" s="782"/>
      <c r="FY8" s="782"/>
      <c r="FZ8" s="782"/>
      <c r="GA8" s="782"/>
      <c r="GB8" s="782"/>
      <c r="GC8" s="782"/>
      <c r="GD8" s="782"/>
      <c r="GE8" s="782"/>
      <c r="GF8" s="782"/>
      <c r="GG8" s="782"/>
      <c r="GH8" s="782"/>
      <c r="GI8" s="782"/>
      <c r="GJ8" s="782"/>
      <c r="GK8" s="782"/>
      <c r="GL8" s="782"/>
      <c r="GM8" s="782"/>
      <c r="GN8" s="782"/>
      <c r="GO8" s="782"/>
      <c r="GP8" s="782"/>
      <c r="GQ8" s="782"/>
      <c r="GR8" s="782"/>
      <c r="GS8" s="782"/>
      <c r="GT8" s="782"/>
      <c r="GU8" s="782"/>
      <c r="GV8" s="782"/>
      <c r="GW8" s="782"/>
      <c r="GX8" s="782"/>
      <c r="GY8" s="782"/>
      <c r="GZ8" s="782"/>
      <c r="HA8" s="782"/>
      <c r="HB8" s="782"/>
      <c r="HC8" s="782"/>
      <c r="HD8" s="782"/>
      <c r="HE8" s="782"/>
      <c r="HF8" s="782"/>
      <c r="HG8" s="782"/>
      <c r="HH8" s="782"/>
      <c r="HI8" s="782"/>
      <c r="HJ8" s="782"/>
      <c r="HK8" s="782"/>
      <c r="HL8" s="782"/>
      <c r="HM8" s="782"/>
      <c r="HN8" s="782"/>
      <c r="HO8" s="782"/>
      <c r="HP8" s="782"/>
      <c r="HQ8" s="782"/>
      <c r="HR8" s="782"/>
      <c r="HS8" s="782"/>
      <c r="HT8" s="782"/>
      <c r="HU8" s="782"/>
      <c r="HV8" s="782"/>
      <c r="HW8" s="782"/>
      <c r="HX8" s="782"/>
      <c r="HY8" s="782"/>
      <c r="HZ8" s="782"/>
      <c r="IA8" s="782"/>
      <c r="IB8" s="782"/>
      <c r="IC8" s="782"/>
      <c r="ID8" s="782"/>
      <c r="IE8" s="782"/>
      <c r="IF8" s="782"/>
      <c r="IG8" s="782"/>
      <c r="IH8" s="782"/>
      <c r="II8" s="782"/>
      <c r="IJ8" s="782"/>
      <c r="IK8" s="782"/>
      <c r="IL8" s="782"/>
      <c r="IM8" s="782"/>
      <c r="IN8" s="782"/>
      <c r="IO8" s="782"/>
      <c r="IP8" s="782"/>
      <c r="IQ8" s="782"/>
      <c r="IR8" s="782"/>
      <c r="IS8" s="782"/>
      <c r="IT8" s="782"/>
      <c r="IU8" s="782"/>
      <c r="IV8" s="782"/>
      <c r="IW8" s="782"/>
      <c r="IX8" s="782"/>
      <c r="IY8" s="782"/>
      <c r="IZ8" s="782"/>
      <c r="JA8" s="782"/>
      <c r="JB8" s="782"/>
      <c r="JC8" s="782"/>
      <c r="JD8" s="782"/>
      <c r="JE8" s="782"/>
      <c r="JF8" s="782"/>
      <c r="JG8" s="782"/>
      <c r="JH8" s="782"/>
      <c r="JI8" s="782"/>
      <c r="JJ8" s="782"/>
      <c r="JK8" s="782"/>
      <c r="JL8" s="782"/>
      <c r="JM8" s="782"/>
      <c r="JN8" s="782"/>
      <c r="JO8" s="782"/>
      <c r="JP8" s="782"/>
      <c r="JQ8" s="782"/>
      <c r="JR8" s="782"/>
      <c r="JS8" s="782"/>
      <c r="JT8" s="782"/>
      <c r="JU8" s="782"/>
      <c r="JV8" s="782"/>
      <c r="JW8" s="782"/>
      <c r="JX8" s="782"/>
      <c r="JY8" s="782"/>
      <c r="JZ8" s="782"/>
      <c r="KA8" s="782"/>
      <c r="KB8" s="782"/>
      <c r="KC8" s="782"/>
      <c r="KD8" s="782"/>
      <c r="KE8" s="782"/>
      <c r="KF8" s="782"/>
      <c r="KG8" s="782"/>
      <c r="KH8" s="782"/>
      <c r="KI8" s="782"/>
      <c r="KJ8" s="782"/>
      <c r="KK8" s="782"/>
      <c r="KL8" s="782"/>
      <c r="KM8" s="782"/>
      <c r="KN8" s="782"/>
      <c r="KO8" s="782"/>
      <c r="KP8" s="782"/>
      <c r="KQ8" s="782"/>
      <c r="KR8" s="782"/>
      <c r="KS8" s="782"/>
      <c r="KT8" s="782"/>
      <c r="KU8" s="782"/>
      <c r="KV8" s="782"/>
      <c r="KW8" s="782"/>
      <c r="KX8" s="782"/>
      <c r="KY8" s="782"/>
      <c r="KZ8" s="782"/>
      <c r="LA8" s="782"/>
      <c r="LB8" s="782"/>
      <c r="LC8" s="782"/>
      <c r="LD8" s="782"/>
      <c r="LE8" s="782"/>
      <c r="LF8" s="782"/>
      <c r="LG8" s="782"/>
      <c r="LH8" s="782"/>
      <c r="LI8" s="782"/>
      <c r="LJ8" s="782"/>
      <c r="LK8" s="782"/>
      <c r="LL8" s="782"/>
      <c r="LM8" s="782"/>
      <c r="LN8" s="782"/>
      <c r="LO8" s="782"/>
      <c r="LP8" s="782"/>
      <c r="LQ8" s="782"/>
      <c r="LR8" s="782"/>
      <c r="LS8" s="782"/>
      <c r="LT8" s="782"/>
      <c r="LU8" s="782"/>
      <c r="LV8" s="782"/>
      <c r="LW8" s="782"/>
      <c r="LX8" s="782"/>
      <c r="LY8" s="782"/>
      <c r="LZ8" s="782"/>
      <c r="MA8" s="782"/>
      <c r="MB8" s="782"/>
      <c r="MC8" s="782"/>
      <c r="MD8" s="782"/>
      <c r="ME8" s="782"/>
      <c r="MF8" s="782"/>
      <c r="MG8" s="782"/>
      <c r="MH8" s="782"/>
      <c r="MI8" s="782"/>
      <c r="MJ8" s="782"/>
      <c r="MK8" s="782"/>
      <c r="ML8" s="782"/>
      <c r="MM8" s="782"/>
      <c r="MN8" s="782"/>
      <c r="MO8" s="782"/>
      <c r="MP8" s="782"/>
      <c r="MQ8" s="782"/>
      <c r="MR8" s="782"/>
      <c r="MS8" s="782"/>
      <c r="MT8" s="782"/>
      <c r="MU8" s="782"/>
      <c r="MV8" s="782"/>
      <c r="MW8" s="782"/>
      <c r="MX8" s="782"/>
      <c r="MY8" s="782"/>
      <c r="MZ8" s="782"/>
      <c r="NA8" s="782"/>
      <c r="NB8" s="782"/>
      <c r="NC8" s="782"/>
      <c r="ND8" s="782"/>
      <c r="NE8" s="782"/>
      <c r="NF8" s="782"/>
      <c r="NG8" s="782"/>
      <c r="NH8" s="782"/>
      <c r="NI8" s="782"/>
      <c r="NJ8" s="782"/>
      <c r="NK8" s="782"/>
      <c r="NL8" s="782"/>
      <c r="NM8" s="782"/>
      <c r="NN8" s="782"/>
      <c r="NO8" s="782"/>
      <c r="NP8" s="782"/>
      <c r="NQ8" s="782"/>
      <c r="NR8" s="782"/>
      <c r="NS8" s="782"/>
      <c r="NT8" s="782"/>
      <c r="NU8" s="782"/>
      <c r="NV8" s="782"/>
      <c r="NW8" s="782"/>
      <c r="NX8" s="782"/>
      <c r="NY8" s="782"/>
      <c r="NZ8" s="782"/>
      <c r="OA8" s="782"/>
      <c r="OB8" s="782"/>
      <c r="OC8" s="782"/>
      <c r="OD8" s="782"/>
      <c r="OE8" s="782"/>
      <c r="OF8" s="782"/>
      <c r="OG8" s="782"/>
      <c r="OH8" s="782"/>
      <c r="OI8" s="782"/>
      <c r="OJ8" s="782"/>
      <c r="OK8" s="782"/>
      <c r="OL8" s="782"/>
      <c r="OM8" s="782"/>
      <c r="ON8" s="782"/>
      <c r="OO8" s="782"/>
      <c r="OP8" s="782"/>
      <c r="OQ8" s="782"/>
      <c r="OR8" s="782"/>
      <c r="OS8" s="782"/>
      <c r="OT8" s="782"/>
      <c r="OU8" s="782"/>
      <c r="OV8" s="782"/>
      <c r="OW8" s="782"/>
      <c r="OX8" s="782"/>
      <c r="OY8" s="782"/>
      <c r="OZ8" s="782"/>
      <c r="PA8" s="782"/>
      <c r="PB8" s="782"/>
      <c r="PC8" s="782"/>
      <c r="PD8" s="782"/>
      <c r="PE8" s="782"/>
      <c r="PF8" s="782"/>
      <c r="PG8" s="782"/>
      <c r="PH8" s="782"/>
      <c r="PI8" s="782"/>
      <c r="PJ8" s="782"/>
      <c r="PK8" s="782"/>
      <c r="PL8" s="782"/>
      <c r="PM8" s="782"/>
      <c r="PN8" s="782"/>
      <c r="PO8" s="782"/>
    </row>
    <row r="9" spans="1:431" s="143" customFormat="1" ht="29">
      <c r="A9" s="781" t="s">
        <v>728</v>
      </c>
      <c r="B9" s="781" t="s">
        <v>729</v>
      </c>
      <c r="C9" s="785"/>
      <c r="D9" s="785"/>
      <c r="E9" s="785"/>
      <c r="F9" s="785"/>
      <c r="G9" s="785"/>
      <c r="H9" s="785"/>
      <c r="I9" s="785"/>
      <c r="J9" s="785"/>
      <c r="K9" s="785"/>
      <c r="L9" s="785"/>
      <c r="M9" s="782"/>
      <c r="N9" s="782"/>
      <c r="O9" s="782"/>
      <c r="P9" s="78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c r="AT9" s="782"/>
      <c r="AU9" s="782"/>
      <c r="AV9" s="782"/>
      <c r="AW9" s="782"/>
      <c r="AX9" s="782"/>
      <c r="AY9" s="782"/>
      <c r="AZ9" s="782"/>
      <c r="BA9" s="782"/>
      <c r="BB9" s="782"/>
      <c r="BC9" s="782"/>
      <c r="BD9" s="782"/>
      <c r="BE9" s="782"/>
      <c r="BF9" s="782"/>
      <c r="BG9" s="782"/>
      <c r="BH9" s="782"/>
      <c r="BI9" s="782"/>
      <c r="BJ9" s="782"/>
      <c r="BK9" s="782"/>
      <c r="BL9" s="782"/>
      <c r="BM9" s="782"/>
      <c r="BN9" s="782"/>
      <c r="BO9" s="782"/>
      <c r="BP9" s="782"/>
      <c r="BQ9" s="782"/>
      <c r="BR9" s="782"/>
      <c r="BS9" s="782"/>
      <c r="BT9" s="782"/>
      <c r="BU9" s="782"/>
      <c r="BV9" s="782"/>
      <c r="BW9" s="782"/>
      <c r="BX9" s="782"/>
      <c r="BY9" s="782"/>
      <c r="BZ9" s="782"/>
      <c r="CA9" s="782"/>
      <c r="CB9" s="782"/>
      <c r="CC9" s="782"/>
      <c r="CD9" s="782"/>
      <c r="CE9" s="782"/>
      <c r="CF9" s="782"/>
      <c r="CG9" s="782"/>
      <c r="CH9" s="782"/>
      <c r="CI9" s="782"/>
      <c r="CJ9" s="782"/>
      <c r="CK9" s="782"/>
      <c r="CL9" s="782"/>
      <c r="CM9" s="782"/>
      <c r="CN9" s="782"/>
      <c r="CO9" s="782"/>
      <c r="CP9" s="782"/>
      <c r="CQ9" s="782"/>
      <c r="CR9" s="782"/>
      <c r="CS9" s="782"/>
      <c r="CT9" s="782"/>
      <c r="CU9" s="782"/>
      <c r="CV9" s="782"/>
      <c r="CW9" s="782"/>
      <c r="CX9" s="782"/>
      <c r="CY9" s="782"/>
      <c r="CZ9" s="782"/>
      <c r="DA9" s="782"/>
      <c r="DB9" s="782"/>
      <c r="DC9" s="782"/>
      <c r="DD9" s="782"/>
      <c r="DE9" s="782"/>
      <c r="DF9" s="782"/>
      <c r="DG9" s="782"/>
      <c r="DH9" s="782"/>
      <c r="DI9" s="782"/>
      <c r="DJ9" s="782"/>
      <c r="DK9" s="782"/>
      <c r="DL9" s="782"/>
      <c r="DM9" s="782"/>
      <c r="DN9" s="782"/>
      <c r="DO9" s="782"/>
      <c r="DP9" s="782"/>
      <c r="DQ9" s="782"/>
      <c r="DR9" s="782"/>
      <c r="DS9" s="782"/>
      <c r="DT9" s="782"/>
      <c r="DU9" s="782"/>
      <c r="DV9" s="782"/>
      <c r="DW9" s="782"/>
      <c r="DX9" s="782"/>
      <c r="DY9" s="782"/>
      <c r="DZ9" s="782"/>
      <c r="EA9" s="782"/>
      <c r="EB9" s="782"/>
      <c r="EC9" s="782"/>
      <c r="ED9" s="782"/>
      <c r="EE9" s="782"/>
      <c r="EF9" s="782"/>
      <c r="EG9" s="782"/>
      <c r="EH9" s="782"/>
      <c r="EI9" s="782"/>
      <c r="EJ9" s="782"/>
      <c r="EK9" s="782"/>
      <c r="EL9" s="782"/>
      <c r="EM9" s="782"/>
      <c r="EN9" s="782"/>
      <c r="EO9" s="782"/>
      <c r="EP9" s="782"/>
      <c r="EQ9" s="782"/>
      <c r="ER9" s="782"/>
      <c r="ES9" s="782"/>
      <c r="ET9" s="782"/>
      <c r="EU9" s="782"/>
      <c r="EV9" s="782"/>
      <c r="EW9" s="782"/>
      <c r="EX9" s="782"/>
      <c r="EY9" s="782"/>
      <c r="EZ9" s="782"/>
      <c r="FA9" s="782"/>
      <c r="FB9" s="782"/>
      <c r="FC9" s="782"/>
      <c r="FD9" s="782"/>
      <c r="FE9" s="782"/>
      <c r="FF9" s="782"/>
      <c r="FG9" s="782"/>
      <c r="FH9" s="782"/>
      <c r="FI9" s="782"/>
      <c r="FJ9" s="782"/>
      <c r="FK9" s="782"/>
      <c r="FL9" s="782"/>
      <c r="FM9" s="782"/>
      <c r="FN9" s="782"/>
      <c r="FO9" s="782"/>
      <c r="FP9" s="782"/>
      <c r="FQ9" s="782"/>
      <c r="FR9" s="782"/>
      <c r="FS9" s="782"/>
      <c r="FT9" s="782"/>
      <c r="FU9" s="782"/>
      <c r="FV9" s="782"/>
      <c r="FW9" s="782"/>
      <c r="FX9" s="782"/>
      <c r="FY9" s="782"/>
      <c r="FZ9" s="782"/>
      <c r="GA9" s="782"/>
      <c r="GB9" s="782"/>
      <c r="GC9" s="782"/>
      <c r="GD9" s="782"/>
      <c r="GE9" s="782"/>
      <c r="GF9" s="782"/>
      <c r="GG9" s="782"/>
      <c r="GH9" s="782"/>
      <c r="GI9" s="782"/>
      <c r="GJ9" s="782"/>
      <c r="GK9" s="782"/>
      <c r="GL9" s="782"/>
      <c r="GM9" s="782"/>
      <c r="GN9" s="782"/>
      <c r="GO9" s="782"/>
      <c r="GP9" s="782"/>
      <c r="GQ9" s="782"/>
      <c r="GR9" s="782"/>
      <c r="GS9" s="782"/>
      <c r="GT9" s="782"/>
      <c r="GU9" s="782"/>
      <c r="GV9" s="782"/>
      <c r="GW9" s="782"/>
      <c r="GX9" s="782"/>
      <c r="GY9" s="782"/>
      <c r="GZ9" s="782"/>
      <c r="HA9" s="782"/>
      <c r="HB9" s="782"/>
      <c r="HC9" s="782"/>
      <c r="HD9" s="782"/>
      <c r="HE9" s="782"/>
      <c r="HF9" s="782"/>
      <c r="HG9" s="782"/>
      <c r="HH9" s="782"/>
      <c r="HI9" s="782"/>
      <c r="HJ9" s="782"/>
      <c r="HK9" s="782"/>
      <c r="HL9" s="782"/>
      <c r="HM9" s="782"/>
      <c r="HN9" s="782"/>
      <c r="HO9" s="782"/>
      <c r="HP9" s="782"/>
      <c r="HQ9" s="782"/>
      <c r="HR9" s="782"/>
      <c r="HS9" s="782"/>
      <c r="HT9" s="782"/>
      <c r="HU9" s="782"/>
      <c r="HV9" s="782"/>
      <c r="HW9" s="782"/>
      <c r="HX9" s="782"/>
      <c r="HY9" s="782"/>
      <c r="HZ9" s="782"/>
      <c r="IA9" s="782"/>
      <c r="IB9" s="782"/>
      <c r="IC9" s="782"/>
      <c r="ID9" s="782"/>
      <c r="IE9" s="782"/>
      <c r="IF9" s="782"/>
      <c r="IG9" s="782"/>
      <c r="IH9" s="782"/>
      <c r="II9" s="782"/>
      <c r="IJ9" s="782"/>
      <c r="IK9" s="782"/>
      <c r="IL9" s="782"/>
      <c r="IM9" s="782"/>
      <c r="IN9" s="782"/>
      <c r="IO9" s="782"/>
      <c r="IP9" s="782"/>
      <c r="IQ9" s="782"/>
      <c r="IR9" s="782"/>
      <c r="IS9" s="782"/>
      <c r="IT9" s="782"/>
      <c r="IU9" s="782"/>
      <c r="IV9" s="782"/>
      <c r="IW9" s="782"/>
      <c r="IX9" s="782"/>
      <c r="IY9" s="782"/>
      <c r="IZ9" s="782"/>
      <c r="JA9" s="782"/>
      <c r="JB9" s="782"/>
      <c r="JC9" s="782"/>
      <c r="JD9" s="782"/>
      <c r="JE9" s="782"/>
      <c r="JF9" s="782"/>
      <c r="JG9" s="782"/>
      <c r="JH9" s="782"/>
      <c r="JI9" s="782"/>
      <c r="JJ9" s="782"/>
      <c r="JK9" s="782"/>
      <c r="JL9" s="782"/>
      <c r="JM9" s="782"/>
      <c r="JN9" s="782"/>
      <c r="JO9" s="782"/>
      <c r="JP9" s="782"/>
      <c r="JQ9" s="782"/>
      <c r="JR9" s="782"/>
      <c r="JS9" s="782"/>
      <c r="JT9" s="782"/>
      <c r="JU9" s="782"/>
      <c r="JV9" s="782"/>
      <c r="JW9" s="782"/>
      <c r="JX9" s="782"/>
      <c r="JY9" s="782"/>
      <c r="JZ9" s="782"/>
      <c r="KA9" s="782"/>
      <c r="KB9" s="782"/>
      <c r="KC9" s="782"/>
      <c r="KD9" s="782"/>
      <c r="KE9" s="782"/>
      <c r="KF9" s="782"/>
      <c r="KG9" s="782"/>
      <c r="KH9" s="782"/>
      <c r="KI9" s="782"/>
      <c r="KJ9" s="782"/>
      <c r="KK9" s="782"/>
      <c r="KL9" s="782"/>
      <c r="KM9" s="782"/>
      <c r="KN9" s="782"/>
      <c r="KO9" s="782"/>
      <c r="KP9" s="782"/>
      <c r="KQ9" s="782"/>
      <c r="KR9" s="782"/>
      <c r="KS9" s="782"/>
      <c r="KT9" s="782"/>
      <c r="KU9" s="782"/>
      <c r="KV9" s="782"/>
      <c r="KW9" s="782"/>
      <c r="KX9" s="782"/>
      <c r="KY9" s="782"/>
      <c r="KZ9" s="782"/>
      <c r="LA9" s="782"/>
      <c r="LB9" s="782"/>
      <c r="LC9" s="782"/>
      <c r="LD9" s="782"/>
      <c r="LE9" s="782"/>
      <c r="LF9" s="782"/>
      <c r="LG9" s="782"/>
      <c r="LH9" s="782"/>
      <c r="LI9" s="782"/>
      <c r="LJ9" s="782"/>
      <c r="LK9" s="782"/>
      <c r="LL9" s="782"/>
      <c r="LM9" s="782"/>
      <c r="LN9" s="782"/>
      <c r="LO9" s="782"/>
      <c r="LP9" s="782"/>
      <c r="LQ9" s="782"/>
      <c r="LR9" s="782"/>
      <c r="LS9" s="782"/>
      <c r="LT9" s="782"/>
      <c r="LU9" s="782"/>
      <c r="LV9" s="782"/>
      <c r="LW9" s="782"/>
      <c r="LX9" s="782"/>
      <c r="LY9" s="782"/>
      <c r="LZ9" s="782"/>
      <c r="MA9" s="782"/>
      <c r="MB9" s="782"/>
      <c r="MC9" s="782"/>
      <c r="MD9" s="782"/>
      <c r="ME9" s="782"/>
      <c r="MF9" s="782"/>
      <c r="MG9" s="782"/>
      <c r="MH9" s="782"/>
      <c r="MI9" s="782"/>
      <c r="MJ9" s="782"/>
      <c r="MK9" s="782"/>
      <c r="ML9" s="782"/>
      <c r="MM9" s="782"/>
      <c r="MN9" s="782"/>
      <c r="MO9" s="782"/>
      <c r="MP9" s="782"/>
      <c r="MQ9" s="782"/>
      <c r="MR9" s="782"/>
      <c r="MS9" s="782"/>
      <c r="MT9" s="782"/>
      <c r="MU9" s="782"/>
      <c r="MV9" s="782"/>
      <c r="MW9" s="782"/>
      <c r="MX9" s="782"/>
      <c r="MY9" s="782"/>
      <c r="MZ9" s="782"/>
      <c r="NA9" s="782"/>
      <c r="NB9" s="782"/>
      <c r="NC9" s="782"/>
      <c r="ND9" s="782"/>
      <c r="NE9" s="782"/>
      <c r="NF9" s="782"/>
      <c r="NG9" s="782"/>
      <c r="NH9" s="782"/>
      <c r="NI9" s="782"/>
      <c r="NJ9" s="782"/>
      <c r="NK9" s="782"/>
      <c r="NL9" s="782"/>
      <c r="NM9" s="782"/>
      <c r="NN9" s="782"/>
      <c r="NO9" s="782"/>
      <c r="NP9" s="782"/>
      <c r="NQ9" s="782"/>
      <c r="NR9" s="782"/>
      <c r="NS9" s="782"/>
      <c r="NT9" s="782"/>
      <c r="NU9" s="782"/>
      <c r="NV9" s="782"/>
      <c r="NW9" s="782"/>
      <c r="NX9" s="782"/>
      <c r="NY9" s="782"/>
      <c r="NZ9" s="782"/>
      <c r="OA9" s="782"/>
      <c r="OB9" s="782"/>
      <c r="OC9" s="782"/>
      <c r="OD9" s="782"/>
      <c r="OE9" s="782"/>
      <c r="OF9" s="782"/>
      <c r="OG9" s="782"/>
      <c r="OH9" s="782"/>
      <c r="OI9" s="782"/>
      <c r="OJ9" s="782"/>
      <c r="OK9" s="782"/>
      <c r="OL9" s="782"/>
      <c r="OM9" s="782"/>
      <c r="ON9" s="782"/>
      <c r="OO9" s="782"/>
      <c r="OP9" s="782"/>
      <c r="OQ9" s="782"/>
      <c r="OR9" s="782"/>
      <c r="OS9" s="782"/>
      <c r="OT9" s="782"/>
      <c r="OU9" s="782"/>
      <c r="OV9" s="782"/>
      <c r="OW9" s="782"/>
      <c r="OX9" s="782"/>
      <c r="OY9" s="782"/>
      <c r="OZ9" s="782"/>
      <c r="PA9" s="782"/>
      <c r="PB9" s="782"/>
      <c r="PC9" s="782"/>
      <c r="PD9" s="782"/>
      <c r="PE9" s="782"/>
      <c r="PF9" s="782"/>
      <c r="PG9" s="782"/>
      <c r="PH9" s="782"/>
      <c r="PI9" s="782"/>
      <c r="PJ9" s="782"/>
      <c r="PK9" s="782"/>
      <c r="PL9" s="782"/>
      <c r="PM9" s="782"/>
      <c r="PN9" s="782"/>
      <c r="PO9" s="782"/>
    </row>
    <row r="10" spans="1:431" s="143" customFormat="1">
      <c r="A10" s="781"/>
      <c r="B10" s="781"/>
      <c r="C10" s="790"/>
      <c r="D10" s="790"/>
      <c r="E10" s="152"/>
      <c r="F10" s="152"/>
      <c r="G10" s="785"/>
      <c r="H10" s="790"/>
      <c r="I10" s="790"/>
      <c r="J10" s="150"/>
      <c r="K10" s="150"/>
      <c r="L10" s="785"/>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c r="AT10" s="782"/>
      <c r="AU10" s="782"/>
      <c r="AV10" s="782"/>
      <c r="AW10" s="782"/>
      <c r="AX10" s="782"/>
      <c r="AY10" s="782"/>
      <c r="AZ10" s="782"/>
      <c r="BA10" s="782"/>
      <c r="BB10" s="782"/>
      <c r="BC10" s="782"/>
      <c r="BD10" s="782"/>
      <c r="BE10" s="782"/>
      <c r="BF10" s="782"/>
      <c r="BG10" s="782"/>
      <c r="BH10" s="782"/>
      <c r="BI10" s="782"/>
      <c r="BJ10" s="782"/>
      <c r="BK10" s="782"/>
      <c r="BL10" s="782"/>
      <c r="BM10" s="782"/>
      <c r="BN10" s="782"/>
      <c r="BO10" s="782"/>
      <c r="BP10" s="782"/>
      <c r="BQ10" s="782"/>
      <c r="BR10" s="782"/>
      <c r="BS10" s="782"/>
      <c r="BT10" s="782"/>
      <c r="BU10" s="782"/>
      <c r="BV10" s="782"/>
      <c r="BW10" s="782"/>
      <c r="BX10" s="782"/>
      <c r="BY10" s="782"/>
      <c r="BZ10" s="782"/>
      <c r="CA10" s="782"/>
      <c r="CB10" s="782"/>
      <c r="CC10" s="782"/>
      <c r="CD10" s="782"/>
      <c r="CE10" s="782"/>
      <c r="CF10" s="782"/>
      <c r="CG10" s="782"/>
      <c r="CH10" s="782"/>
      <c r="CI10" s="782"/>
      <c r="CJ10" s="782"/>
      <c r="CK10" s="782"/>
      <c r="CL10" s="782"/>
      <c r="CM10" s="782"/>
      <c r="CN10" s="782"/>
      <c r="CO10" s="782"/>
      <c r="CP10" s="782"/>
      <c r="CQ10" s="782"/>
      <c r="CR10" s="782"/>
      <c r="CS10" s="782"/>
      <c r="CT10" s="782"/>
      <c r="CU10" s="782"/>
      <c r="CV10" s="782"/>
      <c r="CW10" s="782"/>
      <c r="CX10" s="782"/>
      <c r="CY10" s="782"/>
      <c r="CZ10" s="782"/>
      <c r="DA10" s="782"/>
      <c r="DB10" s="782"/>
      <c r="DC10" s="782"/>
      <c r="DD10" s="782"/>
      <c r="DE10" s="782"/>
      <c r="DF10" s="782"/>
      <c r="DG10" s="782"/>
      <c r="DH10" s="782"/>
      <c r="DI10" s="782"/>
      <c r="DJ10" s="782"/>
      <c r="DK10" s="782"/>
      <c r="DL10" s="782"/>
      <c r="DM10" s="782"/>
      <c r="DN10" s="782"/>
      <c r="DO10" s="782"/>
      <c r="DP10" s="782"/>
      <c r="DQ10" s="782"/>
      <c r="DR10" s="782"/>
      <c r="DS10" s="782"/>
      <c r="DT10" s="782"/>
      <c r="DU10" s="782"/>
      <c r="DV10" s="782"/>
      <c r="DW10" s="782"/>
      <c r="DX10" s="782"/>
      <c r="DY10" s="782"/>
      <c r="DZ10" s="782"/>
      <c r="EA10" s="782"/>
      <c r="EB10" s="782"/>
      <c r="EC10" s="782"/>
      <c r="ED10" s="782"/>
      <c r="EE10" s="782"/>
      <c r="EF10" s="782"/>
      <c r="EG10" s="782"/>
      <c r="EH10" s="782"/>
      <c r="EI10" s="782"/>
      <c r="EJ10" s="782"/>
      <c r="EK10" s="782"/>
      <c r="EL10" s="782"/>
      <c r="EM10" s="782"/>
      <c r="EN10" s="782"/>
      <c r="EO10" s="782"/>
      <c r="EP10" s="782"/>
      <c r="EQ10" s="782"/>
      <c r="ER10" s="782"/>
      <c r="ES10" s="782"/>
      <c r="ET10" s="782"/>
      <c r="EU10" s="782"/>
      <c r="EV10" s="782"/>
      <c r="EW10" s="782"/>
      <c r="EX10" s="782"/>
      <c r="EY10" s="782"/>
      <c r="EZ10" s="782"/>
      <c r="FA10" s="782"/>
      <c r="FB10" s="782"/>
      <c r="FC10" s="782"/>
      <c r="FD10" s="782"/>
      <c r="FE10" s="782"/>
      <c r="FF10" s="782"/>
      <c r="FG10" s="782"/>
      <c r="FH10" s="782"/>
      <c r="FI10" s="782"/>
      <c r="FJ10" s="782"/>
      <c r="FK10" s="782"/>
      <c r="FL10" s="782"/>
      <c r="FM10" s="782"/>
      <c r="FN10" s="782"/>
      <c r="FO10" s="782"/>
      <c r="FP10" s="782"/>
      <c r="FQ10" s="782"/>
      <c r="FR10" s="782"/>
      <c r="FS10" s="782"/>
      <c r="FT10" s="782"/>
      <c r="FU10" s="782"/>
      <c r="FV10" s="782"/>
      <c r="FW10" s="782"/>
      <c r="FX10" s="782"/>
      <c r="FY10" s="782"/>
      <c r="FZ10" s="782"/>
      <c r="GA10" s="782"/>
      <c r="GB10" s="782"/>
      <c r="GC10" s="782"/>
      <c r="GD10" s="782"/>
      <c r="GE10" s="782"/>
      <c r="GF10" s="782"/>
      <c r="GG10" s="782"/>
      <c r="GH10" s="782"/>
      <c r="GI10" s="782"/>
      <c r="GJ10" s="782"/>
      <c r="GK10" s="782"/>
      <c r="GL10" s="782"/>
      <c r="GM10" s="782"/>
      <c r="GN10" s="782"/>
      <c r="GO10" s="782"/>
      <c r="GP10" s="782"/>
      <c r="GQ10" s="782"/>
      <c r="GR10" s="782"/>
      <c r="GS10" s="782"/>
      <c r="GT10" s="782"/>
      <c r="GU10" s="782"/>
      <c r="GV10" s="782"/>
      <c r="GW10" s="782"/>
      <c r="GX10" s="782"/>
      <c r="GY10" s="782"/>
      <c r="GZ10" s="782"/>
      <c r="HA10" s="782"/>
      <c r="HB10" s="782"/>
      <c r="HC10" s="782"/>
      <c r="HD10" s="782"/>
      <c r="HE10" s="782"/>
      <c r="HF10" s="782"/>
      <c r="HG10" s="782"/>
      <c r="HH10" s="782"/>
      <c r="HI10" s="782"/>
      <c r="HJ10" s="782"/>
      <c r="HK10" s="782"/>
      <c r="HL10" s="782"/>
      <c r="HM10" s="782"/>
      <c r="HN10" s="782"/>
      <c r="HO10" s="782"/>
      <c r="HP10" s="782"/>
      <c r="HQ10" s="782"/>
      <c r="HR10" s="782"/>
      <c r="HS10" s="782"/>
      <c r="HT10" s="782"/>
      <c r="HU10" s="782"/>
      <c r="HV10" s="782"/>
      <c r="HW10" s="782"/>
      <c r="HX10" s="782"/>
      <c r="HY10" s="782"/>
      <c r="HZ10" s="782"/>
      <c r="IA10" s="782"/>
      <c r="IB10" s="782"/>
      <c r="IC10" s="782"/>
      <c r="ID10" s="782"/>
      <c r="IE10" s="782"/>
      <c r="IF10" s="782"/>
      <c r="IG10" s="782"/>
      <c r="IH10" s="782"/>
      <c r="II10" s="782"/>
      <c r="IJ10" s="782"/>
      <c r="IK10" s="782"/>
      <c r="IL10" s="782"/>
      <c r="IM10" s="782"/>
      <c r="IN10" s="782"/>
      <c r="IO10" s="782"/>
      <c r="IP10" s="782"/>
      <c r="IQ10" s="782"/>
      <c r="IR10" s="782"/>
      <c r="IS10" s="782"/>
      <c r="IT10" s="782"/>
      <c r="IU10" s="782"/>
      <c r="IV10" s="782"/>
      <c r="IW10" s="782"/>
      <c r="IX10" s="782"/>
      <c r="IY10" s="782"/>
      <c r="IZ10" s="782"/>
      <c r="JA10" s="782"/>
      <c r="JB10" s="782"/>
      <c r="JC10" s="782"/>
      <c r="JD10" s="782"/>
      <c r="JE10" s="782"/>
      <c r="JF10" s="782"/>
      <c r="JG10" s="782"/>
      <c r="JH10" s="782"/>
      <c r="JI10" s="782"/>
      <c r="JJ10" s="782"/>
      <c r="JK10" s="782"/>
      <c r="JL10" s="782"/>
      <c r="JM10" s="782"/>
      <c r="JN10" s="782"/>
      <c r="JO10" s="782"/>
      <c r="JP10" s="782"/>
      <c r="JQ10" s="782"/>
      <c r="JR10" s="782"/>
      <c r="JS10" s="782"/>
      <c r="JT10" s="782"/>
      <c r="JU10" s="782"/>
      <c r="JV10" s="782"/>
      <c r="JW10" s="782"/>
      <c r="JX10" s="782"/>
      <c r="JY10" s="782"/>
      <c r="JZ10" s="782"/>
      <c r="KA10" s="782"/>
      <c r="KB10" s="782"/>
      <c r="KC10" s="782"/>
      <c r="KD10" s="782"/>
      <c r="KE10" s="782"/>
      <c r="KF10" s="782"/>
      <c r="KG10" s="782"/>
      <c r="KH10" s="782"/>
      <c r="KI10" s="782"/>
      <c r="KJ10" s="782"/>
      <c r="KK10" s="782"/>
      <c r="KL10" s="782"/>
      <c r="KM10" s="782"/>
      <c r="KN10" s="782"/>
      <c r="KO10" s="782"/>
      <c r="KP10" s="782"/>
      <c r="KQ10" s="782"/>
      <c r="KR10" s="782"/>
      <c r="KS10" s="782"/>
      <c r="KT10" s="782"/>
      <c r="KU10" s="782"/>
      <c r="KV10" s="782"/>
      <c r="KW10" s="782"/>
      <c r="KX10" s="782"/>
      <c r="KY10" s="782"/>
      <c r="KZ10" s="782"/>
      <c r="LA10" s="782"/>
      <c r="LB10" s="782"/>
      <c r="LC10" s="782"/>
      <c r="LD10" s="782"/>
      <c r="LE10" s="782"/>
      <c r="LF10" s="782"/>
      <c r="LG10" s="782"/>
      <c r="LH10" s="782"/>
      <c r="LI10" s="782"/>
      <c r="LJ10" s="782"/>
      <c r="LK10" s="782"/>
      <c r="LL10" s="782"/>
      <c r="LM10" s="782"/>
      <c r="LN10" s="782"/>
      <c r="LO10" s="782"/>
      <c r="LP10" s="782"/>
      <c r="LQ10" s="782"/>
      <c r="LR10" s="782"/>
      <c r="LS10" s="782"/>
      <c r="LT10" s="782"/>
      <c r="LU10" s="782"/>
      <c r="LV10" s="782"/>
      <c r="LW10" s="782"/>
      <c r="LX10" s="782"/>
      <c r="LY10" s="782"/>
      <c r="LZ10" s="782"/>
      <c r="MA10" s="782"/>
      <c r="MB10" s="782"/>
      <c r="MC10" s="782"/>
      <c r="MD10" s="782"/>
      <c r="ME10" s="782"/>
      <c r="MF10" s="782"/>
      <c r="MG10" s="782"/>
      <c r="MH10" s="782"/>
      <c r="MI10" s="782"/>
      <c r="MJ10" s="782"/>
      <c r="MK10" s="782"/>
      <c r="ML10" s="782"/>
      <c r="MM10" s="782"/>
      <c r="MN10" s="782"/>
      <c r="MO10" s="782"/>
      <c r="MP10" s="782"/>
      <c r="MQ10" s="782"/>
      <c r="MR10" s="782"/>
      <c r="MS10" s="782"/>
      <c r="MT10" s="782"/>
      <c r="MU10" s="782"/>
      <c r="MV10" s="782"/>
      <c r="MW10" s="782"/>
      <c r="MX10" s="782"/>
      <c r="MY10" s="782"/>
      <c r="MZ10" s="782"/>
      <c r="NA10" s="782"/>
      <c r="NB10" s="782"/>
      <c r="NC10" s="782"/>
      <c r="ND10" s="782"/>
      <c r="NE10" s="782"/>
      <c r="NF10" s="782"/>
      <c r="NG10" s="782"/>
      <c r="NH10" s="782"/>
      <c r="NI10" s="782"/>
      <c r="NJ10" s="782"/>
      <c r="NK10" s="782"/>
      <c r="NL10" s="782"/>
      <c r="NM10" s="782"/>
      <c r="NN10" s="782"/>
      <c r="NO10" s="782"/>
      <c r="NP10" s="782"/>
      <c r="NQ10" s="782"/>
      <c r="NR10" s="782"/>
      <c r="NS10" s="782"/>
      <c r="NT10" s="782"/>
      <c r="NU10" s="782"/>
      <c r="NV10" s="782"/>
      <c r="NW10" s="782"/>
      <c r="NX10" s="782"/>
      <c r="NY10" s="782"/>
      <c r="NZ10" s="782"/>
      <c r="OA10" s="782"/>
      <c r="OB10" s="782"/>
      <c r="OC10" s="782"/>
      <c r="OD10" s="782"/>
      <c r="OE10" s="782"/>
      <c r="OF10" s="782"/>
      <c r="OG10" s="782"/>
      <c r="OH10" s="782"/>
      <c r="OI10" s="782"/>
      <c r="OJ10" s="782"/>
      <c r="OK10" s="782"/>
      <c r="OL10" s="782"/>
      <c r="OM10" s="782"/>
      <c r="ON10" s="782"/>
      <c r="OO10" s="782"/>
      <c r="OP10" s="782"/>
      <c r="OQ10" s="782"/>
      <c r="OR10" s="782"/>
      <c r="OS10" s="782"/>
      <c r="OT10" s="782"/>
      <c r="OU10" s="782"/>
      <c r="OV10" s="782"/>
      <c r="OW10" s="782"/>
      <c r="OX10" s="782"/>
      <c r="OY10" s="782"/>
      <c r="OZ10" s="782"/>
      <c r="PA10" s="782"/>
      <c r="PB10" s="782"/>
      <c r="PC10" s="782"/>
      <c r="PD10" s="782"/>
      <c r="PE10" s="782"/>
      <c r="PF10" s="782"/>
      <c r="PG10" s="782"/>
      <c r="PH10" s="782"/>
      <c r="PI10" s="782"/>
      <c r="PJ10" s="782"/>
      <c r="PK10" s="782"/>
      <c r="PL10" s="782"/>
      <c r="PM10" s="782"/>
      <c r="PN10" s="782"/>
      <c r="PO10" s="782"/>
    </row>
    <row r="11" spans="1:431" s="143" customFormat="1">
      <c r="A11" s="782"/>
      <c r="B11" s="782"/>
      <c r="C11" s="785"/>
      <c r="D11" s="791"/>
      <c r="E11" s="790"/>
      <c r="F11" s="790"/>
      <c r="G11" s="785"/>
      <c r="H11" s="785"/>
      <c r="I11" s="791"/>
      <c r="J11" s="790"/>
      <c r="K11" s="790"/>
      <c r="L11" s="785"/>
      <c r="M11" s="782"/>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c r="AT11" s="782"/>
      <c r="AU11" s="782"/>
      <c r="AV11" s="782"/>
      <c r="AW11" s="782"/>
      <c r="AX11" s="782"/>
      <c r="AY11" s="782"/>
      <c r="AZ11" s="782"/>
      <c r="BA11" s="782"/>
      <c r="BB11" s="782"/>
      <c r="BC11" s="782"/>
      <c r="BD11" s="782"/>
      <c r="BE11" s="782"/>
      <c r="BF11" s="782"/>
      <c r="BG11" s="782"/>
      <c r="BH11" s="782"/>
      <c r="BI11" s="782"/>
      <c r="BJ11" s="782"/>
      <c r="BK11" s="782"/>
      <c r="BL11" s="782"/>
      <c r="BM11" s="782"/>
      <c r="BN11" s="782"/>
      <c r="BO11" s="782"/>
      <c r="BP11" s="782"/>
      <c r="BQ11" s="782"/>
      <c r="BR11" s="782"/>
      <c r="BS11" s="782"/>
      <c r="BT11" s="782"/>
      <c r="BU11" s="782"/>
      <c r="BV11" s="782"/>
      <c r="BW11" s="782"/>
      <c r="BX11" s="782"/>
      <c r="BY11" s="782"/>
      <c r="BZ11" s="782"/>
      <c r="CA11" s="782"/>
      <c r="CB11" s="782"/>
      <c r="CC11" s="782"/>
      <c r="CD11" s="782"/>
      <c r="CE11" s="782"/>
      <c r="CF11" s="782"/>
      <c r="CG11" s="782"/>
      <c r="CH11" s="782"/>
      <c r="CI11" s="782"/>
      <c r="CJ11" s="782"/>
      <c r="CK11" s="782"/>
      <c r="CL11" s="782"/>
      <c r="CM11" s="782"/>
      <c r="CN11" s="782"/>
      <c r="CO11" s="782"/>
      <c r="CP11" s="782"/>
      <c r="CQ11" s="782"/>
      <c r="CR11" s="782"/>
      <c r="CS11" s="782"/>
      <c r="CT11" s="782"/>
      <c r="CU11" s="782"/>
      <c r="CV11" s="782"/>
      <c r="CW11" s="782"/>
      <c r="CX11" s="782"/>
      <c r="CY11" s="782"/>
      <c r="CZ11" s="782"/>
      <c r="DA11" s="782"/>
      <c r="DB11" s="782"/>
      <c r="DC11" s="782"/>
      <c r="DD11" s="782"/>
      <c r="DE11" s="782"/>
      <c r="DF11" s="782"/>
      <c r="DG11" s="782"/>
      <c r="DH11" s="782"/>
      <c r="DI11" s="782"/>
      <c r="DJ11" s="782"/>
      <c r="DK11" s="782"/>
      <c r="DL11" s="782"/>
      <c r="DM11" s="782"/>
      <c r="DN11" s="782"/>
      <c r="DO11" s="782"/>
      <c r="DP11" s="782"/>
      <c r="DQ11" s="782"/>
      <c r="DR11" s="782"/>
      <c r="DS11" s="782"/>
      <c r="DT11" s="782"/>
      <c r="DU11" s="782"/>
      <c r="DV11" s="782"/>
      <c r="DW11" s="782"/>
      <c r="DX11" s="782"/>
      <c r="DY11" s="782"/>
      <c r="DZ11" s="782"/>
      <c r="EA11" s="782"/>
      <c r="EB11" s="782"/>
      <c r="EC11" s="782"/>
      <c r="ED11" s="782"/>
      <c r="EE11" s="782"/>
      <c r="EF11" s="782"/>
      <c r="EG11" s="782"/>
      <c r="EH11" s="782"/>
      <c r="EI11" s="782"/>
      <c r="EJ11" s="782"/>
      <c r="EK11" s="782"/>
      <c r="EL11" s="782"/>
      <c r="EM11" s="782"/>
      <c r="EN11" s="782"/>
      <c r="EO11" s="782"/>
      <c r="EP11" s="782"/>
      <c r="EQ11" s="782"/>
      <c r="ER11" s="782"/>
      <c r="ES11" s="782"/>
      <c r="ET11" s="782"/>
      <c r="EU11" s="782"/>
      <c r="EV11" s="782"/>
      <c r="EW11" s="782"/>
      <c r="EX11" s="782"/>
      <c r="EY11" s="782"/>
      <c r="EZ11" s="782"/>
      <c r="FA11" s="782"/>
      <c r="FB11" s="782"/>
      <c r="FC11" s="782"/>
      <c r="FD11" s="782"/>
      <c r="FE11" s="782"/>
      <c r="FF11" s="782"/>
      <c r="FG11" s="782"/>
      <c r="FH11" s="782"/>
      <c r="FI11" s="782"/>
      <c r="FJ11" s="782"/>
      <c r="FK11" s="782"/>
      <c r="FL11" s="782"/>
      <c r="FM11" s="782"/>
      <c r="FN11" s="782"/>
      <c r="FO11" s="782"/>
      <c r="FP11" s="782"/>
      <c r="FQ11" s="782"/>
      <c r="FR11" s="782"/>
      <c r="FS11" s="782"/>
      <c r="FT11" s="782"/>
      <c r="FU11" s="782"/>
      <c r="FV11" s="782"/>
      <c r="FW11" s="782"/>
      <c r="FX11" s="782"/>
      <c r="FY11" s="782"/>
      <c r="FZ11" s="782"/>
      <c r="GA11" s="782"/>
      <c r="GB11" s="782"/>
      <c r="GC11" s="782"/>
      <c r="GD11" s="782"/>
      <c r="GE11" s="782"/>
      <c r="GF11" s="782"/>
      <c r="GG11" s="782"/>
      <c r="GH11" s="782"/>
      <c r="GI11" s="782"/>
      <c r="GJ11" s="782"/>
      <c r="GK11" s="782"/>
      <c r="GL11" s="782"/>
      <c r="GM11" s="782"/>
      <c r="GN11" s="782"/>
      <c r="GO11" s="782"/>
      <c r="GP11" s="782"/>
      <c r="GQ11" s="782"/>
      <c r="GR11" s="782"/>
      <c r="GS11" s="782"/>
      <c r="GT11" s="782"/>
      <c r="GU11" s="782"/>
      <c r="GV11" s="782"/>
      <c r="GW11" s="782"/>
      <c r="GX11" s="782"/>
      <c r="GY11" s="782"/>
      <c r="GZ11" s="782"/>
      <c r="HA11" s="782"/>
      <c r="HB11" s="782"/>
      <c r="HC11" s="782"/>
      <c r="HD11" s="782"/>
      <c r="HE11" s="782"/>
      <c r="HF11" s="782"/>
      <c r="HG11" s="782"/>
      <c r="HH11" s="782"/>
      <c r="HI11" s="782"/>
      <c r="HJ11" s="782"/>
      <c r="HK11" s="782"/>
      <c r="HL11" s="782"/>
      <c r="HM11" s="782"/>
      <c r="HN11" s="782"/>
      <c r="HO11" s="782"/>
      <c r="HP11" s="782"/>
      <c r="HQ11" s="782"/>
      <c r="HR11" s="782"/>
      <c r="HS11" s="782"/>
      <c r="HT11" s="782"/>
      <c r="HU11" s="782"/>
      <c r="HV11" s="782"/>
      <c r="HW11" s="782"/>
      <c r="HX11" s="782"/>
      <c r="HY11" s="782"/>
      <c r="HZ11" s="782"/>
      <c r="IA11" s="782"/>
      <c r="IB11" s="782"/>
      <c r="IC11" s="782"/>
      <c r="ID11" s="782"/>
      <c r="IE11" s="782"/>
      <c r="IF11" s="782"/>
      <c r="IG11" s="782"/>
      <c r="IH11" s="782"/>
      <c r="II11" s="782"/>
      <c r="IJ11" s="782"/>
      <c r="IK11" s="782"/>
      <c r="IL11" s="782"/>
      <c r="IM11" s="782"/>
      <c r="IN11" s="782"/>
      <c r="IO11" s="782"/>
      <c r="IP11" s="782"/>
      <c r="IQ11" s="782"/>
      <c r="IR11" s="782"/>
      <c r="IS11" s="782"/>
      <c r="IT11" s="782"/>
      <c r="IU11" s="782"/>
      <c r="IV11" s="782"/>
      <c r="IW11" s="782"/>
      <c r="IX11" s="782"/>
      <c r="IY11" s="782"/>
      <c r="IZ11" s="782"/>
      <c r="JA11" s="782"/>
      <c r="JB11" s="782"/>
      <c r="JC11" s="782"/>
      <c r="JD11" s="782"/>
      <c r="JE11" s="782"/>
      <c r="JF11" s="782"/>
      <c r="JG11" s="782"/>
      <c r="JH11" s="782"/>
      <c r="JI11" s="782"/>
      <c r="JJ11" s="782"/>
      <c r="JK11" s="782"/>
      <c r="JL11" s="782"/>
      <c r="JM11" s="782"/>
      <c r="JN11" s="782"/>
      <c r="JO11" s="782"/>
      <c r="JP11" s="782"/>
      <c r="JQ11" s="782"/>
      <c r="JR11" s="782"/>
      <c r="JS11" s="782"/>
      <c r="JT11" s="782"/>
      <c r="JU11" s="782"/>
      <c r="JV11" s="782"/>
      <c r="JW11" s="782"/>
      <c r="JX11" s="782"/>
      <c r="JY11" s="782"/>
      <c r="JZ11" s="782"/>
      <c r="KA11" s="782"/>
      <c r="KB11" s="782"/>
      <c r="KC11" s="782"/>
      <c r="KD11" s="782"/>
      <c r="KE11" s="782"/>
      <c r="KF11" s="782"/>
      <c r="KG11" s="782"/>
      <c r="KH11" s="782"/>
      <c r="KI11" s="782"/>
      <c r="KJ11" s="782"/>
      <c r="KK11" s="782"/>
      <c r="KL11" s="782"/>
      <c r="KM11" s="782"/>
      <c r="KN11" s="782"/>
      <c r="KO11" s="782"/>
      <c r="KP11" s="782"/>
      <c r="KQ11" s="782"/>
      <c r="KR11" s="782"/>
      <c r="KS11" s="782"/>
      <c r="KT11" s="782"/>
      <c r="KU11" s="782"/>
      <c r="KV11" s="782"/>
      <c r="KW11" s="782"/>
      <c r="KX11" s="782"/>
      <c r="KY11" s="782"/>
      <c r="KZ11" s="782"/>
      <c r="LA11" s="782"/>
      <c r="LB11" s="782"/>
      <c r="LC11" s="782"/>
      <c r="LD11" s="782"/>
      <c r="LE11" s="782"/>
      <c r="LF11" s="782"/>
      <c r="LG11" s="782"/>
      <c r="LH11" s="782"/>
      <c r="LI11" s="782"/>
      <c r="LJ11" s="782"/>
      <c r="LK11" s="782"/>
      <c r="LL11" s="782"/>
      <c r="LM11" s="782"/>
      <c r="LN11" s="782"/>
      <c r="LO11" s="782"/>
      <c r="LP11" s="782"/>
      <c r="LQ11" s="782"/>
      <c r="LR11" s="782"/>
      <c r="LS11" s="782"/>
      <c r="LT11" s="782"/>
      <c r="LU11" s="782"/>
      <c r="LV11" s="782"/>
      <c r="LW11" s="782"/>
      <c r="LX11" s="782"/>
      <c r="LY11" s="782"/>
      <c r="LZ11" s="782"/>
      <c r="MA11" s="782"/>
      <c r="MB11" s="782"/>
      <c r="MC11" s="782"/>
      <c r="MD11" s="782"/>
      <c r="ME11" s="782"/>
      <c r="MF11" s="782"/>
      <c r="MG11" s="782"/>
      <c r="MH11" s="782"/>
      <c r="MI11" s="782"/>
      <c r="MJ11" s="782"/>
      <c r="MK11" s="782"/>
      <c r="ML11" s="782"/>
      <c r="MM11" s="782"/>
      <c r="MN11" s="782"/>
      <c r="MO11" s="782"/>
      <c r="MP11" s="782"/>
      <c r="MQ11" s="782"/>
      <c r="MR11" s="782"/>
      <c r="MS11" s="782"/>
      <c r="MT11" s="782"/>
      <c r="MU11" s="782"/>
      <c r="MV11" s="782"/>
      <c r="MW11" s="782"/>
      <c r="MX11" s="782"/>
      <c r="MY11" s="782"/>
      <c r="MZ11" s="782"/>
      <c r="NA11" s="782"/>
      <c r="NB11" s="782"/>
      <c r="NC11" s="782"/>
      <c r="ND11" s="782"/>
      <c r="NE11" s="782"/>
      <c r="NF11" s="782"/>
      <c r="NG11" s="782"/>
      <c r="NH11" s="782"/>
      <c r="NI11" s="782"/>
      <c r="NJ11" s="782"/>
      <c r="NK11" s="782"/>
      <c r="NL11" s="782"/>
      <c r="NM11" s="782"/>
      <c r="NN11" s="782"/>
      <c r="NO11" s="782"/>
      <c r="NP11" s="782"/>
      <c r="NQ11" s="782"/>
      <c r="NR11" s="782"/>
      <c r="NS11" s="782"/>
      <c r="NT11" s="782"/>
      <c r="NU11" s="782"/>
      <c r="NV11" s="782"/>
      <c r="NW11" s="782"/>
      <c r="NX11" s="782"/>
      <c r="NY11" s="782"/>
      <c r="NZ11" s="782"/>
      <c r="OA11" s="782"/>
      <c r="OB11" s="782"/>
      <c r="OC11" s="782"/>
      <c r="OD11" s="782"/>
      <c r="OE11" s="782"/>
      <c r="OF11" s="782"/>
      <c r="OG11" s="782"/>
      <c r="OH11" s="782"/>
      <c r="OI11" s="782"/>
      <c r="OJ11" s="782"/>
      <c r="OK11" s="782"/>
      <c r="OL11" s="782"/>
      <c r="OM11" s="782"/>
      <c r="ON11" s="782"/>
      <c r="OO11" s="782"/>
      <c r="OP11" s="782"/>
      <c r="OQ11" s="782"/>
      <c r="OR11" s="782"/>
      <c r="OS11" s="782"/>
      <c r="OT11" s="782"/>
      <c r="OU11" s="782"/>
      <c r="OV11" s="782"/>
      <c r="OW11" s="782"/>
      <c r="OX11" s="782"/>
      <c r="OY11" s="782"/>
      <c r="OZ11" s="782"/>
      <c r="PA11" s="782"/>
      <c r="PB11" s="782"/>
      <c r="PC11" s="782"/>
      <c r="PD11" s="782"/>
      <c r="PE11" s="782"/>
      <c r="PF11" s="782"/>
      <c r="PG11" s="782"/>
      <c r="PH11" s="782"/>
      <c r="PI11" s="782"/>
      <c r="PJ11" s="782"/>
      <c r="PK11" s="782"/>
      <c r="PL11" s="782"/>
      <c r="PM11" s="782"/>
      <c r="PN11" s="782"/>
      <c r="PO11" s="782"/>
    </row>
    <row r="12" spans="1:431" s="143" customFormat="1">
      <c r="A12" s="782"/>
      <c r="B12" s="782"/>
      <c r="C12" s="785"/>
      <c r="D12" s="785"/>
      <c r="E12" s="790"/>
      <c r="F12" s="785"/>
      <c r="G12" s="149"/>
      <c r="H12" s="785"/>
      <c r="I12" s="785"/>
      <c r="J12" s="790"/>
      <c r="K12" s="790"/>
      <c r="L12" s="149"/>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c r="AT12" s="782"/>
      <c r="AU12" s="782"/>
      <c r="AV12" s="782"/>
      <c r="AW12" s="782"/>
      <c r="AX12" s="782"/>
      <c r="AY12" s="782"/>
      <c r="AZ12" s="782"/>
      <c r="BA12" s="782"/>
      <c r="BB12" s="782"/>
      <c r="BC12" s="782"/>
      <c r="BD12" s="782"/>
      <c r="BE12" s="782"/>
      <c r="BF12" s="782"/>
      <c r="BG12" s="782"/>
      <c r="BH12" s="782"/>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2"/>
      <c r="CI12" s="782"/>
      <c r="CJ12" s="782"/>
      <c r="CK12" s="782"/>
      <c r="CL12" s="782"/>
      <c r="CM12" s="782"/>
      <c r="CN12" s="782"/>
      <c r="CO12" s="782"/>
      <c r="CP12" s="782"/>
      <c r="CQ12" s="782"/>
      <c r="CR12" s="782"/>
      <c r="CS12" s="782"/>
      <c r="CT12" s="782"/>
      <c r="CU12" s="782"/>
      <c r="CV12" s="782"/>
      <c r="CW12" s="782"/>
      <c r="CX12" s="782"/>
      <c r="CY12" s="782"/>
      <c r="CZ12" s="782"/>
      <c r="DA12" s="782"/>
      <c r="DB12" s="782"/>
      <c r="DC12" s="782"/>
      <c r="DD12" s="782"/>
      <c r="DE12" s="782"/>
      <c r="DF12" s="782"/>
      <c r="DG12" s="782"/>
      <c r="DH12" s="782"/>
      <c r="DI12" s="782"/>
      <c r="DJ12" s="782"/>
      <c r="DK12" s="782"/>
      <c r="DL12" s="782"/>
      <c r="DM12" s="782"/>
      <c r="DN12" s="782"/>
      <c r="DO12" s="782"/>
      <c r="DP12" s="782"/>
      <c r="DQ12" s="782"/>
      <c r="DR12" s="782"/>
      <c r="DS12" s="782"/>
      <c r="DT12" s="782"/>
      <c r="DU12" s="782"/>
      <c r="DV12" s="782"/>
      <c r="DW12" s="782"/>
      <c r="DX12" s="782"/>
      <c r="DY12" s="782"/>
      <c r="DZ12" s="782"/>
      <c r="EA12" s="782"/>
      <c r="EB12" s="782"/>
      <c r="EC12" s="782"/>
      <c r="ED12" s="782"/>
      <c r="EE12" s="782"/>
      <c r="EF12" s="782"/>
      <c r="EG12" s="782"/>
      <c r="EH12" s="782"/>
      <c r="EI12" s="782"/>
      <c r="EJ12" s="782"/>
      <c r="EK12" s="782"/>
      <c r="EL12" s="782"/>
      <c r="EM12" s="782"/>
      <c r="EN12" s="782"/>
      <c r="EO12" s="782"/>
      <c r="EP12" s="782"/>
      <c r="EQ12" s="782"/>
      <c r="ER12" s="782"/>
      <c r="ES12" s="782"/>
      <c r="ET12" s="782"/>
      <c r="EU12" s="782"/>
      <c r="EV12" s="782"/>
      <c r="EW12" s="782"/>
      <c r="EX12" s="782"/>
      <c r="EY12" s="782"/>
      <c r="EZ12" s="782"/>
      <c r="FA12" s="782"/>
      <c r="FB12" s="782"/>
      <c r="FC12" s="782"/>
      <c r="FD12" s="782"/>
      <c r="FE12" s="782"/>
      <c r="FF12" s="782"/>
      <c r="FG12" s="782"/>
      <c r="FH12" s="782"/>
      <c r="FI12" s="782"/>
      <c r="FJ12" s="782"/>
      <c r="FK12" s="782"/>
      <c r="FL12" s="782"/>
      <c r="FM12" s="782"/>
      <c r="FN12" s="782"/>
      <c r="FO12" s="782"/>
      <c r="FP12" s="782"/>
      <c r="FQ12" s="782"/>
      <c r="FR12" s="782"/>
      <c r="FS12" s="782"/>
      <c r="FT12" s="782"/>
      <c r="FU12" s="782"/>
      <c r="FV12" s="782"/>
      <c r="FW12" s="782"/>
      <c r="FX12" s="782"/>
      <c r="FY12" s="782"/>
      <c r="FZ12" s="782"/>
      <c r="GA12" s="782"/>
      <c r="GB12" s="782"/>
      <c r="GC12" s="782"/>
      <c r="GD12" s="782"/>
      <c r="GE12" s="782"/>
      <c r="GF12" s="782"/>
      <c r="GG12" s="782"/>
      <c r="GH12" s="782"/>
      <c r="GI12" s="782"/>
      <c r="GJ12" s="782"/>
      <c r="GK12" s="782"/>
      <c r="GL12" s="782"/>
      <c r="GM12" s="782"/>
      <c r="GN12" s="782"/>
      <c r="GO12" s="782"/>
      <c r="GP12" s="782"/>
      <c r="GQ12" s="782"/>
      <c r="GR12" s="782"/>
      <c r="GS12" s="782"/>
      <c r="GT12" s="782"/>
      <c r="GU12" s="782"/>
      <c r="GV12" s="782"/>
      <c r="GW12" s="782"/>
      <c r="GX12" s="782"/>
      <c r="GY12" s="782"/>
      <c r="GZ12" s="782"/>
      <c r="HA12" s="782"/>
      <c r="HB12" s="782"/>
      <c r="HC12" s="782"/>
      <c r="HD12" s="782"/>
      <c r="HE12" s="782"/>
      <c r="HF12" s="782"/>
      <c r="HG12" s="782"/>
      <c r="HH12" s="782"/>
      <c r="HI12" s="782"/>
      <c r="HJ12" s="782"/>
      <c r="HK12" s="782"/>
      <c r="HL12" s="782"/>
      <c r="HM12" s="782"/>
      <c r="HN12" s="782"/>
      <c r="HO12" s="782"/>
      <c r="HP12" s="782"/>
      <c r="HQ12" s="782"/>
      <c r="HR12" s="782"/>
      <c r="HS12" s="782"/>
      <c r="HT12" s="782"/>
      <c r="HU12" s="782"/>
      <c r="HV12" s="782"/>
      <c r="HW12" s="782"/>
      <c r="HX12" s="782"/>
      <c r="HY12" s="782"/>
      <c r="HZ12" s="782"/>
      <c r="IA12" s="782"/>
      <c r="IB12" s="782"/>
      <c r="IC12" s="782"/>
      <c r="ID12" s="782"/>
      <c r="IE12" s="782"/>
      <c r="IF12" s="782"/>
      <c r="IG12" s="782"/>
      <c r="IH12" s="782"/>
      <c r="II12" s="782"/>
      <c r="IJ12" s="782"/>
      <c r="IK12" s="782"/>
      <c r="IL12" s="782"/>
      <c r="IM12" s="782"/>
      <c r="IN12" s="782"/>
      <c r="IO12" s="782"/>
      <c r="IP12" s="782"/>
      <c r="IQ12" s="782"/>
      <c r="IR12" s="782"/>
      <c r="IS12" s="782"/>
      <c r="IT12" s="782"/>
      <c r="IU12" s="782"/>
      <c r="IV12" s="782"/>
      <c r="IW12" s="782"/>
      <c r="IX12" s="782"/>
      <c r="IY12" s="782"/>
      <c r="IZ12" s="782"/>
      <c r="JA12" s="782"/>
      <c r="JB12" s="782"/>
      <c r="JC12" s="782"/>
      <c r="JD12" s="782"/>
      <c r="JE12" s="782"/>
      <c r="JF12" s="782"/>
      <c r="JG12" s="782"/>
      <c r="JH12" s="782"/>
      <c r="JI12" s="782"/>
      <c r="JJ12" s="782"/>
      <c r="JK12" s="782"/>
      <c r="JL12" s="782"/>
      <c r="JM12" s="782"/>
      <c r="JN12" s="782"/>
      <c r="JO12" s="782"/>
      <c r="JP12" s="782"/>
      <c r="JQ12" s="782"/>
      <c r="JR12" s="782"/>
      <c r="JS12" s="782"/>
      <c r="JT12" s="782"/>
      <c r="JU12" s="782"/>
      <c r="JV12" s="782"/>
      <c r="JW12" s="782"/>
      <c r="JX12" s="782"/>
      <c r="JY12" s="782"/>
      <c r="JZ12" s="782"/>
      <c r="KA12" s="782"/>
      <c r="KB12" s="782"/>
      <c r="KC12" s="782"/>
      <c r="KD12" s="782"/>
      <c r="KE12" s="782"/>
      <c r="KF12" s="782"/>
      <c r="KG12" s="782"/>
      <c r="KH12" s="782"/>
      <c r="KI12" s="782"/>
      <c r="KJ12" s="782"/>
      <c r="KK12" s="782"/>
      <c r="KL12" s="782"/>
      <c r="KM12" s="782"/>
      <c r="KN12" s="782"/>
      <c r="KO12" s="782"/>
      <c r="KP12" s="782"/>
      <c r="KQ12" s="782"/>
      <c r="KR12" s="782"/>
      <c r="KS12" s="782"/>
      <c r="KT12" s="782"/>
      <c r="KU12" s="782"/>
      <c r="KV12" s="782"/>
      <c r="KW12" s="782"/>
      <c r="KX12" s="782"/>
      <c r="KY12" s="782"/>
      <c r="KZ12" s="782"/>
      <c r="LA12" s="782"/>
      <c r="LB12" s="782"/>
      <c r="LC12" s="782"/>
      <c r="LD12" s="782"/>
      <c r="LE12" s="782"/>
      <c r="LF12" s="782"/>
      <c r="LG12" s="782"/>
      <c r="LH12" s="782"/>
      <c r="LI12" s="782"/>
      <c r="LJ12" s="782"/>
      <c r="LK12" s="782"/>
      <c r="LL12" s="782"/>
      <c r="LM12" s="782"/>
      <c r="LN12" s="782"/>
      <c r="LO12" s="782"/>
      <c r="LP12" s="782"/>
      <c r="LQ12" s="782"/>
      <c r="LR12" s="782"/>
      <c r="LS12" s="782"/>
      <c r="LT12" s="782"/>
      <c r="LU12" s="782"/>
      <c r="LV12" s="782"/>
      <c r="LW12" s="782"/>
      <c r="LX12" s="782"/>
      <c r="LY12" s="782"/>
      <c r="LZ12" s="782"/>
      <c r="MA12" s="782"/>
      <c r="MB12" s="782"/>
      <c r="MC12" s="782"/>
      <c r="MD12" s="782"/>
      <c r="ME12" s="782"/>
      <c r="MF12" s="782"/>
      <c r="MG12" s="782"/>
      <c r="MH12" s="782"/>
      <c r="MI12" s="782"/>
      <c r="MJ12" s="782"/>
      <c r="MK12" s="782"/>
      <c r="ML12" s="782"/>
      <c r="MM12" s="782"/>
      <c r="MN12" s="782"/>
      <c r="MO12" s="782"/>
      <c r="MP12" s="782"/>
      <c r="MQ12" s="782"/>
      <c r="MR12" s="782"/>
      <c r="MS12" s="782"/>
      <c r="MT12" s="782"/>
      <c r="MU12" s="782"/>
      <c r="MV12" s="782"/>
      <c r="MW12" s="782"/>
      <c r="MX12" s="782"/>
      <c r="MY12" s="782"/>
      <c r="MZ12" s="782"/>
      <c r="NA12" s="782"/>
      <c r="NB12" s="782"/>
      <c r="NC12" s="782"/>
      <c r="ND12" s="782"/>
      <c r="NE12" s="782"/>
      <c r="NF12" s="782"/>
      <c r="NG12" s="782"/>
      <c r="NH12" s="782"/>
      <c r="NI12" s="782"/>
      <c r="NJ12" s="782"/>
      <c r="NK12" s="782"/>
      <c r="NL12" s="782"/>
      <c r="NM12" s="782"/>
      <c r="NN12" s="782"/>
      <c r="NO12" s="782"/>
      <c r="NP12" s="782"/>
      <c r="NQ12" s="782"/>
      <c r="NR12" s="782"/>
      <c r="NS12" s="782"/>
      <c r="NT12" s="782"/>
      <c r="NU12" s="782"/>
      <c r="NV12" s="782"/>
      <c r="NW12" s="782"/>
      <c r="NX12" s="782"/>
      <c r="NY12" s="782"/>
      <c r="NZ12" s="782"/>
      <c r="OA12" s="782"/>
      <c r="OB12" s="782"/>
      <c r="OC12" s="782"/>
      <c r="OD12" s="782"/>
      <c r="OE12" s="782"/>
      <c r="OF12" s="782"/>
      <c r="OG12" s="782"/>
      <c r="OH12" s="782"/>
      <c r="OI12" s="782"/>
      <c r="OJ12" s="782"/>
      <c r="OK12" s="782"/>
      <c r="OL12" s="782"/>
      <c r="OM12" s="782"/>
      <c r="ON12" s="782"/>
      <c r="OO12" s="782"/>
      <c r="OP12" s="782"/>
      <c r="OQ12" s="782"/>
      <c r="OR12" s="782"/>
      <c r="OS12" s="782"/>
      <c r="OT12" s="782"/>
      <c r="OU12" s="782"/>
      <c r="OV12" s="782"/>
      <c r="OW12" s="782"/>
      <c r="OX12" s="782"/>
      <c r="OY12" s="782"/>
      <c r="OZ12" s="782"/>
      <c r="PA12" s="782"/>
      <c r="PB12" s="782"/>
      <c r="PC12" s="782"/>
      <c r="PD12" s="782"/>
      <c r="PE12" s="782"/>
      <c r="PF12" s="782"/>
      <c r="PG12" s="782"/>
      <c r="PH12" s="782"/>
      <c r="PI12" s="782"/>
      <c r="PJ12" s="782"/>
      <c r="PK12" s="782"/>
      <c r="PL12" s="782"/>
      <c r="PM12" s="782"/>
      <c r="PN12" s="782"/>
      <c r="PO12" s="782"/>
    </row>
    <row r="13" spans="1:431" s="143" customFormat="1">
      <c r="A13" s="782"/>
      <c r="B13" s="782"/>
      <c r="C13" s="785"/>
      <c r="D13" s="785"/>
      <c r="E13" s="151"/>
      <c r="F13" s="149"/>
      <c r="G13" s="785"/>
      <c r="H13" s="785"/>
      <c r="I13" s="785"/>
      <c r="J13" s="151"/>
      <c r="K13" s="484"/>
      <c r="L13" s="785"/>
      <c r="M13" s="782"/>
      <c r="N13" s="782"/>
      <c r="O13" s="782"/>
      <c r="P13" s="78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c r="BB13" s="782"/>
      <c r="BC13" s="782"/>
      <c r="BD13" s="782"/>
      <c r="BE13" s="782"/>
      <c r="BF13" s="782"/>
      <c r="BG13" s="782"/>
      <c r="BH13" s="782"/>
      <c r="BI13" s="782"/>
      <c r="BJ13" s="782"/>
      <c r="BK13" s="782"/>
      <c r="BL13" s="782"/>
      <c r="BM13" s="782"/>
      <c r="BN13" s="782"/>
      <c r="BO13" s="782"/>
      <c r="BP13" s="782"/>
      <c r="BQ13" s="782"/>
      <c r="BR13" s="782"/>
      <c r="BS13" s="782"/>
      <c r="BT13" s="782"/>
      <c r="BU13" s="782"/>
      <c r="BV13" s="782"/>
      <c r="BW13" s="782"/>
      <c r="BX13" s="782"/>
      <c r="BY13" s="782"/>
      <c r="BZ13" s="782"/>
      <c r="CA13" s="782"/>
      <c r="CB13" s="782"/>
      <c r="CC13" s="782"/>
      <c r="CD13" s="782"/>
      <c r="CE13" s="782"/>
      <c r="CF13" s="782"/>
      <c r="CG13" s="782"/>
      <c r="CH13" s="782"/>
      <c r="CI13" s="782"/>
      <c r="CJ13" s="782"/>
      <c r="CK13" s="782"/>
      <c r="CL13" s="782"/>
      <c r="CM13" s="782"/>
      <c r="CN13" s="782"/>
      <c r="CO13" s="782"/>
      <c r="CP13" s="782"/>
      <c r="CQ13" s="782"/>
      <c r="CR13" s="782"/>
      <c r="CS13" s="782"/>
      <c r="CT13" s="782"/>
      <c r="CU13" s="782"/>
      <c r="CV13" s="782"/>
      <c r="CW13" s="782"/>
      <c r="CX13" s="782"/>
      <c r="CY13" s="782"/>
      <c r="CZ13" s="782"/>
      <c r="DA13" s="782"/>
      <c r="DB13" s="782"/>
      <c r="DC13" s="782"/>
      <c r="DD13" s="782"/>
      <c r="DE13" s="782"/>
      <c r="DF13" s="782"/>
      <c r="DG13" s="782"/>
      <c r="DH13" s="782"/>
      <c r="DI13" s="782"/>
      <c r="DJ13" s="782"/>
      <c r="DK13" s="782"/>
      <c r="DL13" s="782"/>
      <c r="DM13" s="782"/>
      <c r="DN13" s="782"/>
      <c r="DO13" s="782"/>
      <c r="DP13" s="782"/>
      <c r="DQ13" s="782"/>
      <c r="DR13" s="782"/>
      <c r="DS13" s="782"/>
      <c r="DT13" s="782"/>
      <c r="DU13" s="782"/>
      <c r="DV13" s="782"/>
      <c r="DW13" s="782"/>
      <c r="DX13" s="782"/>
      <c r="DY13" s="782"/>
      <c r="DZ13" s="782"/>
      <c r="EA13" s="782"/>
      <c r="EB13" s="782"/>
      <c r="EC13" s="782"/>
      <c r="ED13" s="782"/>
      <c r="EE13" s="782"/>
      <c r="EF13" s="782"/>
      <c r="EG13" s="782"/>
      <c r="EH13" s="782"/>
      <c r="EI13" s="782"/>
      <c r="EJ13" s="782"/>
      <c r="EK13" s="782"/>
      <c r="EL13" s="782"/>
      <c r="EM13" s="782"/>
      <c r="EN13" s="782"/>
      <c r="EO13" s="782"/>
      <c r="EP13" s="782"/>
      <c r="EQ13" s="782"/>
      <c r="ER13" s="782"/>
      <c r="ES13" s="782"/>
      <c r="ET13" s="782"/>
      <c r="EU13" s="782"/>
      <c r="EV13" s="782"/>
      <c r="EW13" s="782"/>
      <c r="EX13" s="782"/>
      <c r="EY13" s="782"/>
      <c r="EZ13" s="782"/>
      <c r="FA13" s="782"/>
      <c r="FB13" s="782"/>
      <c r="FC13" s="782"/>
      <c r="FD13" s="782"/>
      <c r="FE13" s="782"/>
      <c r="FF13" s="782"/>
      <c r="FG13" s="782"/>
      <c r="FH13" s="782"/>
      <c r="FI13" s="782"/>
      <c r="FJ13" s="782"/>
      <c r="FK13" s="782"/>
      <c r="FL13" s="782"/>
      <c r="FM13" s="782"/>
      <c r="FN13" s="782"/>
      <c r="FO13" s="782"/>
      <c r="FP13" s="782"/>
      <c r="FQ13" s="782"/>
      <c r="FR13" s="782"/>
      <c r="FS13" s="782"/>
      <c r="FT13" s="782"/>
      <c r="FU13" s="782"/>
      <c r="FV13" s="782"/>
      <c r="FW13" s="782"/>
      <c r="FX13" s="782"/>
      <c r="FY13" s="782"/>
      <c r="FZ13" s="782"/>
      <c r="GA13" s="782"/>
      <c r="GB13" s="782"/>
      <c r="GC13" s="782"/>
      <c r="GD13" s="782"/>
      <c r="GE13" s="782"/>
      <c r="GF13" s="782"/>
      <c r="GG13" s="782"/>
      <c r="GH13" s="782"/>
      <c r="GI13" s="782"/>
      <c r="GJ13" s="782"/>
      <c r="GK13" s="782"/>
      <c r="GL13" s="782"/>
      <c r="GM13" s="782"/>
      <c r="GN13" s="782"/>
      <c r="GO13" s="782"/>
      <c r="GP13" s="782"/>
      <c r="GQ13" s="782"/>
      <c r="GR13" s="782"/>
      <c r="GS13" s="782"/>
      <c r="GT13" s="782"/>
      <c r="GU13" s="782"/>
      <c r="GV13" s="782"/>
      <c r="GW13" s="782"/>
      <c r="GX13" s="782"/>
      <c r="GY13" s="782"/>
      <c r="GZ13" s="782"/>
      <c r="HA13" s="782"/>
      <c r="HB13" s="782"/>
      <c r="HC13" s="782"/>
      <c r="HD13" s="782"/>
      <c r="HE13" s="782"/>
      <c r="HF13" s="782"/>
      <c r="HG13" s="782"/>
      <c r="HH13" s="782"/>
      <c r="HI13" s="782"/>
      <c r="HJ13" s="782"/>
      <c r="HK13" s="782"/>
      <c r="HL13" s="782"/>
      <c r="HM13" s="782"/>
      <c r="HN13" s="782"/>
      <c r="HO13" s="782"/>
      <c r="HP13" s="782"/>
      <c r="HQ13" s="782"/>
      <c r="HR13" s="782"/>
      <c r="HS13" s="782"/>
      <c r="HT13" s="782"/>
      <c r="HU13" s="782"/>
      <c r="HV13" s="782"/>
      <c r="HW13" s="782"/>
      <c r="HX13" s="782"/>
      <c r="HY13" s="782"/>
      <c r="HZ13" s="782"/>
      <c r="IA13" s="782"/>
      <c r="IB13" s="782"/>
      <c r="IC13" s="782"/>
      <c r="ID13" s="782"/>
      <c r="IE13" s="782"/>
      <c r="IF13" s="782"/>
      <c r="IG13" s="782"/>
      <c r="IH13" s="782"/>
      <c r="II13" s="782"/>
      <c r="IJ13" s="782"/>
      <c r="IK13" s="782"/>
      <c r="IL13" s="782"/>
      <c r="IM13" s="782"/>
      <c r="IN13" s="782"/>
      <c r="IO13" s="782"/>
      <c r="IP13" s="782"/>
      <c r="IQ13" s="782"/>
      <c r="IR13" s="782"/>
      <c r="IS13" s="782"/>
      <c r="IT13" s="782"/>
      <c r="IU13" s="782"/>
      <c r="IV13" s="782"/>
      <c r="IW13" s="782"/>
      <c r="IX13" s="782"/>
      <c r="IY13" s="782"/>
      <c r="IZ13" s="782"/>
      <c r="JA13" s="782"/>
      <c r="JB13" s="782"/>
      <c r="JC13" s="782"/>
      <c r="JD13" s="782"/>
      <c r="JE13" s="782"/>
      <c r="JF13" s="782"/>
      <c r="JG13" s="782"/>
      <c r="JH13" s="782"/>
      <c r="JI13" s="782"/>
      <c r="JJ13" s="782"/>
      <c r="JK13" s="782"/>
      <c r="JL13" s="782"/>
      <c r="JM13" s="782"/>
      <c r="JN13" s="782"/>
      <c r="JO13" s="782"/>
      <c r="JP13" s="782"/>
      <c r="JQ13" s="782"/>
      <c r="JR13" s="782"/>
      <c r="JS13" s="782"/>
      <c r="JT13" s="782"/>
      <c r="JU13" s="782"/>
      <c r="JV13" s="782"/>
      <c r="JW13" s="782"/>
      <c r="JX13" s="782"/>
      <c r="JY13" s="782"/>
      <c r="JZ13" s="782"/>
      <c r="KA13" s="782"/>
      <c r="KB13" s="782"/>
      <c r="KC13" s="782"/>
      <c r="KD13" s="782"/>
      <c r="KE13" s="782"/>
      <c r="KF13" s="782"/>
      <c r="KG13" s="782"/>
      <c r="KH13" s="782"/>
      <c r="KI13" s="782"/>
      <c r="KJ13" s="782"/>
      <c r="KK13" s="782"/>
      <c r="KL13" s="782"/>
      <c r="KM13" s="782"/>
      <c r="KN13" s="782"/>
      <c r="KO13" s="782"/>
      <c r="KP13" s="782"/>
      <c r="KQ13" s="782"/>
      <c r="KR13" s="782"/>
      <c r="KS13" s="782"/>
      <c r="KT13" s="782"/>
      <c r="KU13" s="782"/>
      <c r="KV13" s="782"/>
      <c r="KW13" s="782"/>
      <c r="KX13" s="782"/>
      <c r="KY13" s="782"/>
      <c r="KZ13" s="782"/>
      <c r="LA13" s="782"/>
      <c r="LB13" s="782"/>
      <c r="LC13" s="782"/>
      <c r="LD13" s="782"/>
      <c r="LE13" s="782"/>
      <c r="LF13" s="782"/>
      <c r="LG13" s="782"/>
      <c r="LH13" s="782"/>
      <c r="LI13" s="782"/>
      <c r="LJ13" s="782"/>
      <c r="LK13" s="782"/>
      <c r="LL13" s="782"/>
      <c r="LM13" s="782"/>
      <c r="LN13" s="782"/>
      <c r="LO13" s="782"/>
      <c r="LP13" s="782"/>
      <c r="LQ13" s="782"/>
      <c r="LR13" s="782"/>
      <c r="LS13" s="782"/>
      <c r="LT13" s="782"/>
      <c r="LU13" s="782"/>
      <c r="LV13" s="782"/>
      <c r="LW13" s="782"/>
      <c r="LX13" s="782"/>
      <c r="LY13" s="782"/>
      <c r="LZ13" s="782"/>
      <c r="MA13" s="782"/>
      <c r="MB13" s="782"/>
      <c r="MC13" s="782"/>
      <c r="MD13" s="782"/>
      <c r="ME13" s="782"/>
      <c r="MF13" s="782"/>
      <c r="MG13" s="782"/>
      <c r="MH13" s="782"/>
      <c r="MI13" s="782"/>
      <c r="MJ13" s="782"/>
      <c r="MK13" s="782"/>
      <c r="ML13" s="782"/>
      <c r="MM13" s="782"/>
      <c r="MN13" s="782"/>
      <c r="MO13" s="782"/>
      <c r="MP13" s="782"/>
      <c r="MQ13" s="782"/>
      <c r="MR13" s="782"/>
      <c r="MS13" s="782"/>
      <c r="MT13" s="782"/>
      <c r="MU13" s="782"/>
      <c r="MV13" s="782"/>
      <c r="MW13" s="782"/>
      <c r="MX13" s="782"/>
      <c r="MY13" s="782"/>
      <c r="MZ13" s="782"/>
      <c r="NA13" s="782"/>
      <c r="NB13" s="782"/>
      <c r="NC13" s="782"/>
      <c r="ND13" s="782"/>
      <c r="NE13" s="782"/>
      <c r="NF13" s="782"/>
      <c r="NG13" s="782"/>
      <c r="NH13" s="782"/>
      <c r="NI13" s="782"/>
      <c r="NJ13" s="782"/>
      <c r="NK13" s="782"/>
      <c r="NL13" s="782"/>
      <c r="NM13" s="782"/>
      <c r="NN13" s="782"/>
      <c r="NO13" s="782"/>
      <c r="NP13" s="782"/>
      <c r="NQ13" s="782"/>
      <c r="NR13" s="782"/>
      <c r="NS13" s="782"/>
      <c r="NT13" s="782"/>
      <c r="NU13" s="782"/>
      <c r="NV13" s="782"/>
      <c r="NW13" s="782"/>
      <c r="NX13" s="782"/>
      <c r="NY13" s="782"/>
      <c r="NZ13" s="782"/>
      <c r="OA13" s="782"/>
      <c r="OB13" s="782"/>
      <c r="OC13" s="782"/>
      <c r="OD13" s="782"/>
      <c r="OE13" s="782"/>
      <c r="OF13" s="782"/>
      <c r="OG13" s="782"/>
      <c r="OH13" s="782"/>
      <c r="OI13" s="782"/>
      <c r="OJ13" s="782"/>
      <c r="OK13" s="782"/>
      <c r="OL13" s="782"/>
      <c r="OM13" s="782"/>
      <c r="ON13" s="782"/>
      <c r="OO13" s="782"/>
      <c r="OP13" s="782"/>
      <c r="OQ13" s="782"/>
      <c r="OR13" s="782"/>
      <c r="OS13" s="782"/>
      <c r="OT13" s="782"/>
      <c r="OU13" s="782"/>
      <c r="OV13" s="782"/>
      <c r="OW13" s="782"/>
      <c r="OX13" s="782"/>
      <c r="OY13" s="782"/>
      <c r="OZ13" s="782"/>
      <c r="PA13" s="782"/>
      <c r="PB13" s="782"/>
      <c r="PC13" s="782"/>
      <c r="PD13" s="782"/>
      <c r="PE13" s="782"/>
      <c r="PF13" s="782"/>
      <c r="PG13" s="782"/>
      <c r="PH13" s="782"/>
      <c r="PI13" s="782"/>
      <c r="PJ13" s="782"/>
      <c r="PK13" s="782"/>
      <c r="PL13" s="782"/>
      <c r="PM13" s="782"/>
      <c r="PN13" s="782"/>
      <c r="PO13" s="782"/>
    </row>
    <row r="14" spans="1:431" s="143" customFormat="1">
      <c r="A14" s="782"/>
      <c r="B14" s="782"/>
      <c r="C14" s="785"/>
      <c r="D14" s="785"/>
      <c r="E14" s="785"/>
      <c r="F14" s="785"/>
      <c r="G14" s="785"/>
      <c r="H14" s="785"/>
      <c r="I14" s="785"/>
      <c r="J14" s="785"/>
      <c r="K14" s="785"/>
      <c r="L14" s="785"/>
      <c r="M14" s="782"/>
      <c r="N14" s="782"/>
      <c r="O14" s="782"/>
      <c r="P14" s="782"/>
      <c r="Q14" s="782"/>
      <c r="R14" s="782"/>
      <c r="S14" s="782"/>
      <c r="T14" s="782"/>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2"/>
      <c r="BD14" s="782"/>
      <c r="BE14" s="782"/>
      <c r="BF14" s="782"/>
      <c r="BG14" s="782"/>
      <c r="BH14" s="782"/>
      <c r="BI14" s="782"/>
      <c r="BJ14" s="782"/>
      <c r="BK14" s="782"/>
      <c r="BL14" s="782"/>
      <c r="BM14" s="782"/>
      <c r="BN14" s="782"/>
      <c r="BO14" s="782"/>
      <c r="BP14" s="782"/>
      <c r="BQ14" s="782"/>
      <c r="BR14" s="782"/>
      <c r="BS14" s="782"/>
      <c r="BT14" s="782"/>
      <c r="BU14" s="782"/>
      <c r="BV14" s="782"/>
      <c r="BW14" s="782"/>
      <c r="BX14" s="782"/>
      <c r="BY14" s="782"/>
      <c r="BZ14" s="782"/>
      <c r="CA14" s="782"/>
      <c r="CB14" s="782"/>
      <c r="CC14" s="782"/>
      <c r="CD14" s="782"/>
      <c r="CE14" s="782"/>
      <c r="CF14" s="782"/>
      <c r="CG14" s="782"/>
      <c r="CH14" s="782"/>
      <c r="CI14" s="782"/>
      <c r="CJ14" s="782"/>
      <c r="CK14" s="782"/>
      <c r="CL14" s="782"/>
      <c r="CM14" s="782"/>
      <c r="CN14" s="782"/>
      <c r="CO14" s="782"/>
      <c r="CP14" s="782"/>
      <c r="CQ14" s="782"/>
      <c r="CR14" s="782"/>
      <c r="CS14" s="782"/>
      <c r="CT14" s="782"/>
      <c r="CU14" s="782"/>
      <c r="CV14" s="782"/>
      <c r="CW14" s="782"/>
      <c r="CX14" s="782"/>
      <c r="CY14" s="782"/>
      <c r="CZ14" s="782"/>
      <c r="DA14" s="782"/>
      <c r="DB14" s="782"/>
      <c r="DC14" s="782"/>
      <c r="DD14" s="782"/>
      <c r="DE14" s="782"/>
      <c r="DF14" s="782"/>
      <c r="DG14" s="782"/>
      <c r="DH14" s="782"/>
      <c r="DI14" s="782"/>
      <c r="DJ14" s="782"/>
      <c r="DK14" s="782"/>
      <c r="DL14" s="782"/>
      <c r="DM14" s="782"/>
      <c r="DN14" s="782"/>
      <c r="DO14" s="782"/>
      <c r="DP14" s="782"/>
      <c r="DQ14" s="782"/>
      <c r="DR14" s="782"/>
      <c r="DS14" s="782"/>
      <c r="DT14" s="782"/>
      <c r="DU14" s="782"/>
      <c r="DV14" s="782"/>
      <c r="DW14" s="782"/>
      <c r="DX14" s="782"/>
      <c r="DY14" s="782"/>
      <c r="DZ14" s="782"/>
      <c r="EA14" s="782"/>
      <c r="EB14" s="782"/>
      <c r="EC14" s="782"/>
      <c r="ED14" s="782"/>
      <c r="EE14" s="782"/>
      <c r="EF14" s="782"/>
      <c r="EG14" s="782"/>
      <c r="EH14" s="782"/>
      <c r="EI14" s="782"/>
      <c r="EJ14" s="782"/>
      <c r="EK14" s="782"/>
      <c r="EL14" s="782"/>
      <c r="EM14" s="782"/>
      <c r="EN14" s="782"/>
      <c r="EO14" s="782"/>
      <c r="EP14" s="782"/>
      <c r="EQ14" s="782"/>
      <c r="ER14" s="782"/>
      <c r="ES14" s="782"/>
      <c r="ET14" s="782"/>
      <c r="EU14" s="782"/>
      <c r="EV14" s="782"/>
      <c r="EW14" s="782"/>
      <c r="EX14" s="782"/>
      <c r="EY14" s="782"/>
      <c r="EZ14" s="782"/>
      <c r="FA14" s="782"/>
      <c r="FB14" s="782"/>
      <c r="FC14" s="782"/>
      <c r="FD14" s="782"/>
      <c r="FE14" s="782"/>
      <c r="FF14" s="782"/>
      <c r="FG14" s="782"/>
      <c r="FH14" s="782"/>
      <c r="FI14" s="782"/>
      <c r="FJ14" s="782"/>
      <c r="FK14" s="782"/>
      <c r="FL14" s="782"/>
      <c r="FM14" s="782"/>
      <c r="FN14" s="782"/>
      <c r="FO14" s="782"/>
      <c r="FP14" s="782"/>
      <c r="FQ14" s="782"/>
      <c r="FR14" s="782"/>
      <c r="FS14" s="782"/>
      <c r="FT14" s="782"/>
      <c r="FU14" s="782"/>
      <c r="FV14" s="782"/>
      <c r="FW14" s="782"/>
      <c r="FX14" s="782"/>
      <c r="FY14" s="782"/>
      <c r="FZ14" s="782"/>
      <c r="GA14" s="782"/>
      <c r="GB14" s="782"/>
      <c r="GC14" s="782"/>
      <c r="GD14" s="782"/>
      <c r="GE14" s="782"/>
      <c r="GF14" s="782"/>
      <c r="GG14" s="782"/>
      <c r="GH14" s="782"/>
      <c r="GI14" s="782"/>
      <c r="GJ14" s="782"/>
      <c r="GK14" s="782"/>
      <c r="GL14" s="782"/>
      <c r="GM14" s="782"/>
      <c r="GN14" s="782"/>
      <c r="GO14" s="782"/>
      <c r="GP14" s="782"/>
      <c r="GQ14" s="782"/>
      <c r="GR14" s="782"/>
      <c r="GS14" s="782"/>
      <c r="GT14" s="782"/>
      <c r="GU14" s="782"/>
      <c r="GV14" s="782"/>
      <c r="GW14" s="782"/>
      <c r="GX14" s="782"/>
      <c r="GY14" s="782"/>
      <c r="GZ14" s="782"/>
      <c r="HA14" s="782"/>
      <c r="HB14" s="782"/>
      <c r="HC14" s="782"/>
      <c r="HD14" s="782"/>
      <c r="HE14" s="782"/>
      <c r="HF14" s="782"/>
      <c r="HG14" s="782"/>
      <c r="HH14" s="782"/>
      <c r="HI14" s="782"/>
      <c r="HJ14" s="782"/>
      <c r="HK14" s="782"/>
      <c r="HL14" s="782"/>
      <c r="HM14" s="782"/>
      <c r="HN14" s="782"/>
      <c r="HO14" s="782"/>
      <c r="HP14" s="782"/>
      <c r="HQ14" s="782"/>
      <c r="HR14" s="782"/>
      <c r="HS14" s="782"/>
      <c r="HT14" s="782"/>
      <c r="HU14" s="782"/>
      <c r="HV14" s="782"/>
      <c r="HW14" s="782"/>
      <c r="HX14" s="782"/>
      <c r="HY14" s="782"/>
      <c r="HZ14" s="782"/>
      <c r="IA14" s="782"/>
      <c r="IB14" s="782"/>
      <c r="IC14" s="782"/>
      <c r="ID14" s="782"/>
      <c r="IE14" s="782"/>
      <c r="IF14" s="782"/>
      <c r="IG14" s="782"/>
      <c r="IH14" s="782"/>
      <c r="II14" s="782"/>
      <c r="IJ14" s="782"/>
      <c r="IK14" s="782"/>
      <c r="IL14" s="782"/>
      <c r="IM14" s="782"/>
      <c r="IN14" s="782"/>
      <c r="IO14" s="782"/>
      <c r="IP14" s="782"/>
      <c r="IQ14" s="782"/>
      <c r="IR14" s="782"/>
      <c r="IS14" s="782"/>
      <c r="IT14" s="782"/>
      <c r="IU14" s="782"/>
      <c r="IV14" s="782"/>
      <c r="IW14" s="782"/>
      <c r="IX14" s="782"/>
      <c r="IY14" s="782"/>
      <c r="IZ14" s="782"/>
      <c r="JA14" s="782"/>
      <c r="JB14" s="782"/>
      <c r="JC14" s="782"/>
      <c r="JD14" s="782"/>
      <c r="JE14" s="782"/>
      <c r="JF14" s="782"/>
      <c r="JG14" s="782"/>
      <c r="JH14" s="782"/>
      <c r="JI14" s="782"/>
      <c r="JJ14" s="782"/>
      <c r="JK14" s="782"/>
      <c r="JL14" s="782"/>
      <c r="JM14" s="782"/>
      <c r="JN14" s="782"/>
      <c r="JO14" s="782"/>
      <c r="JP14" s="782"/>
      <c r="JQ14" s="782"/>
      <c r="JR14" s="782"/>
      <c r="JS14" s="782"/>
      <c r="JT14" s="782"/>
      <c r="JU14" s="782"/>
      <c r="JV14" s="782"/>
      <c r="JW14" s="782"/>
      <c r="JX14" s="782"/>
      <c r="JY14" s="782"/>
      <c r="JZ14" s="782"/>
      <c r="KA14" s="782"/>
      <c r="KB14" s="782"/>
      <c r="KC14" s="782"/>
      <c r="KD14" s="782"/>
      <c r="KE14" s="782"/>
      <c r="KF14" s="782"/>
      <c r="KG14" s="782"/>
      <c r="KH14" s="782"/>
      <c r="KI14" s="782"/>
      <c r="KJ14" s="782"/>
      <c r="KK14" s="782"/>
      <c r="KL14" s="782"/>
      <c r="KM14" s="782"/>
      <c r="KN14" s="782"/>
      <c r="KO14" s="782"/>
      <c r="KP14" s="782"/>
      <c r="KQ14" s="782"/>
      <c r="KR14" s="782"/>
      <c r="KS14" s="782"/>
      <c r="KT14" s="782"/>
      <c r="KU14" s="782"/>
      <c r="KV14" s="782"/>
      <c r="KW14" s="782"/>
      <c r="KX14" s="782"/>
      <c r="KY14" s="782"/>
      <c r="KZ14" s="782"/>
      <c r="LA14" s="782"/>
      <c r="LB14" s="782"/>
      <c r="LC14" s="782"/>
      <c r="LD14" s="782"/>
      <c r="LE14" s="782"/>
      <c r="LF14" s="782"/>
      <c r="LG14" s="782"/>
      <c r="LH14" s="782"/>
      <c r="LI14" s="782"/>
      <c r="LJ14" s="782"/>
      <c r="LK14" s="782"/>
      <c r="LL14" s="782"/>
      <c r="LM14" s="782"/>
      <c r="LN14" s="782"/>
      <c r="LO14" s="782"/>
      <c r="LP14" s="782"/>
      <c r="LQ14" s="782"/>
      <c r="LR14" s="782"/>
      <c r="LS14" s="782"/>
      <c r="LT14" s="782"/>
      <c r="LU14" s="782"/>
      <c r="LV14" s="782"/>
      <c r="LW14" s="782"/>
      <c r="LX14" s="782"/>
      <c r="LY14" s="782"/>
      <c r="LZ14" s="782"/>
      <c r="MA14" s="782"/>
      <c r="MB14" s="782"/>
      <c r="MC14" s="782"/>
      <c r="MD14" s="782"/>
      <c r="ME14" s="782"/>
      <c r="MF14" s="782"/>
      <c r="MG14" s="782"/>
      <c r="MH14" s="782"/>
      <c r="MI14" s="782"/>
      <c r="MJ14" s="782"/>
      <c r="MK14" s="782"/>
      <c r="ML14" s="782"/>
      <c r="MM14" s="782"/>
      <c r="MN14" s="782"/>
      <c r="MO14" s="782"/>
      <c r="MP14" s="782"/>
      <c r="MQ14" s="782"/>
      <c r="MR14" s="782"/>
      <c r="MS14" s="782"/>
      <c r="MT14" s="782"/>
      <c r="MU14" s="782"/>
      <c r="MV14" s="782"/>
      <c r="MW14" s="782"/>
      <c r="MX14" s="782"/>
      <c r="MY14" s="782"/>
      <c r="MZ14" s="782"/>
      <c r="NA14" s="782"/>
      <c r="NB14" s="782"/>
      <c r="NC14" s="782"/>
      <c r="ND14" s="782"/>
      <c r="NE14" s="782"/>
      <c r="NF14" s="782"/>
      <c r="NG14" s="782"/>
      <c r="NH14" s="782"/>
      <c r="NI14" s="782"/>
      <c r="NJ14" s="782"/>
      <c r="NK14" s="782"/>
      <c r="NL14" s="782"/>
      <c r="NM14" s="782"/>
      <c r="NN14" s="782"/>
      <c r="NO14" s="782"/>
      <c r="NP14" s="782"/>
      <c r="NQ14" s="782"/>
      <c r="NR14" s="782"/>
      <c r="NS14" s="782"/>
      <c r="NT14" s="782"/>
      <c r="NU14" s="782"/>
      <c r="NV14" s="782"/>
      <c r="NW14" s="782"/>
      <c r="NX14" s="782"/>
      <c r="NY14" s="782"/>
      <c r="NZ14" s="782"/>
      <c r="OA14" s="782"/>
      <c r="OB14" s="782"/>
      <c r="OC14" s="782"/>
      <c r="OD14" s="782"/>
      <c r="OE14" s="782"/>
      <c r="OF14" s="782"/>
      <c r="OG14" s="782"/>
      <c r="OH14" s="782"/>
      <c r="OI14" s="782"/>
      <c r="OJ14" s="782"/>
      <c r="OK14" s="782"/>
      <c r="OL14" s="782"/>
      <c r="OM14" s="782"/>
      <c r="ON14" s="782"/>
      <c r="OO14" s="782"/>
      <c r="OP14" s="782"/>
      <c r="OQ14" s="782"/>
      <c r="OR14" s="782"/>
      <c r="OS14" s="782"/>
      <c r="OT14" s="782"/>
      <c r="OU14" s="782"/>
      <c r="OV14" s="782"/>
      <c r="OW14" s="782"/>
      <c r="OX14" s="782"/>
      <c r="OY14" s="782"/>
      <c r="OZ14" s="782"/>
      <c r="PA14" s="782"/>
      <c r="PB14" s="782"/>
      <c r="PC14" s="782"/>
      <c r="PD14" s="782"/>
      <c r="PE14" s="782"/>
      <c r="PF14" s="782"/>
      <c r="PG14" s="782"/>
      <c r="PH14" s="782"/>
      <c r="PI14" s="782"/>
      <c r="PJ14" s="782"/>
      <c r="PK14" s="782"/>
      <c r="PL14" s="782"/>
      <c r="PM14" s="782"/>
      <c r="PN14" s="782"/>
      <c r="PO14" s="782"/>
    </row>
    <row r="15" spans="1:431" s="143" customFormat="1">
      <c r="A15" s="782"/>
      <c r="B15" s="782"/>
      <c r="C15" s="785"/>
      <c r="D15" s="785"/>
      <c r="E15" s="785"/>
      <c r="F15" s="785"/>
      <c r="G15" s="785"/>
      <c r="H15" s="785"/>
      <c r="I15" s="785"/>
      <c r="J15" s="785"/>
      <c r="K15" s="785"/>
      <c r="L15" s="785"/>
      <c r="M15" s="782"/>
      <c r="N15" s="782"/>
      <c r="O15" s="782"/>
      <c r="P15" s="782"/>
      <c r="Q15" s="782"/>
      <c r="R15" s="782"/>
      <c r="S15" s="782"/>
      <c r="T15" s="782"/>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2"/>
      <c r="BD15" s="782"/>
      <c r="BE15" s="782"/>
      <c r="BF15" s="782"/>
      <c r="BG15" s="782"/>
      <c r="BH15" s="782"/>
      <c r="BI15" s="782"/>
      <c r="BJ15" s="782"/>
      <c r="BK15" s="782"/>
      <c r="BL15" s="782"/>
      <c r="BM15" s="782"/>
      <c r="BN15" s="782"/>
      <c r="BO15" s="782"/>
      <c r="BP15" s="782"/>
      <c r="BQ15" s="782"/>
      <c r="BR15" s="782"/>
      <c r="BS15" s="782"/>
      <c r="BT15" s="782"/>
      <c r="BU15" s="782"/>
      <c r="BV15" s="782"/>
      <c r="BW15" s="782"/>
      <c r="BX15" s="782"/>
      <c r="BY15" s="782"/>
      <c r="BZ15" s="782"/>
      <c r="CA15" s="782"/>
      <c r="CB15" s="782"/>
      <c r="CC15" s="782"/>
      <c r="CD15" s="782"/>
      <c r="CE15" s="782"/>
      <c r="CF15" s="782"/>
      <c r="CG15" s="782"/>
      <c r="CH15" s="782"/>
      <c r="CI15" s="782"/>
      <c r="CJ15" s="782"/>
      <c r="CK15" s="782"/>
      <c r="CL15" s="782"/>
      <c r="CM15" s="782"/>
      <c r="CN15" s="782"/>
      <c r="CO15" s="782"/>
      <c r="CP15" s="782"/>
      <c r="CQ15" s="782"/>
      <c r="CR15" s="782"/>
      <c r="CS15" s="782"/>
      <c r="CT15" s="782"/>
      <c r="CU15" s="782"/>
      <c r="CV15" s="782"/>
      <c r="CW15" s="782"/>
      <c r="CX15" s="782"/>
      <c r="CY15" s="782"/>
      <c r="CZ15" s="782"/>
      <c r="DA15" s="782"/>
      <c r="DB15" s="782"/>
      <c r="DC15" s="782"/>
      <c r="DD15" s="782"/>
      <c r="DE15" s="782"/>
      <c r="DF15" s="782"/>
      <c r="DG15" s="782"/>
      <c r="DH15" s="782"/>
      <c r="DI15" s="782"/>
      <c r="DJ15" s="782"/>
      <c r="DK15" s="782"/>
      <c r="DL15" s="782"/>
      <c r="DM15" s="782"/>
      <c r="DN15" s="782"/>
      <c r="DO15" s="782"/>
      <c r="DP15" s="782"/>
      <c r="DQ15" s="782"/>
      <c r="DR15" s="782"/>
      <c r="DS15" s="782"/>
      <c r="DT15" s="782"/>
      <c r="DU15" s="782"/>
      <c r="DV15" s="782"/>
      <c r="DW15" s="782"/>
      <c r="DX15" s="782"/>
      <c r="DY15" s="782"/>
      <c r="DZ15" s="782"/>
      <c r="EA15" s="782"/>
      <c r="EB15" s="782"/>
      <c r="EC15" s="782"/>
      <c r="ED15" s="782"/>
      <c r="EE15" s="782"/>
      <c r="EF15" s="782"/>
      <c r="EG15" s="782"/>
      <c r="EH15" s="782"/>
      <c r="EI15" s="782"/>
      <c r="EJ15" s="782"/>
      <c r="EK15" s="782"/>
      <c r="EL15" s="782"/>
      <c r="EM15" s="782"/>
      <c r="EN15" s="782"/>
      <c r="EO15" s="782"/>
      <c r="EP15" s="782"/>
      <c r="EQ15" s="782"/>
      <c r="ER15" s="782"/>
      <c r="ES15" s="782"/>
      <c r="ET15" s="782"/>
      <c r="EU15" s="782"/>
      <c r="EV15" s="782"/>
      <c r="EW15" s="782"/>
      <c r="EX15" s="782"/>
      <c r="EY15" s="782"/>
      <c r="EZ15" s="782"/>
      <c r="FA15" s="782"/>
      <c r="FB15" s="782"/>
      <c r="FC15" s="782"/>
      <c r="FD15" s="782"/>
      <c r="FE15" s="782"/>
      <c r="FF15" s="782"/>
      <c r="FG15" s="782"/>
      <c r="FH15" s="782"/>
      <c r="FI15" s="782"/>
      <c r="FJ15" s="782"/>
      <c r="FK15" s="782"/>
      <c r="FL15" s="782"/>
      <c r="FM15" s="782"/>
      <c r="FN15" s="782"/>
      <c r="FO15" s="782"/>
      <c r="FP15" s="782"/>
      <c r="FQ15" s="782"/>
      <c r="FR15" s="782"/>
      <c r="FS15" s="782"/>
      <c r="FT15" s="782"/>
      <c r="FU15" s="782"/>
      <c r="FV15" s="782"/>
      <c r="FW15" s="782"/>
      <c r="FX15" s="782"/>
      <c r="FY15" s="782"/>
      <c r="FZ15" s="782"/>
      <c r="GA15" s="782"/>
      <c r="GB15" s="782"/>
      <c r="GC15" s="782"/>
      <c r="GD15" s="782"/>
      <c r="GE15" s="782"/>
      <c r="GF15" s="782"/>
      <c r="GG15" s="782"/>
      <c r="GH15" s="782"/>
      <c r="GI15" s="782"/>
      <c r="GJ15" s="782"/>
      <c r="GK15" s="782"/>
      <c r="GL15" s="782"/>
      <c r="GM15" s="782"/>
      <c r="GN15" s="782"/>
      <c r="GO15" s="782"/>
      <c r="GP15" s="782"/>
      <c r="GQ15" s="782"/>
      <c r="GR15" s="782"/>
      <c r="GS15" s="782"/>
      <c r="GT15" s="782"/>
      <c r="GU15" s="782"/>
      <c r="GV15" s="782"/>
      <c r="GW15" s="782"/>
      <c r="GX15" s="782"/>
      <c r="GY15" s="782"/>
      <c r="GZ15" s="782"/>
      <c r="HA15" s="782"/>
      <c r="HB15" s="782"/>
      <c r="HC15" s="782"/>
      <c r="HD15" s="782"/>
      <c r="HE15" s="782"/>
      <c r="HF15" s="782"/>
      <c r="HG15" s="782"/>
      <c r="HH15" s="782"/>
      <c r="HI15" s="782"/>
      <c r="HJ15" s="782"/>
      <c r="HK15" s="782"/>
      <c r="HL15" s="782"/>
      <c r="HM15" s="782"/>
      <c r="HN15" s="782"/>
      <c r="HO15" s="782"/>
      <c r="HP15" s="782"/>
      <c r="HQ15" s="782"/>
      <c r="HR15" s="782"/>
      <c r="HS15" s="782"/>
      <c r="HT15" s="782"/>
      <c r="HU15" s="782"/>
      <c r="HV15" s="782"/>
      <c r="HW15" s="782"/>
      <c r="HX15" s="782"/>
      <c r="HY15" s="782"/>
      <c r="HZ15" s="782"/>
      <c r="IA15" s="782"/>
      <c r="IB15" s="782"/>
      <c r="IC15" s="782"/>
      <c r="ID15" s="782"/>
      <c r="IE15" s="782"/>
      <c r="IF15" s="782"/>
      <c r="IG15" s="782"/>
      <c r="IH15" s="782"/>
      <c r="II15" s="782"/>
      <c r="IJ15" s="782"/>
      <c r="IK15" s="782"/>
      <c r="IL15" s="782"/>
      <c r="IM15" s="782"/>
      <c r="IN15" s="782"/>
      <c r="IO15" s="782"/>
      <c r="IP15" s="782"/>
      <c r="IQ15" s="782"/>
      <c r="IR15" s="782"/>
      <c r="IS15" s="782"/>
      <c r="IT15" s="782"/>
      <c r="IU15" s="782"/>
      <c r="IV15" s="782"/>
      <c r="IW15" s="782"/>
      <c r="IX15" s="782"/>
      <c r="IY15" s="782"/>
      <c r="IZ15" s="782"/>
      <c r="JA15" s="782"/>
      <c r="JB15" s="782"/>
      <c r="JC15" s="782"/>
      <c r="JD15" s="782"/>
      <c r="JE15" s="782"/>
      <c r="JF15" s="782"/>
      <c r="JG15" s="782"/>
      <c r="JH15" s="782"/>
      <c r="JI15" s="782"/>
      <c r="JJ15" s="782"/>
      <c r="JK15" s="782"/>
      <c r="JL15" s="782"/>
      <c r="JM15" s="782"/>
      <c r="JN15" s="782"/>
      <c r="JO15" s="782"/>
      <c r="JP15" s="782"/>
      <c r="JQ15" s="782"/>
      <c r="JR15" s="782"/>
      <c r="JS15" s="782"/>
      <c r="JT15" s="782"/>
      <c r="JU15" s="782"/>
      <c r="JV15" s="782"/>
      <c r="JW15" s="782"/>
      <c r="JX15" s="782"/>
      <c r="JY15" s="782"/>
      <c r="JZ15" s="782"/>
      <c r="KA15" s="782"/>
      <c r="KB15" s="782"/>
      <c r="KC15" s="782"/>
      <c r="KD15" s="782"/>
      <c r="KE15" s="782"/>
      <c r="KF15" s="782"/>
      <c r="KG15" s="782"/>
      <c r="KH15" s="782"/>
      <c r="KI15" s="782"/>
      <c r="KJ15" s="782"/>
      <c r="KK15" s="782"/>
      <c r="KL15" s="782"/>
      <c r="KM15" s="782"/>
      <c r="KN15" s="782"/>
      <c r="KO15" s="782"/>
      <c r="KP15" s="782"/>
      <c r="KQ15" s="782"/>
      <c r="KR15" s="782"/>
      <c r="KS15" s="782"/>
      <c r="KT15" s="782"/>
      <c r="KU15" s="782"/>
      <c r="KV15" s="782"/>
      <c r="KW15" s="782"/>
      <c r="KX15" s="782"/>
      <c r="KY15" s="782"/>
      <c r="KZ15" s="782"/>
      <c r="LA15" s="782"/>
      <c r="LB15" s="782"/>
      <c r="LC15" s="782"/>
      <c r="LD15" s="782"/>
      <c r="LE15" s="782"/>
      <c r="LF15" s="782"/>
      <c r="LG15" s="782"/>
      <c r="LH15" s="782"/>
      <c r="LI15" s="782"/>
      <c r="LJ15" s="782"/>
      <c r="LK15" s="782"/>
      <c r="LL15" s="782"/>
      <c r="LM15" s="782"/>
      <c r="LN15" s="782"/>
      <c r="LO15" s="782"/>
      <c r="LP15" s="782"/>
      <c r="LQ15" s="782"/>
      <c r="LR15" s="782"/>
      <c r="LS15" s="782"/>
      <c r="LT15" s="782"/>
      <c r="LU15" s="782"/>
      <c r="LV15" s="782"/>
      <c r="LW15" s="782"/>
      <c r="LX15" s="782"/>
      <c r="LY15" s="782"/>
      <c r="LZ15" s="782"/>
      <c r="MA15" s="782"/>
      <c r="MB15" s="782"/>
      <c r="MC15" s="782"/>
      <c r="MD15" s="782"/>
      <c r="ME15" s="782"/>
      <c r="MF15" s="782"/>
      <c r="MG15" s="782"/>
      <c r="MH15" s="782"/>
      <c r="MI15" s="782"/>
      <c r="MJ15" s="782"/>
      <c r="MK15" s="782"/>
      <c r="ML15" s="782"/>
      <c r="MM15" s="782"/>
      <c r="MN15" s="782"/>
      <c r="MO15" s="782"/>
      <c r="MP15" s="782"/>
      <c r="MQ15" s="782"/>
      <c r="MR15" s="782"/>
      <c r="MS15" s="782"/>
      <c r="MT15" s="782"/>
      <c r="MU15" s="782"/>
      <c r="MV15" s="782"/>
      <c r="MW15" s="782"/>
      <c r="MX15" s="782"/>
      <c r="MY15" s="782"/>
      <c r="MZ15" s="782"/>
      <c r="NA15" s="782"/>
      <c r="NB15" s="782"/>
      <c r="NC15" s="782"/>
      <c r="ND15" s="782"/>
      <c r="NE15" s="782"/>
      <c r="NF15" s="782"/>
      <c r="NG15" s="782"/>
      <c r="NH15" s="782"/>
      <c r="NI15" s="782"/>
      <c r="NJ15" s="782"/>
      <c r="NK15" s="782"/>
      <c r="NL15" s="782"/>
      <c r="NM15" s="782"/>
      <c r="NN15" s="782"/>
      <c r="NO15" s="782"/>
      <c r="NP15" s="782"/>
      <c r="NQ15" s="782"/>
      <c r="NR15" s="782"/>
      <c r="NS15" s="782"/>
      <c r="NT15" s="782"/>
      <c r="NU15" s="782"/>
      <c r="NV15" s="782"/>
      <c r="NW15" s="782"/>
      <c r="NX15" s="782"/>
      <c r="NY15" s="782"/>
      <c r="NZ15" s="782"/>
      <c r="OA15" s="782"/>
      <c r="OB15" s="782"/>
      <c r="OC15" s="782"/>
      <c r="OD15" s="782"/>
      <c r="OE15" s="782"/>
      <c r="OF15" s="782"/>
      <c r="OG15" s="782"/>
      <c r="OH15" s="782"/>
      <c r="OI15" s="782"/>
      <c r="OJ15" s="782"/>
      <c r="OK15" s="782"/>
      <c r="OL15" s="782"/>
      <c r="OM15" s="782"/>
      <c r="ON15" s="782"/>
      <c r="OO15" s="782"/>
      <c r="OP15" s="782"/>
      <c r="OQ15" s="782"/>
      <c r="OR15" s="782"/>
      <c r="OS15" s="782"/>
      <c r="OT15" s="782"/>
      <c r="OU15" s="782"/>
      <c r="OV15" s="782"/>
      <c r="OW15" s="782"/>
      <c r="OX15" s="782"/>
      <c r="OY15" s="782"/>
      <c r="OZ15" s="782"/>
      <c r="PA15" s="782"/>
      <c r="PB15" s="782"/>
      <c r="PC15" s="782"/>
      <c r="PD15" s="782"/>
      <c r="PE15" s="782"/>
      <c r="PF15" s="782"/>
      <c r="PG15" s="782"/>
      <c r="PH15" s="782"/>
      <c r="PI15" s="782"/>
      <c r="PJ15" s="782"/>
      <c r="PK15" s="782"/>
      <c r="PL15" s="782"/>
      <c r="PM15" s="782"/>
      <c r="PN15" s="782"/>
      <c r="PO15" s="782"/>
    </row>
    <row r="16" spans="1:431" s="143" customFormat="1">
      <c r="A16" s="782"/>
      <c r="B16" s="782"/>
      <c r="C16" s="785"/>
      <c r="D16" s="785"/>
      <c r="E16" s="785"/>
      <c r="F16" s="785"/>
      <c r="G16" s="785"/>
      <c r="H16" s="785"/>
      <c r="I16" s="785"/>
      <c r="J16" s="785"/>
      <c r="K16" s="785"/>
      <c r="L16" s="785"/>
      <c r="M16" s="782"/>
      <c r="N16" s="782"/>
      <c r="O16" s="782"/>
      <c r="P16" s="782"/>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2"/>
      <c r="BC16" s="782"/>
      <c r="BD16" s="782"/>
      <c r="BE16" s="782"/>
      <c r="BF16" s="782"/>
      <c r="BG16" s="782"/>
      <c r="BH16" s="782"/>
      <c r="BI16" s="782"/>
      <c r="BJ16" s="782"/>
      <c r="BK16" s="782"/>
      <c r="BL16" s="782"/>
      <c r="BM16" s="782"/>
      <c r="BN16" s="782"/>
      <c r="BO16" s="782"/>
      <c r="BP16" s="782"/>
      <c r="BQ16" s="782"/>
      <c r="BR16" s="782"/>
      <c r="BS16" s="782"/>
      <c r="BT16" s="782"/>
      <c r="BU16" s="782"/>
      <c r="BV16" s="782"/>
      <c r="BW16" s="782"/>
      <c r="BX16" s="782"/>
      <c r="BY16" s="782"/>
      <c r="BZ16" s="782"/>
      <c r="CA16" s="782"/>
      <c r="CB16" s="782"/>
      <c r="CC16" s="782"/>
      <c r="CD16" s="782"/>
      <c r="CE16" s="782"/>
      <c r="CF16" s="782"/>
      <c r="CG16" s="782"/>
      <c r="CH16" s="782"/>
      <c r="CI16" s="782"/>
      <c r="CJ16" s="782"/>
      <c r="CK16" s="782"/>
      <c r="CL16" s="782"/>
      <c r="CM16" s="782"/>
      <c r="CN16" s="782"/>
      <c r="CO16" s="782"/>
      <c r="CP16" s="782"/>
      <c r="CQ16" s="782"/>
      <c r="CR16" s="782"/>
      <c r="CS16" s="782"/>
      <c r="CT16" s="782"/>
      <c r="CU16" s="782"/>
      <c r="CV16" s="782"/>
      <c r="CW16" s="782"/>
      <c r="CX16" s="782"/>
      <c r="CY16" s="782"/>
      <c r="CZ16" s="782"/>
      <c r="DA16" s="782"/>
      <c r="DB16" s="782"/>
      <c r="DC16" s="782"/>
      <c r="DD16" s="782"/>
      <c r="DE16" s="782"/>
      <c r="DF16" s="782"/>
      <c r="DG16" s="782"/>
      <c r="DH16" s="782"/>
      <c r="DI16" s="782"/>
      <c r="DJ16" s="782"/>
      <c r="DK16" s="782"/>
      <c r="DL16" s="782"/>
      <c r="DM16" s="782"/>
      <c r="DN16" s="782"/>
      <c r="DO16" s="782"/>
      <c r="DP16" s="782"/>
      <c r="DQ16" s="782"/>
      <c r="DR16" s="782"/>
      <c r="DS16" s="782"/>
      <c r="DT16" s="782"/>
      <c r="DU16" s="782"/>
      <c r="DV16" s="782"/>
      <c r="DW16" s="782"/>
      <c r="DX16" s="782"/>
      <c r="DY16" s="782"/>
      <c r="DZ16" s="782"/>
      <c r="EA16" s="782"/>
      <c r="EB16" s="782"/>
      <c r="EC16" s="782"/>
      <c r="ED16" s="782"/>
      <c r="EE16" s="782"/>
      <c r="EF16" s="782"/>
      <c r="EG16" s="782"/>
      <c r="EH16" s="782"/>
      <c r="EI16" s="782"/>
      <c r="EJ16" s="782"/>
      <c r="EK16" s="782"/>
      <c r="EL16" s="782"/>
      <c r="EM16" s="782"/>
      <c r="EN16" s="782"/>
      <c r="EO16" s="782"/>
      <c r="EP16" s="782"/>
      <c r="EQ16" s="782"/>
      <c r="ER16" s="782"/>
      <c r="ES16" s="782"/>
      <c r="ET16" s="782"/>
      <c r="EU16" s="782"/>
      <c r="EV16" s="782"/>
      <c r="EW16" s="782"/>
      <c r="EX16" s="782"/>
      <c r="EY16" s="782"/>
      <c r="EZ16" s="782"/>
      <c r="FA16" s="782"/>
      <c r="FB16" s="782"/>
      <c r="FC16" s="782"/>
      <c r="FD16" s="782"/>
      <c r="FE16" s="782"/>
      <c r="FF16" s="782"/>
      <c r="FG16" s="782"/>
      <c r="FH16" s="782"/>
      <c r="FI16" s="782"/>
      <c r="FJ16" s="782"/>
      <c r="FK16" s="782"/>
      <c r="FL16" s="782"/>
      <c r="FM16" s="782"/>
      <c r="FN16" s="782"/>
      <c r="FO16" s="782"/>
      <c r="FP16" s="782"/>
      <c r="FQ16" s="782"/>
      <c r="FR16" s="782"/>
      <c r="FS16" s="782"/>
      <c r="FT16" s="782"/>
      <c r="FU16" s="782"/>
      <c r="FV16" s="782"/>
      <c r="FW16" s="782"/>
      <c r="FX16" s="782"/>
      <c r="FY16" s="782"/>
      <c r="FZ16" s="782"/>
      <c r="GA16" s="782"/>
      <c r="GB16" s="782"/>
      <c r="GC16" s="782"/>
      <c r="GD16" s="782"/>
      <c r="GE16" s="782"/>
      <c r="GF16" s="782"/>
      <c r="GG16" s="782"/>
      <c r="GH16" s="782"/>
      <c r="GI16" s="782"/>
      <c r="GJ16" s="782"/>
      <c r="GK16" s="782"/>
      <c r="GL16" s="782"/>
      <c r="GM16" s="782"/>
      <c r="GN16" s="782"/>
      <c r="GO16" s="782"/>
      <c r="GP16" s="782"/>
      <c r="GQ16" s="782"/>
      <c r="GR16" s="782"/>
      <c r="GS16" s="782"/>
      <c r="GT16" s="782"/>
      <c r="GU16" s="782"/>
      <c r="GV16" s="782"/>
      <c r="GW16" s="782"/>
      <c r="GX16" s="782"/>
      <c r="GY16" s="782"/>
      <c r="GZ16" s="782"/>
      <c r="HA16" s="782"/>
      <c r="HB16" s="782"/>
      <c r="HC16" s="782"/>
      <c r="HD16" s="782"/>
      <c r="HE16" s="782"/>
      <c r="HF16" s="782"/>
      <c r="HG16" s="782"/>
      <c r="HH16" s="782"/>
      <c r="HI16" s="782"/>
      <c r="HJ16" s="782"/>
      <c r="HK16" s="782"/>
      <c r="HL16" s="782"/>
      <c r="HM16" s="782"/>
      <c r="HN16" s="782"/>
      <c r="HO16" s="782"/>
      <c r="HP16" s="782"/>
      <c r="HQ16" s="782"/>
      <c r="HR16" s="782"/>
      <c r="HS16" s="782"/>
      <c r="HT16" s="782"/>
      <c r="HU16" s="782"/>
      <c r="HV16" s="782"/>
      <c r="HW16" s="782"/>
      <c r="HX16" s="782"/>
      <c r="HY16" s="782"/>
      <c r="HZ16" s="782"/>
      <c r="IA16" s="782"/>
      <c r="IB16" s="782"/>
      <c r="IC16" s="782"/>
      <c r="ID16" s="782"/>
      <c r="IE16" s="782"/>
      <c r="IF16" s="782"/>
      <c r="IG16" s="782"/>
      <c r="IH16" s="782"/>
      <c r="II16" s="782"/>
      <c r="IJ16" s="782"/>
      <c r="IK16" s="782"/>
      <c r="IL16" s="782"/>
      <c r="IM16" s="782"/>
      <c r="IN16" s="782"/>
      <c r="IO16" s="782"/>
      <c r="IP16" s="782"/>
      <c r="IQ16" s="782"/>
      <c r="IR16" s="782"/>
      <c r="IS16" s="782"/>
      <c r="IT16" s="782"/>
      <c r="IU16" s="782"/>
      <c r="IV16" s="782"/>
      <c r="IW16" s="782"/>
      <c r="IX16" s="782"/>
      <c r="IY16" s="782"/>
      <c r="IZ16" s="782"/>
      <c r="JA16" s="782"/>
      <c r="JB16" s="782"/>
      <c r="JC16" s="782"/>
      <c r="JD16" s="782"/>
      <c r="JE16" s="782"/>
      <c r="JF16" s="782"/>
      <c r="JG16" s="782"/>
      <c r="JH16" s="782"/>
      <c r="JI16" s="782"/>
      <c r="JJ16" s="782"/>
      <c r="JK16" s="782"/>
      <c r="JL16" s="782"/>
      <c r="JM16" s="782"/>
      <c r="JN16" s="782"/>
      <c r="JO16" s="782"/>
      <c r="JP16" s="782"/>
      <c r="JQ16" s="782"/>
      <c r="JR16" s="782"/>
      <c r="JS16" s="782"/>
      <c r="JT16" s="782"/>
      <c r="JU16" s="782"/>
      <c r="JV16" s="782"/>
      <c r="JW16" s="782"/>
      <c r="JX16" s="782"/>
      <c r="JY16" s="782"/>
      <c r="JZ16" s="782"/>
      <c r="KA16" s="782"/>
      <c r="KB16" s="782"/>
      <c r="KC16" s="782"/>
      <c r="KD16" s="782"/>
      <c r="KE16" s="782"/>
      <c r="KF16" s="782"/>
      <c r="KG16" s="782"/>
      <c r="KH16" s="782"/>
      <c r="KI16" s="782"/>
      <c r="KJ16" s="782"/>
      <c r="KK16" s="782"/>
      <c r="KL16" s="782"/>
      <c r="KM16" s="782"/>
      <c r="KN16" s="782"/>
      <c r="KO16" s="782"/>
      <c r="KP16" s="782"/>
      <c r="KQ16" s="782"/>
      <c r="KR16" s="782"/>
      <c r="KS16" s="782"/>
      <c r="KT16" s="782"/>
      <c r="KU16" s="782"/>
      <c r="KV16" s="782"/>
      <c r="KW16" s="782"/>
      <c r="KX16" s="782"/>
      <c r="KY16" s="782"/>
      <c r="KZ16" s="782"/>
      <c r="LA16" s="782"/>
      <c r="LB16" s="782"/>
      <c r="LC16" s="782"/>
      <c r="LD16" s="782"/>
      <c r="LE16" s="782"/>
      <c r="LF16" s="782"/>
      <c r="LG16" s="782"/>
      <c r="LH16" s="782"/>
      <c r="LI16" s="782"/>
      <c r="LJ16" s="782"/>
      <c r="LK16" s="782"/>
      <c r="LL16" s="782"/>
      <c r="LM16" s="782"/>
      <c r="LN16" s="782"/>
      <c r="LO16" s="782"/>
      <c r="LP16" s="782"/>
      <c r="LQ16" s="782"/>
      <c r="LR16" s="782"/>
      <c r="LS16" s="782"/>
      <c r="LT16" s="782"/>
      <c r="LU16" s="782"/>
      <c r="LV16" s="782"/>
      <c r="LW16" s="782"/>
      <c r="LX16" s="782"/>
      <c r="LY16" s="782"/>
      <c r="LZ16" s="782"/>
      <c r="MA16" s="782"/>
      <c r="MB16" s="782"/>
      <c r="MC16" s="782"/>
      <c r="MD16" s="782"/>
      <c r="ME16" s="782"/>
      <c r="MF16" s="782"/>
      <c r="MG16" s="782"/>
      <c r="MH16" s="782"/>
      <c r="MI16" s="782"/>
      <c r="MJ16" s="782"/>
      <c r="MK16" s="782"/>
      <c r="ML16" s="782"/>
      <c r="MM16" s="782"/>
      <c r="MN16" s="782"/>
      <c r="MO16" s="782"/>
      <c r="MP16" s="782"/>
      <c r="MQ16" s="782"/>
      <c r="MR16" s="782"/>
      <c r="MS16" s="782"/>
      <c r="MT16" s="782"/>
      <c r="MU16" s="782"/>
      <c r="MV16" s="782"/>
      <c r="MW16" s="782"/>
      <c r="MX16" s="782"/>
      <c r="MY16" s="782"/>
      <c r="MZ16" s="782"/>
      <c r="NA16" s="782"/>
      <c r="NB16" s="782"/>
      <c r="NC16" s="782"/>
      <c r="ND16" s="782"/>
      <c r="NE16" s="782"/>
      <c r="NF16" s="782"/>
      <c r="NG16" s="782"/>
      <c r="NH16" s="782"/>
      <c r="NI16" s="782"/>
      <c r="NJ16" s="782"/>
      <c r="NK16" s="782"/>
      <c r="NL16" s="782"/>
      <c r="NM16" s="782"/>
      <c r="NN16" s="782"/>
      <c r="NO16" s="782"/>
      <c r="NP16" s="782"/>
      <c r="NQ16" s="782"/>
      <c r="NR16" s="782"/>
      <c r="NS16" s="782"/>
      <c r="NT16" s="782"/>
      <c r="NU16" s="782"/>
      <c r="NV16" s="782"/>
      <c r="NW16" s="782"/>
      <c r="NX16" s="782"/>
      <c r="NY16" s="782"/>
      <c r="NZ16" s="782"/>
      <c r="OA16" s="782"/>
      <c r="OB16" s="782"/>
      <c r="OC16" s="782"/>
      <c r="OD16" s="782"/>
      <c r="OE16" s="782"/>
      <c r="OF16" s="782"/>
      <c r="OG16" s="782"/>
      <c r="OH16" s="782"/>
      <c r="OI16" s="782"/>
      <c r="OJ16" s="782"/>
      <c r="OK16" s="782"/>
      <c r="OL16" s="782"/>
      <c r="OM16" s="782"/>
      <c r="ON16" s="782"/>
      <c r="OO16" s="782"/>
      <c r="OP16" s="782"/>
      <c r="OQ16" s="782"/>
      <c r="OR16" s="782"/>
      <c r="OS16" s="782"/>
      <c r="OT16" s="782"/>
      <c r="OU16" s="782"/>
      <c r="OV16" s="782"/>
      <c r="OW16" s="782"/>
      <c r="OX16" s="782"/>
      <c r="OY16" s="782"/>
      <c r="OZ16" s="782"/>
      <c r="PA16" s="782"/>
      <c r="PB16" s="782"/>
      <c r="PC16" s="782"/>
      <c r="PD16" s="782"/>
      <c r="PE16" s="782"/>
      <c r="PF16" s="782"/>
      <c r="PG16" s="782"/>
      <c r="PH16" s="782"/>
      <c r="PI16" s="782"/>
      <c r="PJ16" s="782"/>
      <c r="PK16" s="782"/>
      <c r="PL16" s="782"/>
      <c r="PM16" s="782"/>
      <c r="PN16" s="782"/>
      <c r="PO16" s="782"/>
    </row>
    <row r="17" spans="1:431" s="143" customFormat="1">
      <c r="A17" s="782"/>
      <c r="B17" s="782"/>
      <c r="C17" s="785"/>
      <c r="D17" s="785"/>
      <c r="E17" s="785"/>
      <c r="F17" s="785"/>
      <c r="G17" s="785"/>
      <c r="H17" s="785"/>
      <c r="I17" s="785"/>
      <c r="J17" s="785"/>
      <c r="K17" s="785"/>
      <c r="L17" s="785"/>
      <c r="M17" s="782"/>
      <c r="N17" s="782"/>
      <c r="O17" s="782"/>
      <c r="P17" s="782"/>
      <c r="Q17" s="782"/>
      <c r="R17" s="782"/>
      <c r="S17" s="782"/>
      <c r="T17" s="782"/>
      <c r="U17" s="782"/>
      <c r="V17" s="782"/>
      <c r="W17" s="782"/>
      <c r="X17" s="782"/>
      <c r="Y17" s="782"/>
      <c r="Z17" s="782"/>
      <c r="AA17" s="782"/>
      <c r="AB17" s="782"/>
      <c r="AC17" s="782"/>
      <c r="AD17" s="782"/>
      <c r="AE17" s="782"/>
      <c r="AF17" s="782"/>
      <c r="AG17" s="782"/>
      <c r="AH17" s="782"/>
      <c r="AI17" s="782"/>
      <c r="AJ17" s="782"/>
      <c r="AK17" s="782"/>
      <c r="AL17" s="782"/>
      <c r="AM17" s="782"/>
      <c r="AN17" s="782"/>
      <c r="AO17" s="782"/>
      <c r="AP17" s="782"/>
      <c r="AQ17" s="782"/>
      <c r="AR17" s="782"/>
      <c r="AS17" s="782"/>
      <c r="AT17" s="782"/>
      <c r="AU17" s="782"/>
      <c r="AV17" s="782"/>
      <c r="AW17" s="782"/>
      <c r="AX17" s="782"/>
      <c r="AY17" s="782"/>
      <c r="AZ17" s="782"/>
      <c r="BA17" s="782"/>
      <c r="BB17" s="782"/>
      <c r="BC17" s="782"/>
      <c r="BD17" s="782"/>
      <c r="BE17" s="782"/>
      <c r="BF17" s="782"/>
      <c r="BG17" s="782"/>
      <c r="BH17" s="782"/>
      <c r="BI17" s="782"/>
      <c r="BJ17" s="782"/>
      <c r="BK17" s="782"/>
      <c r="BL17" s="782"/>
      <c r="BM17" s="782"/>
      <c r="BN17" s="782"/>
      <c r="BO17" s="782"/>
      <c r="BP17" s="782"/>
      <c r="BQ17" s="782"/>
      <c r="BR17" s="782"/>
      <c r="BS17" s="782"/>
      <c r="BT17" s="782"/>
      <c r="BU17" s="782"/>
      <c r="BV17" s="782"/>
      <c r="BW17" s="782"/>
      <c r="BX17" s="782"/>
      <c r="BY17" s="782"/>
      <c r="BZ17" s="782"/>
      <c r="CA17" s="782"/>
      <c r="CB17" s="782"/>
      <c r="CC17" s="782"/>
      <c r="CD17" s="782"/>
      <c r="CE17" s="782"/>
      <c r="CF17" s="782"/>
      <c r="CG17" s="782"/>
      <c r="CH17" s="782"/>
      <c r="CI17" s="782"/>
      <c r="CJ17" s="782"/>
      <c r="CK17" s="782"/>
      <c r="CL17" s="782"/>
      <c r="CM17" s="782"/>
      <c r="CN17" s="782"/>
      <c r="CO17" s="782"/>
      <c r="CP17" s="782"/>
      <c r="CQ17" s="782"/>
      <c r="CR17" s="782"/>
      <c r="CS17" s="782"/>
      <c r="CT17" s="782"/>
      <c r="CU17" s="782"/>
      <c r="CV17" s="782"/>
      <c r="CW17" s="782"/>
      <c r="CX17" s="782"/>
      <c r="CY17" s="782"/>
      <c r="CZ17" s="782"/>
      <c r="DA17" s="782"/>
      <c r="DB17" s="782"/>
      <c r="DC17" s="782"/>
      <c r="DD17" s="782"/>
      <c r="DE17" s="782"/>
      <c r="DF17" s="782"/>
      <c r="DG17" s="782"/>
      <c r="DH17" s="782"/>
      <c r="DI17" s="782"/>
      <c r="DJ17" s="782"/>
      <c r="DK17" s="782"/>
      <c r="DL17" s="782"/>
      <c r="DM17" s="782"/>
      <c r="DN17" s="782"/>
      <c r="DO17" s="782"/>
      <c r="DP17" s="782"/>
      <c r="DQ17" s="782"/>
      <c r="DR17" s="782"/>
      <c r="DS17" s="782"/>
      <c r="DT17" s="782"/>
      <c r="DU17" s="782"/>
      <c r="DV17" s="782"/>
      <c r="DW17" s="782"/>
      <c r="DX17" s="782"/>
      <c r="DY17" s="782"/>
      <c r="DZ17" s="782"/>
      <c r="EA17" s="782"/>
      <c r="EB17" s="782"/>
      <c r="EC17" s="782"/>
      <c r="ED17" s="782"/>
      <c r="EE17" s="782"/>
      <c r="EF17" s="782"/>
      <c r="EG17" s="782"/>
      <c r="EH17" s="782"/>
      <c r="EI17" s="782"/>
      <c r="EJ17" s="782"/>
      <c r="EK17" s="782"/>
      <c r="EL17" s="782"/>
      <c r="EM17" s="782"/>
      <c r="EN17" s="782"/>
      <c r="EO17" s="782"/>
      <c r="EP17" s="782"/>
      <c r="EQ17" s="782"/>
      <c r="ER17" s="782"/>
      <c r="ES17" s="782"/>
      <c r="ET17" s="782"/>
      <c r="EU17" s="782"/>
      <c r="EV17" s="782"/>
      <c r="EW17" s="782"/>
      <c r="EX17" s="782"/>
      <c r="EY17" s="782"/>
      <c r="EZ17" s="782"/>
      <c r="FA17" s="782"/>
      <c r="FB17" s="782"/>
      <c r="FC17" s="782"/>
      <c r="FD17" s="782"/>
      <c r="FE17" s="782"/>
      <c r="FF17" s="782"/>
      <c r="FG17" s="782"/>
      <c r="FH17" s="782"/>
      <c r="FI17" s="782"/>
      <c r="FJ17" s="782"/>
      <c r="FK17" s="782"/>
      <c r="FL17" s="782"/>
      <c r="FM17" s="782"/>
      <c r="FN17" s="782"/>
      <c r="FO17" s="782"/>
      <c r="FP17" s="782"/>
      <c r="FQ17" s="782"/>
      <c r="FR17" s="782"/>
      <c r="FS17" s="782"/>
      <c r="FT17" s="782"/>
      <c r="FU17" s="782"/>
      <c r="FV17" s="782"/>
      <c r="FW17" s="782"/>
      <c r="FX17" s="782"/>
      <c r="FY17" s="782"/>
      <c r="FZ17" s="782"/>
      <c r="GA17" s="782"/>
      <c r="GB17" s="782"/>
      <c r="GC17" s="782"/>
      <c r="GD17" s="782"/>
      <c r="GE17" s="782"/>
      <c r="GF17" s="782"/>
      <c r="GG17" s="782"/>
      <c r="GH17" s="782"/>
      <c r="GI17" s="782"/>
      <c r="GJ17" s="782"/>
      <c r="GK17" s="782"/>
      <c r="GL17" s="782"/>
      <c r="GM17" s="782"/>
      <c r="GN17" s="782"/>
      <c r="GO17" s="782"/>
      <c r="GP17" s="782"/>
      <c r="GQ17" s="782"/>
      <c r="GR17" s="782"/>
      <c r="GS17" s="782"/>
      <c r="GT17" s="782"/>
      <c r="GU17" s="782"/>
      <c r="GV17" s="782"/>
      <c r="GW17" s="782"/>
      <c r="GX17" s="782"/>
      <c r="GY17" s="782"/>
      <c r="GZ17" s="782"/>
      <c r="HA17" s="782"/>
      <c r="HB17" s="782"/>
      <c r="HC17" s="782"/>
      <c r="HD17" s="782"/>
      <c r="HE17" s="782"/>
      <c r="HF17" s="782"/>
      <c r="HG17" s="782"/>
      <c r="HH17" s="782"/>
      <c r="HI17" s="782"/>
      <c r="HJ17" s="782"/>
      <c r="HK17" s="782"/>
      <c r="HL17" s="782"/>
      <c r="HM17" s="782"/>
      <c r="HN17" s="782"/>
      <c r="HO17" s="782"/>
      <c r="HP17" s="782"/>
      <c r="HQ17" s="782"/>
      <c r="HR17" s="782"/>
      <c r="HS17" s="782"/>
      <c r="HT17" s="782"/>
      <c r="HU17" s="782"/>
      <c r="HV17" s="782"/>
      <c r="HW17" s="782"/>
      <c r="HX17" s="782"/>
      <c r="HY17" s="782"/>
      <c r="HZ17" s="782"/>
      <c r="IA17" s="782"/>
      <c r="IB17" s="782"/>
      <c r="IC17" s="782"/>
      <c r="ID17" s="782"/>
      <c r="IE17" s="782"/>
      <c r="IF17" s="782"/>
      <c r="IG17" s="782"/>
      <c r="IH17" s="782"/>
      <c r="II17" s="782"/>
      <c r="IJ17" s="782"/>
      <c r="IK17" s="782"/>
      <c r="IL17" s="782"/>
      <c r="IM17" s="782"/>
      <c r="IN17" s="782"/>
      <c r="IO17" s="782"/>
      <c r="IP17" s="782"/>
      <c r="IQ17" s="782"/>
      <c r="IR17" s="782"/>
      <c r="IS17" s="782"/>
      <c r="IT17" s="782"/>
      <c r="IU17" s="782"/>
      <c r="IV17" s="782"/>
      <c r="IW17" s="782"/>
      <c r="IX17" s="782"/>
      <c r="IY17" s="782"/>
      <c r="IZ17" s="782"/>
      <c r="JA17" s="782"/>
      <c r="JB17" s="782"/>
      <c r="JC17" s="782"/>
      <c r="JD17" s="782"/>
      <c r="JE17" s="782"/>
      <c r="JF17" s="782"/>
      <c r="JG17" s="782"/>
      <c r="JH17" s="782"/>
      <c r="JI17" s="782"/>
      <c r="JJ17" s="782"/>
      <c r="JK17" s="782"/>
      <c r="JL17" s="782"/>
      <c r="JM17" s="782"/>
      <c r="JN17" s="782"/>
      <c r="JO17" s="782"/>
      <c r="JP17" s="782"/>
      <c r="JQ17" s="782"/>
      <c r="JR17" s="782"/>
      <c r="JS17" s="782"/>
      <c r="JT17" s="782"/>
      <c r="JU17" s="782"/>
      <c r="JV17" s="782"/>
      <c r="JW17" s="782"/>
      <c r="JX17" s="782"/>
      <c r="JY17" s="782"/>
      <c r="JZ17" s="782"/>
      <c r="KA17" s="782"/>
      <c r="KB17" s="782"/>
      <c r="KC17" s="782"/>
      <c r="KD17" s="782"/>
      <c r="KE17" s="782"/>
      <c r="KF17" s="782"/>
      <c r="KG17" s="782"/>
      <c r="KH17" s="782"/>
      <c r="KI17" s="782"/>
      <c r="KJ17" s="782"/>
      <c r="KK17" s="782"/>
      <c r="KL17" s="782"/>
      <c r="KM17" s="782"/>
      <c r="KN17" s="782"/>
      <c r="KO17" s="782"/>
      <c r="KP17" s="782"/>
      <c r="KQ17" s="782"/>
      <c r="KR17" s="782"/>
      <c r="KS17" s="782"/>
      <c r="KT17" s="782"/>
      <c r="KU17" s="782"/>
      <c r="KV17" s="782"/>
      <c r="KW17" s="782"/>
      <c r="KX17" s="782"/>
      <c r="KY17" s="782"/>
      <c r="KZ17" s="782"/>
      <c r="LA17" s="782"/>
      <c r="LB17" s="782"/>
      <c r="LC17" s="782"/>
      <c r="LD17" s="782"/>
      <c r="LE17" s="782"/>
      <c r="LF17" s="782"/>
      <c r="LG17" s="782"/>
      <c r="LH17" s="782"/>
      <c r="LI17" s="782"/>
      <c r="LJ17" s="782"/>
      <c r="LK17" s="782"/>
      <c r="LL17" s="782"/>
      <c r="LM17" s="782"/>
      <c r="LN17" s="782"/>
      <c r="LO17" s="782"/>
      <c r="LP17" s="782"/>
      <c r="LQ17" s="782"/>
      <c r="LR17" s="782"/>
      <c r="LS17" s="782"/>
      <c r="LT17" s="782"/>
      <c r="LU17" s="782"/>
      <c r="LV17" s="782"/>
      <c r="LW17" s="782"/>
      <c r="LX17" s="782"/>
      <c r="LY17" s="782"/>
      <c r="LZ17" s="782"/>
      <c r="MA17" s="782"/>
      <c r="MB17" s="782"/>
      <c r="MC17" s="782"/>
      <c r="MD17" s="782"/>
      <c r="ME17" s="782"/>
      <c r="MF17" s="782"/>
      <c r="MG17" s="782"/>
      <c r="MH17" s="782"/>
      <c r="MI17" s="782"/>
      <c r="MJ17" s="782"/>
      <c r="MK17" s="782"/>
      <c r="ML17" s="782"/>
      <c r="MM17" s="782"/>
      <c r="MN17" s="782"/>
      <c r="MO17" s="782"/>
      <c r="MP17" s="782"/>
      <c r="MQ17" s="782"/>
      <c r="MR17" s="782"/>
      <c r="MS17" s="782"/>
      <c r="MT17" s="782"/>
      <c r="MU17" s="782"/>
      <c r="MV17" s="782"/>
      <c r="MW17" s="782"/>
      <c r="MX17" s="782"/>
      <c r="MY17" s="782"/>
      <c r="MZ17" s="782"/>
      <c r="NA17" s="782"/>
      <c r="NB17" s="782"/>
      <c r="NC17" s="782"/>
      <c r="ND17" s="782"/>
      <c r="NE17" s="782"/>
      <c r="NF17" s="782"/>
      <c r="NG17" s="782"/>
      <c r="NH17" s="782"/>
      <c r="NI17" s="782"/>
      <c r="NJ17" s="782"/>
      <c r="NK17" s="782"/>
      <c r="NL17" s="782"/>
      <c r="NM17" s="782"/>
      <c r="NN17" s="782"/>
      <c r="NO17" s="782"/>
      <c r="NP17" s="782"/>
      <c r="NQ17" s="782"/>
      <c r="NR17" s="782"/>
      <c r="NS17" s="782"/>
      <c r="NT17" s="782"/>
      <c r="NU17" s="782"/>
      <c r="NV17" s="782"/>
      <c r="NW17" s="782"/>
      <c r="NX17" s="782"/>
      <c r="NY17" s="782"/>
      <c r="NZ17" s="782"/>
      <c r="OA17" s="782"/>
      <c r="OB17" s="782"/>
      <c r="OC17" s="782"/>
      <c r="OD17" s="782"/>
      <c r="OE17" s="782"/>
      <c r="OF17" s="782"/>
      <c r="OG17" s="782"/>
      <c r="OH17" s="782"/>
      <c r="OI17" s="782"/>
      <c r="OJ17" s="782"/>
      <c r="OK17" s="782"/>
      <c r="OL17" s="782"/>
      <c r="OM17" s="782"/>
      <c r="ON17" s="782"/>
      <c r="OO17" s="782"/>
      <c r="OP17" s="782"/>
      <c r="OQ17" s="782"/>
      <c r="OR17" s="782"/>
      <c r="OS17" s="782"/>
      <c r="OT17" s="782"/>
      <c r="OU17" s="782"/>
      <c r="OV17" s="782"/>
      <c r="OW17" s="782"/>
      <c r="OX17" s="782"/>
      <c r="OY17" s="782"/>
      <c r="OZ17" s="782"/>
      <c r="PA17" s="782"/>
      <c r="PB17" s="782"/>
      <c r="PC17" s="782"/>
      <c r="PD17" s="782"/>
      <c r="PE17" s="782"/>
      <c r="PF17" s="782"/>
      <c r="PG17" s="782"/>
      <c r="PH17" s="782"/>
      <c r="PI17" s="782"/>
      <c r="PJ17" s="782"/>
      <c r="PK17" s="782"/>
      <c r="PL17" s="782"/>
      <c r="PM17" s="782"/>
      <c r="PN17" s="782"/>
      <c r="PO17" s="782"/>
    </row>
    <row r="18" spans="1:431" s="143" customFormat="1">
      <c r="A18" s="782"/>
      <c r="B18" s="782"/>
      <c r="C18" s="785"/>
      <c r="D18" s="785"/>
      <c r="E18" s="785"/>
      <c r="F18" s="785"/>
      <c r="G18" s="785"/>
      <c r="H18" s="785"/>
      <c r="I18" s="785"/>
      <c r="J18" s="785"/>
      <c r="K18" s="785"/>
      <c r="L18" s="785"/>
      <c r="M18" s="782"/>
      <c r="N18" s="782"/>
      <c r="O18" s="782"/>
      <c r="P18" s="782"/>
      <c r="Q18" s="782"/>
      <c r="R18" s="782"/>
      <c r="S18" s="782"/>
      <c r="T18" s="782"/>
      <c r="U18" s="782"/>
      <c r="V18" s="782"/>
      <c r="W18" s="782"/>
      <c r="X18" s="782"/>
      <c r="Y18" s="782"/>
      <c r="Z18" s="782"/>
      <c r="AA18" s="782"/>
      <c r="AB18" s="782"/>
      <c r="AC18" s="782"/>
      <c r="AD18" s="782"/>
      <c r="AE18" s="782"/>
      <c r="AF18" s="782"/>
      <c r="AG18" s="782"/>
      <c r="AH18" s="782"/>
      <c r="AI18" s="782"/>
      <c r="AJ18" s="782"/>
      <c r="AK18" s="782"/>
      <c r="AL18" s="782"/>
      <c r="AM18" s="782"/>
      <c r="AN18" s="782"/>
      <c r="AO18" s="782"/>
      <c r="AP18" s="782"/>
      <c r="AQ18" s="782"/>
      <c r="AR18" s="782"/>
      <c r="AS18" s="782"/>
      <c r="AT18" s="782"/>
      <c r="AU18" s="782"/>
      <c r="AV18" s="782"/>
      <c r="AW18" s="782"/>
      <c r="AX18" s="782"/>
      <c r="AY18" s="782"/>
      <c r="AZ18" s="782"/>
      <c r="BA18" s="782"/>
      <c r="BB18" s="782"/>
      <c r="BC18" s="782"/>
      <c r="BD18" s="782"/>
      <c r="BE18" s="782"/>
      <c r="BF18" s="782"/>
      <c r="BG18" s="782"/>
      <c r="BH18" s="782"/>
      <c r="BI18" s="782"/>
      <c r="BJ18" s="782"/>
      <c r="BK18" s="782"/>
      <c r="BL18" s="782"/>
      <c r="BM18" s="782"/>
      <c r="BN18" s="782"/>
      <c r="BO18" s="782"/>
      <c r="BP18" s="782"/>
      <c r="BQ18" s="782"/>
      <c r="BR18" s="782"/>
      <c r="BS18" s="782"/>
      <c r="BT18" s="782"/>
      <c r="BU18" s="782"/>
      <c r="BV18" s="782"/>
      <c r="BW18" s="782"/>
      <c r="BX18" s="782"/>
      <c r="BY18" s="782"/>
      <c r="BZ18" s="782"/>
      <c r="CA18" s="782"/>
      <c r="CB18" s="782"/>
      <c r="CC18" s="782"/>
      <c r="CD18" s="782"/>
      <c r="CE18" s="782"/>
      <c r="CF18" s="782"/>
      <c r="CG18" s="782"/>
      <c r="CH18" s="782"/>
      <c r="CI18" s="782"/>
      <c r="CJ18" s="782"/>
      <c r="CK18" s="782"/>
      <c r="CL18" s="782"/>
      <c r="CM18" s="782"/>
      <c r="CN18" s="782"/>
      <c r="CO18" s="782"/>
      <c r="CP18" s="782"/>
      <c r="CQ18" s="782"/>
      <c r="CR18" s="782"/>
      <c r="CS18" s="782"/>
      <c r="CT18" s="782"/>
      <c r="CU18" s="782"/>
      <c r="CV18" s="782"/>
      <c r="CW18" s="782"/>
      <c r="CX18" s="782"/>
      <c r="CY18" s="782"/>
      <c r="CZ18" s="782"/>
      <c r="DA18" s="782"/>
      <c r="DB18" s="782"/>
      <c r="DC18" s="782"/>
      <c r="DD18" s="782"/>
      <c r="DE18" s="782"/>
      <c r="DF18" s="782"/>
      <c r="DG18" s="782"/>
      <c r="DH18" s="782"/>
      <c r="DI18" s="782"/>
      <c r="DJ18" s="782"/>
      <c r="DK18" s="782"/>
      <c r="DL18" s="782"/>
      <c r="DM18" s="782"/>
      <c r="DN18" s="782"/>
      <c r="DO18" s="782"/>
      <c r="DP18" s="782"/>
      <c r="DQ18" s="782"/>
      <c r="DR18" s="782"/>
      <c r="DS18" s="782"/>
      <c r="DT18" s="782"/>
      <c r="DU18" s="782"/>
      <c r="DV18" s="782"/>
      <c r="DW18" s="782"/>
      <c r="DX18" s="782"/>
      <c r="DY18" s="782"/>
      <c r="DZ18" s="782"/>
      <c r="EA18" s="782"/>
      <c r="EB18" s="782"/>
      <c r="EC18" s="782"/>
      <c r="ED18" s="782"/>
      <c r="EE18" s="782"/>
      <c r="EF18" s="782"/>
      <c r="EG18" s="782"/>
      <c r="EH18" s="782"/>
      <c r="EI18" s="782"/>
      <c r="EJ18" s="782"/>
      <c r="EK18" s="782"/>
      <c r="EL18" s="782"/>
      <c r="EM18" s="782"/>
      <c r="EN18" s="782"/>
      <c r="EO18" s="782"/>
      <c r="EP18" s="782"/>
      <c r="EQ18" s="782"/>
      <c r="ER18" s="782"/>
      <c r="ES18" s="782"/>
      <c r="ET18" s="782"/>
      <c r="EU18" s="782"/>
      <c r="EV18" s="782"/>
      <c r="EW18" s="782"/>
      <c r="EX18" s="782"/>
      <c r="EY18" s="782"/>
      <c r="EZ18" s="782"/>
      <c r="FA18" s="782"/>
      <c r="FB18" s="782"/>
      <c r="FC18" s="782"/>
      <c r="FD18" s="782"/>
      <c r="FE18" s="782"/>
      <c r="FF18" s="782"/>
      <c r="FG18" s="782"/>
      <c r="FH18" s="782"/>
      <c r="FI18" s="782"/>
      <c r="FJ18" s="782"/>
      <c r="FK18" s="782"/>
      <c r="FL18" s="782"/>
      <c r="FM18" s="782"/>
      <c r="FN18" s="782"/>
      <c r="FO18" s="782"/>
      <c r="FP18" s="782"/>
      <c r="FQ18" s="782"/>
      <c r="FR18" s="782"/>
      <c r="FS18" s="782"/>
      <c r="FT18" s="782"/>
      <c r="FU18" s="782"/>
      <c r="FV18" s="782"/>
      <c r="FW18" s="782"/>
      <c r="FX18" s="782"/>
      <c r="FY18" s="782"/>
      <c r="FZ18" s="782"/>
      <c r="GA18" s="782"/>
      <c r="GB18" s="782"/>
      <c r="GC18" s="782"/>
      <c r="GD18" s="782"/>
      <c r="GE18" s="782"/>
      <c r="GF18" s="782"/>
      <c r="GG18" s="782"/>
      <c r="GH18" s="782"/>
      <c r="GI18" s="782"/>
      <c r="GJ18" s="782"/>
      <c r="GK18" s="782"/>
      <c r="GL18" s="782"/>
      <c r="GM18" s="782"/>
      <c r="GN18" s="782"/>
      <c r="GO18" s="782"/>
      <c r="GP18" s="782"/>
      <c r="GQ18" s="782"/>
      <c r="GR18" s="782"/>
      <c r="GS18" s="782"/>
      <c r="GT18" s="782"/>
      <c r="GU18" s="782"/>
      <c r="GV18" s="782"/>
      <c r="GW18" s="782"/>
      <c r="GX18" s="782"/>
      <c r="GY18" s="782"/>
      <c r="GZ18" s="782"/>
      <c r="HA18" s="782"/>
      <c r="HB18" s="782"/>
      <c r="HC18" s="782"/>
      <c r="HD18" s="782"/>
      <c r="HE18" s="782"/>
      <c r="HF18" s="782"/>
      <c r="HG18" s="782"/>
      <c r="HH18" s="782"/>
      <c r="HI18" s="782"/>
      <c r="HJ18" s="782"/>
      <c r="HK18" s="782"/>
      <c r="HL18" s="782"/>
      <c r="HM18" s="782"/>
      <c r="HN18" s="782"/>
      <c r="HO18" s="782"/>
      <c r="HP18" s="782"/>
      <c r="HQ18" s="782"/>
      <c r="HR18" s="782"/>
      <c r="HS18" s="782"/>
      <c r="HT18" s="782"/>
      <c r="HU18" s="782"/>
      <c r="HV18" s="782"/>
      <c r="HW18" s="782"/>
      <c r="HX18" s="782"/>
      <c r="HY18" s="782"/>
      <c r="HZ18" s="782"/>
      <c r="IA18" s="782"/>
      <c r="IB18" s="782"/>
      <c r="IC18" s="782"/>
      <c r="ID18" s="782"/>
      <c r="IE18" s="782"/>
      <c r="IF18" s="782"/>
      <c r="IG18" s="782"/>
      <c r="IH18" s="782"/>
      <c r="II18" s="782"/>
      <c r="IJ18" s="782"/>
      <c r="IK18" s="782"/>
      <c r="IL18" s="782"/>
      <c r="IM18" s="782"/>
      <c r="IN18" s="782"/>
      <c r="IO18" s="782"/>
      <c r="IP18" s="782"/>
      <c r="IQ18" s="782"/>
      <c r="IR18" s="782"/>
      <c r="IS18" s="782"/>
      <c r="IT18" s="782"/>
      <c r="IU18" s="782"/>
      <c r="IV18" s="782"/>
      <c r="IW18" s="782"/>
      <c r="IX18" s="782"/>
      <c r="IY18" s="782"/>
      <c r="IZ18" s="782"/>
      <c r="JA18" s="782"/>
      <c r="JB18" s="782"/>
      <c r="JC18" s="782"/>
      <c r="JD18" s="782"/>
      <c r="JE18" s="782"/>
      <c r="JF18" s="782"/>
      <c r="JG18" s="782"/>
      <c r="JH18" s="782"/>
      <c r="JI18" s="782"/>
      <c r="JJ18" s="782"/>
      <c r="JK18" s="782"/>
      <c r="JL18" s="782"/>
      <c r="JM18" s="782"/>
      <c r="JN18" s="782"/>
      <c r="JO18" s="782"/>
      <c r="JP18" s="782"/>
      <c r="JQ18" s="782"/>
      <c r="JR18" s="782"/>
      <c r="JS18" s="782"/>
      <c r="JT18" s="782"/>
      <c r="JU18" s="782"/>
      <c r="JV18" s="782"/>
      <c r="JW18" s="782"/>
      <c r="JX18" s="782"/>
      <c r="JY18" s="782"/>
      <c r="JZ18" s="782"/>
      <c r="KA18" s="782"/>
      <c r="KB18" s="782"/>
      <c r="KC18" s="782"/>
      <c r="KD18" s="782"/>
      <c r="KE18" s="782"/>
      <c r="KF18" s="782"/>
      <c r="KG18" s="782"/>
      <c r="KH18" s="782"/>
      <c r="KI18" s="782"/>
      <c r="KJ18" s="782"/>
      <c r="KK18" s="782"/>
      <c r="KL18" s="782"/>
      <c r="KM18" s="782"/>
      <c r="KN18" s="782"/>
      <c r="KO18" s="782"/>
      <c r="KP18" s="782"/>
      <c r="KQ18" s="782"/>
      <c r="KR18" s="782"/>
      <c r="KS18" s="782"/>
      <c r="KT18" s="782"/>
      <c r="KU18" s="782"/>
      <c r="KV18" s="782"/>
      <c r="KW18" s="782"/>
      <c r="KX18" s="782"/>
      <c r="KY18" s="782"/>
      <c r="KZ18" s="782"/>
      <c r="LA18" s="782"/>
      <c r="LB18" s="782"/>
      <c r="LC18" s="782"/>
      <c r="LD18" s="782"/>
      <c r="LE18" s="782"/>
      <c r="LF18" s="782"/>
      <c r="LG18" s="782"/>
      <c r="LH18" s="782"/>
      <c r="LI18" s="782"/>
      <c r="LJ18" s="782"/>
      <c r="LK18" s="782"/>
      <c r="LL18" s="782"/>
      <c r="LM18" s="782"/>
      <c r="LN18" s="782"/>
      <c r="LO18" s="782"/>
      <c r="LP18" s="782"/>
      <c r="LQ18" s="782"/>
      <c r="LR18" s="782"/>
      <c r="LS18" s="782"/>
      <c r="LT18" s="782"/>
      <c r="LU18" s="782"/>
      <c r="LV18" s="782"/>
      <c r="LW18" s="782"/>
      <c r="LX18" s="782"/>
      <c r="LY18" s="782"/>
      <c r="LZ18" s="782"/>
      <c r="MA18" s="782"/>
      <c r="MB18" s="782"/>
      <c r="MC18" s="782"/>
      <c r="MD18" s="782"/>
      <c r="ME18" s="782"/>
      <c r="MF18" s="782"/>
      <c r="MG18" s="782"/>
      <c r="MH18" s="782"/>
      <c r="MI18" s="782"/>
      <c r="MJ18" s="782"/>
      <c r="MK18" s="782"/>
      <c r="ML18" s="782"/>
      <c r="MM18" s="782"/>
      <c r="MN18" s="782"/>
      <c r="MO18" s="782"/>
      <c r="MP18" s="782"/>
      <c r="MQ18" s="782"/>
      <c r="MR18" s="782"/>
      <c r="MS18" s="782"/>
      <c r="MT18" s="782"/>
      <c r="MU18" s="782"/>
      <c r="MV18" s="782"/>
      <c r="MW18" s="782"/>
      <c r="MX18" s="782"/>
      <c r="MY18" s="782"/>
      <c r="MZ18" s="782"/>
      <c r="NA18" s="782"/>
      <c r="NB18" s="782"/>
      <c r="NC18" s="782"/>
      <c r="ND18" s="782"/>
      <c r="NE18" s="782"/>
      <c r="NF18" s="782"/>
      <c r="NG18" s="782"/>
      <c r="NH18" s="782"/>
      <c r="NI18" s="782"/>
      <c r="NJ18" s="782"/>
      <c r="NK18" s="782"/>
      <c r="NL18" s="782"/>
      <c r="NM18" s="782"/>
      <c r="NN18" s="782"/>
      <c r="NO18" s="782"/>
      <c r="NP18" s="782"/>
      <c r="NQ18" s="782"/>
      <c r="NR18" s="782"/>
      <c r="NS18" s="782"/>
      <c r="NT18" s="782"/>
      <c r="NU18" s="782"/>
      <c r="NV18" s="782"/>
      <c r="NW18" s="782"/>
      <c r="NX18" s="782"/>
      <c r="NY18" s="782"/>
      <c r="NZ18" s="782"/>
      <c r="OA18" s="782"/>
      <c r="OB18" s="782"/>
      <c r="OC18" s="782"/>
      <c r="OD18" s="782"/>
      <c r="OE18" s="782"/>
      <c r="OF18" s="782"/>
      <c r="OG18" s="782"/>
      <c r="OH18" s="782"/>
      <c r="OI18" s="782"/>
      <c r="OJ18" s="782"/>
      <c r="OK18" s="782"/>
      <c r="OL18" s="782"/>
      <c r="OM18" s="782"/>
      <c r="ON18" s="782"/>
      <c r="OO18" s="782"/>
      <c r="OP18" s="782"/>
      <c r="OQ18" s="782"/>
      <c r="OR18" s="782"/>
      <c r="OS18" s="782"/>
      <c r="OT18" s="782"/>
      <c r="OU18" s="782"/>
      <c r="OV18" s="782"/>
      <c r="OW18" s="782"/>
      <c r="OX18" s="782"/>
      <c r="OY18" s="782"/>
      <c r="OZ18" s="782"/>
      <c r="PA18" s="782"/>
      <c r="PB18" s="782"/>
      <c r="PC18" s="782"/>
      <c r="PD18" s="782"/>
      <c r="PE18" s="782"/>
      <c r="PF18" s="782"/>
      <c r="PG18" s="782"/>
      <c r="PH18" s="782"/>
      <c r="PI18" s="782"/>
      <c r="PJ18" s="782"/>
      <c r="PK18" s="782"/>
      <c r="PL18" s="782"/>
      <c r="PM18" s="782"/>
      <c r="PN18" s="782"/>
      <c r="PO18" s="782"/>
    </row>
    <row r="19" spans="1:431" s="143" customFormat="1">
      <c r="A19" s="782"/>
      <c r="B19" s="782"/>
      <c r="C19" s="785"/>
      <c r="D19" s="785"/>
      <c r="E19" s="785"/>
      <c r="F19" s="785"/>
      <c r="G19" s="785"/>
      <c r="H19" s="785"/>
      <c r="I19" s="785"/>
      <c r="J19" s="785"/>
      <c r="K19" s="785"/>
      <c r="L19" s="785"/>
      <c r="M19" s="782"/>
      <c r="N19" s="782"/>
      <c r="O19" s="782"/>
      <c r="P19" s="78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c r="BK19" s="782"/>
      <c r="BL19" s="782"/>
      <c r="BM19" s="782"/>
      <c r="BN19" s="782"/>
      <c r="BO19" s="782"/>
      <c r="BP19" s="782"/>
      <c r="BQ19" s="782"/>
      <c r="BR19" s="782"/>
      <c r="BS19" s="782"/>
      <c r="BT19" s="782"/>
      <c r="BU19" s="782"/>
      <c r="BV19" s="782"/>
      <c r="BW19" s="782"/>
      <c r="BX19" s="782"/>
      <c r="BY19" s="782"/>
      <c r="BZ19" s="782"/>
      <c r="CA19" s="782"/>
      <c r="CB19" s="782"/>
      <c r="CC19" s="782"/>
      <c r="CD19" s="782"/>
      <c r="CE19" s="782"/>
      <c r="CF19" s="782"/>
      <c r="CG19" s="782"/>
      <c r="CH19" s="782"/>
      <c r="CI19" s="782"/>
      <c r="CJ19" s="782"/>
      <c r="CK19" s="782"/>
      <c r="CL19" s="782"/>
      <c r="CM19" s="782"/>
      <c r="CN19" s="782"/>
      <c r="CO19" s="782"/>
      <c r="CP19" s="782"/>
      <c r="CQ19" s="782"/>
      <c r="CR19" s="782"/>
      <c r="CS19" s="782"/>
      <c r="CT19" s="782"/>
      <c r="CU19" s="782"/>
      <c r="CV19" s="782"/>
      <c r="CW19" s="782"/>
      <c r="CX19" s="782"/>
      <c r="CY19" s="782"/>
      <c r="CZ19" s="782"/>
      <c r="DA19" s="782"/>
      <c r="DB19" s="782"/>
      <c r="DC19" s="782"/>
      <c r="DD19" s="782"/>
      <c r="DE19" s="782"/>
      <c r="DF19" s="782"/>
      <c r="DG19" s="782"/>
      <c r="DH19" s="782"/>
      <c r="DI19" s="782"/>
      <c r="DJ19" s="782"/>
      <c r="DK19" s="782"/>
      <c r="DL19" s="782"/>
      <c r="DM19" s="782"/>
      <c r="DN19" s="782"/>
      <c r="DO19" s="782"/>
      <c r="DP19" s="782"/>
      <c r="DQ19" s="782"/>
      <c r="DR19" s="782"/>
      <c r="DS19" s="782"/>
      <c r="DT19" s="782"/>
      <c r="DU19" s="782"/>
      <c r="DV19" s="782"/>
      <c r="DW19" s="782"/>
      <c r="DX19" s="782"/>
      <c r="DY19" s="782"/>
      <c r="DZ19" s="782"/>
      <c r="EA19" s="782"/>
      <c r="EB19" s="782"/>
      <c r="EC19" s="782"/>
      <c r="ED19" s="782"/>
      <c r="EE19" s="782"/>
      <c r="EF19" s="782"/>
      <c r="EG19" s="782"/>
      <c r="EH19" s="782"/>
      <c r="EI19" s="782"/>
      <c r="EJ19" s="782"/>
      <c r="EK19" s="782"/>
      <c r="EL19" s="782"/>
      <c r="EM19" s="782"/>
      <c r="EN19" s="782"/>
      <c r="EO19" s="782"/>
      <c r="EP19" s="782"/>
      <c r="EQ19" s="782"/>
      <c r="ER19" s="782"/>
      <c r="ES19" s="782"/>
      <c r="ET19" s="782"/>
      <c r="EU19" s="782"/>
      <c r="EV19" s="782"/>
      <c r="EW19" s="782"/>
      <c r="EX19" s="782"/>
      <c r="EY19" s="782"/>
      <c r="EZ19" s="782"/>
      <c r="FA19" s="782"/>
      <c r="FB19" s="782"/>
      <c r="FC19" s="782"/>
      <c r="FD19" s="782"/>
      <c r="FE19" s="782"/>
      <c r="FF19" s="782"/>
      <c r="FG19" s="782"/>
      <c r="FH19" s="782"/>
      <c r="FI19" s="782"/>
      <c r="FJ19" s="782"/>
      <c r="FK19" s="782"/>
      <c r="FL19" s="782"/>
      <c r="FM19" s="782"/>
      <c r="FN19" s="782"/>
      <c r="FO19" s="782"/>
      <c r="FP19" s="782"/>
      <c r="FQ19" s="782"/>
      <c r="FR19" s="782"/>
      <c r="FS19" s="782"/>
      <c r="FT19" s="782"/>
      <c r="FU19" s="782"/>
      <c r="FV19" s="782"/>
      <c r="FW19" s="782"/>
      <c r="FX19" s="782"/>
      <c r="FY19" s="782"/>
      <c r="FZ19" s="782"/>
      <c r="GA19" s="782"/>
      <c r="GB19" s="782"/>
      <c r="GC19" s="782"/>
      <c r="GD19" s="782"/>
      <c r="GE19" s="782"/>
      <c r="GF19" s="782"/>
      <c r="GG19" s="782"/>
      <c r="GH19" s="782"/>
      <c r="GI19" s="782"/>
      <c r="GJ19" s="782"/>
      <c r="GK19" s="782"/>
      <c r="GL19" s="782"/>
      <c r="GM19" s="782"/>
      <c r="GN19" s="782"/>
      <c r="GO19" s="782"/>
      <c r="GP19" s="782"/>
      <c r="GQ19" s="782"/>
      <c r="GR19" s="782"/>
      <c r="GS19" s="782"/>
      <c r="GT19" s="782"/>
      <c r="GU19" s="782"/>
      <c r="GV19" s="782"/>
      <c r="GW19" s="782"/>
      <c r="GX19" s="782"/>
      <c r="GY19" s="782"/>
      <c r="GZ19" s="782"/>
      <c r="HA19" s="782"/>
      <c r="HB19" s="782"/>
      <c r="HC19" s="782"/>
      <c r="HD19" s="782"/>
      <c r="HE19" s="782"/>
      <c r="HF19" s="782"/>
      <c r="HG19" s="782"/>
      <c r="HH19" s="782"/>
      <c r="HI19" s="782"/>
      <c r="HJ19" s="782"/>
      <c r="HK19" s="782"/>
      <c r="HL19" s="782"/>
      <c r="HM19" s="782"/>
      <c r="HN19" s="782"/>
      <c r="HO19" s="782"/>
      <c r="HP19" s="782"/>
      <c r="HQ19" s="782"/>
      <c r="HR19" s="782"/>
      <c r="HS19" s="782"/>
      <c r="HT19" s="782"/>
      <c r="HU19" s="782"/>
      <c r="HV19" s="782"/>
      <c r="HW19" s="782"/>
      <c r="HX19" s="782"/>
      <c r="HY19" s="782"/>
      <c r="HZ19" s="782"/>
      <c r="IA19" s="782"/>
      <c r="IB19" s="782"/>
      <c r="IC19" s="782"/>
      <c r="ID19" s="782"/>
      <c r="IE19" s="782"/>
      <c r="IF19" s="782"/>
      <c r="IG19" s="782"/>
      <c r="IH19" s="782"/>
      <c r="II19" s="782"/>
      <c r="IJ19" s="782"/>
      <c r="IK19" s="782"/>
      <c r="IL19" s="782"/>
      <c r="IM19" s="782"/>
      <c r="IN19" s="782"/>
      <c r="IO19" s="782"/>
      <c r="IP19" s="782"/>
      <c r="IQ19" s="782"/>
      <c r="IR19" s="782"/>
      <c r="IS19" s="782"/>
      <c r="IT19" s="782"/>
      <c r="IU19" s="782"/>
      <c r="IV19" s="782"/>
      <c r="IW19" s="782"/>
      <c r="IX19" s="782"/>
      <c r="IY19" s="782"/>
      <c r="IZ19" s="782"/>
      <c r="JA19" s="782"/>
      <c r="JB19" s="782"/>
      <c r="JC19" s="782"/>
      <c r="JD19" s="782"/>
      <c r="JE19" s="782"/>
      <c r="JF19" s="782"/>
      <c r="JG19" s="782"/>
      <c r="JH19" s="782"/>
      <c r="JI19" s="782"/>
      <c r="JJ19" s="782"/>
      <c r="JK19" s="782"/>
      <c r="JL19" s="782"/>
      <c r="JM19" s="782"/>
      <c r="JN19" s="782"/>
      <c r="JO19" s="782"/>
      <c r="JP19" s="782"/>
      <c r="JQ19" s="782"/>
      <c r="JR19" s="782"/>
      <c r="JS19" s="782"/>
      <c r="JT19" s="782"/>
      <c r="JU19" s="782"/>
      <c r="JV19" s="782"/>
      <c r="JW19" s="782"/>
      <c r="JX19" s="782"/>
      <c r="JY19" s="782"/>
      <c r="JZ19" s="782"/>
      <c r="KA19" s="782"/>
      <c r="KB19" s="782"/>
      <c r="KC19" s="782"/>
      <c r="KD19" s="782"/>
      <c r="KE19" s="782"/>
      <c r="KF19" s="782"/>
      <c r="KG19" s="782"/>
      <c r="KH19" s="782"/>
      <c r="KI19" s="782"/>
      <c r="KJ19" s="782"/>
      <c r="KK19" s="782"/>
      <c r="KL19" s="782"/>
      <c r="KM19" s="782"/>
      <c r="KN19" s="782"/>
      <c r="KO19" s="782"/>
      <c r="KP19" s="782"/>
      <c r="KQ19" s="782"/>
      <c r="KR19" s="782"/>
      <c r="KS19" s="782"/>
      <c r="KT19" s="782"/>
      <c r="KU19" s="782"/>
      <c r="KV19" s="782"/>
      <c r="KW19" s="782"/>
      <c r="KX19" s="782"/>
      <c r="KY19" s="782"/>
      <c r="KZ19" s="782"/>
      <c r="LA19" s="782"/>
      <c r="LB19" s="782"/>
      <c r="LC19" s="782"/>
      <c r="LD19" s="782"/>
      <c r="LE19" s="782"/>
      <c r="LF19" s="782"/>
      <c r="LG19" s="782"/>
      <c r="LH19" s="782"/>
      <c r="LI19" s="782"/>
      <c r="LJ19" s="782"/>
      <c r="LK19" s="782"/>
      <c r="LL19" s="782"/>
      <c r="LM19" s="782"/>
      <c r="LN19" s="782"/>
      <c r="LO19" s="782"/>
      <c r="LP19" s="782"/>
      <c r="LQ19" s="782"/>
      <c r="LR19" s="782"/>
      <c r="LS19" s="782"/>
      <c r="LT19" s="782"/>
      <c r="LU19" s="782"/>
      <c r="LV19" s="782"/>
      <c r="LW19" s="782"/>
      <c r="LX19" s="782"/>
      <c r="LY19" s="782"/>
      <c r="LZ19" s="782"/>
      <c r="MA19" s="782"/>
      <c r="MB19" s="782"/>
      <c r="MC19" s="782"/>
      <c r="MD19" s="782"/>
      <c r="ME19" s="782"/>
      <c r="MF19" s="782"/>
      <c r="MG19" s="782"/>
      <c r="MH19" s="782"/>
      <c r="MI19" s="782"/>
      <c r="MJ19" s="782"/>
      <c r="MK19" s="782"/>
      <c r="ML19" s="782"/>
      <c r="MM19" s="782"/>
      <c r="MN19" s="782"/>
      <c r="MO19" s="782"/>
      <c r="MP19" s="782"/>
      <c r="MQ19" s="782"/>
      <c r="MR19" s="782"/>
      <c r="MS19" s="782"/>
      <c r="MT19" s="782"/>
      <c r="MU19" s="782"/>
      <c r="MV19" s="782"/>
      <c r="MW19" s="782"/>
      <c r="MX19" s="782"/>
      <c r="MY19" s="782"/>
      <c r="MZ19" s="782"/>
      <c r="NA19" s="782"/>
      <c r="NB19" s="782"/>
      <c r="NC19" s="782"/>
      <c r="ND19" s="782"/>
      <c r="NE19" s="782"/>
      <c r="NF19" s="782"/>
      <c r="NG19" s="782"/>
      <c r="NH19" s="782"/>
      <c r="NI19" s="782"/>
      <c r="NJ19" s="782"/>
      <c r="NK19" s="782"/>
      <c r="NL19" s="782"/>
      <c r="NM19" s="782"/>
      <c r="NN19" s="782"/>
      <c r="NO19" s="782"/>
      <c r="NP19" s="782"/>
      <c r="NQ19" s="782"/>
      <c r="NR19" s="782"/>
      <c r="NS19" s="782"/>
      <c r="NT19" s="782"/>
      <c r="NU19" s="782"/>
      <c r="NV19" s="782"/>
      <c r="NW19" s="782"/>
      <c r="NX19" s="782"/>
      <c r="NY19" s="782"/>
      <c r="NZ19" s="782"/>
      <c r="OA19" s="782"/>
      <c r="OB19" s="782"/>
      <c r="OC19" s="782"/>
      <c r="OD19" s="782"/>
      <c r="OE19" s="782"/>
      <c r="OF19" s="782"/>
      <c r="OG19" s="782"/>
      <c r="OH19" s="782"/>
      <c r="OI19" s="782"/>
      <c r="OJ19" s="782"/>
      <c r="OK19" s="782"/>
      <c r="OL19" s="782"/>
      <c r="OM19" s="782"/>
      <c r="ON19" s="782"/>
      <c r="OO19" s="782"/>
      <c r="OP19" s="782"/>
      <c r="OQ19" s="782"/>
      <c r="OR19" s="782"/>
      <c r="OS19" s="782"/>
      <c r="OT19" s="782"/>
      <c r="OU19" s="782"/>
      <c r="OV19" s="782"/>
      <c r="OW19" s="782"/>
      <c r="OX19" s="782"/>
      <c r="OY19" s="782"/>
      <c r="OZ19" s="782"/>
      <c r="PA19" s="782"/>
      <c r="PB19" s="782"/>
      <c r="PC19" s="782"/>
      <c r="PD19" s="782"/>
      <c r="PE19" s="782"/>
      <c r="PF19" s="782"/>
      <c r="PG19" s="782"/>
      <c r="PH19" s="782"/>
      <c r="PI19" s="782"/>
      <c r="PJ19" s="782"/>
      <c r="PK19" s="782"/>
      <c r="PL19" s="782"/>
      <c r="PM19" s="782"/>
      <c r="PN19" s="782"/>
      <c r="PO19" s="782"/>
    </row>
    <row r="20" spans="1:431" s="143" customFormat="1">
      <c r="A20" s="782"/>
      <c r="B20" s="782"/>
      <c r="C20" s="785"/>
      <c r="D20" s="785"/>
      <c r="E20" s="785"/>
      <c r="F20" s="785"/>
      <c r="G20" s="785"/>
      <c r="H20" s="785"/>
      <c r="I20" s="785"/>
      <c r="J20" s="785"/>
      <c r="K20" s="785"/>
      <c r="L20" s="785"/>
      <c r="M20" s="782"/>
      <c r="N20" s="782"/>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782"/>
      <c r="BH20" s="782"/>
      <c r="BI20" s="782"/>
      <c r="BJ20" s="782"/>
      <c r="BK20" s="782"/>
      <c r="BL20" s="782"/>
      <c r="BM20" s="782"/>
      <c r="BN20" s="782"/>
      <c r="BO20" s="782"/>
      <c r="BP20" s="782"/>
      <c r="BQ20" s="782"/>
      <c r="BR20" s="782"/>
      <c r="BS20" s="782"/>
      <c r="BT20" s="782"/>
      <c r="BU20" s="782"/>
      <c r="BV20" s="782"/>
      <c r="BW20" s="782"/>
      <c r="BX20" s="782"/>
      <c r="BY20" s="782"/>
      <c r="BZ20" s="782"/>
      <c r="CA20" s="782"/>
      <c r="CB20" s="782"/>
      <c r="CC20" s="782"/>
      <c r="CD20" s="782"/>
      <c r="CE20" s="782"/>
      <c r="CF20" s="782"/>
      <c r="CG20" s="782"/>
      <c r="CH20" s="782"/>
      <c r="CI20" s="782"/>
      <c r="CJ20" s="782"/>
      <c r="CK20" s="782"/>
      <c r="CL20" s="782"/>
      <c r="CM20" s="782"/>
      <c r="CN20" s="782"/>
      <c r="CO20" s="782"/>
      <c r="CP20" s="782"/>
      <c r="CQ20" s="782"/>
      <c r="CR20" s="782"/>
      <c r="CS20" s="782"/>
      <c r="CT20" s="782"/>
      <c r="CU20" s="782"/>
      <c r="CV20" s="782"/>
      <c r="CW20" s="782"/>
      <c r="CX20" s="782"/>
      <c r="CY20" s="782"/>
      <c r="CZ20" s="782"/>
      <c r="DA20" s="782"/>
      <c r="DB20" s="782"/>
      <c r="DC20" s="782"/>
      <c r="DD20" s="782"/>
      <c r="DE20" s="782"/>
      <c r="DF20" s="782"/>
      <c r="DG20" s="782"/>
      <c r="DH20" s="782"/>
      <c r="DI20" s="782"/>
      <c r="DJ20" s="782"/>
      <c r="DK20" s="782"/>
      <c r="DL20" s="782"/>
      <c r="DM20" s="782"/>
      <c r="DN20" s="782"/>
      <c r="DO20" s="782"/>
      <c r="DP20" s="782"/>
      <c r="DQ20" s="782"/>
      <c r="DR20" s="782"/>
      <c r="DS20" s="782"/>
      <c r="DT20" s="782"/>
      <c r="DU20" s="782"/>
      <c r="DV20" s="782"/>
      <c r="DW20" s="782"/>
      <c r="DX20" s="782"/>
      <c r="DY20" s="782"/>
      <c r="DZ20" s="782"/>
      <c r="EA20" s="782"/>
      <c r="EB20" s="782"/>
      <c r="EC20" s="782"/>
      <c r="ED20" s="782"/>
      <c r="EE20" s="782"/>
      <c r="EF20" s="782"/>
      <c r="EG20" s="782"/>
      <c r="EH20" s="782"/>
      <c r="EI20" s="782"/>
      <c r="EJ20" s="782"/>
      <c r="EK20" s="782"/>
      <c r="EL20" s="782"/>
      <c r="EM20" s="782"/>
      <c r="EN20" s="782"/>
      <c r="EO20" s="782"/>
      <c r="EP20" s="782"/>
      <c r="EQ20" s="782"/>
      <c r="ER20" s="782"/>
      <c r="ES20" s="782"/>
      <c r="ET20" s="782"/>
      <c r="EU20" s="782"/>
      <c r="EV20" s="782"/>
      <c r="EW20" s="782"/>
      <c r="EX20" s="782"/>
      <c r="EY20" s="782"/>
      <c r="EZ20" s="782"/>
      <c r="FA20" s="782"/>
      <c r="FB20" s="782"/>
      <c r="FC20" s="782"/>
      <c r="FD20" s="782"/>
      <c r="FE20" s="782"/>
      <c r="FF20" s="782"/>
      <c r="FG20" s="782"/>
      <c r="FH20" s="782"/>
      <c r="FI20" s="782"/>
      <c r="FJ20" s="782"/>
      <c r="FK20" s="782"/>
      <c r="FL20" s="782"/>
      <c r="FM20" s="782"/>
      <c r="FN20" s="782"/>
      <c r="FO20" s="782"/>
      <c r="FP20" s="782"/>
      <c r="FQ20" s="782"/>
      <c r="FR20" s="782"/>
      <c r="FS20" s="782"/>
      <c r="FT20" s="782"/>
      <c r="FU20" s="782"/>
      <c r="FV20" s="782"/>
      <c r="FW20" s="782"/>
      <c r="FX20" s="782"/>
      <c r="FY20" s="782"/>
      <c r="FZ20" s="782"/>
      <c r="GA20" s="782"/>
      <c r="GB20" s="782"/>
      <c r="GC20" s="782"/>
      <c r="GD20" s="782"/>
      <c r="GE20" s="782"/>
      <c r="GF20" s="782"/>
      <c r="GG20" s="782"/>
      <c r="GH20" s="782"/>
      <c r="GI20" s="782"/>
      <c r="GJ20" s="782"/>
      <c r="GK20" s="782"/>
      <c r="GL20" s="782"/>
      <c r="GM20" s="782"/>
      <c r="GN20" s="782"/>
      <c r="GO20" s="782"/>
      <c r="GP20" s="782"/>
      <c r="GQ20" s="782"/>
      <c r="GR20" s="782"/>
      <c r="GS20" s="782"/>
      <c r="GT20" s="782"/>
      <c r="GU20" s="782"/>
      <c r="GV20" s="782"/>
      <c r="GW20" s="782"/>
      <c r="GX20" s="782"/>
      <c r="GY20" s="782"/>
      <c r="GZ20" s="782"/>
      <c r="HA20" s="782"/>
      <c r="HB20" s="782"/>
      <c r="HC20" s="782"/>
      <c r="HD20" s="782"/>
      <c r="HE20" s="782"/>
      <c r="HF20" s="782"/>
      <c r="HG20" s="782"/>
      <c r="HH20" s="782"/>
      <c r="HI20" s="782"/>
      <c r="HJ20" s="782"/>
      <c r="HK20" s="782"/>
      <c r="HL20" s="782"/>
      <c r="HM20" s="782"/>
      <c r="HN20" s="782"/>
      <c r="HO20" s="782"/>
      <c r="HP20" s="782"/>
      <c r="HQ20" s="782"/>
      <c r="HR20" s="782"/>
      <c r="HS20" s="782"/>
      <c r="HT20" s="782"/>
      <c r="HU20" s="782"/>
      <c r="HV20" s="782"/>
      <c r="HW20" s="782"/>
      <c r="HX20" s="782"/>
      <c r="HY20" s="782"/>
      <c r="HZ20" s="782"/>
      <c r="IA20" s="782"/>
      <c r="IB20" s="782"/>
      <c r="IC20" s="782"/>
      <c r="ID20" s="782"/>
      <c r="IE20" s="782"/>
      <c r="IF20" s="782"/>
      <c r="IG20" s="782"/>
      <c r="IH20" s="782"/>
      <c r="II20" s="782"/>
      <c r="IJ20" s="782"/>
      <c r="IK20" s="782"/>
      <c r="IL20" s="782"/>
      <c r="IM20" s="782"/>
      <c r="IN20" s="782"/>
      <c r="IO20" s="782"/>
      <c r="IP20" s="782"/>
      <c r="IQ20" s="782"/>
      <c r="IR20" s="782"/>
      <c r="IS20" s="782"/>
      <c r="IT20" s="782"/>
      <c r="IU20" s="782"/>
      <c r="IV20" s="782"/>
      <c r="IW20" s="782"/>
      <c r="IX20" s="782"/>
      <c r="IY20" s="782"/>
      <c r="IZ20" s="782"/>
      <c r="JA20" s="782"/>
      <c r="JB20" s="782"/>
      <c r="JC20" s="782"/>
      <c r="JD20" s="782"/>
      <c r="JE20" s="782"/>
      <c r="JF20" s="782"/>
      <c r="JG20" s="782"/>
      <c r="JH20" s="782"/>
      <c r="JI20" s="782"/>
      <c r="JJ20" s="782"/>
      <c r="JK20" s="782"/>
      <c r="JL20" s="782"/>
      <c r="JM20" s="782"/>
      <c r="JN20" s="782"/>
      <c r="JO20" s="782"/>
      <c r="JP20" s="782"/>
      <c r="JQ20" s="782"/>
      <c r="JR20" s="782"/>
      <c r="JS20" s="782"/>
      <c r="JT20" s="782"/>
      <c r="JU20" s="782"/>
      <c r="JV20" s="782"/>
      <c r="JW20" s="782"/>
      <c r="JX20" s="782"/>
      <c r="JY20" s="782"/>
      <c r="JZ20" s="782"/>
      <c r="KA20" s="782"/>
      <c r="KB20" s="782"/>
      <c r="KC20" s="782"/>
      <c r="KD20" s="782"/>
      <c r="KE20" s="782"/>
      <c r="KF20" s="782"/>
      <c r="KG20" s="782"/>
      <c r="KH20" s="782"/>
      <c r="KI20" s="782"/>
      <c r="KJ20" s="782"/>
      <c r="KK20" s="782"/>
      <c r="KL20" s="782"/>
      <c r="KM20" s="782"/>
      <c r="KN20" s="782"/>
      <c r="KO20" s="782"/>
      <c r="KP20" s="782"/>
      <c r="KQ20" s="782"/>
      <c r="KR20" s="782"/>
      <c r="KS20" s="782"/>
      <c r="KT20" s="782"/>
      <c r="KU20" s="782"/>
      <c r="KV20" s="782"/>
      <c r="KW20" s="782"/>
      <c r="KX20" s="782"/>
      <c r="KY20" s="782"/>
      <c r="KZ20" s="782"/>
      <c r="LA20" s="782"/>
      <c r="LB20" s="782"/>
      <c r="LC20" s="782"/>
      <c r="LD20" s="782"/>
      <c r="LE20" s="782"/>
      <c r="LF20" s="782"/>
      <c r="LG20" s="782"/>
      <c r="LH20" s="782"/>
      <c r="LI20" s="782"/>
      <c r="LJ20" s="782"/>
      <c r="LK20" s="782"/>
      <c r="LL20" s="782"/>
      <c r="LM20" s="782"/>
      <c r="LN20" s="782"/>
      <c r="LO20" s="782"/>
      <c r="LP20" s="782"/>
      <c r="LQ20" s="782"/>
      <c r="LR20" s="782"/>
      <c r="LS20" s="782"/>
      <c r="LT20" s="782"/>
      <c r="LU20" s="782"/>
      <c r="LV20" s="782"/>
      <c r="LW20" s="782"/>
      <c r="LX20" s="782"/>
      <c r="LY20" s="782"/>
      <c r="LZ20" s="782"/>
      <c r="MA20" s="782"/>
      <c r="MB20" s="782"/>
      <c r="MC20" s="782"/>
      <c r="MD20" s="782"/>
      <c r="ME20" s="782"/>
      <c r="MF20" s="782"/>
      <c r="MG20" s="782"/>
      <c r="MH20" s="782"/>
      <c r="MI20" s="782"/>
      <c r="MJ20" s="782"/>
      <c r="MK20" s="782"/>
      <c r="ML20" s="782"/>
      <c r="MM20" s="782"/>
      <c r="MN20" s="782"/>
      <c r="MO20" s="782"/>
      <c r="MP20" s="782"/>
      <c r="MQ20" s="782"/>
      <c r="MR20" s="782"/>
      <c r="MS20" s="782"/>
      <c r="MT20" s="782"/>
      <c r="MU20" s="782"/>
      <c r="MV20" s="782"/>
      <c r="MW20" s="782"/>
      <c r="MX20" s="782"/>
      <c r="MY20" s="782"/>
      <c r="MZ20" s="782"/>
      <c r="NA20" s="782"/>
      <c r="NB20" s="782"/>
      <c r="NC20" s="782"/>
      <c r="ND20" s="782"/>
      <c r="NE20" s="782"/>
      <c r="NF20" s="782"/>
      <c r="NG20" s="782"/>
      <c r="NH20" s="782"/>
      <c r="NI20" s="782"/>
      <c r="NJ20" s="782"/>
      <c r="NK20" s="782"/>
      <c r="NL20" s="782"/>
      <c r="NM20" s="782"/>
      <c r="NN20" s="782"/>
      <c r="NO20" s="782"/>
      <c r="NP20" s="782"/>
      <c r="NQ20" s="782"/>
      <c r="NR20" s="782"/>
      <c r="NS20" s="782"/>
      <c r="NT20" s="782"/>
      <c r="NU20" s="782"/>
      <c r="NV20" s="782"/>
      <c r="NW20" s="782"/>
      <c r="NX20" s="782"/>
      <c r="NY20" s="782"/>
      <c r="NZ20" s="782"/>
      <c r="OA20" s="782"/>
      <c r="OB20" s="782"/>
      <c r="OC20" s="782"/>
      <c r="OD20" s="782"/>
      <c r="OE20" s="782"/>
      <c r="OF20" s="782"/>
      <c r="OG20" s="782"/>
      <c r="OH20" s="782"/>
      <c r="OI20" s="782"/>
      <c r="OJ20" s="782"/>
      <c r="OK20" s="782"/>
      <c r="OL20" s="782"/>
      <c r="OM20" s="782"/>
      <c r="ON20" s="782"/>
      <c r="OO20" s="782"/>
      <c r="OP20" s="782"/>
      <c r="OQ20" s="782"/>
      <c r="OR20" s="782"/>
      <c r="OS20" s="782"/>
      <c r="OT20" s="782"/>
      <c r="OU20" s="782"/>
      <c r="OV20" s="782"/>
      <c r="OW20" s="782"/>
      <c r="OX20" s="782"/>
      <c r="OY20" s="782"/>
      <c r="OZ20" s="782"/>
      <c r="PA20" s="782"/>
      <c r="PB20" s="782"/>
      <c r="PC20" s="782"/>
      <c r="PD20" s="782"/>
      <c r="PE20" s="782"/>
      <c r="PF20" s="782"/>
      <c r="PG20" s="782"/>
      <c r="PH20" s="782"/>
      <c r="PI20" s="782"/>
      <c r="PJ20" s="782"/>
      <c r="PK20" s="782"/>
      <c r="PL20" s="782"/>
      <c r="PM20" s="782"/>
      <c r="PN20" s="782"/>
      <c r="PO20" s="782"/>
    </row>
    <row r="21" spans="1:431" s="143" customFormat="1">
      <c r="A21" s="782"/>
      <c r="B21" s="782"/>
      <c r="C21" s="785"/>
      <c r="D21" s="785"/>
      <c r="E21" s="785"/>
      <c r="F21" s="785"/>
      <c r="G21" s="785"/>
      <c r="H21" s="785"/>
      <c r="I21" s="785"/>
      <c r="J21" s="785"/>
      <c r="K21" s="785"/>
      <c r="L21" s="785"/>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782"/>
      <c r="BH21" s="782"/>
      <c r="BI21" s="782"/>
      <c r="BJ21" s="782"/>
      <c r="BK21" s="782"/>
      <c r="BL21" s="782"/>
      <c r="BM21" s="782"/>
      <c r="BN21" s="782"/>
      <c r="BO21" s="782"/>
      <c r="BP21" s="782"/>
      <c r="BQ21" s="782"/>
      <c r="BR21" s="782"/>
      <c r="BS21" s="782"/>
      <c r="BT21" s="782"/>
      <c r="BU21" s="782"/>
      <c r="BV21" s="782"/>
      <c r="BW21" s="782"/>
      <c r="BX21" s="782"/>
      <c r="BY21" s="782"/>
      <c r="BZ21" s="782"/>
      <c r="CA21" s="782"/>
      <c r="CB21" s="782"/>
      <c r="CC21" s="782"/>
      <c r="CD21" s="782"/>
      <c r="CE21" s="782"/>
      <c r="CF21" s="782"/>
      <c r="CG21" s="782"/>
      <c r="CH21" s="782"/>
      <c r="CI21" s="782"/>
      <c r="CJ21" s="782"/>
      <c r="CK21" s="782"/>
      <c r="CL21" s="782"/>
      <c r="CM21" s="782"/>
      <c r="CN21" s="782"/>
      <c r="CO21" s="782"/>
      <c r="CP21" s="782"/>
      <c r="CQ21" s="782"/>
      <c r="CR21" s="782"/>
      <c r="CS21" s="782"/>
      <c r="CT21" s="782"/>
      <c r="CU21" s="782"/>
      <c r="CV21" s="782"/>
      <c r="CW21" s="782"/>
      <c r="CX21" s="782"/>
      <c r="CY21" s="782"/>
      <c r="CZ21" s="782"/>
      <c r="DA21" s="782"/>
      <c r="DB21" s="782"/>
      <c r="DC21" s="782"/>
      <c r="DD21" s="782"/>
      <c r="DE21" s="782"/>
      <c r="DF21" s="782"/>
      <c r="DG21" s="782"/>
      <c r="DH21" s="782"/>
      <c r="DI21" s="782"/>
      <c r="DJ21" s="782"/>
      <c r="DK21" s="782"/>
      <c r="DL21" s="782"/>
      <c r="DM21" s="782"/>
      <c r="DN21" s="782"/>
      <c r="DO21" s="782"/>
      <c r="DP21" s="782"/>
      <c r="DQ21" s="782"/>
      <c r="DR21" s="782"/>
      <c r="DS21" s="782"/>
      <c r="DT21" s="782"/>
      <c r="DU21" s="782"/>
      <c r="DV21" s="782"/>
      <c r="DW21" s="782"/>
      <c r="DX21" s="782"/>
      <c r="DY21" s="782"/>
      <c r="DZ21" s="782"/>
      <c r="EA21" s="782"/>
      <c r="EB21" s="782"/>
      <c r="EC21" s="782"/>
      <c r="ED21" s="782"/>
      <c r="EE21" s="782"/>
      <c r="EF21" s="782"/>
      <c r="EG21" s="782"/>
      <c r="EH21" s="782"/>
      <c r="EI21" s="782"/>
      <c r="EJ21" s="782"/>
      <c r="EK21" s="782"/>
      <c r="EL21" s="782"/>
      <c r="EM21" s="782"/>
      <c r="EN21" s="782"/>
      <c r="EO21" s="782"/>
      <c r="EP21" s="782"/>
      <c r="EQ21" s="782"/>
      <c r="ER21" s="782"/>
      <c r="ES21" s="782"/>
      <c r="ET21" s="782"/>
      <c r="EU21" s="782"/>
      <c r="EV21" s="782"/>
      <c r="EW21" s="782"/>
      <c r="EX21" s="782"/>
      <c r="EY21" s="782"/>
      <c r="EZ21" s="782"/>
      <c r="FA21" s="782"/>
      <c r="FB21" s="782"/>
      <c r="FC21" s="782"/>
      <c r="FD21" s="782"/>
      <c r="FE21" s="782"/>
      <c r="FF21" s="782"/>
      <c r="FG21" s="782"/>
      <c r="FH21" s="782"/>
      <c r="FI21" s="782"/>
      <c r="FJ21" s="782"/>
      <c r="FK21" s="782"/>
      <c r="FL21" s="782"/>
      <c r="FM21" s="782"/>
      <c r="FN21" s="782"/>
      <c r="FO21" s="782"/>
      <c r="FP21" s="782"/>
      <c r="FQ21" s="782"/>
      <c r="FR21" s="782"/>
      <c r="FS21" s="782"/>
      <c r="FT21" s="782"/>
      <c r="FU21" s="782"/>
      <c r="FV21" s="782"/>
      <c r="FW21" s="782"/>
      <c r="FX21" s="782"/>
      <c r="FY21" s="782"/>
      <c r="FZ21" s="782"/>
      <c r="GA21" s="782"/>
      <c r="GB21" s="782"/>
      <c r="GC21" s="782"/>
      <c r="GD21" s="782"/>
      <c r="GE21" s="782"/>
      <c r="GF21" s="782"/>
      <c r="GG21" s="782"/>
      <c r="GH21" s="782"/>
      <c r="GI21" s="782"/>
      <c r="GJ21" s="782"/>
      <c r="GK21" s="782"/>
      <c r="GL21" s="782"/>
      <c r="GM21" s="782"/>
      <c r="GN21" s="782"/>
      <c r="GO21" s="782"/>
      <c r="GP21" s="782"/>
      <c r="GQ21" s="782"/>
      <c r="GR21" s="782"/>
      <c r="GS21" s="782"/>
      <c r="GT21" s="782"/>
      <c r="GU21" s="782"/>
      <c r="GV21" s="782"/>
      <c r="GW21" s="782"/>
      <c r="GX21" s="782"/>
      <c r="GY21" s="782"/>
      <c r="GZ21" s="782"/>
      <c r="HA21" s="782"/>
      <c r="HB21" s="782"/>
      <c r="HC21" s="782"/>
      <c r="HD21" s="782"/>
      <c r="HE21" s="782"/>
      <c r="HF21" s="782"/>
      <c r="HG21" s="782"/>
      <c r="HH21" s="782"/>
      <c r="HI21" s="782"/>
      <c r="HJ21" s="782"/>
      <c r="HK21" s="782"/>
      <c r="HL21" s="782"/>
      <c r="HM21" s="782"/>
      <c r="HN21" s="782"/>
      <c r="HO21" s="782"/>
      <c r="HP21" s="782"/>
      <c r="HQ21" s="782"/>
      <c r="HR21" s="782"/>
      <c r="HS21" s="782"/>
      <c r="HT21" s="782"/>
      <c r="HU21" s="782"/>
      <c r="HV21" s="782"/>
      <c r="HW21" s="782"/>
      <c r="HX21" s="782"/>
      <c r="HY21" s="782"/>
      <c r="HZ21" s="782"/>
      <c r="IA21" s="782"/>
      <c r="IB21" s="782"/>
      <c r="IC21" s="782"/>
      <c r="ID21" s="782"/>
      <c r="IE21" s="782"/>
      <c r="IF21" s="782"/>
      <c r="IG21" s="782"/>
      <c r="IH21" s="782"/>
      <c r="II21" s="782"/>
      <c r="IJ21" s="782"/>
      <c r="IK21" s="782"/>
      <c r="IL21" s="782"/>
      <c r="IM21" s="782"/>
      <c r="IN21" s="782"/>
      <c r="IO21" s="782"/>
      <c r="IP21" s="782"/>
      <c r="IQ21" s="782"/>
      <c r="IR21" s="782"/>
      <c r="IS21" s="782"/>
      <c r="IT21" s="782"/>
      <c r="IU21" s="782"/>
      <c r="IV21" s="782"/>
      <c r="IW21" s="782"/>
      <c r="IX21" s="782"/>
      <c r="IY21" s="782"/>
      <c r="IZ21" s="782"/>
      <c r="JA21" s="782"/>
      <c r="JB21" s="782"/>
      <c r="JC21" s="782"/>
      <c r="JD21" s="782"/>
      <c r="JE21" s="782"/>
      <c r="JF21" s="782"/>
      <c r="JG21" s="782"/>
      <c r="JH21" s="782"/>
      <c r="JI21" s="782"/>
      <c r="JJ21" s="782"/>
      <c r="JK21" s="782"/>
      <c r="JL21" s="782"/>
      <c r="JM21" s="782"/>
      <c r="JN21" s="782"/>
      <c r="JO21" s="782"/>
      <c r="JP21" s="782"/>
      <c r="JQ21" s="782"/>
      <c r="JR21" s="782"/>
      <c r="JS21" s="782"/>
      <c r="JT21" s="782"/>
      <c r="JU21" s="782"/>
      <c r="JV21" s="782"/>
      <c r="JW21" s="782"/>
      <c r="JX21" s="782"/>
      <c r="JY21" s="782"/>
      <c r="JZ21" s="782"/>
      <c r="KA21" s="782"/>
      <c r="KB21" s="782"/>
      <c r="KC21" s="782"/>
      <c r="KD21" s="782"/>
      <c r="KE21" s="782"/>
      <c r="KF21" s="782"/>
      <c r="KG21" s="782"/>
      <c r="KH21" s="782"/>
      <c r="KI21" s="782"/>
      <c r="KJ21" s="782"/>
      <c r="KK21" s="782"/>
      <c r="KL21" s="782"/>
      <c r="KM21" s="782"/>
      <c r="KN21" s="782"/>
      <c r="KO21" s="782"/>
      <c r="KP21" s="782"/>
      <c r="KQ21" s="782"/>
      <c r="KR21" s="782"/>
      <c r="KS21" s="782"/>
      <c r="KT21" s="782"/>
      <c r="KU21" s="782"/>
      <c r="KV21" s="782"/>
      <c r="KW21" s="782"/>
      <c r="KX21" s="782"/>
      <c r="KY21" s="782"/>
      <c r="KZ21" s="782"/>
      <c r="LA21" s="782"/>
      <c r="LB21" s="782"/>
      <c r="LC21" s="782"/>
      <c r="LD21" s="782"/>
      <c r="LE21" s="782"/>
      <c r="LF21" s="782"/>
      <c r="LG21" s="782"/>
      <c r="LH21" s="782"/>
      <c r="LI21" s="782"/>
      <c r="LJ21" s="782"/>
      <c r="LK21" s="782"/>
      <c r="LL21" s="782"/>
      <c r="LM21" s="782"/>
      <c r="LN21" s="782"/>
      <c r="LO21" s="782"/>
      <c r="LP21" s="782"/>
      <c r="LQ21" s="782"/>
      <c r="LR21" s="782"/>
      <c r="LS21" s="782"/>
      <c r="LT21" s="782"/>
      <c r="LU21" s="782"/>
      <c r="LV21" s="782"/>
      <c r="LW21" s="782"/>
      <c r="LX21" s="782"/>
      <c r="LY21" s="782"/>
      <c r="LZ21" s="782"/>
      <c r="MA21" s="782"/>
      <c r="MB21" s="782"/>
      <c r="MC21" s="782"/>
      <c r="MD21" s="782"/>
      <c r="ME21" s="782"/>
      <c r="MF21" s="782"/>
      <c r="MG21" s="782"/>
      <c r="MH21" s="782"/>
      <c r="MI21" s="782"/>
      <c r="MJ21" s="782"/>
      <c r="MK21" s="782"/>
      <c r="ML21" s="782"/>
      <c r="MM21" s="782"/>
      <c r="MN21" s="782"/>
      <c r="MO21" s="782"/>
      <c r="MP21" s="782"/>
      <c r="MQ21" s="782"/>
      <c r="MR21" s="782"/>
      <c r="MS21" s="782"/>
      <c r="MT21" s="782"/>
      <c r="MU21" s="782"/>
      <c r="MV21" s="782"/>
      <c r="MW21" s="782"/>
      <c r="MX21" s="782"/>
      <c r="MY21" s="782"/>
      <c r="MZ21" s="782"/>
      <c r="NA21" s="782"/>
      <c r="NB21" s="782"/>
      <c r="NC21" s="782"/>
      <c r="ND21" s="782"/>
      <c r="NE21" s="782"/>
      <c r="NF21" s="782"/>
      <c r="NG21" s="782"/>
      <c r="NH21" s="782"/>
      <c r="NI21" s="782"/>
      <c r="NJ21" s="782"/>
      <c r="NK21" s="782"/>
      <c r="NL21" s="782"/>
      <c r="NM21" s="782"/>
      <c r="NN21" s="782"/>
      <c r="NO21" s="782"/>
      <c r="NP21" s="782"/>
      <c r="NQ21" s="782"/>
      <c r="NR21" s="782"/>
      <c r="NS21" s="782"/>
      <c r="NT21" s="782"/>
      <c r="NU21" s="782"/>
      <c r="NV21" s="782"/>
      <c r="NW21" s="782"/>
      <c r="NX21" s="782"/>
      <c r="NY21" s="782"/>
      <c r="NZ21" s="782"/>
      <c r="OA21" s="782"/>
      <c r="OB21" s="782"/>
      <c r="OC21" s="782"/>
      <c r="OD21" s="782"/>
      <c r="OE21" s="782"/>
      <c r="OF21" s="782"/>
      <c r="OG21" s="782"/>
      <c r="OH21" s="782"/>
      <c r="OI21" s="782"/>
      <c r="OJ21" s="782"/>
      <c r="OK21" s="782"/>
      <c r="OL21" s="782"/>
      <c r="OM21" s="782"/>
      <c r="ON21" s="782"/>
      <c r="OO21" s="782"/>
      <c r="OP21" s="782"/>
      <c r="OQ21" s="782"/>
      <c r="OR21" s="782"/>
      <c r="OS21" s="782"/>
      <c r="OT21" s="782"/>
      <c r="OU21" s="782"/>
      <c r="OV21" s="782"/>
      <c r="OW21" s="782"/>
      <c r="OX21" s="782"/>
      <c r="OY21" s="782"/>
      <c r="OZ21" s="782"/>
      <c r="PA21" s="782"/>
      <c r="PB21" s="782"/>
      <c r="PC21" s="782"/>
      <c r="PD21" s="782"/>
      <c r="PE21" s="782"/>
      <c r="PF21" s="782"/>
      <c r="PG21" s="782"/>
      <c r="PH21" s="782"/>
      <c r="PI21" s="782"/>
      <c r="PJ21" s="782"/>
      <c r="PK21" s="782"/>
      <c r="PL21" s="782"/>
      <c r="PM21" s="782"/>
      <c r="PN21" s="782"/>
      <c r="PO21" s="782"/>
    </row>
    <row r="22" spans="1:431" s="143" customFormat="1">
      <c r="A22" s="782"/>
      <c r="B22" s="782"/>
      <c r="C22" s="785"/>
      <c r="D22" s="785"/>
      <c r="E22" s="785"/>
      <c r="F22" s="785"/>
      <c r="G22" s="785"/>
      <c r="H22" s="785"/>
      <c r="I22" s="785"/>
      <c r="J22" s="785"/>
      <c r="K22" s="785"/>
      <c r="L22" s="785"/>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2"/>
      <c r="BC22" s="782"/>
      <c r="BD22" s="782"/>
      <c r="BE22" s="782"/>
      <c r="BF22" s="782"/>
      <c r="BG22" s="782"/>
      <c r="BH22" s="782"/>
      <c r="BI22" s="782"/>
      <c r="BJ22" s="782"/>
      <c r="BK22" s="782"/>
      <c r="BL22" s="782"/>
      <c r="BM22" s="782"/>
      <c r="BN22" s="782"/>
      <c r="BO22" s="782"/>
      <c r="BP22" s="782"/>
      <c r="BQ22" s="782"/>
      <c r="BR22" s="782"/>
      <c r="BS22" s="782"/>
      <c r="BT22" s="782"/>
      <c r="BU22" s="782"/>
      <c r="BV22" s="782"/>
      <c r="BW22" s="782"/>
      <c r="BX22" s="782"/>
      <c r="BY22" s="782"/>
      <c r="BZ22" s="782"/>
      <c r="CA22" s="782"/>
      <c r="CB22" s="782"/>
      <c r="CC22" s="782"/>
      <c r="CD22" s="782"/>
      <c r="CE22" s="782"/>
      <c r="CF22" s="782"/>
      <c r="CG22" s="782"/>
      <c r="CH22" s="782"/>
      <c r="CI22" s="782"/>
      <c r="CJ22" s="782"/>
      <c r="CK22" s="782"/>
      <c r="CL22" s="782"/>
      <c r="CM22" s="782"/>
      <c r="CN22" s="782"/>
      <c r="CO22" s="782"/>
      <c r="CP22" s="782"/>
      <c r="CQ22" s="782"/>
      <c r="CR22" s="782"/>
      <c r="CS22" s="782"/>
      <c r="CT22" s="782"/>
      <c r="CU22" s="782"/>
      <c r="CV22" s="782"/>
      <c r="CW22" s="782"/>
      <c r="CX22" s="782"/>
      <c r="CY22" s="782"/>
      <c r="CZ22" s="782"/>
      <c r="DA22" s="782"/>
      <c r="DB22" s="782"/>
      <c r="DC22" s="782"/>
      <c r="DD22" s="782"/>
      <c r="DE22" s="782"/>
      <c r="DF22" s="782"/>
      <c r="DG22" s="782"/>
      <c r="DH22" s="782"/>
      <c r="DI22" s="782"/>
      <c r="DJ22" s="782"/>
      <c r="DK22" s="782"/>
      <c r="DL22" s="782"/>
      <c r="DM22" s="782"/>
      <c r="DN22" s="782"/>
      <c r="DO22" s="782"/>
      <c r="DP22" s="782"/>
      <c r="DQ22" s="782"/>
      <c r="DR22" s="782"/>
      <c r="DS22" s="782"/>
      <c r="DT22" s="782"/>
      <c r="DU22" s="782"/>
      <c r="DV22" s="782"/>
      <c r="DW22" s="782"/>
      <c r="DX22" s="782"/>
      <c r="DY22" s="782"/>
      <c r="DZ22" s="782"/>
      <c r="EA22" s="782"/>
      <c r="EB22" s="782"/>
      <c r="EC22" s="782"/>
      <c r="ED22" s="782"/>
      <c r="EE22" s="782"/>
      <c r="EF22" s="782"/>
      <c r="EG22" s="782"/>
      <c r="EH22" s="782"/>
      <c r="EI22" s="782"/>
      <c r="EJ22" s="782"/>
      <c r="EK22" s="782"/>
      <c r="EL22" s="782"/>
      <c r="EM22" s="782"/>
      <c r="EN22" s="782"/>
      <c r="EO22" s="782"/>
      <c r="EP22" s="782"/>
      <c r="EQ22" s="782"/>
      <c r="ER22" s="782"/>
      <c r="ES22" s="782"/>
      <c r="ET22" s="782"/>
      <c r="EU22" s="782"/>
      <c r="EV22" s="782"/>
      <c r="EW22" s="782"/>
      <c r="EX22" s="782"/>
      <c r="EY22" s="782"/>
      <c r="EZ22" s="782"/>
      <c r="FA22" s="782"/>
      <c r="FB22" s="782"/>
      <c r="FC22" s="782"/>
      <c r="FD22" s="782"/>
      <c r="FE22" s="782"/>
      <c r="FF22" s="782"/>
      <c r="FG22" s="782"/>
      <c r="FH22" s="782"/>
      <c r="FI22" s="782"/>
      <c r="FJ22" s="782"/>
      <c r="FK22" s="782"/>
      <c r="FL22" s="782"/>
      <c r="FM22" s="782"/>
      <c r="FN22" s="782"/>
      <c r="FO22" s="782"/>
      <c r="FP22" s="782"/>
      <c r="FQ22" s="782"/>
      <c r="FR22" s="782"/>
      <c r="FS22" s="782"/>
      <c r="FT22" s="782"/>
      <c r="FU22" s="782"/>
      <c r="FV22" s="782"/>
      <c r="FW22" s="782"/>
      <c r="FX22" s="782"/>
      <c r="FY22" s="782"/>
      <c r="FZ22" s="782"/>
      <c r="GA22" s="782"/>
      <c r="GB22" s="782"/>
      <c r="GC22" s="782"/>
      <c r="GD22" s="782"/>
      <c r="GE22" s="782"/>
      <c r="GF22" s="782"/>
      <c r="GG22" s="782"/>
      <c r="GH22" s="782"/>
      <c r="GI22" s="782"/>
      <c r="GJ22" s="782"/>
      <c r="GK22" s="782"/>
      <c r="GL22" s="782"/>
      <c r="GM22" s="782"/>
      <c r="GN22" s="782"/>
      <c r="GO22" s="782"/>
      <c r="GP22" s="782"/>
      <c r="GQ22" s="782"/>
      <c r="GR22" s="782"/>
      <c r="GS22" s="782"/>
      <c r="GT22" s="782"/>
      <c r="GU22" s="782"/>
      <c r="GV22" s="782"/>
      <c r="GW22" s="782"/>
      <c r="GX22" s="782"/>
      <c r="GY22" s="782"/>
      <c r="GZ22" s="782"/>
      <c r="HA22" s="782"/>
      <c r="HB22" s="782"/>
      <c r="HC22" s="782"/>
      <c r="HD22" s="782"/>
      <c r="HE22" s="782"/>
      <c r="HF22" s="782"/>
      <c r="HG22" s="782"/>
      <c r="HH22" s="782"/>
      <c r="HI22" s="782"/>
      <c r="HJ22" s="782"/>
      <c r="HK22" s="782"/>
      <c r="HL22" s="782"/>
      <c r="HM22" s="782"/>
      <c r="HN22" s="782"/>
      <c r="HO22" s="782"/>
      <c r="HP22" s="782"/>
      <c r="HQ22" s="782"/>
      <c r="HR22" s="782"/>
      <c r="HS22" s="782"/>
      <c r="HT22" s="782"/>
      <c r="HU22" s="782"/>
      <c r="HV22" s="782"/>
      <c r="HW22" s="782"/>
      <c r="HX22" s="782"/>
      <c r="HY22" s="782"/>
      <c r="HZ22" s="782"/>
      <c r="IA22" s="782"/>
      <c r="IB22" s="782"/>
      <c r="IC22" s="782"/>
      <c r="ID22" s="782"/>
      <c r="IE22" s="782"/>
      <c r="IF22" s="782"/>
      <c r="IG22" s="782"/>
      <c r="IH22" s="782"/>
      <c r="II22" s="782"/>
      <c r="IJ22" s="782"/>
      <c r="IK22" s="782"/>
      <c r="IL22" s="782"/>
      <c r="IM22" s="782"/>
      <c r="IN22" s="782"/>
      <c r="IO22" s="782"/>
      <c r="IP22" s="782"/>
      <c r="IQ22" s="782"/>
      <c r="IR22" s="782"/>
      <c r="IS22" s="782"/>
      <c r="IT22" s="782"/>
      <c r="IU22" s="782"/>
      <c r="IV22" s="782"/>
      <c r="IW22" s="782"/>
      <c r="IX22" s="782"/>
      <c r="IY22" s="782"/>
      <c r="IZ22" s="782"/>
      <c r="JA22" s="782"/>
      <c r="JB22" s="782"/>
      <c r="JC22" s="782"/>
      <c r="JD22" s="782"/>
      <c r="JE22" s="782"/>
      <c r="JF22" s="782"/>
      <c r="JG22" s="782"/>
      <c r="JH22" s="782"/>
      <c r="JI22" s="782"/>
      <c r="JJ22" s="782"/>
      <c r="JK22" s="782"/>
      <c r="JL22" s="782"/>
      <c r="JM22" s="782"/>
      <c r="JN22" s="782"/>
      <c r="JO22" s="782"/>
      <c r="JP22" s="782"/>
      <c r="JQ22" s="782"/>
      <c r="JR22" s="782"/>
      <c r="JS22" s="782"/>
      <c r="JT22" s="782"/>
      <c r="JU22" s="782"/>
      <c r="JV22" s="782"/>
      <c r="JW22" s="782"/>
      <c r="JX22" s="782"/>
      <c r="JY22" s="782"/>
      <c r="JZ22" s="782"/>
      <c r="KA22" s="782"/>
      <c r="KB22" s="782"/>
      <c r="KC22" s="782"/>
      <c r="KD22" s="782"/>
      <c r="KE22" s="782"/>
      <c r="KF22" s="782"/>
      <c r="KG22" s="782"/>
      <c r="KH22" s="782"/>
      <c r="KI22" s="782"/>
      <c r="KJ22" s="782"/>
      <c r="KK22" s="782"/>
      <c r="KL22" s="782"/>
      <c r="KM22" s="782"/>
      <c r="KN22" s="782"/>
      <c r="KO22" s="782"/>
      <c r="KP22" s="782"/>
      <c r="KQ22" s="782"/>
      <c r="KR22" s="782"/>
      <c r="KS22" s="782"/>
      <c r="KT22" s="782"/>
      <c r="KU22" s="782"/>
      <c r="KV22" s="782"/>
      <c r="KW22" s="782"/>
      <c r="KX22" s="782"/>
      <c r="KY22" s="782"/>
      <c r="KZ22" s="782"/>
      <c r="LA22" s="782"/>
      <c r="LB22" s="782"/>
      <c r="LC22" s="782"/>
      <c r="LD22" s="782"/>
      <c r="LE22" s="782"/>
      <c r="LF22" s="782"/>
      <c r="LG22" s="782"/>
      <c r="LH22" s="782"/>
      <c r="LI22" s="782"/>
      <c r="LJ22" s="782"/>
      <c r="LK22" s="782"/>
      <c r="LL22" s="782"/>
      <c r="LM22" s="782"/>
      <c r="LN22" s="782"/>
      <c r="LO22" s="782"/>
      <c r="LP22" s="782"/>
      <c r="LQ22" s="782"/>
      <c r="LR22" s="782"/>
      <c r="LS22" s="782"/>
      <c r="LT22" s="782"/>
      <c r="LU22" s="782"/>
      <c r="LV22" s="782"/>
      <c r="LW22" s="782"/>
      <c r="LX22" s="782"/>
      <c r="LY22" s="782"/>
      <c r="LZ22" s="782"/>
      <c r="MA22" s="782"/>
      <c r="MB22" s="782"/>
      <c r="MC22" s="782"/>
      <c r="MD22" s="782"/>
      <c r="ME22" s="782"/>
      <c r="MF22" s="782"/>
      <c r="MG22" s="782"/>
      <c r="MH22" s="782"/>
      <c r="MI22" s="782"/>
      <c r="MJ22" s="782"/>
      <c r="MK22" s="782"/>
      <c r="ML22" s="782"/>
      <c r="MM22" s="782"/>
      <c r="MN22" s="782"/>
      <c r="MO22" s="782"/>
      <c r="MP22" s="782"/>
      <c r="MQ22" s="782"/>
      <c r="MR22" s="782"/>
      <c r="MS22" s="782"/>
      <c r="MT22" s="782"/>
      <c r="MU22" s="782"/>
      <c r="MV22" s="782"/>
      <c r="MW22" s="782"/>
      <c r="MX22" s="782"/>
      <c r="MY22" s="782"/>
      <c r="MZ22" s="782"/>
      <c r="NA22" s="782"/>
      <c r="NB22" s="782"/>
      <c r="NC22" s="782"/>
      <c r="ND22" s="782"/>
      <c r="NE22" s="782"/>
      <c r="NF22" s="782"/>
      <c r="NG22" s="782"/>
      <c r="NH22" s="782"/>
      <c r="NI22" s="782"/>
      <c r="NJ22" s="782"/>
      <c r="NK22" s="782"/>
      <c r="NL22" s="782"/>
      <c r="NM22" s="782"/>
      <c r="NN22" s="782"/>
      <c r="NO22" s="782"/>
      <c r="NP22" s="782"/>
      <c r="NQ22" s="782"/>
      <c r="NR22" s="782"/>
      <c r="NS22" s="782"/>
      <c r="NT22" s="782"/>
      <c r="NU22" s="782"/>
      <c r="NV22" s="782"/>
      <c r="NW22" s="782"/>
      <c r="NX22" s="782"/>
      <c r="NY22" s="782"/>
      <c r="NZ22" s="782"/>
      <c r="OA22" s="782"/>
      <c r="OB22" s="782"/>
      <c r="OC22" s="782"/>
      <c r="OD22" s="782"/>
      <c r="OE22" s="782"/>
      <c r="OF22" s="782"/>
      <c r="OG22" s="782"/>
      <c r="OH22" s="782"/>
      <c r="OI22" s="782"/>
      <c r="OJ22" s="782"/>
      <c r="OK22" s="782"/>
      <c r="OL22" s="782"/>
      <c r="OM22" s="782"/>
      <c r="ON22" s="782"/>
      <c r="OO22" s="782"/>
      <c r="OP22" s="782"/>
      <c r="OQ22" s="782"/>
      <c r="OR22" s="782"/>
      <c r="OS22" s="782"/>
      <c r="OT22" s="782"/>
      <c r="OU22" s="782"/>
      <c r="OV22" s="782"/>
      <c r="OW22" s="782"/>
      <c r="OX22" s="782"/>
      <c r="OY22" s="782"/>
      <c r="OZ22" s="782"/>
      <c r="PA22" s="782"/>
      <c r="PB22" s="782"/>
      <c r="PC22" s="782"/>
      <c r="PD22" s="782"/>
      <c r="PE22" s="782"/>
      <c r="PF22" s="782"/>
      <c r="PG22" s="782"/>
      <c r="PH22" s="782"/>
      <c r="PI22" s="782"/>
      <c r="PJ22" s="782"/>
      <c r="PK22" s="782"/>
      <c r="PL22" s="782"/>
      <c r="PM22" s="782"/>
      <c r="PN22" s="782"/>
      <c r="PO22" s="782"/>
    </row>
    <row r="23" spans="1:431" s="143" customFormat="1">
      <c r="A23" s="782"/>
      <c r="B23" s="782"/>
      <c r="C23" s="785"/>
      <c r="D23" s="785"/>
      <c r="E23" s="785"/>
      <c r="F23" s="785"/>
      <c r="G23" s="785"/>
      <c r="H23" s="785"/>
      <c r="I23" s="785"/>
      <c r="J23" s="785"/>
      <c r="K23" s="785"/>
      <c r="L23" s="785"/>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c r="BD23" s="782"/>
      <c r="BE23" s="782"/>
      <c r="BF23" s="782"/>
      <c r="BG23" s="782"/>
      <c r="BH23" s="782"/>
      <c r="BI23" s="782"/>
      <c r="BJ23" s="782"/>
      <c r="BK23" s="782"/>
      <c r="BL23" s="782"/>
      <c r="BM23" s="782"/>
      <c r="BN23" s="782"/>
      <c r="BO23" s="782"/>
      <c r="BP23" s="782"/>
      <c r="BQ23" s="782"/>
      <c r="BR23" s="782"/>
      <c r="BS23" s="782"/>
      <c r="BT23" s="782"/>
      <c r="BU23" s="782"/>
      <c r="BV23" s="782"/>
      <c r="BW23" s="782"/>
      <c r="BX23" s="782"/>
      <c r="BY23" s="782"/>
      <c r="BZ23" s="782"/>
      <c r="CA23" s="782"/>
      <c r="CB23" s="782"/>
      <c r="CC23" s="782"/>
      <c r="CD23" s="782"/>
      <c r="CE23" s="782"/>
      <c r="CF23" s="782"/>
      <c r="CG23" s="782"/>
      <c r="CH23" s="782"/>
      <c r="CI23" s="782"/>
      <c r="CJ23" s="782"/>
      <c r="CK23" s="782"/>
      <c r="CL23" s="782"/>
      <c r="CM23" s="782"/>
      <c r="CN23" s="782"/>
      <c r="CO23" s="782"/>
      <c r="CP23" s="782"/>
      <c r="CQ23" s="782"/>
      <c r="CR23" s="782"/>
      <c r="CS23" s="782"/>
      <c r="CT23" s="782"/>
      <c r="CU23" s="782"/>
      <c r="CV23" s="782"/>
      <c r="CW23" s="782"/>
      <c r="CX23" s="782"/>
      <c r="CY23" s="782"/>
      <c r="CZ23" s="782"/>
      <c r="DA23" s="782"/>
      <c r="DB23" s="782"/>
      <c r="DC23" s="782"/>
      <c r="DD23" s="782"/>
      <c r="DE23" s="782"/>
      <c r="DF23" s="782"/>
      <c r="DG23" s="782"/>
      <c r="DH23" s="782"/>
      <c r="DI23" s="782"/>
      <c r="DJ23" s="782"/>
      <c r="DK23" s="782"/>
      <c r="DL23" s="782"/>
      <c r="DM23" s="782"/>
      <c r="DN23" s="782"/>
      <c r="DO23" s="782"/>
      <c r="DP23" s="782"/>
      <c r="DQ23" s="782"/>
      <c r="DR23" s="782"/>
      <c r="DS23" s="782"/>
      <c r="DT23" s="782"/>
      <c r="DU23" s="782"/>
      <c r="DV23" s="782"/>
      <c r="DW23" s="782"/>
      <c r="DX23" s="782"/>
      <c r="DY23" s="782"/>
      <c r="DZ23" s="782"/>
      <c r="EA23" s="782"/>
      <c r="EB23" s="782"/>
      <c r="EC23" s="782"/>
      <c r="ED23" s="782"/>
      <c r="EE23" s="782"/>
      <c r="EF23" s="782"/>
      <c r="EG23" s="782"/>
      <c r="EH23" s="782"/>
      <c r="EI23" s="782"/>
      <c r="EJ23" s="782"/>
      <c r="EK23" s="782"/>
      <c r="EL23" s="782"/>
      <c r="EM23" s="782"/>
      <c r="EN23" s="782"/>
      <c r="EO23" s="782"/>
      <c r="EP23" s="782"/>
      <c r="EQ23" s="782"/>
      <c r="ER23" s="782"/>
      <c r="ES23" s="782"/>
      <c r="ET23" s="782"/>
      <c r="EU23" s="782"/>
      <c r="EV23" s="782"/>
      <c r="EW23" s="782"/>
      <c r="EX23" s="782"/>
      <c r="EY23" s="782"/>
      <c r="EZ23" s="782"/>
      <c r="FA23" s="782"/>
      <c r="FB23" s="782"/>
      <c r="FC23" s="782"/>
      <c r="FD23" s="782"/>
      <c r="FE23" s="782"/>
      <c r="FF23" s="782"/>
      <c r="FG23" s="782"/>
      <c r="FH23" s="782"/>
      <c r="FI23" s="782"/>
      <c r="FJ23" s="782"/>
      <c r="FK23" s="782"/>
      <c r="FL23" s="782"/>
      <c r="FM23" s="782"/>
      <c r="FN23" s="782"/>
      <c r="FO23" s="782"/>
      <c r="FP23" s="782"/>
      <c r="FQ23" s="782"/>
      <c r="FR23" s="782"/>
      <c r="FS23" s="782"/>
      <c r="FT23" s="782"/>
      <c r="FU23" s="782"/>
      <c r="FV23" s="782"/>
      <c r="FW23" s="782"/>
      <c r="FX23" s="782"/>
      <c r="FY23" s="782"/>
      <c r="FZ23" s="782"/>
      <c r="GA23" s="782"/>
      <c r="GB23" s="782"/>
      <c r="GC23" s="782"/>
      <c r="GD23" s="782"/>
      <c r="GE23" s="782"/>
      <c r="GF23" s="782"/>
      <c r="GG23" s="782"/>
      <c r="GH23" s="782"/>
      <c r="GI23" s="782"/>
      <c r="GJ23" s="782"/>
      <c r="GK23" s="782"/>
      <c r="GL23" s="782"/>
      <c r="GM23" s="782"/>
      <c r="GN23" s="782"/>
      <c r="GO23" s="782"/>
      <c r="GP23" s="782"/>
      <c r="GQ23" s="782"/>
      <c r="GR23" s="782"/>
      <c r="GS23" s="782"/>
      <c r="GT23" s="782"/>
      <c r="GU23" s="782"/>
      <c r="GV23" s="782"/>
      <c r="GW23" s="782"/>
      <c r="GX23" s="782"/>
      <c r="GY23" s="782"/>
      <c r="GZ23" s="782"/>
      <c r="HA23" s="782"/>
      <c r="HB23" s="782"/>
      <c r="HC23" s="782"/>
      <c r="HD23" s="782"/>
      <c r="HE23" s="782"/>
      <c r="HF23" s="782"/>
      <c r="HG23" s="782"/>
      <c r="HH23" s="782"/>
      <c r="HI23" s="782"/>
      <c r="HJ23" s="782"/>
      <c r="HK23" s="782"/>
      <c r="HL23" s="782"/>
      <c r="HM23" s="782"/>
      <c r="HN23" s="782"/>
      <c r="HO23" s="782"/>
      <c r="HP23" s="782"/>
      <c r="HQ23" s="782"/>
      <c r="HR23" s="782"/>
      <c r="HS23" s="782"/>
      <c r="HT23" s="782"/>
      <c r="HU23" s="782"/>
      <c r="HV23" s="782"/>
      <c r="HW23" s="782"/>
      <c r="HX23" s="782"/>
      <c r="HY23" s="782"/>
      <c r="HZ23" s="782"/>
      <c r="IA23" s="782"/>
      <c r="IB23" s="782"/>
      <c r="IC23" s="782"/>
      <c r="ID23" s="782"/>
      <c r="IE23" s="782"/>
      <c r="IF23" s="782"/>
      <c r="IG23" s="782"/>
      <c r="IH23" s="782"/>
      <c r="II23" s="782"/>
      <c r="IJ23" s="782"/>
      <c r="IK23" s="782"/>
      <c r="IL23" s="782"/>
      <c r="IM23" s="782"/>
      <c r="IN23" s="782"/>
      <c r="IO23" s="782"/>
      <c r="IP23" s="782"/>
      <c r="IQ23" s="782"/>
      <c r="IR23" s="782"/>
      <c r="IS23" s="782"/>
      <c r="IT23" s="782"/>
      <c r="IU23" s="782"/>
      <c r="IV23" s="782"/>
      <c r="IW23" s="782"/>
      <c r="IX23" s="782"/>
      <c r="IY23" s="782"/>
      <c r="IZ23" s="782"/>
      <c r="JA23" s="782"/>
      <c r="JB23" s="782"/>
      <c r="JC23" s="782"/>
      <c r="JD23" s="782"/>
      <c r="JE23" s="782"/>
      <c r="JF23" s="782"/>
      <c r="JG23" s="782"/>
      <c r="JH23" s="782"/>
      <c r="JI23" s="782"/>
      <c r="JJ23" s="782"/>
      <c r="JK23" s="782"/>
      <c r="JL23" s="782"/>
      <c r="JM23" s="782"/>
      <c r="JN23" s="782"/>
      <c r="JO23" s="782"/>
      <c r="JP23" s="782"/>
      <c r="JQ23" s="782"/>
      <c r="JR23" s="782"/>
      <c r="JS23" s="782"/>
      <c r="JT23" s="782"/>
      <c r="JU23" s="782"/>
      <c r="JV23" s="782"/>
      <c r="JW23" s="782"/>
      <c r="JX23" s="782"/>
      <c r="JY23" s="782"/>
      <c r="JZ23" s="782"/>
      <c r="KA23" s="782"/>
      <c r="KB23" s="782"/>
      <c r="KC23" s="782"/>
      <c r="KD23" s="782"/>
      <c r="KE23" s="782"/>
      <c r="KF23" s="782"/>
      <c r="KG23" s="782"/>
      <c r="KH23" s="782"/>
      <c r="KI23" s="782"/>
      <c r="KJ23" s="782"/>
      <c r="KK23" s="782"/>
      <c r="KL23" s="782"/>
      <c r="KM23" s="782"/>
      <c r="KN23" s="782"/>
      <c r="KO23" s="782"/>
      <c r="KP23" s="782"/>
      <c r="KQ23" s="782"/>
      <c r="KR23" s="782"/>
      <c r="KS23" s="782"/>
      <c r="KT23" s="782"/>
      <c r="KU23" s="782"/>
      <c r="KV23" s="782"/>
      <c r="KW23" s="782"/>
      <c r="KX23" s="782"/>
      <c r="KY23" s="782"/>
      <c r="KZ23" s="782"/>
      <c r="LA23" s="782"/>
      <c r="LB23" s="782"/>
      <c r="LC23" s="782"/>
      <c r="LD23" s="782"/>
      <c r="LE23" s="782"/>
      <c r="LF23" s="782"/>
      <c r="LG23" s="782"/>
      <c r="LH23" s="782"/>
      <c r="LI23" s="782"/>
      <c r="LJ23" s="782"/>
      <c r="LK23" s="782"/>
      <c r="LL23" s="782"/>
      <c r="LM23" s="782"/>
      <c r="LN23" s="782"/>
      <c r="LO23" s="782"/>
      <c r="LP23" s="782"/>
      <c r="LQ23" s="782"/>
      <c r="LR23" s="782"/>
      <c r="LS23" s="782"/>
      <c r="LT23" s="782"/>
      <c r="LU23" s="782"/>
      <c r="LV23" s="782"/>
      <c r="LW23" s="782"/>
      <c r="LX23" s="782"/>
      <c r="LY23" s="782"/>
      <c r="LZ23" s="782"/>
      <c r="MA23" s="782"/>
      <c r="MB23" s="782"/>
      <c r="MC23" s="782"/>
      <c r="MD23" s="782"/>
      <c r="ME23" s="782"/>
      <c r="MF23" s="782"/>
      <c r="MG23" s="782"/>
      <c r="MH23" s="782"/>
      <c r="MI23" s="782"/>
      <c r="MJ23" s="782"/>
      <c r="MK23" s="782"/>
      <c r="ML23" s="782"/>
      <c r="MM23" s="782"/>
      <c r="MN23" s="782"/>
      <c r="MO23" s="782"/>
      <c r="MP23" s="782"/>
      <c r="MQ23" s="782"/>
      <c r="MR23" s="782"/>
      <c r="MS23" s="782"/>
      <c r="MT23" s="782"/>
      <c r="MU23" s="782"/>
      <c r="MV23" s="782"/>
      <c r="MW23" s="782"/>
      <c r="MX23" s="782"/>
      <c r="MY23" s="782"/>
      <c r="MZ23" s="782"/>
      <c r="NA23" s="782"/>
      <c r="NB23" s="782"/>
      <c r="NC23" s="782"/>
      <c r="ND23" s="782"/>
      <c r="NE23" s="782"/>
      <c r="NF23" s="782"/>
      <c r="NG23" s="782"/>
      <c r="NH23" s="782"/>
      <c r="NI23" s="782"/>
      <c r="NJ23" s="782"/>
      <c r="NK23" s="782"/>
      <c r="NL23" s="782"/>
      <c r="NM23" s="782"/>
      <c r="NN23" s="782"/>
      <c r="NO23" s="782"/>
      <c r="NP23" s="782"/>
      <c r="NQ23" s="782"/>
      <c r="NR23" s="782"/>
      <c r="NS23" s="782"/>
      <c r="NT23" s="782"/>
      <c r="NU23" s="782"/>
      <c r="NV23" s="782"/>
      <c r="NW23" s="782"/>
      <c r="NX23" s="782"/>
      <c r="NY23" s="782"/>
      <c r="NZ23" s="782"/>
      <c r="OA23" s="782"/>
      <c r="OB23" s="782"/>
      <c r="OC23" s="782"/>
      <c r="OD23" s="782"/>
      <c r="OE23" s="782"/>
      <c r="OF23" s="782"/>
      <c r="OG23" s="782"/>
      <c r="OH23" s="782"/>
      <c r="OI23" s="782"/>
      <c r="OJ23" s="782"/>
      <c r="OK23" s="782"/>
      <c r="OL23" s="782"/>
      <c r="OM23" s="782"/>
      <c r="ON23" s="782"/>
      <c r="OO23" s="782"/>
      <c r="OP23" s="782"/>
      <c r="OQ23" s="782"/>
      <c r="OR23" s="782"/>
      <c r="OS23" s="782"/>
      <c r="OT23" s="782"/>
      <c r="OU23" s="782"/>
      <c r="OV23" s="782"/>
      <c r="OW23" s="782"/>
      <c r="OX23" s="782"/>
      <c r="OY23" s="782"/>
      <c r="OZ23" s="782"/>
      <c r="PA23" s="782"/>
      <c r="PB23" s="782"/>
      <c r="PC23" s="782"/>
      <c r="PD23" s="782"/>
      <c r="PE23" s="782"/>
      <c r="PF23" s="782"/>
      <c r="PG23" s="782"/>
      <c r="PH23" s="782"/>
      <c r="PI23" s="782"/>
      <c r="PJ23" s="782"/>
      <c r="PK23" s="782"/>
      <c r="PL23" s="782"/>
      <c r="PM23" s="782"/>
      <c r="PN23" s="782"/>
      <c r="PO23" s="782"/>
    </row>
    <row r="24" spans="1:431" s="143" customFormat="1">
      <c r="A24" s="782"/>
      <c r="B24" s="782"/>
      <c r="C24" s="785"/>
      <c r="D24" s="785"/>
      <c r="E24" s="785"/>
      <c r="F24" s="785"/>
      <c r="G24" s="785"/>
      <c r="H24" s="785"/>
      <c r="I24" s="785"/>
      <c r="J24" s="785"/>
      <c r="K24" s="785"/>
      <c r="L24" s="785"/>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782"/>
      <c r="BA24" s="782"/>
      <c r="BB24" s="782"/>
      <c r="BC24" s="782"/>
      <c r="BD24" s="782"/>
      <c r="BE24" s="782"/>
      <c r="BF24" s="782"/>
      <c r="BG24" s="782"/>
      <c r="BH24" s="782"/>
      <c r="BI24" s="782"/>
      <c r="BJ24" s="782"/>
      <c r="BK24" s="782"/>
      <c r="BL24" s="782"/>
      <c r="BM24" s="782"/>
      <c r="BN24" s="782"/>
      <c r="BO24" s="782"/>
      <c r="BP24" s="782"/>
      <c r="BQ24" s="782"/>
      <c r="BR24" s="782"/>
      <c r="BS24" s="782"/>
      <c r="BT24" s="782"/>
      <c r="BU24" s="782"/>
      <c r="BV24" s="782"/>
      <c r="BW24" s="782"/>
      <c r="BX24" s="782"/>
      <c r="BY24" s="782"/>
      <c r="BZ24" s="782"/>
      <c r="CA24" s="782"/>
      <c r="CB24" s="782"/>
      <c r="CC24" s="782"/>
      <c r="CD24" s="782"/>
      <c r="CE24" s="782"/>
      <c r="CF24" s="782"/>
      <c r="CG24" s="782"/>
      <c r="CH24" s="782"/>
      <c r="CI24" s="782"/>
      <c r="CJ24" s="782"/>
      <c r="CK24" s="782"/>
      <c r="CL24" s="782"/>
      <c r="CM24" s="782"/>
      <c r="CN24" s="782"/>
      <c r="CO24" s="782"/>
      <c r="CP24" s="782"/>
      <c r="CQ24" s="782"/>
      <c r="CR24" s="782"/>
      <c r="CS24" s="782"/>
      <c r="CT24" s="782"/>
      <c r="CU24" s="782"/>
      <c r="CV24" s="782"/>
      <c r="CW24" s="782"/>
      <c r="CX24" s="782"/>
      <c r="CY24" s="782"/>
      <c r="CZ24" s="782"/>
      <c r="DA24" s="782"/>
      <c r="DB24" s="782"/>
      <c r="DC24" s="782"/>
      <c r="DD24" s="782"/>
      <c r="DE24" s="782"/>
      <c r="DF24" s="782"/>
      <c r="DG24" s="782"/>
      <c r="DH24" s="782"/>
      <c r="DI24" s="782"/>
      <c r="DJ24" s="782"/>
      <c r="DK24" s="782"/>
      <c r="DL24" s="782"/>
      <c r="DM24" s="782"/>
      <c r="DN24" s="782"/>
      <c r="DO24" s="782"/>
      <c r="DP24" s="782"/>
      <c r="DQ24" s="782"/>
      <c r="DR24" s="782"/>
      <c r="DS24" s="782"/>
      <c r="DT24" s="782"/>
      <c r="DU24" s="782"/>
      <c r="DV24" s="782"/>
      <c r="DW24" s="782"/>
      <c r="DX24" s="782"/>
      <c r="DY24" s="782"/>
      <c r="DZ24" s="782"/>
      <c r="EA24" s="782"/>
      <c r="EB24" s="782"/>
      <c r="EC24" s="782"/>
      <c r="ED24" s="782"/>
      <c r="EE24" s="782"/>
      <c r="EF24" s="782"/>
      <c r="EG24" s="782"/>
      <c r="EH24" s="782"/>
      <c r="EI24" s="782"/>
      <c r="EJ24" s="782"/>
      <c r="EK24" s="782"/>
      <c r="EL24" s="782"/>
      <c r="EM24" s="782"/>
      <c r="EN24" s="782"/>
      <c r="EO24" s="782"/>
      <c r="EP24" s="782"/>
      <c r="EQ24" s="782"/>
      <c r="ER24" s="782"/>
      <c r="ES24" s="782"/>
      <c r="ET24" s="782"/>
      <c r="EU24" s="782"/>
      <c r="EV24" s="782"/>
      <c r="EW24" s="782"/>
      <c r="EX24" s="782"/>
      <c r="EY24" s="782"/>
      <c r="EZ24" s="782"/>
      <c r="FA24" s="782"/>
      <c r="FB24" s="782"/>
      <c r="FC24" s="782"/>
      <c r="FD24" s="782"/>
      <c r="FE24" s="782"/>
      <c r="FF24" s="782"/>
      <c r="FG24" s="782"/>
      <c r="FH24" s="782"/>
      <c r="FI24" s="782"/>
      <c r="FJ24" s="782"/>
      <c r="FK24" s="782"/>
      <c r="FL24" s="782"/>
      <c r="FM24" s="782"/>
      <c r="FN24" s="782"/>
      <c r="FO24" s="782"/>
      <c r="FP24" s="782"/>
      <c r="FQ24" s="782"/>
      <c r="FR24" s="782"/>
      <c r="FS24" s="782"/>
      <c r="FT24" s="782"/>
      <c r="FU24" s="782"/>
      <c r="FV24" s="782"/>
      <c r="FW24" s="782"/>
      <c r="FX24" s="782"/>
      <c r="FY24" s="782"/>
      <c r="FZ24" s="782"/>
      <c r="GA24" s="782"/>
      <c r="GB24" s="782"/>
      <c r="GC24" s="782"/>
      <c r="GD24" s="782"/>
      <c r="GE24" s="782"/>
      <c r="GF24" s="782"/>
      <c r="GG24" s="782"/>
      <c r="GH24" s="782"/>
      <c r="GI24" s="782"/>
      <c r="GJ24" s="782"/>
      <c r="GK24" s="782"/>
      <c r="GL24" s="782"/>
      <c r="GM24" s="782"/>
      <c r="GN24" s="782"/>
      <c r="GO24" s="782"/>
      <c r="GP24" s="782"/>
      <c r="GQ24" s="782"/>
      <c r="GR24" s="782"/>
      <c r="GS24" s="782"/>
      <c r="GT24" s="782"/>
      <c r="GU24" s="782"/>
      <c r="GV24" s="782"/>
      <c r="GW24" s="782"/>
      <c r="GX24" s="782"/>
      <c r="GY24" s="782"/>
      <c r="GZ24" s="782"/>
      <c r="HA24" s="782"/>
      <c r="HB24" s="782"/>
      <c r="HC24" s="782"/>
      <c r="HD24" s="782"/>
      <c r="HE24" s="782"/>
      <c r="HF24" s="782"/>
      <c r="HG24" s="782"/>
      <c r="HH24" s="782"/>
      <c r="HI24" s="782"/>
      <c r="HJ24" s="782"/>
      <c r="HK24" s="782"/>
      <c r="HL24" s="782"/>
      <c r="HM24" s="782"/>
      <c r="HN24" s="782"/>
      <c r="HO24" s="782"/>
      <c r="HP24" s="782"/>
      <c r="HQ24" s="782"/>
      <c r="HR24" s="782"/>
      <c r="HS24" s="782"/>
      <c r="HT24" s="782"/>
      <c r="HU24" s="782"/>
      <c r="HV24" s="782"/>
      <c r="HW24" s="782"/>
      <c r="HX24" s="782"/>
      <c r="HY24" s="782"/>
      <c r="HZ24" s="782"/>
      <c r="IA24" s="782"/>
      <c r="IB24" s="782"/>
      <c r="IC24" s="782"/>
      <c r="ID24" s="782"/>
      <c r="IE24" s="782"/>
      <c r="IF24" s="782"/>
      <c r="IG24" s="782"/>
      <c r="IH24" s="782"/>
      <c r="II24" s="782"/>
      <c r="IJ24" s="782"/>
      <c r="IK24" s="782"/>
      <c r="IL24" s="782"/>
      <c r="IM24" s="782"/>
      <c r="IN24" s="782"/>
      <c r="IO24" s="782"/>
      <c r="IP24" s="782"/>
      <c r="IQ24" s="782"/>
      <c r="IR24" s="782"/>
      <c r="IS24" s="782"/>
      <c r="IT24" s="782"/>
      <c r="IU24" s="782"/>
      <c r="IV24" s="782"/>
      <c r="IW24" s="782"/>
      <c r="IX24" s="782"/>
      <c r="IY24" s="782"/>
      <c r="IZ24" s="782"/>
      <c r="JA24" s="782"/>
      <c r="JB24" s="782"/>
      <c r="JC24" s="782"/>
      <c r="JD24" s="782"/>
      <c r="JE24" s="782"/>
      <c r="JF24" s="782"/>
      <c r="JG24" s="782"/>
      <c r="JH24" s="782"/>
      <c r="JI24" s="782"/>
      <c r="JJ24" s="782"/>
      <c r="JK24" s="782"/>
      <c r="JL24" s="782"/>
      <c r="JM24" s="782"/>
      <c r="JN24" s="782"/>
      <c r="JO24" s="782"/>
      <c r="JP24" s="782"/>
      <c r="JQ24" s="782"/>
      <c r="JR24" s="782"/>
      <c r="JS24" s="782"/>
      <c r="JT24" s="782"/>
      <c r="JU24" s="782"/>
      <c r="JV24" s="782"/>
      <c r="JW24" s="782"/>
      <c r="JX24" s="782"/>
      <c r="JY24" s="782"/>
      <c r="JZ24" s="782"/>
      <c r="KA24" s="782"/>
      <c r="KB24" s="782"/>
      <c r="KC24" s="782"/>
      <c r="KD24" s="782"/>
      <c r="KE24" s="782"/>
      <c r="KF24" s="782"/>
      <c r="KG24" s="782"/>
      <c r="KH24" s="782"/>
      <c r="KI24" s="782"/>
      <c r="KJ24" s="782"/>
      <c r="KK24" s="782"/>
      <c r="KL24" s="782"/>
      <c r="KM24" s="782"/>
      <c r="KN24" s="782"/>
      <c r="KO24" s="782"/>
      <c r="KP24" s="782"/>
      <c r="KQ24" s="782"/>
      <c r="KR24" s="782"/>
      <c r="KS24" s="782"/>
      <c r="KT24" s="782"/>
      <c r="KU24" s="782"/>
      <c r="KV24" s="782"/>
      <c r="KW24" s="782"/>
      <c r="KX24" s="782"/>
      <c r="KY24" s="782"/>
      <c r="KZ24" s="782"/>
      <c r="LA24" s="782"/>
      <c r="LB24" s="782"/>
      <c r="LC24" s="782"/>
      <c r="LD24" s="782"/>
      <c r="LE24" s="782"/>
      <c r="LF24" s="782"/>
      <c r="LG24" s="782"/>
      <c r="LH24" s="782"/>
      <c r="LI24" s="782"/>
      <c r="LJ24" s="782"/>
      <c r="LK24" s="782"/>
      <c r="LL24" s="782"/>
      <c r="LM24" s="782"/>
      <c r="LN24" s="782"/>
      <c r="LO24" s="782"/>
      <c r="LP24" s="782"/>
      <c r="LQ24" s="782"/>
      <c r="LR24" s="782"/>
      <c r="LS24" s="782"/>
      <c r="LT24" s="782"/>
      <c r="LU24" s="782"/>
      <c r="LV24" s="782"/>
      <c r="LW24" s="782"/>
      <c r="LX24" s="782"/>
      <c r="LY24" s="782"/>
      <c r="LZ24" s="782"/>
      <c r="MA24" s="782"/>
      <c r="MB24" s="782"/>
      <c r="MC24" s="782"/>
      <c r="MD24" s="782"/>
      <c r="ME24" s="782"/>
      <c r="MF24" s="782"/>
      <c r="MG24" s="782"/>
      <c r="MH24" s="782"/>
      <c r="MI24" s="782"/>
      <c r="MJ24" s="782"/>
      <c r="MK24" s="782"/>
      <c r="ML24" s="782"/>
      <c r="MM24" s="782"/>
      <c r="MN24" s="782"/>
      <c r="MO24" s="782"/>
      <c r="MP24" s="782"/>
      <c r="MQ24" s="782"/>
      <c r="MR24" s="782"/>
      <c r="MS24" s="782"/>
      <c r="MT24" s="782"/>
      <c r="MU24" s="782"/>
      <c r="MV24" s="782"/>
      <c r="MW24" s="782"/>
      <c r="MX24" s="782"/>
      <c r="MY24" s="782"/>
      <c r="MZ24" s="782"/>
      <c r="NA24" s="782"/>
      <c r="NB24" s="782"/>
      <c r="NC24" s="782"/>
      <c r="ND24" s="782"/>
      <c r="NE24" s="782"/>
      <c r="NF24" s="782"/>
      <c r="NG24" s="782"/>
      <c r="NH24" s="782"/>
      <c r="NI24" s="782"/>
      <c r="NJ24" s="782"/>
      <c r="NK24" s="782"/>
      <c r="NL24" s="782"/>
      <c r="NM24" s="782"/>
      <c r="NN24" s="782"/>
      <c r="NO24" s="782"/>
      <c r="NP24" s="782"/>
      <c r="NQ24" s="782"/>
      <c r="NR24" s="782"/>
      <c r="NS24" s="782"/>
      <c r="NT24" s="782"/>
      <c r="NU24" s="782"/>
      <c r="NV24" s="782"/>
      <c r="NW24" s="782"/>
      <c r="NX24" s="782"/>
      <c r="NY24" s="782"/>
      <c r="NZ24" s="782"/>
      <c r="OA24" s="782"/>
      <c r="OB24" s="782"/>
      <c r="OC24" s="782"/>
      <c r="OD24" s="782"/>
      <c r="OE24" s="782"/>
      <c r="OF24" s="782"/>
      <c r="OG24" s="782"/>
      <c r="OH24" s="782"/>
      <c r="OI24" s="782"/>
      <c r="OJ24" s="782"/>
      <c r="OK24" s="782"/>
      <c r="OL24" s="782"/>
      <c r="OM24" s="782"/>
      <c r="ON24" s="782"/>
      <c r="OO24" s="782"/>
      <c r="OP24" s="782"/>
      <c r="OQ24" s="782"/>
      <c r="OR24" s="782"/>
      <c r="OS24" s="782"/>
      <c r="OT24" s="782"/>
      <c r="OU24" s="782"/>
      <c r="OV24" s="782"/>
      <c r="OW24" s="782"/>
      <c r="OX24" s="782"/>
      <c r="OY24" s="782"/>
      <c r="OZ24" s="782"/>
      <c r="PA24" s="782"/>
      <c r="PB24" s="782"/>
      <c r="PC24" s="782"/>
      <c r="PD24" s="782"/>
      <c r="PE24" s="782"/>
      <c r="PF24" s="782"/>
      <c r="PG24" s="782"/>
      <c r="PH24" s="782"/>
      <c r="PI24" s="782"/>
      <c r="PJ24" s="782"/>
      <c r="PK24" s="782"/>
      <c r="PL24" s="782"/>
      <c r="PM24" s="782"/>
      <c r="PN24" s="782"/>
      <c r="PO24" s="782"/>
    </row>
    <row r="25" spans="1:431" s="143" customFormat="1">
      <c r="A25" s="782"/>
      <c r="B25" s="782"/>
      <c r="C25" s="785"/>
      <c r="D25" s="785"/>
      <c r="E25" s="785"/>
      <c r="F25" s="785"/>
      <c r="G25" s="785"/>
      <c r="H25" s="785"/>
      <c r="I25" s="785"/>
      <c r="J25" s="785"/>
      <c r="K25" s="785"/>
      <c r="L25" s="785"/>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c r="BD25" s="782"/>
      <c r="BE25" s="782"/>
      <c r="BF25" s="782"/>
      <c r="BG25" s="782"/>
      <c r="BH25" s="782"/>
      <c r="BI25" s="782"/>
      <c r="BJ25" s="782"/>
      <c r="BK25" s="782"/>
      <c r="BL25" s="782"/>
      <c r="BM25" s="782"/>
      <c r="BN25" s="782"/>
      <c r="BO25" s="782"/>
      <c r="BP25" s="782"/>
      <c r="BQ25" s="782"/>
      <c r="BR25" s="782"/>
      <c r="BS25" s="782"/>
      <c r="BT25" s="782"/>
      <c r="BU25" s="782"/>
      <c r="BV25" s="782"/>
      <c r="BW25" s="782"/>
      <c r="BX25" s="782"/>
      <c r="BY25" s="782"/>
      <c r="BZ25" s="782"/>
      <c r="CA25" s="782"/>
      <c r="CB25" s="782"/>
      <c r="CC25" s="782"/>
      <c r="CD25" s="782"/>
      <c r="CE25" s="782"/>
      <c r="CF25" s="782"/>
      <c r="CG25" s="782"/>
      <c r="CH25" s="782"/>
      <c r="CI25" s="782"/>
      <c r="CJ25" s="782"/>
      <c r="CK25" s="782"/>
      <c r="CL25" s="782"/>
      <c r="CM25" s="782"/>
      <c r="CN25" s="782"/>
      <c r="CO25" s="782"/>
      <c r="CP25" s="782"/>
      <c r="CQ25" s="782"/>
      <c r="CR25" s="782"/>
      <c r="CS25" s="782"/>
      <c r="CT25" s="782"/>
      <c r="CU25" s="782"/>
      <c r="CV25" s="782"/>
      <c r="CW25" s="782"/>
      <c r="CX25" s="782"/>
      <c r="CY25" s="782"/>
      <c r="CZ25" s="782"/>
      <c r="DA25" s="782"/>
      <c r="DB25" s="782"/>
      <c r="DC25" s="782"/>
      <c r="DD25" s="782"/>
      <c r="DE25" s="782"/>
      <c r="DF25" s="782"/>
      <c r="DG25" s="782"/>
      <c r="DH25" s="782"/>
      <c r="DI25" s="782"/>
      <c r="DJ25" s="782"/>
      <c r="DK25" s="782"/>
      <c r="DL25" s="782"/>
      <c r="DM25" s="782"/>
      <c r="DN25" s="782"/>
      <c r="DO25" s="782"/>
      <c r="DP25" s="782"/>
      <c r="DQ25" s="782"/>
      <c r="DR25" s="782"/>
      <c r="DS25" s="782"/>
      <c r="DT25" s="782"/>
      <c r="DU25" s="782"/>
      <c r="DV25" s="782"/>
      <c r="DW25" s="782"/>
      <c r="DX25" s="782"/>
      <c r="DY25" s="782"/>
      <c r="DZ25" s="782"/>
      <c r="EA25" s="782"/>
      <c r="EB25" s="782"/>
      <c r="EC25" s="782"/>
      <c r="ED25" s="782"/>
      <c r="EE25" s="782"/>
      <c r="EF25" s="782"/>
      <c r="EG25" s="782"/>
      <c r="EH25" s="782"/>
      <c r="EI25" s="782"/>
      <c r="EJ25" s="782"/>
      <c r="EK25" s="782"/>
      <c r="EL25" s="782"/>
      <c r="EM25" s="782"/>
      <c r="EN25" s="782"/>
      <c r="EO25" s="782"/>
      <c r="EP25" s="782"/>
      <c r="EQ25" s="782"/>
      <c r="ER25" s="782"/>
      <c r="ES25" s="782"/>
      <c r="ET25" s="782"/>
      <c r="EU25" s="782"/>
      <c r="EV25" s="782"/>
      <c r="EW25" s="782"/>
      <c r="EX25" s="782"/>
      <c r="EY25" s="782"/>
      <c r="EZ25" s="782"/>
      <c r="FA25" s="782"/>
      <c r="FB25" s="782"/>
      <c r="FC25" s="782"/>
      <c r="FD25" s="782"/>
      <c r="FE25" s="782"/>
      <c r="FF25" s="782"/>
      <c r="FG25" s="782"/>
      <c r="FH25" s="782"/>
      <c r="FI25" s="782"/>
      <c r="FJ25" s="782"/>
      <c r="FK25" s="782"/>
      <c r="FL25" s="782"/>
      <c r="FM25" s="782"/>
      <c r="FN25" s="782"/>
      <c r="FO25" s="782"/>
      <c r="FP25" s="782"/>
      <c r="FQ25" s="782"/>
      <c r="FR25" s="782"/>
      <c r="FS25" s="782"/>
      <c r="FT25" s="782"/>
      <c r="FU25" s="782"/>
      <c r="FV25" s="782"/>
      <c r="FW25" s="782"/>
      <c r="FX25" s="782"/>
      <c r="FY25" s="782"/>
      <c r="FZ25" s="782"/>
      <c r="GA25" s="782"/>
      <c r="GB25" s="782"/>
      <c r="GC25" s="782"/>
      <c r="GD25" s="782"/>
      <c r="GE25" s="782"/>
      <c r="GF25" s="782"/>
      <c r="GG25" s="782"/>
      <c r="GH25" s="782"/>
      <c r="GI25" s="782"/>
      <c r="GJ25" s="782"/>
      <c r="GK25" s="782"/>
      <c r="GL25" s="782"/>
      <c r="GM25" s="782"/>
      <c r="GN25" s="782"/>
      <c r="GO25" s="782"/>
      <c r="GP25" s="782"/>
      <c r="GQ25" s="782"/>
      <c r="GR25" s="782"/>
      <c r="GS25" s="782"/>
      <c r="GT25" s="782"/>
      <c r="GU25" s="782"/>
      <c r="GV25" s="782"/>
      <c r="GW25" s="782"/>
      <c r="GX25" s="782"/>
      <c r="GY25" s="782"/>
      <c r="GZ25" s="782"/>
      <c r="HA25" s="782"/>
      <c r="HB25" s="782"/>
      <c r="HC25" s="782"/>
      <c r="HD25" s="782"/>
      <c r="HE25" s="782"/>
      <c r="HF25" s="782"/>
      <c r="HG25" s="782"/>
      <c r="HH25" s="782"/>
      <c r="HI25" s="782"/>
      <c r="HJ25" s="782"/>
      <c r="HK25" s="782"/>
      <c r="HL25" s="782"/>
      <c r="HM25" s="782"/>
      <c r="HN25" s="782"/>
      <c r="HO25" s="782"/>
      <c r="HP25" s="782"/>
      <c r="HQ25" s="782"/>
      <c r="HR25" s="782"/>
      <c r="HS25" s="782"/>
      <c r="HT25" s="782"/>
      <c r="HU25" s="782"/>
      <c r="HV25" s="782"/>
      <c r="HW25" s="782"/>
      <c r="HX25" s="782"/>
      <c r="HY25" s="782"/>
      <c r="HZ25" s="782"/>
      <c r="IA25" s="782"/>
      <c r="IB25" s="782"/>
      <c r="IC25" s="782"/>
      <c r="ID25" s="782"/>
      <c r="IE25" s="782"/>
      <c r="IF25" s="782"/>
      <c r="IG25" s="782"/>
      <c r="IH25" s="782"/>
      <c r="II25" s="782"/>
      <c r="IJ25" s="782"/>
      <c r="IK25" s="782"/>
      <c r="IL25" s="782"/>
      <c r="IM25" s="782"/>
      <c r="IN25" s="782"/>
      <c r="IO25" s="782"/>
      <c r="IP25" s="782"/>
      <c r="IQ25" s="782"/>
      <c r="IR25" s="782"/>
      <c r="IS25" s="782"/>
      <c r="IT25" s="782"/>
      <c r="IU25" s="782"/>
      <c r="IV25" s="782"/>
      <c r="IW25" s="782"/>
      <c r="IX25" s="782"/>
      <c r="IY25" s="782"/>
      <c r="IZ25" s="782"/>
      <c r="JA25" s="782"/>
      <c r="JB25" s="782"/>
      <c r="JC25" s="782"/>
      <c r="JD25" s="782"/>
      <c r="JE25" s="782"/>
      <c r="JF25" s="782"/>
      <c r="JG25" s="782"/>
      <c r="JH25" s="782"/>
      <c r="JI25" s="782"/>
      <c r="JJ25" s="782"/>
      <c r="JK25" s="782"/>
      <c r="JL25" s="782"/>
      <c r="JM25" s="782"/>
      <c r="JN25" s="782"/>
      <c r="JO25" s="782"/>
      <c r="JP25" s="782"/>
      <c r="JQ25" s="782"/>
      <c r="JR25" s="782"/>
      <c r="JS25" s="782"/>
      <c r="JT25" s="782"/>
      <c r="JU25" s="782"/>
      <c r="JV25" s="782"/>
      <c r="JW25" s="782"/>
      <c r="JX25" s="782"/>
      <c r="JY25" s="782"/>
      <c r="JZ25" s="782"/>
      <c r="KA25" s="782"/>
      <c r="KB25" s="782"/>
      <c r="KC25" s="782"/>
      <c r="KD25" s="782"/>
      <c r="KE25" s="782"/>
      <c r="KF25" s="782"/>
      <c r="KG25" s="782"/>
      <c r="KH25" s="782"/>
      <c r="KI25" s="782"/>
      <c r="KJ25" s="782"/>
      <c r="KK25" s="782"/>
      <c r="KL25" s="782"/>
      <c r="KM25" s="782"/>
      <c r="KN25" s="782"/>
      <c r="KO25" s="782"/>
      <c r="KP25" s="782"/>
      <c r="KQ25" s="782"/>
      <c r="KR25" s="782"/>
      <c r="KS25" s="782"/>
      <c r="KT25" s="782"/>
      <c r="KU25" s="782"/>
      <c r="KV25" s="782"/>
      <c r="KW25" s="782"/>
      <c r="KX25" s="782"/>
      <c r="KY25" s="782"/>
      <c r="KZ25" s="782"/>
      <c r="LA25" s="782"/>
      <c r="LB25" s="782"/>
      <c r="LC25" s="782"/>
      <c r="LD25" s="782"/>
      <c r="LE25" s="782"/>
      <c r="LF25" s="782"/>
      <c r="LG25" s="782"/>
      <c r="LH25" s="782"/>
      <c r="LI25" s="782"/>
      <c r="LJ25" s="782"/>
      <c r="LK25" s="782"/>
      <c r="LL25" s="782"/>
      <c r="LM25" s="782"/>
      <c r="LN25" s="782"/>
      <c r="LO25" s="782"/>
      <c r="LP25" s="782"/>
      <c r="LQ25" s="782"/>
      <c r="LR25" s="782"/>
      <c r="LS25" s="782"/>
      <c r="LT25" s="782"/>
      <c r="LU25" s="782"/>
      <c r="LV25" s="782"/>
      <c r="LW25" s="782"/>
      <c r="LX25" s="782"/>
      <c r="LY25" s="782"/>
      <c r="LZ25" s="782"/>
      <c r="MA25" s="782"/>
      <c r="MB25" s="782"/>
      <c r="MC25" s="782"/>
      <c r="MD25" s="782"/>
      <c r="ME25" s="782"/>
      <c r="MF25" s="782"/>
      <c r="MG25" s="782"/>
      <c r="MH25" s="782"/>
      <c r="MI25" s="782"/>
      <c r="MJ25" s="782"/>
      <c r="MK25" s="782"/>
      <c r="ML25" s="782"/>
      <c r="MM25" s="782"/>
      <c r="MN25" s="782"/>
      <c r="MO25" s="782"/>
      <c r="MP25" s="782"/>
      <c r="MQ25" s="782"/>
      <c r="MR25" s="782"/>
      <c r="MS25" s="782"/>
      <c r="MT25" s="782"/>
      <c r="MU25" s="782"/>
      <c r="MV25" s="782"/>
      <c r="MW25" s="782"/>
      <c r="MX25" s="782"/>
      <c r="MY25" s="782"/>
      <c r="MZ25" s="782"/>
      <c r="NA25" s="782"/>
      <c r="NB25" s="782"/>
      <c r="NC25" s="782"/>
      <c r="ND25" s="782"/>
      <c r="NE25" s="782"/>
      <c r="NF25" s="782"/>
      <c r="NG25" s="782"/>
      <c r="NH25" s="782"/>
      <c r="NI25" s="782"/>
      <c r="NJ25" s="782"/>
      <c r="NK25" s="782"/>
      <c r="NL25" s="782"/>
      <c r="NM25" s="782"/>
      <c r="NN25" s="782"/>
      <c r="NO25" s="782"/>
      <c r="NP25" s="782"/>
      <c r="NQ25" s="782"/>
      <c r="NR25" s="782"/>
      <c r="NS25" s="782"/>
      <c r="NT25" s="782"/>
      <c r="NU25" s="782"/>
      <c r="NV25" s="782"/>
      <c r="NW25" s="782"/>
      <c r="NX25" s="782"/>
      <c r="NY25" s="782"/>
      <c r="NZ25" s="782"/>
      <c r="OA25" s="782"/>
      <c r="OB25" s="782"/>
      <c r="OC25" s="782"/>
      <c r="OD25" s="782"/>
      <c r="OE25" s="782"/>
      <c r="OF25" s="782"/>
      <c r="OG25" s="782"/>
      <c r="OH25" s="782"/>
      <c r="OI25" s="782"/>
      <c r="OJ25" s="782"/>
      <c r="OK25" s="782"/>
      <c r="OL25" s="782"/>
      <c r="OM25" s="782"/>
      <c r="ON25" s="782"/>
      <c r="OO25" s="782"/>
      <c r="OP25" s="782"/>
      <c r="OQ25" s="782"/>
      <c r="OR25" s="782"/>
      <c r="OS25" s="782"/>
      <c r="OT25" s="782"/>
      <c r="OU25" s="782"/>
      <c r="OV25" s="782"/>
      <c r="OW25" s="782"/>
      <c r="OX25" s="782"/>
      <c r="OY25" s="782"/>
      <c r="OZ25" s="782"/>
      <c r="PA25" s="782"/>
      <c r="PB25" s="782"/>
      <c r="PC25" s="782"/>
      <c r="PD25" s="782"/>
      <c r="PE25" s="782"/>
      <c r="PF25" s="782"/>
      <c r="PG25" s="782"/>
      <c r="PH25" s="782"/>
      <c r="PI25" s="782"/>
      <c r="PJ25" s="782"/>
      <c r="PK25" s="782"/>
      <c r="PL25" s="782"/>
      <c r="PM25" s="782"/>
      <c r="PN25" s="782"/>
      <c r="PO25" s="782"/>
    </row>
    <row r="26" spans="1:431" s="143" customFormat="1">
      <c r="A26" s="782"/>
      <c r="B26" s="782"/>
      <c r="C26" s="785"/>
      <c r="D26" s="785"/>
      <c r="E26" s="785"/>
      <c r="F26" s="785"/>
      <c r="G26" s="785"/>
      <c r="H26" s="785"/>
      <c r="I26" s="785"/>
      <c r="J26" s="785"/>
      <c r="K26" s="785"/>
      <c r="L26" s="785"/>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c r="BB26" s="782"/>
      <c r="BC26" s="782"/>
      <c r="BD26" s="782"/>
      <c r="BE26" s="782"/>
      <c r="BF26" s="782"/>
      <c r="BG26" s="782"/>
      <c r="BH26" s="782"/>
      <c r="BI26" s="782"/>
      <c r="BJ26" s="782"/>
      <c r="BK26" s="782"/>
      <c r="BL26" s="782"/>
      <c r="BM26" s="782"/>
      <c r="BN26" s="782"/>
      <c r="BO26" s="782"/>
      <c r="BP26" s="782"/>
      <c r="BQ26" s="782"/>
      <c r="BR26" s="782"/>
      <c r="BS26" s="782"/>
      <c r="BT26" s="782"/>
      <c r="BU26" s="782"/>
      <c r="BV26" s="782"/>
      <c r="BW26" s="782"/>
      <c r="BX26" s="782"/>
      <c r="BY26" s="782"/>
      <c r="BZ26" s="782"/>
      <c r="CA26" s="782"/>
      <c r="CB26" s="782"/>
      <c r="CC26" s="782"/>
      <c r="CD26" s="782"/>
      <c r="CE26" s="782"/>
      <c r="CF26" s="782"/>
      <c r="CG26" s="782"/>
      <c r="CH26" s="782"/>
      <c r="CI26" s="782"/>
      <c r="CJ26" s="782"/>
      <c r="CK26" s="782"/>
      <c r="CL26" s="782"/>
      <c r="CM26" s="782"/>
      <c r="CN26" s="782"/>
      <c r="CO26" s="782"/>
      <c r="CP26" s="782"/>
      <c r="CQ26" s="782"/>
      <c r="CR26" s="782"/>
      <c r="CS26" s="782"/>
      <c r="CT26" s="782"/>
      <c r="CU26" s="782"/>
      <c r="CV26" s="782"/>
      <c r="CW26" s="782"/>
      <c r="CX26" s="782"/>
      <c r="CY26" s="782"/>
      <c r="CZ26" s="782"/>
      <c r="DA26" s="782"/>
      <c r="DB26" s="782"/>
      <c r="DC26" s="782"/>
      <c r="DD26" s="782"/>
      <c r="DE26" s="782"/>
      <c r="DF26" s="782"/>
      <c r="DG26" s="782"/>
      <c r="DH26" s="782"/>
      <c r="DI26" s="782"/>
      <c r="DJ26" s="782"/>
      <c r="DK26" s="782"/>
      <c r="DL26" s="782"/>
      <c r="DM26" s="782"/>
      <c r="DN26" s="782"/>
      <c r="DO26" s="782"/>
      <c r="DP26" s="782"/>
      <c r="DQ26" s="782"/>
      <c r="DR26" s="782"/>
      <c r="DS26" s="782"/>
      <c r="DT26" s="782"/>
      <c r="DU26" s="782"/>
      <c r="DV26" s="782"/>
      <c r="DW26" s="782"/>
      <c r="DX26" s="782"/>
      <c r="DY26" s="782"/>
      <c r="DZ26" s="782"/>
      <c r="EA26" s="782"/>
      <c r="EB26" s="782"/>
      <c r="EC26" s="782"/>
      <c r="ED26" s="782"/>
      <c r="EE26" s="782"/>
      <c r="EF26" s="782"/>
      <c r="EG26" s="782"/>
      <c r="EH26" s="782"/>
      <c r="EI26" s="782"/>
      <c r="EJ26" s="782"/>
      <c r="EK26" s="782"/>
      <c r="EL26" s="782"/>
      <c r="EM26" s="782"/>
      <c r="EN26" s="782"/>
      <c r="EO26" s="782"/>
      <c r="EP26" s="782"/>
      <c r="EQ26" s="782"/>
      <c r="ER26" s="782"/>
      <c r="ES26" s="782"/>
      <c r="ET26" s="782"/>
      <c r="EU26" s="782"/>
      <c r="EV26" s="782"/>
      <c r="EW26" s="782"/>
      <c r="EX26" s="782"/>
      <c r="EY26" s="782"/>
      <c r="EZ26" s="782"/>
      <c r="FA26" s="782"/>
      <c r="FB26" s="782"/>
      <c r="FC26" s="782"/>
      <c r="FD26" s="782"/>
      <c r="FE26" s="782"/>
      <c r="FF26" s="782"/>
      <c r="FG26" s="782"/>
      <c r="FH26" s="782"/>
      <c r="FI26" s="782"/>
      <c r="FJ26" s="782"/>
      <c r="FK26" s="782"/>
      <c r="FL26" s="782"/>
      <c r="FM26" s="782"/>
      <c r="FN26" s="782"/>
      <c r="FO26" s="782"/>
      <c r="FP26" s="782"/>
      <c r="FQ26" s="782"/>
      <c r="FR26" s="782"/>
      <c r="FS26" s="782"/>
      <c r="FT26" s="782"/>
      <c r="FU26" s="782"/>
      <c r="FV26" s="782"/>
      <c r="FW26" s="782"/>
      <c r="FX26" s="782"/>
      <c r="FY26" s="782"/>
      <c r="FZ26" s="782"/>
      <c r="GA26" s="782"/>
      <c r="GB26" s="782"/>
      <c r="GC26" s="782"/>
      <c r="GD26" s="782"/>
      <c r="GE26" s="782"/>
      <c r="GF26" s="782"/>
      <c r="GG26" s="782"/>
      <c r="GH26" s="782"/>
      <c r="GI26" s="782"/>
      <c r="GJ26" s="782"/>
      <c r="GK26" s="782"/>
      <c r="GL26" s="782"/>
      <c r="GM26" s="782"/>
      <c r="GN26" s="782"/>
      <c r="GO26" s="782"/>
      <c r="GP26" s="782"/>
      <c r="GQ26" s="782"/>
      <c r="GR26" s="782"/>
      <c r="GS26" s="782"/>
      <c r="GT26" s="782"/>
      <c r="GU26" s="782"/>
      <c r="GV26" s="782"/>
      <c r="GW26" s="782"/>
      <c r="GX26" s="782"/>
      <c r="GY26" s="782"/>
      <c r="GZ26" s="782"/>
      <c r="HA26" s="782"/>
      <c r="HB26" s="782"/>
      <c r="HC26" s="782"/>
      <c r="HD26" s="782"/>
      <c r="HE26" s="782"/>
      <c r="HF26" s="782"/>
      <c r="HG26" s="782"/>
      <c r="HH26" s="782"/>
      <c r="HI26" s="782"/>
      <c r="HJ26" s="782"/>
      <c r="HK26" s="782"/>
      <c r="HL26" s="782"/>
      <c r="HM26" s="782"/>
      <c r="HN26" s="782"/>
      <c r="HO26" s="782"/>
      <c r="HP26" s="782"/>
      <c r="HQ26" s="782"/>
      <c r="HR26" s="782"/>
      <c r="HS26" s="782"/>
      <c r="HT26" s="782"/>
      <c r="HU26" s="782"/>
      <c r="HV26" s="782"/>
      <c r="HW26" s="782"/>
      <c r="HX26" s="782"/>
      <c r="HY26" s="782"/>
      <c r="HZ26" s="782"/>
      <c r="IA26" s="782"/>
      <c r="IB26" s="782"/>
      <c r="IC26" s="782"/>
      <c r="ID26" s="782"/>
      <c r="IE26" s="782"/>
      <c r="IF26" s="782"/>
      <c r="IG26" s="782"/>
      <c r="IH26" s="782"/>
      <c r="II26" s="782"/>
      <c r="IJ26" s="782"/>
      <c r="IK26" s="782"/>
      <c r="IL26" s="782"/>
      <c r="IM26" s="782"/>
      <c r="IN26" s="782"/>
      <c r="IO26" s="782"/>
      <c r="IP26" s="782"/>
      <c r="IQ26" s="782"/>
      <c r="IR26" s="782"/>
      <c r="IS26" s="782"/>
      <c r="IT26" s="782"/>
      <c r="IU26" s="782"/>
      <c r="IV26" s="782"/>
      <c r="IW26" s="782"/>
      <c r="IX26" s="782"/>
      <c r="IY26" s="782"/>
      <c r="IZ26" s="782"/>
      <c r="JA26" s="782"/>
      <c r="JB26" s="782"/>
      <c r="JC26" s="782"/>
      <c r="JD26" s="782"/>
      <c r="JE26" s="782"/>
      <c r="JF26" s="782"/>
      <c r="JG26" s="782"/>
      <c r="JH26" s="782"/>
      <c r="JI26" s="782"/>
      <c r="JJ26" s="782"/>
      <c r="JK26" s="782"/>
      <c r="JL26" s="782"/>
      <c r="JM26" s="782"/>
      <c r="JN26" s="782"/>
      <c r="JO26" s="782"/>
      <c r="JP26" s="782"/>
      <c r="JQ26" s="782"/>
      <c r="JR26" s="782"/>
      <c r="JS26" s="782"/>
      <c r="JT26" s="782"/>
      <c r="JU26" s="782"/>
      <c r="JV26" s="782"/>
      <c r="JW26" s="782"/>
      <c r="JX26" s="782"/>
      <c r="JY26" s="782"/>
      <c r="JZ26" s="782"/>
      <c r="KA26" s="782"/>
      <c r="KB26" s="782"/>
      <c r="KC26" s="782"/>
      <c r="KD26" s="782"/>
      <c r="KE26" s="782"/>
      <c r="KF26" s="782"/>
      <c r="KG26" s="782"/>
      <c r="KH26" s="782"/>
      <c r="KI26" s="782"/>
      <c r="KJ26" s="782"/>
      <c r="KK26" s="782"/>
      <c r="KL26" s="782"/>
      <c r="KM26" s="782"/>
      <c r="KN26" s="782"/>
      <c r="KO26" s="782"/>
      <c r="KP26" s="782"/>
      <c r="KQ26" s="782"/>
      <c r="KR26" s="782"/>
      <c r="KS26" s="782"/>
      <c r="KT26" s="782"/>
      <c r="KU26" s="782"/>
      <c r="KV26" s="782"/>
      <c r="KW26" s="782"/>
      <c r="KX26" s="782"/>
      <c r="KY26" s="782"/>
      <c r="KZ26" s="782"/>
      <c r="LA26" s="782"/>
      <c r="LB26" s="782"/>
      <c r="LC26" s="782"/>
      <c r="LD26" s="782"/>
      <c r="LE26" s="782"/>
      <c r="LF26" s="782"/>
      <c r="LG26" s="782"/>
      <c r="LH26" s="782"/>
      <c r="LI26" s="782"/>
      <c r="LJ26" s="782"/>
      <c r="LK26" s="782"/>
      <c r="LL26" s="782"/>
      <c r="LM26" s="782"/>
      <c r="LN26" s="782"/>
      <c r="LO26" s="782"/>
      <c r="LP26" s="782"/>
      <c r="LQ26" s="782"/>
      <c r="LR26" s="782"/>
      <c r="LS26" s="782"/>
      <c r="LT26" s="782"/>
      <c r="LU26" s="782"/>
      <c r="LV26" s="782"/>
      <c r="LW26" s="782"/>
      <c r="LX26" s="782"/>
      <c r="LY26" s="782"/>
      <c r="LZ26" s="782"/>
      <c r="MA26" s="782"/>
      <c r="MB26" s="782"/>
      <c r="MC26" s="782"/>
      <c r="MD26" s="782"/>
      <c r="ME26" s="782"/>
      <c r="MF26" s="782"/>
      <c r="MG26" s="782"/>
      <c r="MH26" s="782"/>
      <c r="MI26" s="782"/>
      <c r="MJ26" s="782"/>
      <c r="MK26" s="782"/>
      <c r="ML26" s="782"/>
      <c r="MM26" s="782"/>
      <c r="MN26" s="782"/>
      <c r="MO26" s="782"/>
      <c r="MP26" s="782"/>
      <c r="MQ26" s="782"/>
      <c r="MR26" s="782"/>
      <c r="MS26" s="782"/>
      <c r="MT26" s="782"/>
      <c r="MU26" s="782"/>
      <c r="MV26" s="782"/>
      <c r="MW26" s="782"/>
      <c r="MX26" s="782"/>
      <c r="MY26" s="782"/>
      <c r="MZ26" s="782"/>
      <c r="NA26" s="782"/>
      <c r="NB26" s="782"/>
      <c r="NC26" s="782"/>
      <c r="ND26" s="782"/>
      <c r="NE26" s="782"/>
      <c r="NF26" s="782"/>
      <c r="NG26" s="782"/>
      <c r="NH26" s="782"/>
      <c r="NI26" s="782"/>
      <c r="NJ26" s="782"/>
      <c r="NK26" s="782"/>
      <c r="NL26" s="782"/>
      <c r="NM26" s="782"/>
      <c r="NN26" s="782"/>
      <c r="NO26" s="782"/>
      <c r="NP26" s="782"/>
      <c r="NQ26" s="782"/>
      <c r="NR26" s="782"/>
      <c r="NS26" s="782"/>
      <c r="NT26" s="782"/>
      <c r="NU26" s="782"/>
      <c r="NV26" s="782"/>
      <c r="NW26" s="782"/>
      <c r="NX26" s="782"/>
      <c r="NY26" s="782"/>
      <c r="NZ26" s="782"/>
      <c r="OA26" s="782"/>
      <c r="OB26" s="782"/>
      <c r="OC26" s="782"/>
      <c r="OD26" s="782"/>
      <c r="OE26" s="782"/>
      <c r="OF26" s="782"/>
      <c r="OG26" s="782"/>
      <c r="OH26" s="782"/>
      <c r="OI26" s="782"/>
      <c r="OJ26" s="782"/>
      <c r="OK26" s="782"/>
      <c r="OL26" s="782"/>
      <c r="OM26" s="782"/>
      <c r="ON26" s="782"/>
      <c r="OO26" s="782"/>
      <c r="OP26" s="782"/>
      <c r="OQ26" s="782"/>
      <c r="OR26" s="782"/>
      <c r="OS26" s="782"/>
      <c r="OT26" s="782"/>
      <c r="OU26" s="782"/>
      <c r="OV26" s="782"/>
      <c r="OW26" s="782"/>
      <c r="OX26" s="782"/>
      <c r="OY26" s="782"/>
      <c r="OZ26" s="782"/>
      <c r="PA26" s="782"/>
      <c r="PB26" s="782"/>
      <c r="PC26" s="782"/>
      <c r="PD26" s="782"/>
      <c r="PE26" s="782"/>
      <c r="PF26" s="782"/>
      <c r="PG26" s="782"/>
      <c r="PH26" s="782"/>
      <c r="PI26" s="782"/>
      <c r="PJ26" s="782"/>
      <c r="PK26" s="782"/>
      <c r="PL26" s="782"/>
      <c r="PM26" s="782"/>
      <c r="PN26" s="782"/>
      <c r="PO26" s="782"/>
    </row>
    <row r="27" spans="1:431" s="143" customFormat="1">
      <c r="A27" s="782"/>
      <c r="B27" s="782"/>
      <c r="C27" s="785"/>
      <c r="D27" s="785"/>
      <c r="E27" s="785"/>
      <c r="F27" s="785"/>
      <c r="G27" s="785"/>
      <c r="H27" s="785"/>
      <c r="I27" s="785"/>
      <c r="J27" s="785"/>
      <c r="K27" s="785"/>
      <c r="L27" s="785"/>
      <c r="M27" s="782"/>
      <c r="N27" s="782"/>
      <c r="O27" s="782"/>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c r="BB27" s="782"/>
      <c r="BC27" s="782"/>
      <c r="BD27" s="782"/>
      <c r="BE27" s="782"/>
      <c r="BF27" s="782"/>
      <c r="BG27" s="782"/>
      <c r="BH27" s="782"/>
      <c r="BI27" s="782"/>
      <c r="BJ27" s="782"/>
      <c r="BK27" s="782"/>
      <c r="BL27" s="782"/>
      <c r="BM27" s="782"/>
      <c r="BN27" s="782"/>
      <c r="BO27" s="782"/>
      <c r="BP27" s="782"/>
      <c r="BQ27" s="782"/>
      <c r="BR27" s="782"/>
      <c r="BS27" s="782"/>
      <c r="BT27" s="782"/>
      <c r="BU27" s="782"/>
      <c r="BV27" s="782"/>
      <c r="BW27" s="782"/>
      <c r="BX27" s="782"/>
      <c r="BY27" s="782"/>
      <c r="BZ27" s="782"/>
      <c r="CA27" s="782"/>
      <c r="CB27" s="782"/>
      <c r="CC27" s="782"/>
      <c r="CD27" s="782"/>
      <c r="CE27" s="782"/>
      <c r="CF27" s="782"/>
      <c r="CG27" s="782"/>
      <c r="CH27" s="782"/>
      <c r="CI27" s="782"/>
      <c r="CJ27" s="782"/>
      <c r="CK27" s="782"/>
      <c r="CL27" s="782"/>
      <c r="CM27" s="782"/>
      <c r="CN27" s="782"/>
      <c r="CO27" s="782"/>
      <c r="CP27" s="782"/>
      <c r="CQ27" s="782"/>
      <c r="CR27" s="782"/>
      <c r="CS27" s="782"/>
      <c r="CT27" s="782"/>
      <c r="CU27" s="782"/>
      <c r="CV27" s="782"/>
      <c r="CW27" s="782"/>
      <c r="CX27" s="782"/>
      <c r="CY27" s="782"/>
      <c r="CZ27" s="782"/>
      <c r="DA27" s="782"/>
      <c r="DB27" s="782"/>
      <c r="DC27" s="782"/>
      <c r="DD27" s="782"/>
      <c r="DE27" s="782"/>
      <c r="DF27" s="782"/>
      <c r="DG27" s="782"/>
      <c r="DH27" s="782"/>
      <c r="DI27" s="782"/>
      <c r="DJ27" s="782"/>
      <c r="DK27" s="782"/>
      <c r="DL27" s="782"/>
      <c r="DM27" s="782"/>
      <c r="DN27" s="782"/>
      <c r="DO27" s="782"/>
      <c r="DP27" s="782"/>
      <c r="DQ27" s="782"/>
      <c r="DR27" s="782"/>
      <c r="DS27" s="782"/>
      <c r="DT27" s="782"/>
      <c r="DU27" s="782"/>
      <c r="DV27" s="782"/>
      <c r="DW27" s="782"/>
      <c r="DX27" s="782"/>
      <c r="DY27" s="782"/>
      <c r="DZ27" s="782"/>
      <c r="EA27" s="782"/>
      <c r="EB27" s="782"/>
      <c r="EC27" s="782"/>
      <c r="ED27" s="782"/>
      <c r="EE27" s="782"/>
      <c r="EF27" s="782"/>
      <c r="EG27" s="782"/>
      <c r="EH27" s="782"/>
      <c r="EI27" s="782"/>
      <c r="EJ27" s="782"/>
      <c r="EK27" s="782"/>
      <c r="EL27" s="782"/>
      <c r="EM27" s="782"/>
      <c r="EN27" s="782"/>
      <c r="EO27" s="782"/>
      <c r="EP27" s="782"/>
      <c r="EQ27" s="782"/>
      <c r="ER27" s="782"/>
      <c r="ES27" s="782"/>
      <c r="ET27" s="782"/>
      <c r="EU27" s="782"/>
      <c r="EV27" s="782"/>
      <c r="EW27" s="782"/>
      <c r="EX27" s="782"/>
      <c r="EY27" s="782"/>
      <c r="EZ27" s="782"/>
      <c r="FA27" s="782"/>
      <c r="FB27" s="782"/>
      <c r="FC27" s="782"/>
      <c r="FD27" s="782"/>
      <c r="FE27" s="782"/>
      <c r="FF27" s="782"/>
      <c r="FG27" s="782"/>
      <c r="FH27" s="782"/>
      <c r="FI27" s="782"/>
      <c r="FJ27" s="782"/>
      <c r="FK27" s="782"/>
      <c r="FL27" s="782"/>
      <c r="FM27" s="782"/>
      <c r="FN27" s="782"/>
      <c r="FO27" s="782"/>
      <c r="FP27" s="782"/>
      <c r="FQ27" s="782"/>
      <c r="FR27" s="782"/>
      <c r="FS27" s="782"/>
      <c r="FT27" s="782"/>
      <c r="FU27" s="782"/>
      <c r="FV27" s="782"/>
      <c r="FW27" s="782"/>
      <c r="FX27" s="782"/>
      <c r="FY27" s="782"/>
      <c r="FZ27" s="782"/>
      <c r="GA27" s="782"/>
      <c r="GB27" s="782"/>
      <c r="GC27" s="782"/>
      <c r="GD27" s="782"/>
      <c r="GE27" s="782"/>
      <c r="GF27" s="782"/>
      <c r="GG27" s="782"/>
      <c r="GH27" s="782"/>
      <c r="GI27" s="782"/>
      <c r="GJ27" s="782"/>
      <c r="GK27" s="782"/>
      <c r="GL27" s="782"/>
      <c r="GM27" s="782"/>
      <c r="GN27" s="782"/>
      <c r="GO27" s="782"/>
      <c r="GP27" s="782"/>
      <c r="GQ27" s="782"/>
      <c r="GR27" s="782"/>
      <c r="GS27" s="782"/>
      <c r="GT27" s="782"/>
      <c r="GU27" s="782"/>
      <c r="GV27" s="782"/>
      <c r="GW27" s="782"/>
      <c r="GX27" s="782"/>
      <c r="GY27" s="782"/>
      <c r="GZ27" s="782"/>
      <c r="HA27" s="782"/>
      <c r="HB27" s="782"/>
      <c r="HC27" s="782"/>
      <c r="HD27" s="782"/>
      <c r="HE27" s="782"/>
      <c r="HF27" s="782"/>
      <c r="HG27" s="782"/>
      <c r="HH27" s="782"/>
      <c r="HI27" s="782"/>
      <c r="HJ27" s="782"/>
      <c r="HK27" s="782"/>
      <c r="HL27" s="782"/>
      <c r="HM27" s="782"/>
      <c r="HN27" s="782"/>
      <c r="HO27" s="782"/>
      <c r="HP27" s="782"/>
      <c r="HQ27" s="782"/>
      <c r="HR27" s="782"/>
      <c r="HS27" s="782"/>
      <c r="HT27" s="782"/>
      <c r="HU27" s="782"/>
      <c r="HV27" s="782"/>
      <c r="HW27" s="782"/>
      <c r="HX27" s="782"/>
      <c r="HY27" s="782"/>
      <c r="HZ27" s="782"/>
      <c r="IA27" s="782"/>
      <c r="IB27" s="782"/>
      <c r="IC27" s="782"/>
      <c r="ID27" s="782"/>
      <c r="IE27" s="782"/>
      <c r="IF27" s="782"/>
      <c r="IG27" s="782"/>
      <c r="IH27" s="782"/>
      <c r="II27" s="782"/>
      <c r="IJ27" s="782"/>
      <c r="IK27" s="782"/>
      <c r="IL27" s="782"/>
      <c r="IM27" s="782"/>
      <c r="IN27" s="782"/>
      <c r="IO27" s="782"/>
      <c r="IP27" s="782"/>
      <c r="IQ27" s="782"/>
      <c r="IR27" s="782"/>
      <c r="IS27" s="782"/>
      <c r="IT27" s="782"/>
      <c r="IU27" s="782"/>
      <c r="IV27" s="782"/>
      <c r="IW27" s="782"/>
      <c r="IX27" s="782"/>
      <c r="IY27" s="782"/>
      <c r="IZ27" s="782"/>
      <c r="JA27" s="782"/>
      <c r="JB27" s="782"/>
      <c r="JC27" s="782"/>
      <c r="JD27" s="782"/>
      <c r="JE27" s="782"/>
      <c r="JF27" s="782"/>
      <c r="JG27" s="782"/>
      <c r="JH27" s="782"/>
      <c r="JI27" s="782"/>
      <c r="JJ27" s="782"/>
      <c r="JK27" s="782"/>
      <c r="JL27" s="782"/>
      <c r="JM27" s="782"/>
      <c r="JN27" s="782"/>
      <c r="JO27" s="782"/>
      <c r="JP27" s="782"/>
      <c r="JQ27" s="782"/>
      <c r="JR27" s="782"/>
      <c r="JS27" s="782"/>
      <c r="JT27" s="782"/>
      <c r="JU27" s="782"/>
      <c r="JV27" s="782"/>
      <c r="JW27" s="782"/>
      <c r="JX27" s="782"/>
      <c r="JY27" s="782"/>
      <c r="JZ27" s="782"/>
      <c r="KA27" s="782"/>
      <c r="KB27" s="782"/>
      <c r="KC27" s="782"/>
      <c r="KD27" s="782"/>
      <c r="KE27" s="782"/>
      <c r="KF27" s="782"/>
      <c r="KG27" s="782"/>
      <c r="KH27" s="782"/>
      <c r="KI27" s="782"/>
      <c r="KJ27" s="782"/>
      <c r="KK27" s="782"/>
      <c r="KL27" s="782"/>
      <c r="KM27" s="782"/>
      <c r="KN27" s="782"/>
      <c r="KO27" s="782"/>
      <c r="KP27" s="782"/>
      <c r="KQ27" s="782"/>
      <c r="KR27" s="782"/>
      <c r="KS27" s="782"/>
      <c r="KT27" s="782"/>
      <c r="KU27" s="782"/>
      <c r="KV27" s="782"/>
      <c r="KW27" s="782"/>
      <c r="KX27" s="782"/>
      <c r="KY27" s="782"/>
      <c r="KZ27" s="782"/>
      <c r="LA27" s="782"/>
      <c r="LB27" s="782"/>
      <c r="LC27" s="782"/>
      <c r="LD27" s="782"/>
      <c r="LE27" s="782"/>
      <c r="LF27" s="782"/>
      <c r="LG27" s="782"/>
      <c r="LH27" s="782"/>
      <c r="LI27" s="782"/>
      <c r="LJ27" s="782"/>
      <c r="LK27" s="782"/>
      <c r="LL27" s="782"/>
      <c r="LM27" s="782"/>
      <c r="LN27" s="782"/>
      <c r="LO27" s="782"/>
      <c r="LP27" s="782"/>
      <c r="LQ27" s="782"/>
      <c r="LR27" s="782"/>
      <c r="LS27" s="782"/>
      <c r="LT27" s="782"/>
      <c r="LU27" s="782"/>
      <c r="LV27" s="782"/>
      <c r="LW27" s="782"/>
      <c r="LX27" s="782"/>
      <c r="LY27" s="782"/>
      <c r="LZ27" s="782"/>
      <c r="MA27" s="782"/>
      <c r="MB27" s="782"/>
      <c r="MC27" s="782"/>
      <c r="MD27" s="782"/>
      <c r="ME27" s="782"/>
      <c r="MF27" s="782"/>
      <c r="MG27" s="782"/>
      <c r="MH27" s="782"/>
      <c r="MI27" s="782"/>
      <c r="MJ27" s="782"/>
      <c r="MK27" s="782"/>
      <c r="ML27" s="782"/>
      <c r="MM27" s="782"/>
      <c r="MN27" s="782"/>
      <c r="MO27" s="782"/>
      <c r="MP27" s="782"/>
      <c r="MQ27" s="782"/>
      <c r="MR27" s="782"/>
      <c r="MS27" s="782"/>
      <c r="MT27" s="782"/>
      <c r="MU27" s="782"/>
      <c r="MV27" s="782"/>
      <c r="MW27" s="782"/>
      <c r="MX27" s="782"/>
      <c r="MY27" s="782"/>
      <c r="MZ27" s="782"/>
      <c r="NA27" s="782"/>
      <c r="NB27" s="782"/>
      <c r="NC27" s="782"/>
      <c r="ND27" s="782"/>
      <c r="NE27" s="782"/>
      <c r="NF27" s="782"/>
      <c r="NG27" s="782"/>
      <c r="NH27" s="782"/>
      <c r="NI27" s="782"/>
      <c r="NJ27" s="782"/>
      <c r="NK27" s="782"/>
      <c r="NL27" s="782"/>
      <c r="NM27" s="782"/>
      <c r="NN27" s="782"/>
      <c r="NO27" s="782"/>
      <c r="NP27" s="782"/>
      <c r="NQ27" s="782"/>
      <c r="NR27" s="782"/>
      <c r="NS27" s="782"/>
      <c r="NT27" s="782"/>
      <c r="NU27" s="782"/>
      <c r="NV27" s="782"/>
      <c r="NW27" s="782"/>
      <c r="NX27" s="782"/>
      <c r="NY27" s="782"/>
      <c r="NZ27" s="782"/>
      <c r="OA27" s="782"/>
      <c r="OB27" s="782"/>
      <c r="OC27" s="782"/>
      <c r="OD27" s="782"/>
      <c r="OE27" s="782"/>
      <c r="OF27" s="782"/>
      <c r="OG27" s="782"/>
      <c r="OH27" s="782"/>
      <c r="OI27" s="782"/>
      <c r="OJ27" s="782"/>
      <c r="OK27" s="782"/>
      <c r="OL27" s="782"/>
      <c r="OM27" s="782"/>
      <c r="ON27" s="782"/>
      <c r="OO27" s="782"/>
      <c r="OP27" s="782"/>
      <c r="OQ27" s="782"/>
      <c r="OR27" s="782"/>
      <c r="OS27" s="782"/>
      <c r="OT27" s="782"/>
      <c r="OU27" s="782"/>
      <c r="OV27" s="782"/>
      <c r="OW27" s="782"/>
      <c r="OX27" s="782"/>
      <c r="OY27" s="782"/>
      <c r="OZ27" s="782"/>
      <c r="PA27" s="782"/>
      <c r="PB27" s="782"/>
      <c r="PC27" s="782"/>
      <c r="PD27" s="782"/>
      <c r="PE27" s="782"/>
      <c r="PF27" s="782"/>
      <c r="PG27" s="782"/>
      <c r="PH27" s="782"/>
      <c r="PI27" s="782"/>
      <c r="PJ27" s="782"/>
      <c r="PK27" s="782"/>
      <c r="PL27" s="782"/>
      <c r="PM27" s="782"/>
      <c r="PN27" s="782"/>
      <c r="PO27" s="782"/>
    </row>
    <row r="28" spans="1:431" s="143" customFormat="1">
      <c r="A28" s="782"/>
      <c r="B28" s="782"/>
      <c r="C28" s="785"/>
      <c r="D28" s="785"/>
      <c r="E28" s="785"/>
      <c r="F28" s="785"/>
      <c r="G28" s="785"/>
      <c r="H28" s="785"/>
      <c r="I28" s="785"/>
      <c r="J28" s="785"/>
      <c r="K28" s="785"/>
      <c r="L28" s="785"/>
      <c r="M28" s="782"/>
      <c r="N28" s="782"/>
      <c r="O28" s="782"/>
      <c r="P28" s="782"/>
      <c r="Q28" s="782"/>
      <c r="R28" s="782"/>
      <c r="S28" s="782"/>
      <c r="T28" s="782"/>
      <c r="U28" s="782"/>
      <c r="V28" s="782"/>
      <c r="W28" s="782"/>
      <c r="X28" s="782"/>
      <c r="Y28" s="782"/>
      <c r="Z28" s="782"/>
      <c r="AA28" s="782"/>
      <c r="AB28" s="782"/>
      <c r="AC28" s="782"/>
      <c r="AD28" s="782"/>
      <c r="AE28" s="782"/>
      <c r="AF28" s="782"/>
      <c r="AG28" s="782"/>
      <c r="AH28" s="782"/>
      <c r="AI28" s="782"/>
      <c r="AJ28" s="782"/>
      <c r="AK28" s="782"/>
      <c r="AL28" s="782"/>
      <c r="AM28" s="782"/>
      <c r="AN28" s="782"/>
      <c r="AO28" s="782"/>
      <c r="AP28" s="782"/>
      <c r="AQ28" s="782"/>
      <c r="AR28" s="782"/>
      <c r="AS28" s="782"/>
      <c r="AT28" s="782"/>
      <c r="AU28" s="782"/>
      <c r="AV28" s="782"/>
      <c r="AW28" s="782"/>
      <c r="AX28" s="782"/>
      <c r="AY28" s="782"/>
      <c r="AZ28" s="782"/>
      <c r="BA28" s="782"/>
      <c r="BB28" s="782"/>
      <c r="BC28" s="782"/>
      <c r="BD28" s="782"/>
      <c r="BE28" s="782"/>
      <c r="BF28" s="782"/>
      <c r="BG28" s="782"/>
      <c r="BH28" s="782"/>
      <c r="BI28" s="782"/>
      <c r="BJ28" s="782"/>
      <c r="BK28" s="782"/>
      <c r="BL28" s="782"/>
      <c r="BM28" s="782"/>
      <c r="BN28" s="782"/>
      <c r="BO28" s="782"/>
      <c r="BP28" s="782"/>
      <c r="BQ28" s="782"/>
      <c r="BR28" s="782"/>
      <c r="BS28" s="782"/>
      <c r="BT28" s="782"/>
      <c r="BU28" s="782"/>
      <c r="BV28" s="782"/>
      <c r="BW28" s="782"/>
      <c r="BX28" s="782"/>
      <c r="BY28" s="782"/>
      <c r="BZ28" s="782"/>
      <c r="CA28" s="782"/>
      <c r="CB28" s="782"/>
      <c r="CC28" s="782"/>
      <c r="CD28" s="782"/>
      <c r="CE28" s="782"/>
      <c r="CF28" s="782"/>
      <c r="CG28" s="782"/>
      <c r="CH28" s="782"/>
      <c r="CI28" s="782"/>
      <c r="CJ28" s="782"/>
      <c r="CK28" s="782"/>
      <c r="CL28" s="782"/>
      <c r="CM28" s="782"/>
      <c r="CN28" s="782"/>
      <c r="CO28" s="782"/>
      <c r="CP28" s="782"/>
      <c r="CQ28" s="782"/>
      <c r="CR28" s="782"/>
      <c r="CS28" s="782"/>
      <c r="CT28" s="782"/>
      <c r="CU28" s="782"/>
      <c r="CV28" s="782"/>
      <c r="CW28" s="782"/>
      <c r="CX28" s="782"/>
      <c r="CY28" s="782"/>
      <c r="CZ28" s="782"/>
      <c r="DA28" s="782"/>
      <c r="DB28" s="782"/>
      <c r="DC28" s="782"/>
      <c r="DD28" s="782"/>
      <c r="DE28" s="782"/>
      <c r="DF28" s="782"/>
      <c r="DG28" s="782"/>
      <c r="DH28" s="782"/>
      <c r="DI28" s="782"/>
      <c r="DJ28" s="782"/>
      <c r="DK28" s="782"/>
      <c r="DL28" s="782"/>
      <c r="DM28" s="782"/>
      <c r="DN28" s="782"/>
      <c r="DO28" s="782"/>
      <c r="DP28" s="782"/>
      <c r="DQ28" s="782"/>
      <c r="DR28" s="782"/>
      <c r="DS28" s="782"/>
      <c r="DT28" s="782"/>
      <c r="DU28" s="782"/>
      <c r="DV28" s="782"/>
      <c r="DW28" s="782"/>
      <c r="DX28" s="782"/>
      <c r="DY28" s="782"/>
      <c r="DZ28" s="782"/>
      <c r="EA28" s="782"/>
      <c r="EB28" s="782"/>
      <c r="EC28" s="782"/>
      <c r="ED28" s="782"/>
      <c r="EE28" s="782"/>
      <c r="EF28" s="782"/>
      <c r="EG28" s="782"/>
      <c r="EH28" s="782"/>
      <c r="EI28" s="782"/>
      <c r="EJ28" s="782"/>
      <c r="EK28" s="782"/>
      <c r="EL28" s="782"/>
      <c r="EM28" s="782"/>
      <c r="EN28" s="782"/>
      <c r="EO28" s="782"/>
      <c r="EP28" s="782"/>
      <c r="EQ28" s="782"/>
      <c r="ER28" s="782"/>
      <c r="ES28" s="782"/>
      <c r="ET28" s="782"/>
      <c r="EU28" s="782"/>
      <c r="EV28" s="782"/>
      <c r="EW28" s="782"/>
      <c r="EX28" s="782"/>
      <c r="EY28" s="782"/>
      <c r="EZ28" s="782"/>
      <c r="FA28" s="782"/>
      <c r="FB28" s="782"/>
      <c r="FC28" s="782"/>
      <c r="FD28" s="782"/>
      <c r="FE28" s="782"/>
      <c r="FF28" s="782"/>
      <c r="FG28" s="782"/>
      <c r="FH28" s="782"/>
      <c r="FI28" s="782"/>
      <c r="FJ28" s="782"/>
      <c r="FK28" s="782"/>
      <c r="FL28" s="782"/>
      <c r="FM28" s="782"/>
      <c r="FN28" s="782"/>
      <c r="FO28" s="782"/>
      <c r="FP28" s="782"/>
      <c r="FQ28" s="782"/>
      <c r="FR28" s="782"/>
      <c r="FS28" s="782"/>
      <c r="FT28" s="782"/>
      <c r="FU28" s="782"/>
      <c r="FV28" s="782"/>
      <c r="FW28" s="782"/>
      <c r="FX28" s="782"/>
      <c r="FY28" s="782"/>
      <c r="FZ28" s="782"/>
      <c r="GA28" s="782"/>
      <c r="GB28" s="782"/>
      <c r="GC28" s="782"/>
      <c r="GD28" s="782"/>
      <c r="GE28" s="782"/>
      <c r="GF28" s="782"/>
      <c r="GG28" s="782"/>
      <c r="GH28" s="782"/>
      <c r="GI28" s="782"/>
      <c r="GJ28" s="782"/>
      <c r="GK28" s="782"/>
      <c r="GL28" s="782"/>
      <c r="GM28" s="782"/>
      <c r="GN28" s="782"/>
      <c r="GO28" s="782"/>
      <c r="GP28" s="782"/>
      <c r="GQ28" s="782"/>
      <c r="GR28" s="782"/>
      <c r="GS28" s="782"/>
      <c r="GT28" s="782"/>
      <c r="GU28" s="782"/>
      <c r="GV28" s="782"/>
      <c r="GW28" s="782"/>
      <c r="GX28" s="782"/>
      <c r="GY28" s="782"/>
      <c r="GZ28" s="782"/>
      <c r="HA28" s="782"/>
      <c r="HB28" s="782"/>
      <c r="HC28" s="782"/>
      <c r="HD28" s="782"/>
      <c r="HE28" s="782"/>
      <c r="HF28" s="782"/>
      <c r="HG28" s="782"/>
      <c r="HH28" s="782"/>
      <c r="HI28" s="782"/>
      <c r="HJ28" s="782"/>
      <c r="HK28" s="782"/>
      <c r="HL28" s="782"/>
      <c r="HM28" s="782"/>
      <c r="HN28" s="782"/>
      <c r="HO28" s="782"/>
      <c r="HP28" s="782"/>
      <c r="HQ28" s="782"/>
      <c r="HR28" s="782"/>
      <c r="HS28" s="782"/>
      <c r="HT28" s="782"/>
      <c r="HU28" s="782"/>
      <c r="HV28" s="782"/>
      <c r="HW28" s="782"/>
      <c r="HX28" s="782"/>
      <c r="HY28" s="782"/>
      <c r="HZ28" s="782"/>
      <c r="IA28" s="782"/>
      <c r="IB28" s="782"/>
      <c r="IC28" s="782"/>
      <c r="ID28" s="782"/>
      <c r="IE28" s="782"/>
      <c r="IF28" s="782"/>
      <c r="IG28" s="782"/>
      <c r="IH28" s="782"/>
      <c r="II28" s="782"/>
      <c r="IJ28" s="782"/>
      <c r="IK28" s="782"/>
      <c r="IL28" s="782"/>
      <c r="IM28" s="782"/>
      <c r="IN28" s="782"/>
      <c r="IO28" s="782"/>
      <c r="IP28" s="782"/>
      <c r="IQ28" s="782"/>
      <c r="IR28" s="782"/>
      <c r="IS28" s="782"/>
      <c r="IT28" s="782"/>
      <c r="IU28" s="782"/>
      <c r="IV28" s="782"/>
      <c r="IW28" s="782"/>
      <c r="IX28" s="782"/>
      <c r="IY28" s="782"/>
      <c r="IZ28" s="782"/>
      <c r="JA28" s="782"/>
      <c r="JB28" s="782"/>
      <c r="JC28" s="782"/>
      <c r="JD28" s="782"/>
      <c r="JE28" s="782"/>
      <c r="JF28" s="782"/>
      <c r="JG28" s="782"/>
      <c r="JH28" s="782"/>
      <c r="JI28" s="782"/>
      <c r="JJ28" s="782"/>
      <c r="JK28" s="782"/>
      <c r="JL28" s="782"/>
      <c r="JM28" s="782"/>
      <c r="JN28" s="782"/>
      <c r="JO28" s="782"/>
      <c r="JP28" s="782"/>
      <c r="JQ28" s="782"/>
      <c r="JR28" s="782"/>
      <c r="JS28" s="782"/>
      <c r="JT28" s="782"/>
      <c r="JU28" s="782"/>
      <c r="JV28" s="782"/>
      <c r="JW28" s="782"/>
      <c r="JX28" s="782"/>
      <c r="JY28" s="782"/>
      <c r="JZ28" s="782"/>
      <c r="KA28" s="782"/>
      <c r="KB28" s="782"/>
      <c r="KC28" s="782"/>
      <c r="KD28" s="782"/>
      <c r="KE28" s="782"/>
      <c r="KF28" s="782"/>
      <c r="KG28" s="782"/>
      <c r="KH28" s="782"/>
      <c r="KI28" s="782"/>
      <c r="KJ28" s="782"/>
      <c r="KK28" s="782"/>
      <c r="KL28" s="782"/>
      <c r="KM28" s="782"/>
      <c r="KN28" s="782"/>
      <c r="KO28" s="782"/>
      <c r="KP28" s="782"/>
      <c r="KQ28" s="782"/>
      <c r="KR28" s="782"/>
      <c r="KS28" s="782"/>
      <c r="KT28" s="782"/>
      <c r="KU28" s="782"/>
      <c r="KV28" s="782"/>
      <c r="KW28" s="782"/>
      <c r="KX28" s="782"/>
      <c r="KY28" s="782"/>
      <c r="KZ28" s="782"/>
      <c r="LA28" s="782"/>
      <c r="LB28" s="782"/>
      <c r="LC28" s="782"/>
      <c r="LD28" s="782"/>
      <c r="LE28" s="782"/>
      <c r="LF28" s="782"/>
      <c r="LG28" s="782"/>
      <c r="LH28" s="782"/>
      <c r="LI28" s="782"/>
      <c r="LJ28" s="782"/>
      <c r="LK28" s="782"/>
      <c r="LL28" s="782"/>
      <c r="LM28" s="782"/>
      <c r="LN28" s="782"/>
      <c r="LO28" s="782"/>
      <c r="LP28" s="782"/>
      <c r="LQ28" s="782"/>
      <c r="LR28" s="782"/>
      <c r="LS28" s="782"/>
      <c r="LT28" s="782"/>
      <c r="LU28" s="782"/>
      <c r="LV28" s="782"/>
      <c r="LW28" s="782"/>
      <c r="LX28" s="782"/>
      <c r="LY28" s="782"/>
      <c r="LZ28" s="782"/>
      <c r="MA28" s="782"/>
      <c r="MB28" s="782"/>
      <c r="MC28" s="782"/>
      <c r="MD28" s="782"/>
      <c r="ME28" s="782"/>
      <c r="MF28" s="782"/>
      <c r="MG28" s="782"/>
      <c r="MH28" s="782"/>
      <c r="MI28" s="782"/>
      <c r="MJ28" s="782"/>
      <c r="MK28" s="782"/>
      <c r="ML28" s="782"/>
      <c r="MM28" s="782"/>
      <c r="MN28" s="782"/>
      <c r="MO28" s="782"/>
      <c r="MP28" s="782"/>
      <c r="MQ28" s="782"/>
      <c r="MR28" s="782"/>
      <c r="MS28" s="782"/>
      <c r="MT28" s="782"/>
      <c r="MU28" s="782"/>
      <c r="MV28" s="782"/>
      <c r="MW28" s="782"/>
      <c r="MX28" s="782"/>
      <c r="MY28" s="782"/>
      <c r="MZ28" s="782"/>
      <c r="NA28" s="782"/>
      <c r="NB28" s="782"/>
      <c r="NC28" s="782"/>
      <c r="ND28" s="782"/>
      <c r="NE28" s="782"/>
      <c r="NF28" s="782"/>
      <c r="NG28" s="782"/>
      <c r="NH28" s="782"/>
      <c r="NI28" s="782"/>
      <c r="NJ28" s="782"/>
      <c r="NK28" s="782"/>
      <c r="NL28" s="782"/>
      <c r="NM28" s="782"/>
      <c r="NN28" s="782"/>
      <c r="NO28" s="782"/>
      <c r="NP28" s="782"/>
      <c r="NQ28" s="782"/>
      <c r="NR28" s="782"/>
      <c r="NS28" s="782"/>
      <c r="NT28" s="782"/>
      <c r="NU28" s="782"/>
      <c r="NV28" s="782"/>
      <c r="NW28" s="782"/>
      <c r="NX28" s="782"/>
      <c r="NY28" s="782"/>
      <c r="NZ28" s="782"/>
      <c r="OA28" s="782"/>
      <c r="OB28" s="782"/>
      <c r="OC28" s="782"/>
      <c r="OD28" s="782"/>
      <c r="OE28" s="782"/>
      <c r="OF28" s="782"/>
      <c r="OG28" s="782"/>
      <c r="OH28" s="782"/>
      <c r="OI28" s="782"/>
      <c r="OJ28" s="782"/>
      <c r="OK28" s="782"/>
      <c r="OL28" s="782"/>
      <c r="OM28" s="782"/>
      <c r="ON28" s="782"/>
      <c r="OO28" s="782"/>
      <c r="OP28" s="782"/>
      <c r="OQ28" s="782"/>
      <c r="OR28" s="782"/>
      <c r="OS28" s="782"/>
      <c r="OT28" s="782"/>
      <c r="OU28" s="782"/>
      <c r="OV28" s="782"/>
      <c r="OW28" s="782"/>
      <c r="OX28" s="782"/>
      <c r="OY28" s="782"/>
      <c r="OZ28" s="782"/>
      <c r="PA28" s="782"/>
      <c r="PB28" s="782"/>
      <c r="PC28" s="782"/>
      <c r="PD28" s="782"/>
      <c r="PE28" s="782"/>
      <c r="PF28" s="782"/>
      <c r="PG28" s="782"/>
      <c r="PH28" s="782"/>
      <c r="PI28" s="782"/>
      <c r="PJ28" s="782"/>
      <c r="PK28" s="782"/>
      <c r="PL28" s="782"/>
      <c r="PM28" s="782"/>
      <c r="PN28" s="782"/>
      <c r="PO28" s="782"/>
    </row>
    <row r="29" spans="1:431" s="143" customFormat="1">
      <c r="A29" s="782"/>
      <c r="B29" s="782"/>
      <c r="C29" s="785"/>
      <c r="D29" s="785"/>
      <c r="E29" s="785"/>
      <c r="F29" s="785"/>
      <c r="G29" s="785"/>
      <c r="H29" s="785"/>
      <c r="I29" s="785"/>
      <c r="J29" s="785"/>
      <c r="K29" s="785"/>
      <c r="L29" s="785"/>
      <c r="M29" s="782"/>
      <c r="N29" s="782"/>
      <c r="O29" s="782"/>
      <c r="P29" s="782"/>
      <c r="Q29" s="782"/>
      <c r="R29" s="782"/>
      <c r="S29" s="782"/>
      <c r="T29" s="782"/>
      <c r="U29" s="782"/>
      <c r="V29" s="782"/>
      <c r="W29" s="782"/>
      <c r="X29" s="782"/>
      <c r="Y29" s="782"/>
      <c r="Z29" s="782"/>
      <c r="AA29" s="782"/>
      <c r="AB29" s="782"/>
      <c r="AC29" s="782"/>
      <c r="AD29" s="782"/>
      <c r="AE29" s="782"/>
      <c r="AF29" s="782"/>
      <c r="AG29" s="782"/>
      <c r="AH29" s="782"/>
      <c r="AI29" s="782"/>
      <c r="AJ29" s="782"/>
      <c r="AK29" s="782"/>
      <c r="AL29" s="782"/>
      <c r="AM29" s="782"/>
      <c r="AN29" s="782"/>
      <c r="AO29" s="782"/>
      <c r="AP29" s="782"/>
      <c r="AQ29" s="782"/>
      <c r="AR29" s="782"/>
      <c r="AS29" s="782"/>
      <c r="AT29" s="782"/>
      <c r="AU29" s="782"/>
      <c r="AV29" s="782"/>
      <c r="AW29" s="782"/>
      <c r="AX29" s="782"/>
      <c r="AY29" s="782"/>
      <c r="AZ29" s="782"/>
      <c r="BA29" s="782"/>
      <c r="BB29" s="782"/>
      <c r="BC29" s="782"/>
      <c r="BD29" s="782"/>
      <c r="BE29" s="782"/>
      <c r="BF29" s="782"/>
      <c r="BG29" s="782"/>
      <c r="BH29" s="782"/>
      <c r="BI29" s="782"/>
      <c r="BJ29" s="782"/>
      <c r="BK29" s="782"/>
      <c r="BL29" s="782"/>
      <c r="BM29" s="782"/>
      <c r="BN29" s="782"/>
      <c r="BO29" s="782"/>
      <c r="BP29" s="782"/>
      <c r="BQ29" s="782"/>
      <c r="BR29" s="782"/>
      <c r="BS29" s="782"/>
      <c r="BT29" s="782"/>
      <c r="BU29" s="782"/>
      <c r="BV29" s="782"/>
      <c r="BW29" s="782"/>
      <c r="BX29" s="782"/>
      <c r="BY29" s="782"/>
      <c r="BZ29" s="782"/>
      <c r="CA29" s="782"/>
      <c r="CB29" s="782"/>
      <c r="CC29" s="782"/>
      <c r="CD29" s="782"/>
      <c r="CE29" s="782"/>
      <c r="CF29" s="782"/>
      <c r="CG29" s="782"/>
      <c r="CH29" s="782"/>
      <c r="CI29" s="782"/>
      <c r="CJ29" s="782"/>
      <c r="CK29" s="782"/>
      <c r="CL29" s="782"/>
      <c r="CM29" s="782"/>
      <c r="CN29" s="782"/>
      <c r="CO29" s="782"/>
      <c r="CP29" s="782"/>
      <c r="CQ29" s="782"/>
      <c r="CR29" s="782"/>
      <c r="CS29" s="782"/>
      <c r="CT29" s="782"/>
      <c r="CU29" s="782"/>
      <c r="CV29" s="782"/>
      <c r="CW29" s="782"/>
      <c r="CX29" s="782"/>
      <c r="CY29" s="782"/>
      <c r="CZ29" s="782"/>
      <c r="DA29" s="782"/>
      <c r="DB29" s="782"/>
      <c r="DC29" s="782"/>
      <c r="DD29" s="782"/>
      <c r="DE29" s="782"/>
      <c r="DF29" s="782"/>
      <c r="DG29" s="782"/>
      <c r="DH29" s="782"/>
      <c r="DI29" s="782"/>
      <c r="DJ29" s="782"/>
      <c r="DK29" s="782"/>
      <c r="DL29" s="782"/>
      <c r="DM29" s="782"/>
      <c r="DN29" s="782"/>
      <c r="DO29" s="782"/>
      <c r="DP29" s="782"/>
      <c r="DQ29" s="782"/>
      <c r="DR29" s="782"/>
      <c r="DS29" s="782"/>
      <c r="DT29" s="782"/>
      <c r="DU29" s="782"/>
      <c r="DV29" s="782"/>
      <c r="DW29" s="782"/>
      <c r="DX29" s="782"/>
      <c r="DY29" s="782"/>
      <c r="DZ29" s="782"/>
      <c r="EA29" s="782"/>
      <c r="EB29" s="782"/>
      <c r="EC29" s="782"/>
      <c r="ED29" s="782"/>
      <c r="EE29" s="782"/>
      <c r="EF29" s="782"/>
      <c r="EG29" s="782"/>
      <c r="EH29" s="782"/>
      <c r="EI29" s="782"/>
      <c r="EJ29" s="782"/>
      <c r="EK29" s="782"/>
      <c r="EL29" s="782"/>
      <c r="EM29" s="782"/>
      <c r="EN29" s="782"/>
      <c r="EO29" s="782"/>
      <c r="EP29" s="782"/>
      <c r="EQ29" s="782"/>
      <c r="ER29" s="782"/>
      <c r="ES29" s="782"/>
      <c r="ET29" s="782"/>
      <c r="EU29" s="782"/>
      <c r="EV29" s="782"/>
      <c r="EW29" s="782"/>
      <c r="EX29" s="782"/>
      <c r="EY29" s="782"/>
      <c r="EZ29" s="782"/>
      <c r="FA29" s="782"/>
      <c r="FB29" s="782"/>
      <c r="FC29" s="782"/>
      <c r="FD29" s="782"/>
      <c r="FE29" s="782"/>
      <c r="FF29" s="782"/>
      <c r="FG29" s="782"/>
      <c r="FH29" s="782"/>
      <c r="FI29" s="782"/>
      <c r="FJ29" s="782"/>
      <c r="FK29" s="782"/>
      <c r="FL29" s="782"/>
      <c r="FM29" s="782"/>
      <c r="FN29" s="782"/>
      <c r="FO29" s="782"/>
      <c r="FP29" s="782"/>
      <c r="FQ29" s="782"/>
      <c r="FR29" s="782"/>
      <c r="FS29" s="782"/>
      <c r="FT29" s="782"/>
      <c r="FU29" s="782"/>
      <c r="FV29" s="782"/>
      <c r="FW29" s="782"/>
      <c r="FX29" s="782"/>
      <c r="FY29" s="782"/>
      <c r="FZ29" s="782"/>
      <c r="GA29" s="782"/>
      <c r="GB29" s="782"/>
      <c r="GC29" s="782"/>
      <c r="GD29" s="782"/>
      <c r="GE29" s="782"/>
      <c r="GF29" s="782"/>
      <c r="GG29" s="782"/>
      <c r="GH29" s="782"/>
      <c r="GI29" s="782"/>
      <c r="GJ29" s="782"/>
      <c r="GK29" s="782"/>
      <c r="GL29" s="782"/>
      <c r="GM29" s="782"/>
      <c r="GN29" s="782"/>
      <c r="GO29" s="782"/>
      <c r="GP29" s="782"/>
      <c r="GQ29" s="782"/>
      <c r="GR29" s="782"/>
      <c r="GS29" s="782"/>
      <c r="GT29" s="782"/>
      <c r="GU29" s="782"/>
      <c r="GV29" s="782"/>
      <c r="GW29" s="782"/>
      <c r="GX29" s="782"/>
      <c r="GY29" s="782"/>
      <c r="GZ29" s="782"/>
      <c r="HA29" s="782"/>
      <c r="HB29" s="782"/>
      <c r="HC29" s="782"/>
      <c r="HD29" s="782"/>
      <c r="HE29" s="782"/>
      <c r="HF29" s="782"/>
      <c r="HG29" s="782"/>
      <c r="HH29" s="782"/>
      <c r="HI29" s="782"/>
      <c r="HJ29" s="782"/>
      <c r="HK29" s="782"/>
      <c r="HL29" s="782"/>
      <c r="HM29" s="782"/>
      <c r="HN29" s="782"/>
      <c r="HO29" s="782"/>
      <c r="HP29" s="782"/>
      <c r="HQ29" s="782"/>
      <c r="HR29" s="782"/>
      <c r="HS29" s="782"/>
      <c r="HT29" s="782"/>
      <c r="HU29" s="782"/>
      <c r="HV29" s="782"/>
      <c r="HW29" s="782"/>
      <c r="HX29" s="782"/>
      <c r="HY29" s="782"/>
      <c r="HZ29" s="782"/>
      <c r="IA29" s="782"/>
      <c r="IB29" s="782"/>
      <c r="IC29" s="782"/>
      <c r="ID29" s="782"/>
      <c r="IE29" s="782"/>
      <c r="IF29" s="782"/>
      <c r="IG29" s="782"/>
      <c r="IH29" s="782"/>
      <c r="II29" s="782"/>
      <c r="IJ29" s="782"/>
      <c r="IK29" s="782"/>
      <c r="IL29" s="782"/>
      <c r="IM29" s="782"/>
      <c r="IN29" s="782"/>
      <c r="IO29" s="782"/>
      <c r="IP29" s="782"/>
      <c r="IQ29" s="782"/>
      <c r="IR29" s="782"/>
      <c r="IS29" s="782"/>
      <c r="IT29" s="782"/>
      <c r="IU29" s="782"/>
      <c r="IV29" s="782"/>
      <c r="IW29" s="782"/>
      <c r="IX29" s="782"/>
      <c r="IY29" s="782"/>
      <c r="IZ29" s="782"/>
      <c r="JA29" s="782"/>
      <c r="JB29" s="782"/>
      <c r="JC29" s="782"/>
      <c r="JD29" s="782"/>
      <c r="JE29" s="782"/>
      <c r="JF29" s="782"/>
      <c r="JG29" s="782"/>
      <c r="JH29" s="782"/>
      <c r="JI29" s="782"/>
      <c r="JJ29" s="782"/>
      <c r="JK29" s="782"/>
      <c r="JL29" s="782"/>
      <c r="JM29" s="782"/>
      <c r="JN29" s="782"/>
      <c r="JO29" s="782"/>
      <c r="JP29" s="782"/>
      <c r="JQ29" s="782"/>
      <c r="JR29" s="782"/>
      <c r="JS29" s="782"/>
      <c r="JT29" s="782"/>
      <c r="JU29" s="782"/>
      <c r="JV29" s="782"/>
      <c r="JW29" s="782"/>
      <c r="JX29" s="782"/>
      <c r="JY29" s="782"/>
      <c r="JZ29" s="782"/>
      <c r="KA29" s="782"/>
      <c r="KB29" s="782"/>
      <c r="KC29" s="782"/>
      <c r="KD29" s="782"/>
      <c r="KE29" s="782"/>
      <c r="KF29" s="782"/>
      <c r="KG29" s="782"/>
      <c r="KH29" s="782"/>
      <c r="KI29" s="782"/>
      <c r="KJ29" s="782"/>
      <c r="KK29" s="782"/>
      <c r="KL29" s="782"/>
      <c r="KM29" s="782"/>
      <c r="KN29" s="782"/>
      <c r="KO29" s="782"/>
      <c r="KP29" s="782"/>
      <c r="KQ29" s="782"/>
      <c r="KR29" s="782"/>
      <c r="KS29" s="782"/>
      <c r="KT29" s="782"/>
      <c r="KU29" s="782"/>
      <c r="KV29" s="782"/>
      <c r="KW29" s="782"/>
      <c r="KX29" s="782"/>
      <c r="KY29" s="782"/>
      <c r="KZ29" s="782"/>
      <c r="LA29" s="782"/>
      <c r="LB29" s="782"/>
      <c r="LC29" s="782"/>
      <c r="LD29" s="782"/>
      <c r="LE29" s="782"/>
      <c r="LF29" s="782"/>
      <c r="LG29" s="782"/>
      <c r="LH29" s="782"/>
      <c r="LI29" s="782"/>
      <c r="LJ29" s="782"/>
      <c r="LK29" s="782"/>
      <c r="LL29" s="782"/>
      <c r="LM29" s="782"/>
      <c r="LN29" s="782"/>
      <c r="LO29" s="782"/>
      <c r="LP29" s="782"/>
      <c r="LQ29" s="782"/>
      <c r="LR29" s="782"/>
      <c r="LS29" s="782"/>
      <c r="LT29" s="782"/>
      <c r="LU29" s="782"/>
      <c r="LV29" s="782"/>
      <c r="LW29" s="782"/>
      <c r="LX29" s="782"/>
      <c r="LY29" s="782"/>
      <c r="LZ29" s="782"/>
      <c r="MA29" s="782"/>
      <c r="MB29" s="782"/>
      <c r="MC29" s="782"/>
      <c r="MD29" s="782"/>
      <c r="ME29" s="782"/>
      <c r="MF29" s="782"/>
      <c r="MG29" s="782"/>
      <c r="MH29" s="782"/>
      <c r="MI29" s="782"/>
      <c r="MJ29" s="782"/>
      <c r="MK29" s="782"/>
      <c r="ML29" s="782"/>
      <c r="MM29" s="782"/>
      <c r="MN29" s="782"/>
      <c r="MO29" s="782"/>
      <c r="MP29" s="782"/>
      <c r="MQ29" s="782"/>
      <c r="MR29" s="782"/>
      <c r="MS29" s="782"/>
      <c r="MT29" s="782"/>
      <c r="MU29" s="782"/>
      <c r="MV29" s="782"/>
      <c r="MW29" s="782"/>
      <c r="MX29" s="782"/>
      <c r="MY29" s="782"/>
      <c r="MZ29" s="782"/>
      <c r="NA29" s="782"/>
      <c r="NB29" s="782"/>
      <c r="NC29" s="782"/>
      <c r="ND29" s="782"/>
      <c r="NE29" s="782"/>
      <c r="NF29" s="782"/>
      <c r="NG29" s="782"/>
      <c r="NH29" s="782"/>
      <c r="NI29" s="782"/>
      <c r="NJ29" s="782"/>
      <c r="NK29" s="782"/>
      <c r="NL29" s="782"/>
      <c r="NM29" s="782"/>
      <c r="NN29" s="782"/>
      <c r="NO29" s="782"/>
      <c r="NP29" s="782"/>
      <c r="NQ29" s="782"/>
      <c r="NR29" s="782"/>
      <c r="NS29" s="782"/>
      <c r="NT29" s="782"/>
      <c r="NU29" s="782"/>
      <c r="NV29" s="782"/>
      <c r="NW29" s="782"/>
      <c r="NX29" s="782"/>
      <c r="NY29" s="782"/>
      <c r="NZ29" s="782"/>
      <c r="OA29" s="782"/>
      <c r="OB29" s="782"/>
      <c r="OC29" s="782"/>
      <c r="OD29" s="782"/>
      <c r="OE29" s="782"/>
      <c r="OF29" s="782"/>
      <c r="OG29" s="782"/>
      <c r="OH29" s="782"/>
      <c r="OI29" s="782"/>
      <c r="OJ29" s="782"/>
      <c r="OK29" s="782"/>
      <c r="OL29" s="782"/>
      <c r="OM29" s="782"/>
      <c r="ON29" s="782"/>
      <c r="OO29" s="782"/>
      <c r="OP29" s="782"/>
      <c r="OQ29" s="782"/>
      <c r="OR29" s="782"/>
      <c r="OS29" s="782"/>
      <c r="OT29" s="782"/>
      <c r="OU29" s="782"/>
      <c r="OV29" s="782"/>
      <c r="OW29" s="782"/>
      <c r="OX29" s="782"/>
      <c r="OY29" s="782"/>
      <c r="OZ29" s="782"/>
      <c r="PA29" s="782"/>
      <c r="PB29" s="782"/>
      <c r="PC29" s="782"/>
      <c r="PD29" s="782"/>
      <c r="PE29" s="782"/>
      <c r="PF29" s="782"/>
      <c r="PG29" s="782"/>
      <c r="PH29" s="782"/>
      <c r="PI29" s="782"/>
      <c r="PJ29" s="782"/>
      <c r="PK29" s="782"/>
      <c r="PL29" s="782"/>
      <c r="PM29" s="782"/>
      <c r="PN29" s="782"/>
      <c r="PO29" s="782"/>
    </row>
    <row r="30" spans="1:431" s="143" customFormat="1">
      <c r="A30" s="782"/>
      <c r="B30" s="782"/>
      <c r="C30" s="785"/>
      <c r="D30" s="785"/>
      <c r="E30" s="785"/>
      <c r="F30" s="785"/>
      <c r="G30" s="785"/>
      <c r="H30" s="785"/>
      <c r="I30" s="785"/>
      <c r="J30" s="785"/>
      <c r="K30" s="785"/>
      <c r="L30" s="785"/>
      <c r="M30" s="782"/>
      <c r="N30" s="782"/>
      <c r="O30" s="782"/>
      <c r="P30" s="782"/>
      <c r="Q30" s="782"/>
      <c r="R30" s="782"/>
      <c r="S30" s="782"/>
      <c r="T30" s="782"/>
      <c r="U30" s="782"/>
      <c r="V30" s="782"/>
      <c r="W30" s="782"/>
      <c r="X30" s="782"/>
      <c r="Y30" s="782"/>
      <c r="Z30" s="782"/>
      <c r="AA30" s="782"/>
      <c r="AB30" s="782"/>
      <c r="AC30" s="782"/>
      <c r="AD30" s="782"/>
      <c r="AE30" s="782"/>
      <c r="AF30" s="782"/>
      <c r="AG30" s="782"/>
      <c r="AH30" s="782"/>
      <c r="AI30" s="782"/>
      <c r="AJ30" s="782"/>
      <c r="AK30" s="782"/>
      <c r="AL30" s="782"/>
      <c r="AM30" s="782"/>
      <c r="AN30" s="782"/>
      <c r="AO30" s="782"/>
      <c r="AP30" s="782"/>
      <c r="AQ30" s="782"/>
      <c r="AR30" s="782"/>
      <c r="AS30" s="782"/>
      <c r="AT30" s="782"/>
      <c r="AU30" s="782"/>
      <c r="AV30" s="782"/>
      <c r="AW30" s="782"/>
      <c r="AX30" s="782"/>
      <c r="AY30" s="782"/>
      <c r="AZ30" s="782"/>
      <c r="BA30" s="782"/>
      <c r="BB30" s="782"/>
      <c r="BC30" s="782"/>
      <c r="BD30" s="782"/>
      <c r="BE30" s="782"/>
      <c r="BF30" s="782"/>
      <c r="BG30" s="782"/>
      <c r="BH30" s="782"/>
      <c r="BI30" s="782"/>
      <c r="BJ30" s="782"/>
      <c r="BK30" s="782"/>
      <c r="BL30" s="782"/>
      <c r="BM30" s="782"/>
      <c r="BN30" s="782"/>
      <c r="BO30" s="782"/>
      <c r="BP30" s="782"/>
      <c r="BQ30" s="782"/>
      <c r="BR30" s="782"/>
      <c r="BS30" s="782"/>
      <c r="BT30" s="782"/>
      <c r="BU30" s="782"/>
      <c r="BV30" s="782"/>
      <c r="BW30" s="782"/>
      <c r="BX30" s="782"/>
      <c r="BY30" s="782"/>
      <c r="BZ30" s="782"/>
      <c r="CA30" s="782"/>
      <c r="CB30" s="782"/>
      <c r="CC30" s="782"/>
      <c r="CD30" s="782"/>
      <c r="CE30" s="782"/>
      <c r="CF30" s="782"/>
      <c r="CG30" s="782"/>
      <c r="CH30" s="782"/>
      <c r="CI30" s="782"/>
      <c r="CJ30" s="782"/>
      <c r="CK30" s="782"/>
      <c r="CL30" s="782"/>
      <c r="CM30" s="782"/>
      <c r="CN30" s="782"/>
      <c r="CO30" s="782"/>
      <c r="CP30" s="782"/>
      <c r="CQ30" s="782"/>
      <c r="CR30" s="782"/>
      <c r="CS30" s="782"/>
      <c r="CT30" s="782"/>
      <c r="CU30" s="782"/>
      <c r="CV30" s="782"/>
      <c r="CW30" s="782"/>
      <c r="CX30" s="782"/>
      <c r="CY30" s="782"/>
      <c r="CZ30" s="782"/>
      <c r="DA30" s="782"/>
      <c r="DB30" s="782"/>
      <c r="DC30" s="782"/>
      <c r="DD30" s="782"/>
      <c r="DE30" s="782"/>
      <c r="DF30" s="782"/>
      <c r="DG30" s="782"/>
      <c r="DH30" s="782"/>
      <c r="DI30" s="782"/>
      <c r="DJ30" s="782"/>
      <c r="DK30" s="782"/>
      <c r="DL30" s="782"/>
      <c r="DM30" s="782"/>
      <c r="DN30" s="782"/>
      <c r="DO30" s="782"/>
      <c r="DP30" s="782"/>
      <c r="DQ30" s="782"/>
      <c r="DR30" s="782"/>
      <c r="DS30" s="782"/>
      <c r="DT30" s="782"/>
      <c r="DU30" s="782"/>
      <c r="DV30" s="782"/>
      <c r="DW30" s="782"/>
      <c r="DX30" s="782"/>
      <c r="DY30" s="782"/>
      <c r="DZ30" s="782"/>
      <c r="EA30" s="782"/>
      <c r="EB30" s="782"/>
      <c r="EC30" s="782"/>
      <c r="ED30" s="782"/>
      <c r="EE30" s="782"/>
      <c r="EF30" s="782"/>
      <c r="EG30" s="782"/>
      <c r="EH30" s="782"/>
      <c r="EI30" s="782"/>
      <c r="EJ30" s="782"/>
      <c r="EK30" s="782"/>
      <c r="EL30" s="782"/>
      <c r="EM30" s="782"/>
      <c r="EN30" s="782"/>
      <c r="EO30" s="782"/>
      <c r="EP30" s="782"/>
      <c r="EQ30" s="782"/>
      <c r="ER30" s="782"/>
      <c r="ES30" s="782"/>
      <c r="ET30" s="782"/>
      <c r="EU30" s="782"/>
      <c r="EV30" s="782"/>
      <c r="EW30" s="782"/>
      <c r="EX30" s="782"/>
      <c r="EY30" s="782"/>
      <c r="EZ30" s="782"/>
      <c r="FA30" s="782"/>
      <c r="FB30" s="782"/>
      <c r="FC30" s="782"/>
      <c r="FD30" s="782"/>
      <c r="FE30" s="782"/>
      <c r="FF30" s="782"/>
      <c r="FG30" s="782"/>
      <c r="FH30" s="782"/>
      <c r="FI30" s="782"/>
      <c r="FJ30" s="782"/>
      <c r="FK30" s="782"/>
      <c r="FL30" s="782"/>
      <c r="FM30" s="782"/>
      <c r="FN30" s="782"/>
      <c r="FO30" s="782"/>
      <c r="FP30" s="782"/>
      <c r="FQ30" s="782"/>
      <c r="FR30" s="782"/>
      <c r="FS30" s="782"/>
      <c r="FT30" s="782"/>
      <c r="FU30" s="782"/>
      <c r="FV30" s="782"/>
      <c r="FW30" s="782"/>
      <c r="FX30" s="782"/>
      <c r="FY30" s="782"/>
      <c r="FZ30" s="782"/>
      <c r="GA30" s="782"/>
      <c r="GB30" s="782"/>
      <c r="GC30" s="782"/>
      <c r="GD30" s="782"/>
      <c r="GE30" s="782"/>
      <c r="GF30" s="782"/>
      <c r="GG30" s="782"/>
      <c r="GH30" s="782"/>
      <c r="GI30" s="782"/>
      <c r="GJ30" s="782"/>
      <c r="GK30" s="782"/>
      <c r="GL30" s="782"/>
      <c r="GM30" s="782"/>
      <c r="GN30" s="782"/>
      <c r="GO30" s="782"/>
      <c r="GP30" s="782"/>
      <c r="GQ30" s="782"/>
      <c r="GR30" s="782"/>
      <c r="GS30" s="782"/>
      <c r="GT30" s="782"/>
      <c r="GU30" s="782"/>
      <c r="GV30" s="782"/>
      <c r="GW30" s="782"/>
      <c r="GX30" s="782"/>
      <c r="GY30" s="782"/>
      <c r="GZ30" s="782"/>
      <c r="HA30" s="782"/>
      <c r="HB30" s="782"/>
      <c r="HC30" s="782"/>
      <c r="HD30" s="782"/>
      <c r="HE30" s="782"/>
      <c r="HF30" s="782"/>
      <c r="HG30" s="782"/>
      <c r="HH30" s="782"/>
      <c r="HI30" s="782"/>
      <c r="HJ30" s="782"/>
      <c r="HK30" s="782"/>
      <c r="HL30" s="782"/>
      <c r="HM30" s="782"/>
      <c r="HN30" s="782"/>
      <c r="HO30" s="782"/>
      <c r="HP30" s="782"/>
      <c r="HQ30" s="782"/>
      <c r="HR30" s="782"/>
      <c r="HS30" s="782"/>
      <c r="HT30" s="782"/>
      <c r="HU30" s="782"/>
      <c r="HV30" s="782"/>
      <c r="HW30" s="782"/>
      <c r="HX30" s="782"/>
      <c r="HY30" s="782"/>
      <c r="HZ30" s="782"/>
      <c r="IA30" s="782"/>
      <c r="IB30" s="782"/>
      <c r="IC30" s="782"/>
      <c r="ID30" s="782"/>
      <c r="IE30" s="782"/>
      <c r="IF30" s="782"/>
      <c r="IG30" s="782"/>
      <c r="IH30" s="782"/>
      <c r="II30" s="782"/>
      <c r="IJ30" s="782"/>
      <c r="IK30" s="782"/>
      <c r="IL30" s="782"/>
      <c r="IM30" s="782"/>
      <c r="IN30" s="782"/>
      <c r="IO30" s="782"/>
      <c r="IP30" s="782"/>
      <c r="IQ30" s="782"/>
      <c r="IR30" s="782"/>
      <c r="IS30" s="782"/>
      <c r="IT30" s="782"/>
      <c r="IU30" s="782"/>
      <c r="IV30" s="782"/>
      <c r="IW30" s="782"/>
      <c r="IX30" s="782"/>
      <c r="IY30" s="782"/>
      <c r="IZ30" s="782"/>
      <c r="JA30" s="782"/>
      <c r="JB30" s="782"/>
      <c r="JC30" s="782"/>
      <c r="JD30" s="782"/>
      <c r="JE30" s="782"/>
      <c r="JF30" s="782"/>
      <c r="JG30" s="782"/>
      <c r="JH30" s="782"/>
      <c r="JI30" s="782"/>
      <c r="JJ30" s="782"/>
      <c r="JK30" s="782"/>
      <c r="JL30" s="782"/>
      <c r="JM30" s="782"/>
      <c r="JN30" s="782"/>
      <c r="JO30" s="782"/>
      <c r="JP30" s="782"/>
      <c r="JQ30" s="782"/>
      <c r="JR30" s="782"/>
      <c r="JS30" s="782"/>
      <c r="JT30" s="782"/>
      <c r="JU30" s="782"/>
      <c r="JV30" s="782"/>
      <c r="JW30" s="782"/>
      <c r="JX30" s="782"/>
      <c r="JY30" s="782"/>
      <c r="JZ30" s="782"/>
      <c r="KA30" s="782"/>
      <c r="KB30" s="782"/>
      <c r="KC30" s="782"/>
      <c r="KD30" s="782"/>
      <c r="KE30" s="782"/>
      <c r="KF30" s="782"/>
      <c r="KG30" s="782"/>
      <c r="KH30" s="782"/>
      <c r="KI30" s="782"/>
      <c r="KJ30" s="782"/>
      <c r="KK30" s="782"/>
      <c r="KL30" s="782"/>
      <c r="KM30" s="782"/>
      <c r="KN30" s="782"/>
      <c r="KO30" s="782"/>
      <c r="KP30" s="782"/>
      <c r="KQ30" s="782"/>
      <c r="KR30" s="782"/>
      <c r="KS30" s="782"/>
      <c r="KT30" s="782"/>
      <c r="KU30" s="782"/>
      <c r="KV30" s="782"/>
      <c r="KW30" s="782"/>
      <c r="KX30" s="782"/>
      <c r="KY30" s="782"/>
      <c r="KZ30" s="782"/>
      <c r="LA30" s="782"/>
      <c r="LB30" s="782"/>
      <c r="LC30" s="782"/>
      <c r="LD30" s="782"/>
      <c r="LE30" s="782"/>
      <c r="LF30" s="782"/>
      <c r="LG30" s="782"/>
      <c r="LH30" s="782"/>
      <c r="LI30" s="782"/>
      <c r="LJ30" s="782"/>
      <c r="LK30" s="782"/>
      <c r="LL30" s="782"/>
      <c r="LM30" s="782"/>
      <c r="LN30" s="782"/>
      <c r="LO30" s="782"/>
      <c r="LP30" s="782"/>
      <c r="LQ30" s="782"/>
      <c r="LR30" s="782"/>
      <c r="LS30" s="782"/>
      <c r="LT30" s="782"/>
      <c r="LU30" s="782"/>
      <c r="LV30" s="782"/>
      <c r="LW30" s="782"/>
      <c r="LX30" s="782"/>
      <c r="LY30" s="782"/>
      <c r="LZ30" s="782"/>
      <c r="MA30" s="782"/>
      <c r="MB30" s="782"/>
      <c r="MC30" s="782"/>
      <c r="MD30" s="782"/>
      <c r="ME30" s="782"/>
      <c r="MF30" s="782"/>
      <c r="MG30" s="782"/>
      <c r="MH30" s="782"/>
      <c r="MI30" s="782"/>
      <c r="MJ30" s="782"/>
      <c r="MK30" s="782"/>
      <c r="ML30" s="782"/>
      <c r="MM30" s="782"/>
      <c r="MN30" s="782"/>
      <c r="MO30" s="782"/>
      <c r="MP30" s="782"/>
      <c r="MQ30" s="782"/>
      <c r="MR30" s="782"/>
      <c r="MS30" s="782"/>
      <c r="MT30" s="782"/>
      <c r="MU30" s="782"/>
      <c r="MV30" s="782"/>
      <c r="MW30" s="782"/>
      <c r="MX30" s="782"/>
      <c r="MY30" s="782"/>
      <c r="MZ30" s="782"/>
      <c r="NA30" s="782"/>
      <c r="NB30" s="782"/>
      <c r="NC30" s="782"/>
      <c r="ND30" s="782"/>
      <c r="NE30" s="782"/>
      <c r="NF30" s="782"/>
      <c r="NG30" s="782"/>
      <c r="NH30" s="782"/>
      <c r="NI30" s="782"/>
      <c r="NJ30" s="782"/>
      <c r="NK30" s="782"/>
      <c r="NL30" s="782"/>
      <c r="NM30" s="782"/>
      <c r="NN30" s="782"/>
      <c r="NO30" s="782"/>
      <c r="NP30" s="782"/>
      <c r="NQ30" s="782"/>
      <c r="NR30" s="782"/>
      <c r="NS30" s="782"/>
      <c r="NT30" s="782"/>
      <c r="NU30" s="782"/>
      <c r="NV30" s="782"/>
      <c r="NW30" s="782"/>
      <c r="NX30" s="782"/>
      <c r="NY30" s="782"/>
      <c r="NZ30" s="782"/>
      <c r="OA30" s="782"/>
      <c r="OB30" s="782"/>
      <c r="OC30" s="782"/>
      <c r="OD30" s="782"/>
      <c r="OE30" s="782"/>
      <c r="OF30" s="782"/>
      <c r="OG30" s="782"/>
      <c r="OH30" s="782"/>
      <c r="OI30" s="782"/>
      <c r="OJ30" s="782"/>
      <c r="OK30" s="782"/>
      <c r="OL30" s="782"/>
      <c r="OM30" s="782"/>
      <c r="ON30" s="782"/>
      <c r="OO30" s="782"/>
      <c r="OP30" s="782"/>
      <c r="OQ30" s="782"/>
      <c r="OR30" s="782"/>
      <c r="OS30" s="782"/>
      <c r="OT30" s="782"/>
      <c r="OU30" s="782"/>
      <c r="OV30" s="782"/>
      <c r="OW30" s="782"/>
      <c r="OX30" s="782"/>
      <c r="OY30" s="782"/>
      <c r="OZ30" s="782"/>
      <c r="PA30" s="782"/>
      <c r="PB30" s="782"/>
      <c r="PC30" s="782"/>
      <c r="PD30" s="782"/>
      <c r="PE30" s="782"/>
      <c r="PF30" s="782"/>
      <c r="PG30" s="782"/>
      <c r="PH30" s="782"/>
      <c r="PI30" s="782"/>
      <c r="PJ30" s="782"/>
      <c r="PK30" s="782"/>
      <c r="PL30" s="782"/>
      <c r="PM30" s="782"/>
      <c r="PN30" s="782"/>
      <c r="PO30" s="782"/>
    </row>
    <row r="31" spans="1:431" s="143" customFormat="1">
      <c r="A31" s="782"/>
      <c r="B31" s="782"/>
      <c r="C31" s="785"/>
      <c r="D31" s="785"/>
      <c r="E31" s="785"/>
      <c r="F31" s="785"/>
      <c r="G31" s="785"/>
      <c r="H31" s="785"/>
      <c r="I31" s="785"/>
      <c r="J31" s="785"/>
      <c r="K31" s="785"/>
      <c r="L31" s="785"/>
      <c r="M31" s="782"/>
      <c r="N31" s="782"/>
      <c r="O31" s="782"/>
      <c r="P31" s="782"/>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2"/>
      <c r="BC31" s="782"/>
      <c r="BD31" s="782"/>
      <c r="BE31" s="782"/>
      <c r="BF31" s="782"/>
      <c r="BG31" s="782"/>
      <c r="BH31" s="782"/>
      <c r="BI31" s="782"/>
      <c r="BJ31" s="782"/>
      <c r="BK31" s="782"/>
      <c r="BL31" s="782"/>
      <c r="BM31" s="782"/>
      <c r="BN31" s="782"/>
      <c r="BO31" s="782"/>
      <c r="BP31" s="782"/>
      <c r="BQ31" s="782"/>
      <c r="BR31" s="782"/>
      <c r="BS31" s="782"/>
      <c r="BT31" s="782"/>
      <c r="BU31" s="782"/>
      <c r="BV31" s="782"/>
      <c r="BW31" s="782"/>
      <c r="BX31" s="782"/>
      <c r="BY31" s="782"/>
      <c r="BZ31" s="782"/>
      <c r="CA31" s="782"/>
      <c r="CB31" s="782"/>
      <c r="CC31" s="782"/>
      <c r="CD31" s="782"/>
      <c r="CE31" s="782"/>
      <c r="CF31" s="782"/>
      <c r="CG31" s="782"/>
      <c r="CH31" s="782"/>
      <c r="CI31" s="782"/>
      <c r="CJ31" s="782"/>
      <c r="CK31" s="782"/>
      <c r="CL31" s="782"/>
      <c r="CM31" s="782"/>
      <c r="CN31" s="782"/>
      <c r="CO31" s="782"/>
      <c r="CP31" s="782"/>
      <c r="CQ31" s="782"/>
      <c r="CR31" s="782"/>
      <c r="CS31" s="782"/>
      <c r="CT31" s="782"/>
      <c r="CU31" s="782"/>
      <c r="CV31" s="782"/>
      <c r="CW31" s="782"/>
      <c r="CX31" s="782"/>
      <c r="CY31" s="782"/>
      <c r="CZ31" s="782"/>
      <c r="DA31" s="782"/>
      <c r="DB31" s="782"/>
      <c r="DC31" s="782"/>
      <c r="DD31" s="782"/>
      <c r="DE31" s="782"/>
      <c r="DF31" s="782"/>
      <c r="DG31" s="782"/>
      <c r="DH31" s="782"/>
      <c r="DI31" s="782"/>
      <c r="DJ31" s="782"/>
      <c r="DK31" s="782"/>
      <c r="DL31" s="782"/>
      <c r="DM31" s="782"/>
      <c r="DN31" s="782"/>
      <c r="DO31" s="782"/>
      <c r="DP31" s="782"/>
      <c r="DQ31" s="782"/>
      <c r="DR31" s="782"/>
      <c r="DS31" s="782"/>
      <c r="DT31" s="782"/>
      <c r="DU31" s="782"/>
      <c r="DV31" s="782"/>
      <c r="DW31" s="782"/>
      <c r="DX31" s="782"/>
      <c r="DY31" s="782"/>
      <c r="DZ31" s="782"/>
      <c r="EA31" s="782"/>
      <c r="EB31" s="782"/>
      <c r="EC31" s="782"/>
      <c r="ED31" s="782"/>
      <c r="EE31" s="782"/>
      <c r="EF31" s="782"/>
      <c r="EG31" s="782"/>
      <c r="EH31" s="782"/>
      <c r="EI31" s="782"/>
      <c r="EJ31" s="782"/>
      <c r="EK31" s="782"/>
      <c r="EL31" s="782"/>
      <c r="EM31" s="782"/>
      <c r="EN31" s="782"/>
      <c r="EO31" s="782"/>
      <c r="EP31" s="782"/>
      <c r="EQ31" s="782"/>
      <c r="ER31" s="782"/>
      <c r="ES31" s="782"/>
      <c r="ET31" s="782"/>
      <c r="EU31" s="782"/>
      <c r="EV31" s="782"/>
      <c r="EW31" s="782"/>
      <c r="EX31" s="782"/>
      <c r="EY31" s="782"/>
      <c r="EZ31" s="782"/>
      <c r="FA31" s="782"/>
      <c r="FB31" s="782"/>
      <c r="FC31" s="782"/>
      <c r="FD31" s="782"/>
      <c r="FE31" s="782"/>
      <c r="FF31" s="782"/>
      <c r="FG31" s="782"/>
      <c r="FH31" s="782"/>
      <c r="FI31" s="782"/>
      <c r="FJ31" s="782"/>
      <c r="FK31" s="782"/>
      <c r="FL31" s="782"/>
      <c r="FM31" s="782"/>
      <c r="FN31" s="782"/>
      <c r="FO31" s="782"/>
      <c r="FP31" s="782"/>
      <c r="FQ31" s="782"/>
      <c r="FR31" s="782"/>
      <c r="FS31" s="782"/>
      <c r="FT31" s="782"/>
      <c r="FU31" s="782"/>
      <c r="FV31" s="782"/>
      <c r="FW31" s="782"/>
      <c r="FX31" s="782"/>
      <c r="FY31" s="782"/>
      <c r="FZ31" s="782"/>
      <c r="GA31" s="782"/>
      <c r="GB31" s="782"/>
      <c r="GC31" s="782"/>
      <c r="GD31" s="782"/>
      <c r="GE31" s="782"/>
      <c r="GF31" s="782"/>
      <c r="GG31" s="782"/>
      <c r="GH31" s="782"/>
      <c r="GI31" s="782"/>
      <c r="GJ31" s="782"/>
      <c r="GK31" s="782"/>
      <c r="GL31" s="782"/>
      <c r="GM31" s="782"/>
      <c r="GN31" s="782"/>
      <c r="GO31" s="782"/>
      <c r="GP31" s="782"/>
      <c r="GQ31" s="782"/>
      <c r="GR31" s="782"/>
      <c r="GS31" s="782"/>
      <c r="GT31" s="782"/>
      <c r="GU31" s="782"/>
      <c r="GV31" s="782"/>
      <c r="GW31" s="782"/>
      <c r="GX31" s="782"/>
      <c r="GY31" s="782"/>
      <c r="GZ31" s="782"/>
      <c r="HA31" s="782"/>
      <c r="HB31" s="782"/>
      <c r="HC31" s="782"/>
      <c r="HD31" s="782"/>
      <c r="HE31" s="782"/>
      <c r="HF31" s="782"/>
      <c r="HG31" s="782"/>
      <c r="HH31" s="782"/>
      <c r="HI31" s="782"/>
      <c r="HJ31" s="782"/>
      <c r="HK31" s="782"/>
      <c r="HL31" s="782"/>
      <c r="HM31" s="782"/>
      <c r="HN31" s="782"/>
      <c r="HO31" s="782"/>
      <c r="HP31" s="782"/>
      <c r="HQ31" s="782"/>
      <c r="HR31" s="782"/>
      <c r="HS31" s="782"/>
      <c r="HT31" s="782"/>
      <c r="HU31" s="782"/>
      <c r="HV31" s="782"/>
      <c r="HW31" s="782"/>
      <c r="HX31" s="782"/>
      <c r="HY31" s="782"/>
      <c r="HZ31" s="782"/>
      <c r="IA31" s="782"/>
      <c r="IB31" s="782"/>
      <c r="IC31" s="782"/>
      <c r="ID31" s="782"/>
      <c r="IE31" s="782"/>
      <c r="IF31" s="782"/>
      <c r="IG31" s="782"/>
      <c r="IH31" s="782"/>
      <c r="II31" s="782"/>
      <c r="IJ31" s="782"/>
      <c r="IK31" s="782"/>
      <c r="IL31" s="782"/>
      <c r="IM31" s="782"/>
      <c r="IN31" s="782"/>
      <c r="IO31" s="782"/>
      <c r="IP31" s="782"/>
      <c r="IQ31" s="782"/>
      <c r="IR31" s="782"/>
      <c r="IS31" s="782"/>
      <c r="IT31" s="782"/>
      <c r="IU31" s="782"/>
      <c r="IV31" s="782"/>
      <c r="IW31" s="782"/>
      <c r="IX31" s="782"/>
      <c r="IY31" s="782"/>
      <c r="IZ31" s="782"/>
      <c r="JA31" s="782"/>
      <c r="JB31" s="782"/>
      <c r="JC31" s="782"/>
      <c r="JD31" s="782"/>
      <c r="JE31" s="782"/>
      <c r="JF31" s="782"/>
      <c r="JG31" s="782"/>
      <c r="JH31" s="782"/>
      <c r="JI31" s="782"/>
      <c r="JJ31" s="782"/>
      <c r="JK31" s="782"/>
      <c r="JL31" s="782"/>
      <c r="JM31" s="782"/>
      <c r="JN31" s="782"/>
      <c r="JO31" s="782"/>
      <c r="JP31" s="782"/>
      <c r="JQ31" s="782"/>
      <c r="JR31" s="782"/>
      <c r="JS31" s="782"/>
      <c r="JT31" s="782"/>
      <c r="JU31" s="782"/>
      <c r="JV31" s="782"/>
      <c r="JW31" s="782"/>
      <c r="JX31" s="782"/>
      <c r="JY31" s="782"/>
      <c r="JZ31" s="782"/>
      <c r="KA31" s="782"/>
      <c r="KB31" s="782"/>
      <c r="KC31" s="782"/>
      <c r="KD31" s="782"/>
      <c r="KE31" s="782"/>
      <c r="KF31" s="782"/>
      <c r="KG31" s="782"/>
      <c r="KH31" s="782"/>
      <c r="KI31" s="782"/>
      <c r="KJ31" s="782"/>
      <c r="KK31" s="782"/>
      <c r="KL31" s="782"/>
      <c r="KM31" s="782"/>
      <c r="KN31" s="782"/>
      <c r="KO31" s="782"/>
      <c r="KP31" s="782"/>
      <c r="KQ31" s="782"/>
      <c r="KR31" s="782"/>
      <c r="KS31" s="782"/>
      <c r="KT31" s="782"/>
      <c r="KU31" s="782"/>
      <c r="KV31" s="782"/>
      <c r="KW31" s="782"/>
      <c r="KX31" s="782"/>
      <c r="KY31" s="782"/>
      <c r="KZ31" s="782"/>
      <c r="LA31" s="782"/>
      <c r="LB31" s="782"/>
      <c r="LC31" s="782"/>
      <c r="LD31" s="782"/>
      <c r="LE31" s="782"/>
      <c r="LF31" s="782"/>
      <c r="LG31" s="782"/>
      <c r="LH31" s="782"/>
      <c r="LI31" s="782"/>
      <c r="LJ31" s="782"/>
      <c r="LK31" s="782"/>
      <c r="LL31" s="782"/>
      <c r="LM31" s="782"/>
      <c r="LN31" s="782"/>
      <c r="LO31" s="782"/>
      <c r="LP31" s="782"/>
      <c r="LQ31" s="782"/>
      <c r="LR31" s="782"/>
      <c r="LS31" s="782"/>
      <c r="LT31" s="782"/>
      <c r="LU31" s="782"/>
      <c r="LV31" s="782"/>
      <c r="LW31" s="782"/>
      <c r="LX31" s="782"/>
      <c r="LY31" s="782"/>
      <c r="LZ31" s="782"/>
      <c r="MA31" s="782"/>
      <c r="MB31" s="782"/>
      <c r="MC31" s="782"/>
      <c r="MD31" s="782"/>
      <c r="ME31" s="782"/>
      <c r="MF31" s="782"/>
      <c r="MG31" s="782"/>
      <c r="MH31" s="782"/>
      <c r="MI31" s="782"/>
      <c r="MJ31" s="782"/>
      <c r="MK31" s="782"/>
      <c r="ML31" s="782"/>
      <c r="MM31" s="782"/>
      <c r="MN31" s="782"/>
      <c r="MO31" s="782"/>
      <c r="MP31" s="782"/>
      <c r="MQ31" s="782"/>
      <c r="MR31" s="782"/>
      <c r="MS31" s="782"/>
      <c r="MT31" s="782"/>
      <c r="MU31" s="782"/>
      <c r="MV31" s="782"/>
      <c r="MW31" s="782"/>
      <c r="MX31" s="782"/>
      <c r="MY31" s="782"/>
      <c r="MZ31" s="782"/>
      <c r="NA31" s="782"/>
      <c r="NB31" s="782"/>
      <c r="NC31" s="782"/>
      <c r="ND31" s="782"/>
      <c r="NE31" s="782"/>
      <c r="NF31" s="782"/>
      <c r="NG31" s="782"/>
      <c r="NH31" s="782"/>
      <c r="NI31" s="782"/>
      <c r="NJ31" s="782"/>
      <c r="NK31" s="782"/>
      <c r="NL31" s="782"/>
      <c r="NM31" s="782"/>
      <c r="NN31" s="782"/>
      <c r="NO31" s="782"/>
      <c r="NP31" s="782"/>
      <c r="NQ31" s="782"/>
      <c r="NR31" s="782"/>
      <c r="NS31" s="782"/>
      <c r="NT31" s="782"/>
      <c r="NU31" s="782"/>
      <c r="NV31" s="782"/>
      <c r="NW31" s="782"/>
      <c r="NX31" s="782"/>
      <c r="NY31" s="782"/>
      <c r="NZ31" s="782"/>
      <c r="OA31" s="782"/>
      <c r="OB31" s="782"/>
      <c r="OC31" s="782"/>
      <c r="OD31" s="782"/>
      <c r="OE31" s="782"/>
      <c r="OF31" s="782"/>
      <c r="OG31" s="782"/>
      <c r="OH31" s="782"/>
      <c r="OI31" s="782"/>
      <c r="OJ31" s="782"/>
      <c r="OK31" s="782"/>
      <c r="OL31" s="782"/>
      <c r="OM31" s="782"/>
      <c r="ON31" s="782"/>
      <c r="OO31" s="782"/>
      <c r="OP31" s="782"/>
      <c r="OQ31" s="782"/>
      <c r="OR31" s="782"/>
      <c r="OS31" s="782"/>
      <c r="OT31" s="782"/>
      <c r="OU31" s="782"/>
      <c r="OV31" s="782"/>
      <c r="OW31" s="782"/>
      <c r="OX31" s="782"/>
      <c r="OY31" s="782"/>
      <c r="OZ31" s="782"/>
      <c r="PA31" s="782"/>
      <c r="PB31" s="782"/>
      <c r="PC31" s="782"/>
      <c r="PD31" s="782"/>
      <c r="PE31" s="782"/>
      <c r="PF31" s="782"/>
      <c r="PG31" s="782"/>
      <c r="PH31" s="782"/>
      <c r="PI31" s="782"/>
      <c r="PJ31" s="782"/>
      <c r="PK31" s="782"/>
      <c r="PL31" s="782"/>
      <c r="PM31" s="782"/>
      <c r="PN31" s="782"/>
      <c r="PO31" s="782"/>
    </row>
    <row r="32" spans="1:431" s="143" customFormat="1">
      <c r="A32" s="782"/>
      <c r="B32" s="782"/>
      <c r="C32" s="785"/>
      <c r="D32" s="785"/>
      <c r="E32" s="785"/>
      <c r="F32" s="785"/>
      <c r="G32" s="785"/>
      <c r="H32" s="785"/>
      <c r="I32" s="785"/>
      <c r="J32" s="785"/>
      <c r="K32" s="785"/>
      <c r="L32" s="785"/>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2"/>
      <c r="BC32" s="782"/>
      <c r="BD32" s="782"/>
      <c r="BE32" s="782"/>
      <c r="BF32" s="782"/>
      <c r="BG32" s="782"/>
      <c r="BH32" s="782"/>
      <c r="BI32" s="782"/>
      <c r="BJ32" s="782"/>
      <c r="BK32" s="782"/>
      <c r="BL32" s="782"/>
      <c r="BM32" s="782"/>
      <c r="BN32" s="782"/>
      <c r="BO32" s="782"/>
      <c r="BP32" s="782"/>
      <c r="BQ32" s="782"/>
      <c r="BR32" s="782"/>
      <c r="BS32" s="782"/>
      <c r="BT32" s="782"/>
      <c r="BU32" s="782"/>
      <c r="BV32" s="782"/>
      <c r="BW32" s="782"/>
      <c r="BX32" s="782"/>
      <c r="BY32" s="782"/>
      <c r="BZ32" s="782"/>
      <c r="CA32" s="782"/>
      <c r="CB32" s="782"/>
      <c r="CC32" s="782"/>
      <c r="CD32" s="782"/>
      <c r="CE32" s="782"/>
      <c r="CF32" s="782"/>
      <c r="CG32" s="782"/>
      <c r="CH32" s="782"/>
      <c r="CI32" s="782"/>
      <c r="CJ32" s="782"/>
      <c r="CK32" s="782"/>
      <c r="CL32" s="782"/>
      <c r="CM32" s="782"/>
      <c r="CN32" s="782"/>
      <c r="CO32" s="782"/>
      <c r="CP32" s="782"/>
      <c r="CQ32" s="782"/>
      <c r="CR32" s="782"/>
      <c r="CS32" s="782"/>
      <c r="CT32" s="782"/>
      <c r="CU32" s="782"/>
      <c r="CV32" s="782"/>
      <c r="CW32" s="782"/>
      <c r="CX32" s="782"/>
      <c r="CY32" s="782"/>
      <c r="CZ32" s="782"/>
      <c r="DA32" s="782"/>
      <c r="DB32" s="782"/>
      <c r="DC32" s="782"/>
      <c r="DD32" s="782"/>
      <c r="DE32" s="782"/>
      <c r="DF32" s="782"/>
      <c r="DG32" s="782"/>
      <c r="DH32" s="782"/>
      <c r="DI32" s="782"/>
      <c r="DJ32" s="782"/>
      <c r="DK32" s="782"/>
      <c r="DL32" s="782"/>
      <c r="DM32" s="782"/>
      <c r="DN32" s="782"/>
      <c r="DO32" s="782"/>
      <c r="DP32" s="782"/>
      <c r="DQ32" s="782"/>
      <c r="DR32" s="782"/>
      <c r="DS32" s="782"/>
      <c r="DT32" s="782"/>
      <c r="DU32" s="782"/>
      <c r="DV32" s="782"/>
      <c r="DW32" s="782"/>
      <c r="DX32" s="782"/>
      <c r="DY32" s="782"/>
      <c r="DZ32" s="782"/>
      <c r="EA32" s="782"/>
      <c r="EB32" s="782"/>
      <c r="EC32" s="782"/>
      <c r="ED32" s="782"/>
      <c r="EE32" s="782"/>
      <c r="EF32" s="782"/>
      <c r="EG32" s="782"/>
      <c r="EH32" s="782"/>
      <c r="EI32" s="782"/>
      <c r="EJ32" s="782"/>
      <c r="EK32" s="782"/>
      <c r="EL32" s="782"/>
      <c r="EM32" s="782"/>
      <c r="EN32" s="782"/>
      <c r="EO32" s="782"/>
      <c r="EP32" s="782"/>
      <c r="EQ32" s="782"/>
      <c r="ER32" s="782"/>
      <c r="ES32" s="782"/>
      <c r="ET32" s="782"/>
      <c r="EU32" s="782"/>
      <c r="EV32" s="782"/>
      <c r="EW32" s="782"/>
      <c r="EX32" s="782"/>
      <c r="EY32" s="782"/>
      <c r="EZ32" s="782"/>
      <c r="FA32" s="782"/>
      <c r="FB32" s="782"/>
      <c r="FC32" s="782"/>
      <c r="FD32" s="782"/>
      <c r="FE32" s="782"/>
      <c r="FF32" s="782"/>
      <c r="FG32" s="782"/>
      <c r="FH32" s="782"/>
      <c r="FI32" s="782"/>
      <c r="FJ32" s="782"/>
      <c r="FK32" s="782"/>
      <c r="FL32" s="782"/>
      <c r="FM32" s="782"/>
      <c r="FN32" s="782"/>
      <c r="FO32" s="782"/>
      <c r="FP32" s="782"/>
      <c r="FQ32" s="782"/>
      <c r="FR32" s="782"/>
      <c r="FS32" s="782"/>
      <c r="FT32" s="782"/>
      <c r="FU32" s="782"/>
      <c r="FV32" s="782"/>
      <c r="FW32" s="782"/>
      <c r="FX32" s="782"/>
      <c r="FY32" s="782"/>
      <c r="FZ32" s="782"/>
      <c r="GA32" s="782"/>
      <c r="GB32" s="782"/>
      <c r="GC32" s="782"/>
      <c r="GD32" s="782"/>
      <c r="GE32" s="782"/>
      <c r="GF32" s="782"/>
      <c r="GG32" s="782"/>
      <c r="GH32" s="782"/>
      <c r="GI32" s="782"/>
      <c r="GJ32" s="782"/>
      <c r="GK32" s="782"/>
      <c r="GL32" s="782"/>
      <c r="GM32" s="782"/>
      <c r="GN32" s="782"/>
      <c r="GO32" s="782"/>
      <c r="GP32" s="782"/>
      <c r="GQ32" s="782"/>
      <c r="GR32" s="782"/>
      <c r="GS32" s="782"/>
      <c r="GT32" s="782"/>
      <c r="GU32" s="782"/>
      <c r="GV32" s="782"/>
      <c r="GW32" s="782"/>
      <c r="GX32" s="782"/>
      <c r="GY32" s="782"/>
      <c r="GZ32" s="782"/>
      <c r="HA32" s="782"/>
      <c r="HB32" s="782"/>
      <c r="HC32" s="782"/>
      <c r="HD32" s="782"/>
      <c r="HE32" s="782"/>
      <c r="HF32" s="782"/>
      <c r="HG32" s="782"/>
      <c r="HH32" s="782"/>
      <c r="HI32" s="782"/>
      <c r="HJ32" s="782"/>
      <c r="HK32" s="782"/>
      <c r="HL32" s="782"/>
      <c r="HM32" s="782"/>
      <c r="HN32" s="782"/>
      <c r="HO32" s="782"/>
      <c r="HP32" s="782"/>
      <c r="HQ32" s="782"/>
      <c r="HR32" s="782"/>
      <c r="HS32" s="782"/>
      <c r="HT32" s="782"/>
      <c r="HU32" s="782"/>
      <c r="HV32" s="782"/>
      <c r="HW32" s="782"/>
      <c r="HX32" s="782"/>
      <c r="HY32" s="782"/>
      <c r="HZ32" s="782"/>
      <c r="IA32" s="782"/>
      <c r="IB32" s="782"/>
      <c r="IC32" s="782"/>
      <c r="ID32" s="782"/>
      <c r="IE32" s="782"/>
      <c r="IF32" s="782"/>
      <c r="IG32" s="782"/>
      <c r="IH32" s="782"/>
      <c r="II32" s="782"/>
      <c r="IJ32" s="782"/>
      <c r="IK32" s="782"/>
      <c r="IL32" s="782"/>
      <c r="IM32" s="782"/>
      <c r="IN32" s="782"/>
      <c r="IO32" s="782"/>
      <c r="IP32" s="782"/>
      <c r="IQ32" s="782"/>
      <c r="IR32" s="782"/>
      <c r="IS32" s="782"/>
      <c r="IT32" s="782"/>
      <c r="IU32" s="782"/>
      <c r="IV32" s="782"/>
      <c r="IW32" s="782"/>
      <c r="IX32" s="782"/>
      <c r="IY32" s="782"/>
      <c r="IZ32" s="782"/>
      <c r="JA32" s="782"/>
      <c r="JB32" s="782"/>
      <c r="JC32" s="782"/>
      <c r="JD32" s="782"/>
      <c r="JE32" s="782"/>
      <c r="JF32" s="782"/>
      <c r="JG32" s="782"/>
      <c r="JH32" s="782"/>
      <c r="JI32" s="782"/>
      <c r="JJ32" s="782"/>
      <c r="JK32" s="782"/>
      <c r="JL32" s="782"/>
      <c r="JM32" s="782"/>
      <c r="JN32" s="782"/>
      <c r="JO32" s="782"/>
      <c r="JP32" s="782"/>
      <c r="JQ32" s="782"/>
      <c r="JR32" s="782"/>
      <c r="JS32" s="782"/>
      <c r="JT32" s="782"/>
      <c r="JU32" s="782"/>
      <c r="JV32" s="782"/>
      <c r="JW32" s="782"/>
      <c r="JX32" s="782"/>
      <c r="JY32" s="782"/>
      <c r="JZ32" s="782"/>
      <c r="KA32" s="782"/>
      <c r="KB32" s="782"/>
      <c r="KC32" s="782"/>
      <c r="KD32" s="782"/>
      <c r="KE32" s="782"/>
      <c r="KF32" s="782"/>
      <c r="KG32" s="782"/>
      <c r="KH32" s="782"/>
      <c r="KI32" s="782"/>
      <c r="KJ32" s="782"/>
      <c r="KK32" s="782"/>
      <c r="KL32" s="782"/>
      <c r="KM32" s="782"/>
      <c r="KN32" s="782"/>
      <c r="KO32" s="782"/>
      <c r="KP32" s="782"/>
      <c r="KQ32" s="782"/>
      <c r="KR32" s="782"/>
      <c r="KS32" s="782"/>
      <c r="KT32" s="782"/>
      <c r="KU32" s="782"/>
      <c r="KV32" s="782"/>
      <c r="KW32" s="782"/>
      <c r="KX32" s="782"/>
      <c r="KY32" s="782"/>
      <c r="KZ32" s="782"/>
      <c r="LA32" s="782"/>
      <c r="LB32" s="782"/>
      <c r="LC32" s="782"/>
      <c r="LD32" s="782"/>
      <c r="LE32" s="782"/>
      <c r="LF32" s="782"/>
      <c r="LG32" s="782"/>
      <c r="LH32" s="782"/>
      <c r="LI32" s="782"/>
      <c r="LJ32" s="782"/>
      <c r="LK32" s="782"/>
      <c r="LL32" s="782"/>
      <c r="LM32" s="782"/>
      <c r="LN32" s="782"/>
      <c r="LO32" s="782"/>
      <c r="LP32" s="782"/>
      <c r="LQ32" s="782"/>
      <c r="LR32" s="782"/>
      <c r="LS32" s="782"/>
      <c r="LT32" s="782"/>
      <c r="LU32" s="782"/>
      <c r="LV32" s="782"/>
      <c r="LW32" s="782"/>
      <c r="LX32" s="782"/>
      <c r="LY32" s="782"/>
      <c r="LZ32" s="782"/>
      <c r="MA32" s="782"/>
      <c r="MB32" s="782"/>
      <c r="MC32" s="782"/>
      <c r="MD32" s="782"/>
      <c r="ME32" s="782"/>
      <c r="MF32" s="782"/>
      <c r="MG32" s="782"/>
      <c r="MH32" s="782"/>
      <c r="MI32" s="782"/>
      <c r="MJ32" s="782"/>
      <c r="MK32" s="782"/>
      <c r="ML32" s="782"/>
      <c r="MM32" s="782"/>
      <c r="MN32" s="782"/>
      <c r="MO32" s="782"/>
      <c r="MP32" s="782"/>
      <c r="MQ32" s="782"/>
      <c r="MR32" s="782"/>
      <c r="MS32" s="782"/>
      <c r="MT32" s="782"/>
      <c r="MU32" s="782"/>
      <c r="MV32" s="782"/>
      <c r="MW32" s="782"/>
      <c r="MX32" s="782"/>
      <c r="MY32" s="782"/>
      <c r="MZ32" s="782"/>
      <c r="NA32" s="782"/>
      <c r="NB32" s="782"/>
      <c r="NC32" s="782"/>
      <c r="ND32" s="782"/>
      <c r="NE32" s="782"/>
      <c r="NF32" s="782"/>
      <c r="NG32" s="782"/>
      <c r="NH32" s="782"/>
      <c r="NI32" s="782"/>
      <c r="NJ32" s="782"/>
      <c r="NK32" s="782"/>
      <c r="NL32" s="782"/>
      <c r="NM32" s="782"/>
      <c r="NN32" s="782"/>
      <c r="NO32" s="782"/>
      <c r="NP32" s="782"/>
      <c r="NQ32" s="782"/>
      <c r="NR32" s="782"/>
      <c r="NS32" s="782"/>
      <c r="NT32" s="782"/>
      <c r="NU32" s="782"/>
      <c r="NV32" s="782"/>
      <c r="NW32" s="782"/>
      <c r="NX32" s="782"/>
      <c r="NY32" s="782"/>
      <c r="NZ32" s="782"/>
      <c r="OA32" s="782"/>
      <c r="OB32" s="782"/>
      <c r="OC32" s="782"/>
      <c r="OD32" s="782"/>
      <c r="OE32" s="782"/>
      <c r="OF32" s="782"/>
      <c r="OG32" s="782"/>
      <c r="OH32" s="782"/>
      <c r="OI32" s="782"/>
      <c r="OJ32" s="782"/>
      <c r="OK32" s="782"/>
      <c r="OL32" s="782"/>
      <c r="OM32" s="782"/>
      <c r="ON32" s="782"/>
      <c r="OO32" s="782"/>
      <c r="OP32" s="782"/>
      <c r="OQ32" s="782"/>
      <c r="OR32" s="782"/>
      <c r="OS32" s="782"/>
      <c r="OT32" s="782"/>
      <c r="OU32" s="782"/>
      <c r="OV32" s="782"/>
      <c r="OW32" s="782"/>
      <c r="OX32" s="782"/>
      <c r="OY32" s="782"/>
      <c r="OZ32" s="782"/>
      <c r="PA32" s="782"/>
      <c r="PB32" s="782"/>
      <c r="PC32" s="782"/>
      <c r="PD32" s="782"/>
      <c r="PE32" s="782"/>
      <c r="PF32" s="782"/>
      <c r="PG32" s="782"/>
      <c r="PH32" s="782"/>
      <c r="PI32" s="782"/>
      <c r="PJ32" s="782"/>
      <c r="PK32" s="782"/>
      <c r="PL32" s="782"/>
      <c r="PM32" s="782"/>
      <c r="PN32" s="782"/>
      <c r="PO32" s="782"/>
    </row>
    <row r="33" spans="1:431" s="143" customFormat="1">
      <c r="A33" s="782"/>
      <c r="B33" s="782"/>
      <c r="C33" s="785"/>
      <c r="D33" s="785"/>
      <c r="E33" s="785"/>
      <c r="F33" s="785"/>
      <c r="G33" s="785"/>
      <c r="H33" s="785"/>
      <c r="I33" s="785"/>
      <c r="J33" s="785"/>
      <c r="K33" s="785"/>
      <c r="L33" s="785"/>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c r="BD33" s="782"/>
      <c r="BE33" s="782"/>
      <c r="BF33" s="782"/>
      <c r="BG33" s="782"/>
      <c r="BH33" s="782"/>
      <c r="BI33" s="782"/>
      <c r="BJ33" s="782"/>
      <c r="BK33" s="782"/>
      <c r="BL33" s="782"/>
      <c r="BM33" s="782"/>
      <c r="BN33" s="782"/>
      <c r="BO33" s="782"/>
      <c r="BP33" s="782"/>
      <c r="BQ33" s="782"/>
      <c r="BR33" s="782"/>
      <c r="BS33" s="782"/>
      <c r="BT33" s="782"/>
      <c r="BU33" s="782"/>
      <c r="BV33" s="782"/>
      <c r="BW33" s="782"/>
      <c r="BX33" s="782"/>
      <c r="BY33" s="782"/>
      <c r="BZ33" s="782"/>
      <c r="CA33" s="782"/>
      <c r="CB33" s="782"/>
      <c r="CC33" s="782"/>
      <c r="CD33" s="782"/>
      <c r="CE33" s="782"/>
      <c r="CF33" s="782"/>
      <c r="CG33" s="782"/>
      <c r="CH33" s="782"/>
      <c r="CI33" s="782"/>
      <c r="CJ33" s="782"/>
      <c r="CK33" s="782"/>
      <c r="CL33" s="782"/>
      <c r="CM33" s="782"/>
      <c r="CN33" s="782"/>
      <c r="CO33" s="782"/>
      <c r="CP33" s="782"/>
      <c r="CQ33" s="782"/>
      <c r="CR33" s="782"/>
      <c r="CS33" s="782"/>
      <c r="CT33" s="782"/>
      <c r="CU33" s="782"/>
      <c r="CV33" s="782"/>
      <c r="CW33" s="782"/>
      <c r="CX33" s="782"/>
      <c r="CY33" s="782"/>
      <c r="CZ33" s="782"/>
      <c r="DA33" s="782"/>
      <c r="DB33" s="782"/>
      <c r="DC33" s="782"/>
      <c r="DD33" s="782"/>
      <c r="DE33" s="782"/>
      <c r="DF33" s="782"/>
      <c r="DG33" s="782"/>
      <c r="DH33" s="782"/>
      <c r="DI33" s="782"/>
      <c r="DJ33" s="782"/>
      <c r="DK33" s="782"/>
      <c r="DL33" s="782"/>
      <c r="DM33" s="782"/>
      <c r="DN33" s="782"/>
      <c r="DO33" s="782"/>
      <c r="DP33" s="782"/>
      <c r="DQ33" s="782"/>
      <c r="DR33" s="782"/>
      <c r="DS33" s="782"/>
      <c r="DT33" s="782"/>
      <c r="DU33" s="782"/>
      <c r="DV33" s="782"/>
      <c r="DW33" s="782"/>
      <c r="DX33" s="782"/>
      <c r="DY33" s="782"/>
      <c r="DZ33" s="782"/>
      <c r="EA33" s="782"/>
      <c r="EB33" s="782"/>
      <c r="EC33" s="782"/>
      <c r="ED33" s="782"/>
      <c r="EE33" s="782"/>
      <c r="EF33" s="782"/>
      <c r="EG33" s="782"/>
      <c r="EH33" s="782"/>
      <c r="EI33" s="782"/>
      <c r="EJ33" s="782"/>
      <c r="EK33" s="782"/>
      <c r="EL33" s="782"/>
      <c r="EM33" s="782"/>
      <c r="EN33" s="782"/>
      <c r="EO33" s="782"/>
      <c r="EP33" s="782"/>
      <c r="EQ33" s="782"/>
      <c r="ER33" s="782"/>
      <c r="ES33" s="782"/>
      <c r="ET33" s="782"/>
      <c r="EU33" s="782"/>
      <c r="EV33" s="782"/>
      <c r="EW33" s="782"/>
      <c r="EX33" s="782"/>
      <c r="EY33" s="782"/>
      <c r="EZ33" s="782"/>
      <c r="FA33" s="782"/>
      <c r="FB33" s="782"/>
      <c r="FC33" s="782"/>
      <c r="FD33" s="782"/>
      <c r="FE33" s="782"/>
      <c r="FF33" s="782"/>
      <c r="FG33" s="782"/>
      <c r="FH33" s="782"/>
      <c r="FI33" s="782"/>
      <c r="FJ33" s="782"/>
      <c r="FK33" s="782"/>
      <c r="FL33" s="782"/>
      <c r="FM33" s="782"/>
      <c r="FN33" s="782"/>
      <c r="FO33" s="782"/>
      <c r="FP33" s="782"/>
      <c r="FQ33" s="782"/>
      <c r="FR33" s="782"/>
      <c r="FS33" s="782"/>
      <c r="FT33" s="782"/>
      <c r="FU33" s="782"/>
      <c r="FV33" s="782"/>
      <c r="FW33" s="782"/>
      <c r="FX33" s="782"/>
      <c r="FY33" s="782"/>
      <c r="FZ33" s="782"/>
      <c r="GA33" s="782"/>
      <c r="GB33" s="782"/>
      <c r="GC33" s="782"/>
      <c r="GD33" s="782"/>
      <c r="GE33" s="782"/>
      <c r="GF33" s="782"/>
      <c r="GG33" s="782"/>
      <c r="GH33" s="782"/>
      <c r="GI33" s="782"/>
      <c r="GJ33" s="782"/>
      <c r="GK33" s="782"/>
      <c r="GL33" s="782"/>
      <c r="GM33" s="782"/>
      <c r="GN33" s="782"/>
      <c r="GO33" s="782"/>
      <c r="GP33" s="782"/>
      <c r="GQ33" s="782"/>
      <c r="GR33" s="782"/>
      <c r="GS33" s="782"/>
      <c r="GT33" s="782"/>
      <c r="GU33" s="782"/>
      <c r="GV33" s="782"/>
      <c r="GW33" s="782"/>
      <c r="GX33" s="782"/>
      <c r="GY33" s="782"/>
      <c r="GZ33" s="782"/>
      <c r="HA33" s="782"/>
      <c r="HB33" s="782"/>
      <c r="HC33" s="782"/>
      <c r="HD33" s="782"/>
      <c r="HE33" s="782"/>
      <c r="HF33" s="782"/>
      <c r="HG33" s="782"/>
      <c r="HH33" s="782"/>
      <c r="HI33" s="782"/>
      <c r="HJ33" s="782"/>
      <c r="HK33" s="782"/>
      <c r="HL33" s="782"/>
      <c r="HM33" s="782"/>
      <c r="HN33" s="782"/>
      <c r="HO33" s="782"/>
      <c r="HP33" s="782"/>
      <c r="HQ33" s="782"/>
      <c r="HR33" s="782"/>
      <c r="HS33" s="782"/>
      <c r="HT33" s="782"/>
      <c r="HU33" s="782"/>
      <c r="HV33" s="782"/>
      <c r="HW33" s="782"/>
      <c r="HX33" s="782"/>
      <c r="HY33" s="782"/>
      <c r="HZ33" s="782"/>
      <c r="IA33" s="782"/>
      <c r="IB33" s="782"/>
      <c r="IC33" s="782"/>
      <c r="ID33" s="782"/>
      <c r="IE33" s="782"/>
      <c r="IF33" s="782"/>
      <c r="IG33" s="782"/>
      <c r="IH33" s="782"/>
      <c r="II33" s="782"/>
      <c r="IJ33" s="782"/>
      <c r="IK33" s="782"/>
      <c r="IL33" s="782"/>
      <c r="IM33" s="782"/>
      <c r="IN33" s="782"/>
      <c r="IO33" s="782"/>
      <c r="IP33" s="782"/>
      <c r="IQ33" s="782"/>
      <c r="IR33" s="782"/>
      <c r="IS33" s="782"/>
      <c r="IT33" s="782"/>
      <c r="IU33" s="782"/>
      <c r="IV33" s="782"/>
      <c r="IW33" s="782"/>
      <c r="IX33" s="782"/>
      <c r="IY33" s="782"/>
      <c r="IZ33" s="782"/>
      <c r="JA33" s="782"/>
      <c r="JB33" s="782"/>
      <c r="JC33" s="782"/>
      <c r="JD33" s="782"/>
      <c r="JE33" s="782"/>
      <c r="JF33" s="782"/>
      <c r="JG33" s="782"/>
      <c r="JH33" s="782"/>
      <c r="JI33" s="782"/>
      <c r="JJ33" s="782"/>
      <c r="JK33" s="782"/>
      <c r="JL33" s="782"/>
      <c r="JM33" s="782"/>
      <c r="JN33" s="782"/>
      <c r="JO33" s="782"/>
      <c r="JP33" s="782"/>
      <c r="JQ33" s="782"/>
      <c r="JR33" s="782"/>
      <c r="JS33" s="782"/>
      <c r="JT33" s="782"/>
      <c r="JU33" s="782"/>
      <c r="JV33" s="782"/>
      <c r="JW33" s="782"/>
      <c r="JX33" s="782"/>
      <c r="JY33" s="782"/>
      <c r="JZ33" s="782"/>
      <c r="KA33" s="782"/>
      <c r="KB33" s="782"/>
      <c r="KC33" s="782"/>
      <c r="KD33" s="782"/>
      <c r="KE33" s="782"/>
      <c r="KF33" s="782"/>
      <c r="KG33" s="782"/>
      <c r="KH33" s="782"/>
      <c r="KI33" s="782"/>
      <c r="KJ33" s="782"/>
      <c r="KK33" s="782"/>
      <c r="KL33" s="782"/>
      <c r="KM33" s="782"/>
      <c r="KN33" s="782"/>
      <c r="KO33" s="782"/>
      <c r="KP33" s="782"/>
      <c r="KQ33" s="782"/>
      <c r="KR33" s="782"/>
      <c r="KS33" s="782"/>
      <c r="KT33" s="782"/>
      <c r="KU33" s="782"/>
      <c r="KV33" s="782"/>
      <c r="KW33" s="782"/>
      <c r="KX33" s="782"/>
      <c r="KY33" s="782"/>
      <c r="KZ33" s="782"/>
      <c r="LA33" s="782"/>
      <c r="LB33" s="782"/>
      <c r="LC33" s="782"/>
      <c r="LD33" s="782"/>
      <c r="LE33" s="782"/>
      <c r="LF33" s="782"/>
      <c r="LG33" s="782"/>
      <c r="LH33" s="782"/>
      <c r="LI33" s="782"/>
      <c r="LJ33" s="782"/>
      <c r="LK33" s="782"/>
      <c r="LL33" s="782"/>
      <c r="LM33" s="782"/>
      <c r="LN33" s="782"/>
      <c r="LO33" s="782"/>
      <c r="LP33" s="782"/>
      <c r="LQ33" s="782"/>
      <c r="LR33" s="782"/>
      <c r="LS33" s="782"/>
      <c r="LT33" s="782"/>
      <c r="LU33" s="782"/>
      <c r="LV33" s="782"/>
      <c r="LW33" s="782"/>
      <c r="LX33" s="782"/>
      <c r="LY33" s="782"/>
      <c r="LZ33" s="782"/>
      <c r="MA33" s="782"/>
      <c r="MB33" s="782"/>
      <c r="MC33" s="782"/>
      <c r="MD33" s="782"/>
      <c r="ME33" s="782"/>
      <c r="MF33" s="782"/>
      <c r="MG33" s="782"/>
      <c r="MH33" s="782"/>
      <c r="MI33" s="782"/>
      <c r="MJ33" s="782"/>
      <c r="MK33" s="782"/>
      <c r="ML33" s="782"/>
      <c r="MM33" s="782"/>
      <c r="MN33" s="782"/>
      <c r="MO33" s="782"/>
      <c r="MP33" s="782"/>
      <c r="MQ33" s="782"/>
      <c r="MR33" s="782"/>
      <c r="MS33" s="782"/>
      <c r="MT33" s="782"/>
      <c r="MU33" s="782"/>
      <c r="MV33" s="782"/>
      <c r="MW33" s="782"/>
      <c r="MX33" s="782"/>
      <c r="MY33" s="782"/>
      <c r="MZ33" s="782"/>
      <c r="NA33" s="782"/>
      <c r="NB33" s="782"/>
      <c r="NC33" s="782"/>
      <c r="ND33" s="782"/>
      <c r="NE33" s="782"/>
      <c r="NF33" s="782"/>
      <c r="NG33" s="782"/>
      <c r="NH33" s="782"/>
      <c r="NI33" s="782"/>
      <c r="NJ33" s="782"/>
      <c r="NK33" s="782"/>
      <c r="NL33" s="782"/>
      <c r="NM33" s="782"/>
      <c r="NN33" s="782"/>
      <c r="NO33" s="782"/>
      <c r="NP33" s="782"/>
      <c r="NQ33" s="782"/>
      <c r="NR33" s="782"/>
      <c r="NS33" s="782"/>
      <c r="NT33" s="782"/>
      <c r="NU33" s="782"/>
      <c r="NV33" s="782"/>
      <c r="NW33" s="782"/>
      <c r="NX33" s="782"/>
      <c r="NY33" s="782"/>
      <c r="NZ33" s="782"/>
      <c r="OA33" s="782"/>
      <c r="OB33" s="782"/>
      <c r="OC33" s="782"/>
      <c r="OD33" s="782"/>
      <c r="OE33" s="782"/>
      <c r="OF33" s="782"/>
      <c r="OG33" s="782"/>
      <c r="OH33" s="782"/>
      <c r="OI33" s="782"/>
      <c r="OJ33" s="782"/>
      <c r="OK33" s="782"/>
      <c r="OL33" s="782"/>
      <c r="OM33" s="782"/>
      <c r="ON33" s="782"/>
      <c r="OO33" s="782"/>
      <c r="OP33" s="782"/>
      <c r="OQ33" s="782"/>
      <c r="OR33" s="782"/>
      <c r="OS33" s="782"/>
      <c r="OT33" s="782"/>
      <c r="OU33" s="782"/>
      <c r="OV33" s="782"/>
      <c r="OW33" s="782"/>
      <c r="OX33" s="782"/>
      <c r="OY33" s="782"/>
      <c r="OZ33" s="782"/>
      <c r="PA33" s="782"/>
      <c r="PB33" s="782"/>
      <c r="PC33" s="782"/>
      <c r="PD33" s="782"/>
      <c r="PE33" s="782"/>
      <c r="PF33" s="782"/>
      <c r="PG33" s="782"/>
      <c r="PH33" s="782"/>
      <c r="PI33" s="782"/>
      <c r="PJ33" s="782"/>
      <c r="PK33" s="782"/>
      <c r="PL33" s="782"/>
      <c r="PM33" s="782"/>
      <c r="PN33" s="782"/>
      <c r="PO33" s="782"/>
    </row>
    <row r="34" spans="1:431" s="143" customFormat="1">
      <c r="A34" s="782"/>
      <c r="B34" s="782"/>
      <c r="C34" s="785"/>
      <c r="D34" s="785"/>
      <c r="E34" s="785"/>
      <c r="F34" s="785"/>
      <c r="G34" s="785"/>
      <c r="H34" s="785"/>
      <c r="I34" s="785"/>
      <c r="J34" s="785"/>
      <c r="K34" s="785"/>
      <c r="L34" s="785"/>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2"/>
      <c r="BC34" s="782"/>
      <c r="BD34" s="782"/>
      <c r="BE34" s="782"/>
      <c r="BF34" s="782"/>
      <c r="BG34" s="782"/>
      <c r="BH34" s="782"/>
      <c r="BI34" s="782"/>
      <c r="BJ34" s="782"/>
      <c r="BK34" s="782"/>
      <c r="BL34" s="782"/>
      <c r="BM34" s="782"/>
      <c r="BN34" s="782"/>
      <c r="BO34" s="782"/>
      <c r="BP34" s="782"/>
      <c r="BQ34" s="782"/>
      <c r="BR34" s="782"/>
      <c r="BS34" s="782"/>
      <c r="BT34" s="782"/>
      <c r="BU34" s="782"/>
      <c r="BV34" s="782"/>
      <c r="BW34" s="782"/>
      <c r="BX34" s="782"/>
      <c r="BY34" s="782"/>
      <c r="BZ34" s="782"/>
      <c r="CA34" s="782"/>
      <c r="CB34" s="782"/>
      <c r="CC34" s="782"/>
      <c r="CD34" s="782"/>
      <c r="CE34" s="782"/>
      <c r="CF34" s="782"/>
      <c r="CG34" s="782"/>
      <c r="CH34" s="782"/>
      <c r="CI34" s="782"/>
      <c r="CJ34" s="782"/>
      <c r="CK34" s="782"/>
      <c r="CL34" s="782"/>
      <c r="CM34" s="782"/>
      <c r="CN34" s="782"/>
      <c r="CO34" s="782"/>
      <c r="CP34" s="782"/>
      <c r="CQ34" s="782"/>
      <c r="CR34" s="782"/>
      <c r="CS34" s="782"/>
      <c r="CT34" s="782"/>
      <c r="CU34" s="782"/>
      <c r="CV34" s="782"/>
      <c r="CW34" s="782"/>
      <c r="CX34" s="782"/>
      <c r="CY34" s="782"/>
      <c r="CZ34" s="782"/>
      <c r="DA34" s="782"/>
      <c r="DB34" s="782"/>
      <c r="DC34" s="782"/>
      <c r="DD34" s="782"/>
      <c r="DE34" s="782"/>
      <c r="DF34" s="782"/>
      <c r="DG34" s="782"/>
      <c r="DH34" s="782"/>
      <c r="DI34" s="782"/>
      <c r="DJ34" s="782"/>
      <c r="DK34" s="782"/>
      <c r="DL34" s="782"/>
      <c r="DM34" s="782"/>
      <c r="DN34" s="782"/>
      <c r="DO34" s="782"/>
      <c r="DP34" s="782"/>
      <c r="DQ34" s="782"/>
      <c r="DR34" s="782"/>
      <c r="DS34" s="782"/>
      <c r="DT34" s="782"/>
      <c r="DU34" s="782"/>
      <c r="DV34" s="782"/>
      <c r="DW34" s="782"/>
      <c r="DX34" s="782"/>
      <c r="DY34" s="782"/>
      <c r="DZ34" s="782"/>
      <c r="EA34" s="782"/>
      <c r="EB34" s="782"/>
      <c r="EC34" s="782"/>
      <c r="ED34" s="782"/>
      <c r="EE34" s="782"/>
      <c r="EF34" s="782"/>
      <c r="EG34" s="782"/>
      <c r="EH34" s="782"/>
      <c r="EI34" s="782"/>
      <c r="EJ34" s="782"/>
      <c r="EK34" s="782"/>
      <c r="EL34" s="782"/>
      <c r="EM34" s="782"/>
      <c r="EN34" s="782"/>
      <c r="EO34" s="782"/>
      <c r="EP34" s="782"/>
      <c r="EQ34" s="782"/>
      <c r="ER34" s="782"/>
      <c r="ES34" s="782"/>
      <c r="ET34" s="782"/>
      <c r="EU34" s="782"/>
      <c r="EV34" s="782"/>
      <c r="EW34" s="782"/>
      <c r="EX34" s="782"/>
      <c r="EY34" s="782"/>
      <c r="EZ34" s="782"/>
      <c r="FA34" s="782"/>
      <c r="FB34" s="782"/>
      <c r="FC34" s="782"/>
      <c r="FD34" s="782"/>
      <c r="FE34" s="782"/>
      <c r="FF34" s="782"/>
      <c r="FG34" s="782"/>
      <c r="FH34" s="782"/>
      <c r="FI34" s="782"/>
      <c r="FJ34" s="782"/>
      <c r="FK34" s="782"/>
      <c r="FL34" s="782"/>
      <c r="FM34" s="782"/>
      <c r="FN34" s="782"/>
      <c r="FO34" s="782"/>
      <c r="FP34" s="782"/>
      <c r="FQ34" s="782"/>
      <c r="FR34" s="782"/>
      <c r="FS34" s="782"/>
      <c r="FT34" s="782"/>
      <c r="FU34" s="782"/>
      <c r="FV34" s="782"/>
      <c r="FW34" s="782"/>
      <c r="FX34" s="782"/>
      <c r="FY34" s="782"/>
      <c r="FZ34" s="782"/>
      <c r="GA34" s="782"/>
      <c r="GB34" s="782"/>
      <c r="GC34" s="782"/>
      <c r="GD34" s="782"/>
      <c r="GE34" s="782"/>
      <c r="GF34" s="782"/>
      <c r="GG34" s="782"/>
      <c r="GH34" s="782"/>
      <c r="GI34" s="782"/>
      <c r="GJ34" s="782"/>
      <c r="GK34" s="782"/>
      <c r="GL34" s="782"/>
      <c r="GM34" s="782"/>
      <c r="GN34" s="782"/>
      <c r="GO34" s="782"/>
      <c r="GP34" s="782"/>
      <c r="GQ34" s="782"/>
      <c r="GR34" s="782"/>
      <c r="GS34" s="782"/>
      <c r="GT34" s="782"/>
      <c r="GU34" s="782"/>
      <c r="GV34" s="782"/>
      <c r="GW34" s="782"/>
      <c r="GX34" s="782"/>
      <c r="GY34" s="782"/>
      <c r="GZ34" s="782"/>
      <c r="HA34" s="782"/>
      <c r="HB34" s="782"/>
      <c r="HC34" s="782"/>
      <c r="HD34" s="782"/>
      <c r="HE34" s="782"/>
      <c r="HF34" s="782"/>
      <c r="HG34" s="782"/>
      <c r="HH34" s="782"/>
      <c r="HI34" s="782"/>
      <c r="HJ34" s="782"/>
      <c r="HK34" s="782"/>
      <c r="HL34" s="782"/>
      <c r="HM34" s="782"/>
      <c r="HN34" s="782"/>
      <c r="HO34" s="782"/>
      <c r="HP34" s="782"/>
      <c r="HQ34" s="782"/>
      <c r="HR34" s="782"/>
      <c r="HS34" s="782"/>
      <c r="HT34" s="782"/>
      <c r="HU34" s="782"/>
      <c r="HV34" s="782"/>
      <c r="HW34" s="782"/>
      <c r="HX34" s="782"/>
      <c r="HY34" s="782"/>
      <c r="HZ34" s="782"/>
      <c r="IA34" s="782"/>
      <c r="IB34" s="782"/>
      <c r="IC34" s="782"/>
      <c r="ID34" s="782"/>
      <c r="IE34" s="782"/>
      <c r="IF34" s="782"/>
      <c r="IG34" s="782"/>
      <c r="IH34" s="782"/>
      <c r="II34" s="782"/>
      <c r="IJ34" s="782"/>
      <c r="IK34" s="782"/>
      <c r="IL34" s="782"/>
      <c r="IM34" s="782"/>
      <c r="IN34" s="782"/>
      <c r="IO34" s="782"/>
      <c r="IP34" s="782"/>
      <c r="IQ34" s="782"/>
      <c r="IR34" s="782"/>
      <c r="IS34" s="782"/>
      <c r="IT34" s="782"/>
      <c r="IU34" s="782"/>
      <c r="IV34" s="782"/>
      <c r="IW34" s="782"/>
      <c r="IX34" s="782"/>
      <c r="IY34" s="782"/>
      <c r="IZ34" s="782"/>
      <c r="JA34" s="782"/>
      <c r="JB34" s="782"/>
      <c r="JC34" s="782"/>
      <c r="JD34" s="782"/>
      <c r="JE34" s="782"/>
      <c r="JF34" s="782"/>
      <c r="JG34" s="782"/>
      <c r="JH34" s="782"/>
      <c r="JI34" s="782"/>
      <c r="JJ34" s="782"/>
      <c r="JK34" s="782"/>
      <c r="JL34" s="782"/>
      <c r="JM34" s="782"/>
      <c r="JN34" s="782"/>
      <c r="JO34" s="782"/>
      <c r="JP34" s="782"/>
      <c r="JQ34" s="782"/>
      <c r="JR34" s="782"/>
      <c r="JS34" s="782"/>
      <c r="JT34" s="782"/>
      <c r="JU34" s="782"/>
      <c r="JV34" s="782"/>
      <c r="JW34" s="782"/>
      <c r="JX34" s="782"/>
      <c r="JY34" s="782"/>
      <c r="JZ34" s="782"/>
      <c r="KA34" s="782"/>
      <c r="KB34" s="782"/>
      <c r="KC34" s="782"/>
      <c r="KD34" s="782"/>
      <c r="KE34" s="782"/>
      <c r="KF34" s="782"/>
      <c r="KG34" s="782"/>
      <c r="KH34" s="782"/>
      <c r="KI34" s="782"/>
      <c r="KJ34" s="782"/>
      <c r="KK34" s="782"/>
      <c r="KL34" s="782"/>
      <c r="KM34" s="782"/>
      <c r="KN34" s="782"/>
      <c r="KO34" s="782"/>
      <c r="KP34" s="782"/>
      <c r="KQ34" s="782"/>
      <c r="KR34" s="782"/>
      <c r="KS34" s="782"/>
      <c r="KT34" s="782"/>
      <c r="KU34" s="782"/>
      <c r="KV34" s="782"/>
      <c r="KW34" s="782"/>
      <c r="KX34" s="782"/>
      <c r="KY34" s="782"/>
      <c r="KZ34" s="782"/>
      <c r="LA34" s="782"/>
      <c r="LB34" s="782"/>
      <c r="LC34" s="782"/>
      <c r="LD34" s="782"/>
      <c r="LE34" s="782"/>
      <c r="LF34" s="782"/>
      <c r="LG34" s="782"/>
      <c r="LH34" s="782"/>
      <c r="LI34" s="782"/>
      <c r="LJ34" s="782"/>
      <c r="LK34" s="782"/>
      <c r="LL34" s="782"/>
      <c r="LM34" s="782"/>
      <c r="LN34" s="782"/>
      <c r="LO34" s="782"/>
      <c r="LP34" s="782"/>
      <c r="LQ34" s="782"/>
      <c r="LR34" s="782"/>
      <c r="LS34" s="782"/>
      <c r="LT34" s="782"/>
      <c r="LU34" s="782"/>
      <c r="LV34" s="782"/>
      <c r="LW34" s="782"/>
      <c r="LX34" s="782"/>
      <c r="LY34" s="782"/>
      <c r="LZ34" s="782"/>
      <c r="MA34" s="782"/>
      <c r="MB34" s="782"/>
      <c r="MC34" s="782"/>
      <c r="MD34" s="782"/>
      <c r="ME34" s="782"/>
      <c r="MF34" s="782"/>
      <c r="MG34" s="782"/>
      <c r="MH34" s="782"/>
      <c r="MI34" s="782"/>
      <c r="MJ34" s="782"/>
      <c r="MK34" s="782"/>
      <c r="ML34" s="782"/>
      <c r="MM34" s="782"/>
      <c r="MN34" s="782"/>
      <c r="MO34" s="782"/>
      <c r="MP34" s="782"/>
      <c r="MQ34" s="782"/>
      <c r="MR34" s="782"/>
      <c r="MS34" s="782"/>
      <c r="MT34" s="782"/>
      <c r="MU34" s="782"/>
      <c r="MV34" s="782"/>
      <c r="MW34" s="782"/>
      <c r="MX34" s="782"/>
      <c r="MY34" s="782"/>
      <c r="MZ34" s="782"/>
      <c r="NA34" s="782"/>
      <c r="NB34" s="782"/>
      <c r="NC34" s="782"/>
      <c r="ND34" s="782"/>
      <c r="NE34" s="782"/>
      <c r="NF34" s="782"/>
      <c r="NG34" s="782"/>
      <c r="NH34" s="782"/>
      <c r="NI34" s="782"/>
      <c r="NJ34" s="782"/>
      <c r="NK34" s="782"/>
      <c r="NL34" s="782"/>
      <c r="NM34" s="782"/>
      <c r="NN34" s="782"/>
      <c r="NO34" s="782"/>
      <c r="NP34" s="782"/>
      <c r="NQ34" s="782"/>
      <c r="NR34" s="782"/>
      <c r="NS34" s="782"/>
      <c r="NT34" s="782"/>
      <c r="NU34" s="782"/>
      <c r="NV34" s="782"/>
      <c r="NW34" s="782"/>
      <c r="NX34" s="782"/>
      <c r="NY34" s="782"/>
      <c r="NZ34" s="782"/>
      <c r="OA34" s="782"/>
      <c r="OB34" s="782"/>
      <c r="OC34" s="782"/>
      <c r="OD34" s="782"/>
      <c r="OE34" s="782"/>
      <c r="OF34" s="782"/>
      <c r="OG34" s="782"/>
      <c r="OH34" s="782"/>
      <c r="OI34" s="782"/>
      <c r="OJ34" s="782"/>
      <c r="OK34" s="782"/>
      <c r="OL34" s="782"/>
      <c r="OM34" s="782"/>
      <c r="ON34" s="782"/>
      <c r="OO34" s="782"/>
      <c r="OP34" s="782"/>
      <c r="OQ34" s="782"/>
      <c r="OR34" s="782"/>
      <c r="OS34" s="782"/>
      <c r="OT34" s="782"/>
      <c r="OU34" s="782"/>
      <c r="OV34" s="782"/>
      <c r="OW34" s="782"/>
      <c r="OX34" s="782"/>
      <c r="OY34" s="782"/>
      <c r="OZ34" s="782"/>
      <c r="PA34" s="782"/>
      <c r="PB34" s="782"/>
      <c r="PC34" s="782"/>
      <c r="PD34" s="782"/>
      <c r="PE34" s="782"/>
      <c r="PF34" s="782"/>
      <c r="PG34" s="782"/>
      <c r="PH34" s="782"/>
      <c r="PI34" s="782"/>
      <c r="PJ34" s="782"/>
      <c r="PK34" s="782"/>
      <c r="PL34" s="782"/>
      <c r="PM34" s="782"/>
      <c r="PN34" s="782"/>
      <c r="PO34" s="782"/>
    </row>
    <row r="35" spans="1:431" s="143" customFormat="1">
      <c r="A35" s="782"/>
      <c r="B35" s="782"/>
      <c r="C35" s="785"/>
      <c r="D35" s="785"/>
      <c r="E35" s="785"/>
      <c r="F35" s="785"/>
      <c r="G35" s="785"/>
      <c r="H35" s="785"/>
      <c r="I35" s="785"/>
      <c r="J35" s="785"/>
      <c r="K35" s="785"/>
      <c r="L35" s="785"/>
      <c r="M35" s="782"/>
      <c r="N35" s="782"/>
      <c r="O35" s="782"/>
      <c r="P35" s="782"/>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c r="BD35" s="782"/>
      <c r="BE35" s="782"/>
      <c r="BF35" s="782"/>
      <c r="BG35" s="782"/>
      <c r="BH35" s="782"/>
      <c r="BI35" s="782"/>
      <c r="BJ35" s="782"/>
      <c r="BK35" s="782"/>
      <c r="BL35" s="782"/>
      <c r="BM35" s="782"/>
      <c r="BN35" s="782"/>
      <c r="BO35" s="782"/>
      <c r="BP35" s="782"/>
      <c r="BQ35" s="782"/>
      <c r="BR35" s="782"/>
      <c r="BS35" s="782"/>
      <c r="BT35" s="782"/>
      <c r="BU35" s="782"/>
      <c r="BV35" s="782"/>
      <c r="BW35" s="782"/>
      <c r="BX35" s="782"/>
      <c r="BY35" s="782"/>
      <c r="BZ35" s="782"/>
      <c r="CA35" s="782"/>
      <c r="CB35" s="782"/>
      <c r="CC35" s="782"/>
      <c r="CD35" s="782"/>
      <c r="CE35" s="782"/>
      <c r="CF35" s="782"/>
      <c r="CG35" s="782"/>
      <c r="CH35" s="782"/>
      <c r="CI35" s="782"/>
      <c r="CJ35" s="782"/>
      <c r="CK35" s="782"/>
      <c r="CL35" s="782"/>
      <c r="CM35" s="782"/>
      <c r="CN35" s="782"/>
      <c r="CO35" s="782"/>
      <c r="CP35" s="782"/>
      <c r="CQ35" s="782"/>
      <c r="CR35" s="782"/>
      <c r="CS35" s="782"/>
      <c r="CT35" s="782"/>
      <c r="CU35" s="782"/>
      <c r="CV35" s="782"/>
      <c r="CW35" s="782"/>
      <c r="CX35" s="782"/>
      <c r="CY35" s="782"/>
      <c r="CZ35" s="782"/>
      <c r="DA35" s="782"/>
      <c r="DB35" s="782"/>
      <c r="DC35" s="782"/>
      <c r="DD35" s="782"/>
      <c r="DE35" s="782"/>
      <c r="DF35" s="782"/>
      <c r="DG35" s="782"/>
      <c r="DH35" s="782"/>
      <c r="DI35" s="782"/>
      <c r="DJ35" s="782"/>
      <c r="DK35" s="782"/>
      <c r="DL35" s="782"/>
      <c r="DM35" s="782"/>
      <c r="DN35" s="782"/>
      <c r="DO35" s="782"/>
      <c r="DP35" s="782"/>
      <c r="DQ35" s="782"/>
      <c r="DR35" s="782"/>
      <c r="DS35" s="782"/>
      <c r="DT35" s="782"/>
      <c r="DU35" s="782"/>
      <c r="DV35" s="782"/>
      <c r="DW35" s="782"/>
      <c r="DX35" s="782"/>
      <c r="DY35" s="782"/>
      <c r="DZ35" s="782"/>
      <c r="EA35" s="782"/>
      <c r="EB35" s="782"/>
      <c r="EC35" s="782"/>
      <c r="ED35" s="782"/>
      <c r="EE35" s="782"/>
      <c r="EF35" s="782"/>
      <c r="EG35" s="782"/>
      <c r="EH35" s="782"/>
      <c r="EI35" s="782"/>
      <c r="EJ35" s="782"/>
      <c r="EK35" s="782"/>
      <c r="EL35" s="782"/>
      <c r="EM35" s="782"/>
      <c r="EN35" s="782"/>
      <c r="EO35" s="782"/>
      <c r="EP35" s="782"/>
      <c r="EQ35" s="782"/>
      <c r="ER35" s="782"/>
      <c r="ES35" s="782"/>
      <c r="ET35" s="782"/>
      <c r="EU35" s="782"/>
      <c r="EV35" s="782"/>
      <c r="EW35" s="782"/>
      <c r="EX35" s="782"/>
      <c r="EY35" s="782"/>
      <c r="EZ35" s="782"/>
      <c r="FA35" s="782"/>
      <c r="FB35" s="782"/>
      <c r="FC35" s="782"/>
      <c r="FD35" s="782"/>
      <c r="FE35" s="782"/>
      <c r="FF35" s="782"/>
      <c r="FG35" s="782"/>
      <c r="FH35" s="782"/>
      <c r="FI35" s="782"/>
      <c r="FJ35" s="782"/>
      <c r="FK35" s="782"/>
      <c r="FL35" s="782"/>
      <c r="FM35" s="782"/>
      <c r="FN35" s="782"/>
      <c r="FO35" s="782"/>
      <c r="FP35" s="782"/>
      <c r="FQ35" s="782"/>
      <c r="FR35" s="782"/>
      <c r="FS35" s="782"/>
      <c r="FT35" s="782"/>
      <c r="FU35" s="782"/>
      <c r="FV35" s="782"/>
      <c r="FW35" s="782"/>
      <c r="FX35" s="782"/>
      <c r="FY35" s="782"/>
      <c r="FZ35" s="782"/>
      <c r="GA35" s="782"/>
      <c r="GB35" s="782"/>
      <c r="GC35" s="782"/>
      <c r="GD35" s="782"/>
      <c r="GE35" s="782"/>
      <c r="GF35" s="782"/>
      <c r="GG35" s="782"/>
      <c r="GH35" s="782"/>
      <c r="GI35" s="782"/>
      <c r="GJ35" s="782"/>
      <c r="GK35" s="782"/>
      <c r="GL35" s="782"/>
      <c r="GM35" s="782"/>
      <c r="GN35" s="782"/>
      <c r="GO35" s="782"/>
      <c r="GP35" s="782"/>
      <c r="GQ35" s="782"/>
      <c r="GR35" s="782"/>
      <c r="GS35" s="782"/>
      <c r="GT35" s="782"/>
      <c r="GU35" s="782"/>
      <c r="GV35" s="782"/>
      <c r="GW35" s="782"/>
      <c r="GX35" s="782"/>
      <c r="GY35" s="782"/>
      <c r="GZ35" s="782"/>
      <c r="HA35" s="782"/>
      <c r="HB35" s="782"/>
      <c r="HC35" s="782"/>
      <c r="HD35" s="782"/>
      <c r="HE35" s="782"/>
      <c r="HF35" s="782"/>
      <c r="HG35" s="782"/>
      <c r="HH35" s="782"/>
      <c r="HI35" s="782"/>
      <c r="HJ35" s="782"/>
      <c r="HK35" s="782"/>
      <c r="HL35" s="782"/>
      <c r="HM35" s="782"/>
      <c r="HN35" s="782"/>
      <c r="HO35" s="782"/>
      <c r="HP35" s="782"/>
      <c r="HQ35" s="782"/>
      <c r="HR35" s="782"/>
      <c r="HS35" s="782"/>
      <c r="HT35" s="782"/>
      <c r="HU35" s="782"/>
      <c r="HV35" s="782"/>
      <c r="HW35" s="782"/>
      <c r="HX35" s="782"/>
      <c r="HY35" s="782"/>
      <c r="HZ35" s="782"/>
      <c r="IA35" s="782"/>
      <c r="IB35" s="782"/>
      <c r="IC35" s="782"/>
      <c r="ID35" s="782"/>
      <c r="IE35" s="782"/>
      <c r="IF35" s="782"/>
      <c r="IG35" s="782"/>
      <c r="IH35" s="782"/>
      <c r="II35" s="782"/>
      <c r="IJ35" s="782"/>
      <c r="IK35" s="782"/>
      <c r="IL35" s="782"/>
      <c r="IM35" s="782"/>
      <c r="IN35" s="782"/>
      <c r="IO35" s="782"/>
      <c r="IP35" s="782"/>
      <c r="IQ35" s="782"/>
      <c r="IR35" s="782"/>
      <c r="IS35" s="782"/>
      <c r="IT35" s="782"/>
      <c r="IU35" s="782"/>
      <c r="IV35" s="782"/>
      <c r="IW35" s="782"/>
      <c r="IX35" s="782"/>
      <c r="IY35" s="782"/>
      <c r="IZ35" s="782"/>
      <c r="JA35" s="782"/>
      <c r="JB35" s="782"/>
      <c r="JC35" s="782"/>
      <c r="JD35" s="782"/>
      <c r="JE35" s="782"/>
      <c r="JF35" s="782"/>
      <c r="JG35" s="782"/>
      <c r="JH35" s="782"/>
      <c r="JI35" s="782"/>
      <c r="JJ35" s="782"/>
      <c r="JK35" s="782"/>
      <c r="JL35" s="782"/>
      <c r="JM35" s="782"/>
      <c r="JN35" s="782"/>
      <c r="JO35" s="782"/>
      <c r="JP35" s="782"/>
      <c r="JQ35" s="782"/>
      <c r="JR35" s="782"/>
      <c r="JS35" s="782"/>
      <c r="JT35" s="782"/>
      <c r="JU35" s="782"/>
      <c r="JV35" s="782"/>
      <c r="JW35" s="782"/>
      <c r="JX35" s="782"/>
      <c r="JY35" s="782"/>
      <c r="JZ35" s="782"/>
      <c r="KA35" s="782"/>
      <c r="KB35" s="782"/>
      <c r="KC35" s="782"/>
      <c r="KD35" s="782"/>
      <c r="KE35" s="782"/>
      <c r="KF35" s="782"/>
      <c r="KG35" s="782"/>
      <c r="KH35" s="782"/>
      <c r="KI35" s="782"/>
      <c r="KJ35" s="782"/>
      <c r="KK35" s="782"/>
      <c r="KL35" s="782"/>
      <c r="KM35" s="782"/>
      <c r="KN35" s="782"/>
      <c r="KO35" s="782"/>
      <c r="KP35" s="782"/>
      <c r="KQ35" s="782"/>
      <c r="KR35" s="782"/>
      <c r="KS35" s="782"/>
      <c r="KT35" s="782"/>
      <c r="KU35" s="782"/>
      <c r="KV35" s="782"/>
      <c r="KW35" s="782"/>
      <c r="KX35" s="782"/>
      <c r="KY35" s="782"/>
      <c r="KZ35" s="782"/>
      <c r="LA35" s="782"/>
      <c r="LB35" s="782"/>
      <c r="LC35" s="782"/>
      <c r="LD35" s="782"/>
      <c r="LE35" s="782"/>
      <c r="LF35" s="782"/>
      <c r="LG35" s="782"/>
      <c r="LH35" s="782"/>
      <c r="LI35" s="782"/>
      <c r="LJ35" s="782"/>
      <c r="LK35" s="782"/>
      <c r="LL35" s="782"/>
      <c r="LM35" s="782"/>
      <c r="LN35" s="782"/>
      <c r="LO35" s="782"/>
      <c r="LP35" s="782"/>
      <c r="LQ35" s="782"/>
      <c r="LR35" s="782"/>
      <c r="LS35" s="782"/>
      <c r="LT35" s="782"/>
      <c r="LU35" s="782"/>
      <c r="LV35" s="782"/>
      <c r="LW35" s="782"/>
      <c r="LX35" s="782"/>
      <c r="LY35" s="782"/>
      <c r="LZ35" s="782"/>
      <c r="MA35" s="782"/>
      <c r="MB35" s="782"/>
      <c r="MC35" s="782"/>
      <c r="MD35" s="782"/>
      <c r="ME35" s="782"/>
      <c r="MF35" s="782"/>
      <c r="MG35" s="782"/>
      <c r="MH35" s="782"/>
      <c r="MI35" s="782"/>
      <c r="MJ35" s="782"/>
      <c r="MK35" s="782"/>
      <c r="ML35" s="782"/>
      <c r="MM35" s="782"/>
      <c r="MN35" s="782"/>
      <c r="MO35" s="782"/>
      <c r="MP35" s="782"/>
      <c r="MQ35" s="782"/>
      <c r="MR35" s="782"/>
      <c r="MS35" s="782"/>
      <c r="MT35" s="782"/>
      <c r="MU35" s="782"/>
      <c r="MV35" s="782"/>
      <c r="MW35" s="782"/>
      <c r="MX35" s="782"/>
      <c r="MY35" s="782"/>
      <c r="MZ35" s="782"/>
      <c r="NA35" s="782"/>
      <c r="NB35" s="782"/>
      <c r="NC35" s="782"/>
      <c r="ND35" s="782"/>
      <c r="NE35" s="782"/>
      <c r="NF35" s="782"/>
      <c r="NG35" s="782"/>
      <c r="NH35" s="782"/>
      <c r="NI35" s="782"/>
      <c r="NJ35" s="782"/>
      <c r="NK35" s="782"/>
      <c r="NL35" s="782"/>
      <c r="NM35" s="782"/>
      <c r="NN35" s="782"/>
      <c r="NO35" s="782"/>
      <c r="NP35" s="782"/>
      <c r="NQ35" s="782"/>
      <c r="NR35" s="782"/>
      <c r="NS35" s="782"/>
      <c r="NT35" s="782"/>
      <c r="NU35" s="782"/>
      <c r="NV35" s="782"/>
      <c r="NW35" s="782"/>
      <c r="NX35" s="782"/>
      <c r="NY35" s="782"/>
      <c r="NZ35" s="782"/>
      <c r="OA35" s="782"/>
      <c r="OB35" s="782"/>
      <c r="OC35" s="782"/>
      <c r="OD35" s="782"/>
      <c r="OE35" s="782"/>
      <c r="OF35" s="782"/>
      <c r="OG35" s="782"/>
      <c r="OH35" s="782"/>
      <c r="OI35" s="782"/>
      <c r="OJ35" s="782"/>
      <c r="OK35" s="782"/>
      <c r="OL35" s="782"/>
      <c r="OM35" s="782"/>
      <c r="ON35" s="782"/>
      <c r="OO35" s="782"/>
      <c r="OP35" s="782"/>
      <c r="OQ35" s="782"/>
      <c r="OR35" s="782"/>
      <c r="OS35" s="782"/>
      <c r="OT35" s="782"/>
      <c r="OU35" s="782"/>
      <c r="OV35" s="782"/>
      <c r="OW35" s="782"/>
      <c r="OX35" s="782"/>
      <c r="OY35" s="782"/>
      <c r="OZ35" s="782"/>
      <c r="PA35" s="782"/>
      <c r="PB35" s="782"/>
      <c r="PC35" s="782"/>
      <c r="PD35" s="782"/>
      <c r="PE35" s="782"/>
      <c r="PF35" s="782"/>
      <c r="PG35" s="782"/>
      <c r="PH35" s="782"/>
      <c r="PI35" s="782"/>
      <c r="PJ35" s="782"/>
      <c r="PK35" s="782"/>
      <c r="PL35" s="782"/>
      <c r="PM35" s="782"/>
      <c r="PN35" s="782"/>
      <c r="PO35" s="782"/>
    </row>
    <row r="36" spans="1:431" s="143" customFormat="1">
      <c r="A36" s="782"/>
      <c r="B36" s="782"/>
      <c r="C36" s="785"/>
      <c r="D36" s="785"/>
      <c r="E36" s="785"/>
      <c r="F36" s="785"/>
      <c r="G36" s="785"/>
      <c r="H36" s="785"/>
      <c r="I36" s="785"/>
      <c r="J36" s="785"/>
      <c r="K36" s="785"/>
      <c r="L36" s="785"/>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2"/>
      <c r="CI36" s="782"/>
      <c r="CJ36" s="782"/>
      <c r="CK36" s="782"/>
      <c r="CL36" s="782"/>
      <c r="CM36" s="782"/>
      <c r="CN36" s="782"/>
      <c r="CO36" s="782"/>
      <c r="CP36" s="782"/>
      <c r="CQ36" s="782"/>
      <c r="CR36" s="782"/>
      <c r="CS36" s="782"/>
      <c r="CT36" s="782"/>
      <c r="CU36" s="782"/>
      <c r="CV36" s="782"/>
      <c r="CW36" s="782"/>
      <c r="CX36" s="782"/>
      <c r="CY36" s="782"/>
      <c r="CZ36" s="782"/>
      <c r="DA36" s="782"/>
      <c r="DB36" s="782"/>
      <c r="DC36" s="782"/>
      <c r="DD36" s="782"/>
      <c r="DE36" s="782"/>
      <c r="DF36" s="782"/>
      <c r="DG36" s="782"/>
      <c r="DH36" s="782"/>
      <c r="DI36" s="782"/>
      <c r="DJ36" s="782"/>
      <c r="DK36" s="782"/>
      <c r="DL36" s="782"/>
      <c r="DM36" s="782"/>
      <c r="DN36" s="782"/>
      <c r="DO36" s="782"/>
      <c r="DP36" s="782"/>
      <c r="DQ36" s="782"/>
      <c r="DR36" s="782"/>
      <c r="DS36" s="782"/>
      <c r="DT36" s="782"/>
      <c r="DU36" s="782"/>
      <c r="DV36" s="782"/>
      <c r="DW36" s="782"/>
      <c r="DX36" s="782"/>
      <c r="DY36" s="782"/>
      <c r="DZ36" s="782"/>
      <c r="EA36" s="782"/>
      <c r="EB36" s="782"/>
      <c r="EC36" s="782"/>
      <c r="ED36" s="782"/>
      <c r="EE36" s="782"/>
      <c r="EF36" s="782"/>
      <c r="EG36" s="782"/>
      <c r="EH36" s="782"/>
      <c r="EI36" s="782"/>
      <c r="EJ36" s="782"/>
      <c r="EK36" s="782"/>
      <c r="EL36" s="782"/>
      <c r="EM36" s="782"/>
      <c r="EN36" s="782"/>
      <c r="EO36" s="782"/>
      <c r="EP36" s="782"/>
      <c r="EQ36" s="782"/>
      <c r="ER36" s="782"/>
      <c r="ES36" s="782"/>
      <c r="ET36" s="782"/>
      <c r="EU36" s="782"/>
      <c r="EV36" s="782"/>
      <c r="EW36" s="782"/>
      <c r="EX36" s="782"/>
      <c r="EY36" s="782"/>
      <c r="EZ36" s="782"/>
      <c r="FA36" s="782"/>
      <c r="FB36" s="782"/>
      <c r="FC36" s="782"/>
      <c r="FD36" s="782"/>
      <c r="FE36" s="782"/>
      <c r="FF36" s="782"/>
      <c r="FG36" s="782"/>
      <c r="FH36" s="782"/>
      <c r="FI36" s="782"/>
      <c r="FJ36" s="782"/>
      <c r="FK36" s="782"/>
      <c r="FL36" s="782"/>
      <c r="FM36" s="782"/>
      <c r="FN36" s="782"/>
      <c r="FO36" s="782"/>
      <c r="FP36" s="782"/>
      <c r="FQ36" s="782"/>
      <c r="FR36" s="782"/>
      <c r="FS36" s="782"/>
      <c r="FT36" s="782"/>
      <c r="FU36" s="782"/>
      <c r="FV36" s="782"/>
      <c r="FW36" s="782"/>
      <c r="FX36" s="782"/>
      <c r="FY36" s="782"/>
      <c r="FZ36" s="782"/>
      <c r="GA36" s="782"/>
      <c r="GB36" s="782"/>
      <c r="GC36" s="782"/>
      <c r="GD36" s="782"/>
      <c r="GE36" s="782"/>
      <c r="GF36" s="782"/>
      <c r="GG36" s="782"/>
      <c r="GH36" s="782"/>
      <c r="GI36" s="782"/>
      <c r="GJ36" s="782"/>
      <c r="GK36" s="782"/>
      <c r="GL36" s="782"/>
      <c r="GM36" s="782"/>
      <c r="GN36" s="782"/>
      <c r="GO36" s="782"/>
      <c r="GP36" s="782"/>
      <c r="GQ36" s="782"/>
      <c r="GR36" s="782"/>
      <c r="GS36" s="782"/>
      <c r="GT36" s="782"/>
      <c r="GU36" s="782"/>
      <c r="GV36" s="782"/>
      <c r="GW36" s="782"/>
      <c r="GX36" s="782"/>
      <c r="GY36" s="782"/>
      <c r="GZ36" s="782"/>
      <c r="HA36" s="782"/>
      <c r="HB36" s="782"/>
      <c r="HC36" s="782"/>
      <c r="HD36" s="782"/>
      <c r="HE36" s="782"/>
      <c r="HF36" s="782"/>
      <c r="HG36" s="782"/>
      <c r="HH36" s="782"/>
      <c r="HI36" s="782"/>
      <c r="HJ36" s="782"/>
      <c r="HK36" s="782"/>
      <c r="HL36" s="782"/>
      <c r="HM36" s="782"/>
      <c r="HN36" s="782"/>
      <c r="HO36" s="782"/>
      <c r="HP36" s="782"/>
      <c r="HQ36" s="782"/>
      <c r="HR36" s="782"/>
      <c r="HS36" s="782"/>
      <c r="HT36" s="782"/>
      <c r="HU36" s="782"/>
      <c r="HV36" s="782"/>
      <c r="HW36" s="782"/>
      <c r="HX36" s="782"/>
      <c r="HY36" s="782"/>
      <c r="HZ36" s="782"/>
      <c r="IA36" s="782"/>
      <c r="IB36" s="782"/>
      <c r="IC36" s="782"/>
      <c r="ID36" s="782"/>
      <c r="IE36" s="782"/>
      <c r="IF36" s="782"/>
      <c r="IG36" s="782"/>
      <c r="IH36" s="782"/>
      <c r="II36" s="782"/>
      <c r="IJ36" s="782"/>
      <c r="IK36" s="782"/>
      <c r="IL36" s="782"/>
      <c r="IM36" s="782"/>
      <c r="IN36" s="782"/>
      <c r="IO36" s="782"/>
      <c r="IP36" s="782"/>
      <c r="IQ36" s="782"/>
      <c r="IR36" s="782"/>
      <c r="IS36" s="782"/>
      <c r="IT36" s="782"/>
      <c r="IU36" s="782"/>
      <c r="IV36" s="782"/>
      <c r="IW36" s="782"/>
      <c r="IX36" s="782"/>
      <c r="IY36" s="782"/>
      <c r="IZ36" s="782"/>
      <c r="JA36" s="782"/>
      <c r="JB36" s="782"/>
      <c r="JC36" s="782"/>
      <c r="JD36" s="782"/>
      <c r="JE36" s="782"/>
      <c r="JF36" s="782"/>
      <c r="JG36" s="782"/>
      <c r="JH36" s="782"/>
      <c r="JI36" s="782"/>
      <c r="JJ36" s="782"/>
      <c r="JK36" s="782"/>
      <c r="JL36" s="782"/>
      <c r="JM36" s="782"/>
      <c r="JN36" s="782"/>
      <c r="JO36" s="782"/>
      <c r="JP36" s="782"/>
      <c r="JQ36" s="782"/>
      <c r="JR36" s="782"/>
      <c r="JS36" s="782"/>
      <c r="JT36" s="782"/>
      <c r="JU36" s="782"/>
      <c r="JV36" s="782"/>
      <c r="JW36" s="782"/>
      <c r="JX36" s="782"/>
      <c r="JY36" s="782"/>
      <c r="JZ36" s="782"/>
      <c r="KA36" s="782"/>
      <c r="KB36" s="782"/>
      <c r="KC36" s="782"/>
      <c r="KD36" s="782"/>
      <c r="KE36" s="782"/>
      <c r="KF36" s="782"/>
      <c r="KG36" s="782"/>
      <c r="KH36" s="782"/>
      <c r="KI36" s="782"/>
      <c r="KJ36" s="782"/>
      <c r="KK36" s="782"/>
      <c r="KL36" s="782"/>
      <c r="KM36" s="782"/>
      <c r="KN36" s="782"/>
      <c r="KO36" s="782"/>
      <c r="KP36" s="782"/>
      <c r="KQ36" s="782"/>
      <c r="KR36" s="782"/>
      <c r="KS36" s="782"/>
      <c r="KT36" s="782"/>
      <c r="KU36" s="782"/>
      <c r="KV36" s="782"/>
      <c r="KW36" s="782"/>
      <c r="KX36" s="782"/>
      <c r="KY36" s="782"/>
      <c r="KZ36" s="782"/>
      <c r="LA36" s="782"/>
      <c r="LB36" s="782"/>
      <c r="LC36" s="782"/>
      <c r="LD36" s="782"/>
      <c r="LE36" s="782"/>
      <c r="LF36" s="782"/>
      <c r="LG36" s="782"/>
      <c r="LH36" s="782"/>
      <c r="LI36" s="782"/>
      <c r="LJ36" s="782"/>
      <c r="LK36" s="782"/>
      <c r="LL36" s="782"/>
      <c r="LM36" s="782"/>
      <c r="LN36" s="782"/>
      <c r="LO36" s="782"/>
      <c r="LP36" s="782"/>
      <c r="LQ36" s="782"/>
      <c r="LR36" s="782"/>
      <c r="LS36" s="782"/>
      <c r="LT36" s="782"/>
      <c r="LU36" s="782"/>
      <c r="LV36" s="782"/>
      <c r="LW36" s="782"/>
      <c r="LX36" s="782"/>
      <c r="LY36" s="782"/>
      <c r="LZ36" s="782"/>
      <c r="MA36" s="782"/>
      <c r="MB36" s="782"/>
      <c r="MC36" s="782"/>
      <c r="MD36" s="782"/>
      <c r="ME36" s="782"/>
      <c r="MF36" s="782"/>
      <c r="MG36" s="782"/>
      <c r="MH36" s="782"/>
      <c r="MI36" s="782"/>
      <c r="MJ36" s="782"/>
      <c r="MK36" s="782"/>
      <c r="ML36" s="782"/>
      <c r="MM36" s="782"/>
      <c r="MN36" s="782"/>
      <c r="MO36" s="782"/>
      <c r="MP36" s="782"/>
      <c r="MQ36" s="782"/>
      <c r="MR36" s="782"/>
      <c r="MS36" s="782"/>
      <c r="MT36" s="782"/>
      <c r="MU36" s="782"/>
      <c r="MV36" s="782"/>
      <c r="MW36" s="782"/>
      <c r="MX36" s="782"/>
      <c r="MY36" s="782"/>
      <c r="MZ36" s="782"/>
      <c r="NA36" s="782"/>
      <c r="NB36" s="782"/>
      <c r="NC36" s="782"/>
      <c r="ND36" s="782"/>
      <c r="NE36" s="782"/>
      <c r="NF36" s="782"/>
      <c r="NG36" s="782"/>
      <c r="NH36" s="782"/>
      <c r="NI36" s="782"/>
      <c r="NJ36" s="782"/>
      <c r="NK36" s="782"/>
      <c r="NL36" s="782"/>
      <c r="NM36" s="782"/>
      <c r="NN36" s="782"/>
      <c r="NO36" s="782"/>
      <c r="NP36" s="782"/>
      <c r="NQ36" s="782"/>
      <c r="NR36" s="782"/>
      <c r="NS36" s="782"/>
      <c r="NT36" s="782"/>
      <c r="NU36" s="782"/>
      <c r="NV36" s="782"/>
      <c r="NW36" s="782"/>
      <c r="NX36" s="782"/>
      <c r="NY36" s="782"/>
      <c r="NZ36" s="782"/>
      <c r="OA36" s="782"/>
      <c r="OB36" s="782"/>
      <c r="OC36" s="782"/>
      <c r="OD36" s="782"/>
      <c r="OE36" s="782"/>
      <c r="OF36" s="782"/>
      <c r="OG36" s="782"/>
      <c r="OH36" s="782"/>
      <c r="OI36" s="782"/>
      <c r="OJ36" s="782"/>
      <c r="OK36" s="782"/>
      <c r="OL36" s="782"/>
      <c r="OM36" s="782"/>
      <c r="ON36" s="782"/>
      <c r="OO36" s="782"/>
      <c r="OP36" s="782"/>
      <c r="OQ36" s="782"/>
      <c r="OR36" s="782"/>
      <c r="OS36" s="782"/>
      <c r="OT36" s="782"/>
      <c r="OU36" s="782"/>
      <c r="OV36" s="782"/>
      <c r="OW36" s="782"/>
      <c r="OX36" s="782"/>
      <c r="OY36" s="782"/>
      <c r="OZ36" s="782"/>
      <c r="PA36" s="782"/>
      <c r="PB36" s="782"/>
      <c r="PC36" s="782"/>
      <c r="PD36" s="782"/>
      <c r="PE36" s="782"/>
      <c r="PF36" s="782"/>
      <c r="PG36" s="782"/>
      <c r="PH36" s="782"/>
      <c r="PI36" s="782"/>
      <c r="PJ36" s="782"/>
      <c r="PK36" s="782"/>
      <c r="PL36" s="782"/>
      <c r="PM36" s="782"/>
      <c r="PN36" s="782"/>
      <c r="PO36" s="782"/>
    </row>
    <row r="37" spans="1:431" s="143" customFormat="1">
      <c r="A37" s="782"/>
      <c r="B37" s="782"/>
      <c r="C37" s="785"/>
      <c r="D37" s="785"/>
      <c r="E37" s="785"/>
      <c r="F37" s="785"/>
      <c r="G37" s="785"/>
      <c r="H37" s="785"/>
      <c r="I37" s="785"/>
      <c r="J37" s="785"/>
      <c r="K37" s="785"/>
      <c r="L37" s="785"/>
      <c r="M37" s="782"/>
      <c r="N37" s="782"/>
      <c r="O37" s="782"/>
      <c r="P37" s="78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c r="BD37" s="782"/>
      <c r="BE37" s="782"/>
      <c r="BF37" s="782"/>
      <c r="BG37" s="782"/>
      <c r="BH37" s="782"/>
      <c r="BI37" s="782"/>
      <c r="BJ37" s="782"/>
      <c r="BK37" s="782"/>
      <c r="BL37" s="782"/>
      <c r="BM37" s="782"/>
      <c r="BN37" s="782"/>
      <c r="BO37" s="782"/>
      <c r="BP37" s="782"/>
      <c r="BQ37" s="782"/>
      <c r="BR37" s="782"/>
      <c r="BS37" s="782"/>
      <c r="BT37" s="782"/>
      <c r="BU37" s="782"/>
      <c r="BV37" s="782"/>
      <c r="BW37" s="782"/>
      <c r="BX37" s="782"/>
      <c r="BY37" s="782"/>
      <c r="BZ37" s="782"/>
      <c r="CA37" s="782"/>
      <c r="CB37" s="782"/>
      <c r="CC37" s="782"/>
      <c r="CD37" s="782"/>
      <c r="CE37" s="782"/>
      <c r="CF37" s="782"/>
      <c r="CG37" s="782"/>
      <c r="CH37" s="782"/>
      <c r="CI37" s="782"/>
      <c r="CJ37" s="782"/>
      <c r="CK37" s="782"/>
      <c r="CL37" s="782"/>
      <c r="CM37" s="782"/>
      <c r="CN37" s="782"/>
      <c r="CO37" s="782"/>
      <c r="CP37" s="782"/>
      <c r="CQ37" s="782"/>
      <c r="CR37" s="782"/>
      <c r="CS37" s="782"/>
      <c r="CT37" s="782"/>
      <c r="CU37" s="782"/>
      <c r="CV37" s="782"/>
      <c r="CW37" s="782"/>
      <c r="CX37" s="782"/>
      <c r="CY37" s="782"/>
      <c r="CZ37" s="782"/>
      <c r="DA37" s="782"/>
      <c r="DB37" s="782"/>
      <c r="DC37" s="782"/>
      <c r="DD37" s="782"/>
      <c r="DE37" s="782"/>
      <c r="DF37" s="782"/>
      <c r="DG37" s="782"/>
      <c r="DH37" s="782"/>
      <c r="DI37" s="782"/>
      <c r="DJ37" s="782"/>
      <c r="DK37" s="782"/>
      <c r="DL37" s="782"/>
      <c r="DM37" s="782"/>
      <c r="DN37" s="782"/>
      <c r="DO37" s="782"/>
      <c r="DP37" s="782"/>
      <c r="DQ37" s="782"/>
      <c r="DR37" s="782"/>
      <c r="DS37" s="782"/>
      <c r="DT37" s="782"/>
      <c r="DU37" s="782"/>
      <c r="DV37" s="782"/>
      <c r="DW37" s="782"/>
      <c r="DX37" s="782"/>
      <c r="DY37" s="782"/>
      <c r="DZ37" s="782"/>
      <c r="EA37" s="782"/>
      <c r="EB37" s="782"/>
      <c r="EC37" s="782"/>
      <c r="ED37" s="782"/>
      <c r="EE37" s="782"/>
      <c r="EF37" s="782"/>
      <c r="EG37" s="782"/>
      <c r="EH37" s="782"/>
      <c r="EI37" s="782"/>
      <c r="EJ37" s="782"/>
      <c r="EK37" s="782"/>
      <c r="EL37" s="782"/>
      <c r="EM37" s="782"/>
      <c r="EN37" s="782"/>
      <c r="EO37" s="782"/>
      <c r="EP37" s="782"/>
      <c r="EQ37" s="782"/>
      <c r="ER37" s="782"/>
      <c r="ES37" s="782"/>
      <c r="ET37" s="782"/>
      <c r="EU37" s="782"/>
      <c r="EV37" s="782"/>
      <c r="EW37" s="782"/>
      <c r="EX37" s="782"/>
      <c r="EY37" s="782"/>
      <c r="EZ37" s="782"/>
      <c r="FA37" s="782"/>
      <c r="FB37" s="782"/>
      <c r="FC37" s="782"/>
      <c r="FD37" s="782"/>
      <c r="FE37" s="782"/>
      <c r="FF37" s="782"/>
      <c r="FG37" s="782"/>
      <c r="FH37" s="782"/>
      <c r="FI37" s="782"/>
      <c r="FJ37" s="782"/>
      <c r="FK37" s="782"/>
      <c r="FL37" s="782"/>
      <c r="FM37" s="782"/>
      <c r="FN37" s="782"/>
      <c r="FO37" s="782"/>
      <c r="FP37" s="782"/>
      <c r="FQ37" s="782"/>
      <c r="FR37" s="782"/>
      <c r="FS37" s="782"/>
      <c r="FT37" s="782"/>
      <c r="FU37" s="782"/>
      <c r="FV37" s="782"/>
      <c r="FW37" s="782"/>
      <c r="FX37" s="782"/>
      <c r="FY37" s="782"/>
      <c r="FZ37" s="782"/>
      <c r="GA37" s="782"/>
      <c r="GB37" s="782"/>
      <c r="GC37" s="782"/>
      <c r="GD37" s="782"/>
      <c r="GE37" s="782"/>
      <c r="GF37" s="782"/>
      <c r="GG37" s="782"/>
      <c r="GH37" s="782"/>
      <c r="GI37" s="782"/>
      <c r="GJ37" s="782"/>
      <c r="GK37" s="782"/>
      <c r="GL37" s="782"/>
      <c r="GM37" s="782"/>
      <c r="GN37" s="782"/>
      <c r="GO37" s="782"/>
      <c r="GP37" s="782"/>
      <c r="GQ37" s="782"/>
      <c r="GR37" s="782"/>
      <c r="GS37" s="782"/>
      <c r="GT37" s="782"/>
      <c r="GU37" s="782"/>
      <c r="GV37" s="782"/>
      <c r="GW37" s="782"/>
      <c r="GX37" s="782"/>
      <c r="GY37" s="782"/>
      <c r="GZ37" s="782"/>
      <c r="HA37" s="782"/>
      <c r="HB37" s="782"/>
      <c r="HC37" s="782"/>
      <c r="HD37" s="782"/>
      <c r="HE37" s="782"/>
      <c r="HF37" s="782"/>
      <c r="HG37" s="782"/>
      <c r="HH37" s="782"/>
      <c r="HI37" s="782"/>
      <c r="HJ37" s="782"/>
      <c r="HK37" s="782"/>
      <c r="HL37" s="782"/>
      <c r="HM37" s="782"/>
      <c r="HN37" s="782"/>
      <c r="HO37" s="782"/>
      <c r="HP37" s="782"/>
      <c r="HQ37" s="782"/>
      <c r="HR37" s="782"/>
      <c r="HS37" s="782"/>
      <c r="HT37" s="782"/>
      <c r="HU37" s="782"/>
      <c r="HV37" s="782"/>
      <c r="HW37" s="782"/>
      <c r="HX37" s="782"/>
      <c r="HY37" s="782"/>
      <c r="HZ37" s="782"/>
      <c r="IA37" s="782"/>
      <c r="IB37" s="782"/>
      <c r="IC37" s="782"/>
      <c r="ID37" s="782"/>
      <c r="IE37" s="782"/>
      <c r="IF37" s="782"/>
      <c r="IG37" s="782"/>
      <c r="IH37" s="782"/>
      <c r="II37" s="782"/>
      <c r="IJ37" s="782"/>
      <c r="IK37" s="782"/>
      <c r="IL37" s="782"/>
      <c r="IM37" s="782"/>
      <c r="IN37" s="782"/>
      <c r="IO37" s="782"/>
      <c r="IP37" s="782"/>
      <c r="IQ37" s="782"/>
      <c r="IR37" s="782"/>
      <c r="IS37" s="782"/>
      <c r="IT37" s="782"/>
      <c r="IU37" s="782"/>
      <c r="IV37" s="782"/>
      <c r="IW37" s="782"/>
      <c r="IX37" s="782"/>
      <c r="IY37" s="782"/>
      <c r="IZ37" s="782"/>
      <c r="JA37" s="782"/>
      <c r="JB37" s="782"/>
      <c r="JC37" s="782"/>
      <c r="JD37" s="782"/>
      <c r="JE37" s="782"/>
      <c r="JF37" s="782"/>
      <c r="JG37" s="782"/>
      <c r="JH37" s="782"/>
      <c r="JI37" s="782"/>
      <c r="JJ37" s="782"/>
      <c r="JK37" s="782"/>
      <c r="JL37" s="782"/>
      <c r="JM37" s="782"/>
      <c r="JN37" s="782"/>
      <c r="JO37" s="782"/>
      <c r="JP37" s="782"/>
      <c r="JQ37" s="782"/>
      <c r="JR37" s="782"/>
      <c r="JS37" s="782"/>
      <c r="JT37" s="782"/>
      <c r="JU37" s="782"/>
      <c r="JV37" s="782"/>
      <c r="JW37" s="782"/>
      <c r="JX37" s="782"/>
      <c r="JY37" s="782"/>
      <c r="JZ37" s="782"/>
      <c r="KA37" s="782"/>
      <c r="KB37" s="782"/>
      <c r="KC37" s="782"/>
      <c r="KD37" s="782"/>
      <c r="KE37" s="782"/>
      <c r="KF37" s="782"/>
      <c r="KG37" s="782"/>
      <c r="KH37" s="782"/>
      <c r="KI37" s="782"/>
      <c r="KJ37" s="782"/>
      <c r="KK37" s="782"/>
      <c r="KL37" s="782"/>
      <c r="KM37" s="782"/>
      <c r="KN37" s="782"/>
      <c r="KO37" s="782"/>
      <c r="KP37" s="782"/>
      <c r="KQ37" s="782"/>
      <c r="KR37" s="782"/>
      <c r="KS37" s="782"/>
      <c r="KT37" s="782"/>
      <c r="KU37" s="782"/>
      <c r="KV37" s="782"/>
      <c r="KW37" s="782"/>
      <c r="KX37" s="782"/>
      <c r="KY37" s="782"/>
      <c r="KZ37" s="782"/>
      <c r="LA37" s="782"/>
      <c r="LB37" s="782"/>
      <c r="LC37" s="782"/>
      <c r="LD37" s="782"/>
      <c r="LE37" s="782"/>
      <c r="LF37" s="782"/>
      <c r="LG37" s="782"/>
      <c r="LH37" s="782"/>
      <c r="LI37" s="782"/>
      <c r="LJ37" s="782"/>
      <c r="LK37" s="782"/>
      <c r="LL37" s="782"/>
      <c r="LM37" s="782"/>
      <c r="LN37" s="782"/>
      <c r="LO37" s="782"/>
      <c r="LP37" s="782"/>
      <c r="LQ37" s="782"/>
      <c r="LR37" s="782"/>
      <c r="LS37" s="782"/>
      <c r="LT37" s="782"/>
      <c r="LU37" s="782"/>
      <c r="LV37" s="782"/>
      <c r="LW37" s="782"/>
      <c r="LX37" s="782"/>
      <c r="LY37" s="782"/>
      <c r="LZ37" s="782"/>
      <c r="MA37" s="782"/>
      <c r="MB37" s="782"/>
      <c r="MC37" s="782"/>
      <c r="MD37" s="782"/>
      <c r="ME37" s="782"/>
      <c r="MF37" s="782"/>
      <c r="MG37" s="782"/>
      <c r="MH37" s="782"/>
      <c r="MI37" s="782"/>
      <c r="MJ37" s="782"/>
      <c r="MK37" s="782"/>
      <c r="ML37" s="782"/>
      <c r="MM37" s="782"/>
      <c r="MN37" s="782"/>
      <c r="MO37" s="782"/>
      <c r="MP37" s="782"/>
      <c r="MQ37" s="782"/>
      <c r="MR37" s="782"/>
      <c r="MS37" s="782"/>
      <c r="MT37" s="782"/>
      <c r="MU37" s="782"/>
      <c r="MV37" s="782"/>
      <c r="MW37" s="782"/>
      <c r="MX37" s="782"/>
      <c r="MY37" s="782"/>
      <c r="MZ37" s="782"/>
      <c r="NA37" s="782"/>
      <c r="NB37" s="782"/>
      <c r="NC37" s="782"/>
      <c r="ND37" s="782"/>
      <c r="NE37" s="782"/>
      <c r="NF37" s="782"/>
      <c r="NG37" s="782"/>
      <c r="NH37" s="782"/>
      <c r="NI37" s="782"/>
      <c r="NJ37" s="782"/>
      <c r="NK37" s="782"/>
      <c r="NL37" s="782"/>
      <c r="NM37" s="782"/>
      <c r="NN37" s="782"/>
      <c r="NO37" s="782"/>
      <c r="NP37" s="782"/>
      <c r="NQ37" s="782"/>
      <c r="NR37" s="782"/>
      <c r="NS37" s="782"/>
      <c r="NT37" s="782"/>
      <c r="NU37" s="782"/>
      <c r="NV37" s="782"/>
      <c r="NW37" s="782"/>
      <c r="NX37" s="782"/>
      <c r="NY37" s="782"/>
      <c r="NZ37" s="782"/>
      <c r="OA37" s="782"/>
      <c r="OB37" s="782"/>
      <c r="OC37" s="782"/>
      <c r="OD37" s="782"/>
      <c r="OE37" s="782"/>
      <c r="OF37" s="782"/>
      <c r="OG37" s="782"/>
      <c r="OH37" s="782"/>
      <c r="OI37" s="782"/>
      <c r="OJ37" s="782"/>
      <c r="OK37" s="782"/>
      <c r="OL37" s="782"/>
      <c r="OM37" s="782"/>
      <c r="ON37" s="782"/>
      <c r="OO37" s="782"/>
      <c r="OP37" s="782"/>
      <c r="OQ37" s="782"/>
      <c r="OR37" s="782"/>
      <c r="OS37" s="782"/>
      <c r="OT37" s="782"/>
      <c r="OU37" s="782"/>
      <c r="OV37" s="782"/>
      <c r="OW37" s="782"/>
      <c r="OX37" s="782"/>
      <c r="OY37" s="782"/>
      <c r="OZ37" s="782"/>
      <c r="PA37" s="782"/>
      <c r="PB37" s="782"/>
      <c r="PC37" s="782"/>
      <c r="PD37" s="782"/>
      <c r="PE37" s="782"/>
      <c r="PF37" s="782"/>
      <c r="PG37" s="782"/>
      <c r="PH37" s="782"/>
      <c r="PI37" s="782"/>
      <c r="PJ37" s="782"/>
      <c r="PK37" s="782"/>
      <c r="PL37" s="782"/>
      <c r="PM37" s="782"/>
      <c r="PN37" s="782"/>
      <c r="PO37" s="782"/>
    </row>
    <row r="38" spans="1:431" s="143" customFormat="1">
      <c r="A38" s="782"/>
      <c r="B38" s="782"/>
      <c r="C38" s="785"/>
      <c r="D38" s="785"/>
      <c r="E38" s="785"/>
      <c r="F38" s="785"/>
      <c r="G38" s="785"/>
      <c r="H38" s="785"/>
      <c r="I38" s="785"/>
      <c r="J38" s="785"/>
      <c r="K38" s="785"/>
      <c r="L38" s="785"/>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2"/>
      <c r="BJ38" s="782"/>
      <c r="BK38" s="782"/>
      <c r="BL38" s="782"/>
      <c r="BM38" s="782"/>
      <c r="BN38" s="782"/>
      <c r="BO38" s="782"/>
      <c r="BP38" s="782"/>
      <c r="BQ38" s="782"/>
      <c r="BR38" s="782"/>
      <c r="BS38" s="782"/>
      <c r="BT38" s="782"/>
      <c r="BU38" s="782"/>
      <c r="BV38" s="782"/>
      <c r="BW38" s="782"/>
      <c r="BX38" s="782"/>
      <c r="BY38" s="782"/>
      <c r="BZ38" s="782"/>
      <c r="CA38" s="782"/>
      <c r="CB38" s="782"/>
      <c r="CC38" s="782"/>
      <c r="CD38" s="782"/>
      <c r="CE38" s="782"/>
      <c r="CF38" s="782"/>
      <c r="CG38" s="782"/>
      <c r="CH38" s="782"/>
      <c r="CI38" s="782"/>
      <c r="CJ38" s="782"/>
      <c r="CK38" s="782"/>
      <c r="CL38" s="782"/>
      <c r="CM38" s="782"/>
      <c r="CN38" s="782"/>
      <c r="CO38" s="782"/>
      <c r="CP38" s="782"/>
      <c r="CQ38" s="782"/>
      <c r="CR38" s="782"/>
      <c r="CS38" s="782"/>
      <c r="CT38" s="782"/>
      <c r="CU38" s="782"/>
      <c r="CV38" s="782"/>
      <c r="CW38" s="782"/>
      <c r="CX38" s="782"/>
      <c r="CY38" s="782"/>
      <c r="CZ38" s="782"/>
      <c r="DA38" s="782"/>
      <c r="DB38" s="782"/>
      <c r="DC38" s="782"/>
      <c r="DD38" s="782"/>
      <c r="DE38" s="782"/>
      <c r="DF38" s="782"/>
      <c r="DG38" s="782"/>
      <c r="DH38" s="782"/>
      <c r="DI38" s="782"/>
      <c r="DJ38" s="782"/>
      <c r="DK38" s="782"/>
      <c r="DL38" s="782"/>
      <c r="DM38" s="782"/>
      <c r="DN38" s="782"/>
      <c r="DO38" s="782"/>
      <c r="DP38" s="782"/>
      <c r="DQ38" s="782"/>
      <c r="DR38" s="782"/>
      <c r="DS38" s="782"/>
      <c r="DT38" s="782"/>
      <c r="DU38" s="782"/>
      <c r="DV38" s="782"/>
      <c r="DW38" s="782"/>
      <c r="DX38" s="782"/>
      <c r="DY38" s="782"/>
      <c r="DZ38" s="782"/>
      <c r="EA38" s="782"/>
      <c r="EB38" s="782"/>
      <c r="EC38" s="782"/>
      <c r="ED38" s="782"/>
      <c r="EE38" s="782"/>
      <c r="EF38" s="782"/>
      <c r="EG38" s="782"/>
      <c r="EH38" s="782"/>
      <c r="EI38" s="782"/>
      <c r="EJ38" s="782"/>
      <c r="EK38" s="782"/>
      <c r="EL38" s="782"/>
      <c r="EM38" s="782"/>
      <c r="EN38" s="782"/>
      <c r="EO38" s="782"/>
      <c r="EP38" s="782"/>
      <c r="EQ38" s="782"/>
      <c r="ER38" s="782"/>
      <c r="ES38" s="782"/>
      <c r="ET38" s="782"/>
      <c r="EU38" s="782"/>
      <c r="EV38" s="782"/>
      <c r="EW38" s="782"/>
      <c r="EX38" s="782"/>
      <c r="EY38" s="782"/>
      <c r="EZ38" s="782"/>
      <c r="FA38" s="782"/>
      <c r="FB38" s="782"/>
      <c r="FC38" s="782"/>
      <c r="FD38" s="782"/>
      <c r="FE38" s="782"/>
      <c r="FF38" s="782"/>
      <c r="FG38" s="782"/>
      <c r="FH38" s="782"/>
      <c r="FI38" s="782"/>
      <c r="FJ38" s="782"/>
      <c r="FK38" s="782"/>
      <c r="FL38" s="782"/>
      <c r="FM38" s="782"/>
      <c r="FN38" s="782"/>
      <c r="FO38" s="782"/>
      <c r="FP38" s="782"/>
      <c r="FQ38" s="782"/>
      <c r="FR38" s="782"/>
      <c r="FS38" s="782"/>
      <c r="FT38" s="782"/>
      <c r="FU38" s="782"/>
      <c r="FV38" s="782"/>
      <c r="FW38" s="782"/>
      <c r="FX38" s="782"/>
      <c r="FY38" s="782"/>
      <c r="FZ38" s="782"/>
      <c r="GA38" s="782"/>
      <c r="GB38" s="782"/>
      <c r="GC38" s="782"/>
      <c r="GD38" s="782"/>
      <c r="GE38" s="782"/>
      <c r="GF38" s="782"/>
      <c r="GG38" s="782"/>
      <c r="GH38" s="782"/>
      <c r="GI38" s="782"/>
      <c r="GJ38" s="782"/>
      <c r="GK38" s="782"/>
      <c r="GL38" s="782"/>
      <c r="GM38" s="782"/>
      <c r="GN38" s="782"/>
      <c r="GO38" s="782"/>
      <c r="GP38" s="782"/>
      <c r="GQ38" s="782"/>
      <c r="GR38" s="782"/>
      <c r="GS38" s="782"/>
      <c r="GT38" s="782"/>
      <c r="GU38" s="782"/>
      <c r="GV38" s="782"/>
      <c r="GW38" s="782"/>
      <c r="GX38" s="782"/>
      <c r="GY38" s="782"/>
      <c r="GZ38" s="782"/>
      <c r="HA38" s="782"/>
      <c r="HB38" s="782"/>
      <c r="HC38" s="782"/>
      <c r="HD38" s="782"/>
      <c r="HE38" s="782"/>
      <c r="HF38" s="782"/>
      <c r="HG38" s="782"/>
      <c r="HH38" s="782"/>
      <c r="HI38" s="782"/>
      <c r="HJ38" s="782"/>
      <c r="HK38" s="782"/>
      <c r="HL38" s="782"/>
      <c r="HM38" s="782"/>
      <c r="HN38" s="782"/>
      <c r="HO38" s="782"/>
      <c r="HP38" s="782"/>
      <c r="HQ38" s="782"/>
      <c r="HR38" s="782"/>
      <c r="HS38" s="782"/>
      <c r="HT38" s="782"/>
      <c r="HU38" s="782"/>
      <c r="HV38" s="782"/>
      <c r="HW38" s="782"/>
      <c r="HX38" s="782"/>
      <c r="HY38" s="782"/>
      <c r="HZ38" s="782"/>
      <c r="IA38" s="782"/>
      <c r="IB38" s="782"/>
      <c r="IC38" s="782"/>
      <c r="ID38" s="782"/>
      <c r="IE38" s="782"/>
      <c r="IF38" s="782"/>
      <c r="IG38" s="782"/>
      <c r="IH38" s="782"/>
      <c r="II38" s="782"/>
      <c r="IJ38" s="782"/>
      <c r="IK38" s="782"/>
      <c r="IL38" s="782"/>
      <c r="IM38" s="782"/>
      <c r="IN38" s="782"/>
      <c r="IO38" s="782"/>
      <c r="IP38" s="782"/>
      <c r="IQ38" s="782"/>
      <c r="IR38" s="782"/>
      <c r="IS38" s="782"/>
      <c r="IT38" s="782"/>
      <c r="IU38" s="782"/>
      <c r="IV38" s="782"/>
      <c r="IW38" s="782"/>
      <c r="IX38" s="782"/>
      <c r="IY38" s="782"/>
      <c r="IZ38" s="782"/>
      <c r="JA38" s="782"/>
      <c r="JB38" s="782"/>
      <c r="JC38" s="782"/>
      <c r="JD38" s="782"/>
      <c r="JE38" s="782"/>
      <c r="JF38" s="782"/>
      <c r="JG38" s="782"/>
      <c r="JH38" s="782"/>
      <c r="JI38" s="782"/>
      <c r="JJ38" s="782"/>
      <c r="JK38" s="782"/>
      <c r="JL38" s="782"/>
      <c r="JM38" s="782"/>
      <c r="JN38" s="782"/>
      <c r="JO38" s="782"/>
      <c r="JP38" s="782"/>
      <c r="JQ38" s="782"/>
      <c r="JR38" s="782"/>
      <c r="JS38" s="782"/>
      <c r="JT38" s="782"/>
      <c r="JU38" s="782"/>
      <c r="JV38" s="782"/>
      <c r="JW38" s="782"/>
      <c r="JX38" s="782"/>
      <c r="JY38" s="782"/>
      <c r="JZ38" s="782"/>
      <c r="KA38" s="782"/>
      <c r="KB38" s="782"/>
      <c r="KC38" s="782"/>
      <c r="KD38" s="782"/>
      <c r="KE38" s="782"/>
      <c r="KF38" s="782"/>
      <c r="KG38" s="782"/>
      <c r="KH38" s="782"/>
      <c r="KI38" s="782"/>
      <c r="KJ38" s="782"/>
      <c r="KK38" s="782"/>
      <c r="KL38" s="782"/>
      <c r="KM38" s="782"/>
      <c r="KN38" s="782"/>
      <c r="KO38" s="782"/>
      <c r="KP38" s="782"/>
      <c r="KQ38" s="782"/>
      <c r="KR38" s="782"/>
      <c r="KS38" s="782"/>
      <c r="KT38" s="782"/>
      <c r="KU38" s="782"/>
      <c r="KV38" s="782"/>
      <c r="KW38" s="782"/>
      <c r="KX38" s="782"/>
      <c r="KY38" s="782"/>
      <c r="KZ38" s="782"/>
      <c r="LA38" s="782"/>
      <c r="LB38" s="782"/>
      <c r="LC38" s="782"/>
      <c r="LD38" s="782"/>
      <c r="LE38" s="782"/>
      <c r="LF38" s="782"/>
      <c r="LG38" s="782"/>
      <c r="LH38" s="782"/>
      <c r="LI38" s="782"/>
      <c r="LJ38" s="782"/>
      <c r="LK38" s="782"/>
      <c r="LL38" s="782"/>
      <c r="LM38" s="782"/>
      <c r="LN38" s="782"/>
      <c r="LO38" s="782"/>
      <c r="LP38" s="782"/>
      <c r="LQ38" s="782"/>
      <c r="LR38" s="782"/>
      <c r="LS38" s="782"/>
      <c r="LT38" s="782"/>
      <c r="LU38" s="782"/>
      <c r="LV38" s="782"/>
      <c r="LW38" s="782"/>
      <c r="LX38" s="782"/>
      <c r="LY38" s="782"/>
      <c r="LZ38" s="782"/>
      <c r="MA38" s="782"/>
      <c r="MB38" s="782"/>
      <c r="MC38" s="782"/>
      <c r="MD38" s="782"/>
      <c r="ME38" s="782"/>
      <c r="MF38" s="782"/>
      <c r="MG38" s="782"/>
      <c r="MH38" s="782"/>
      <c r="MI38" s="782"/>
      <c r="MJ38" s="782"/>
      <c r="MK38" s="782"/>
      <c r="ML38" s="782"/>
      <c r="MM38" s="782"/>
      <c r="MN38" s="782"/>
      <c r="MO38" s="782"/>
      <c r="MP38" s="782"/>
      <c r="MQ38" s="782"/>
      <c r="MR38" s="782"/>
      <c r="MS38" s="782"/>
      <c r="MT38" s="782"/>
      <c r="MU38" s="782"/>
      <c r="MV38" s="782"/>
      <c r="MW38" s="782"/>
      <c r="MX38" s="782"/>
      <c r="MY38" s="782"/>
      <c r="MZ38" s="782"/>
      <c r="NA38" s="782"/>
      <c r="NB38" s="782"/>
      <c r="NC38" s="782"/>
      <c r="ND38" s="782"/>
      <c r="NE38" s="782"/>
      <c r="NF38" s="782"/>
      <c r="NG38" s="782"/>
      <c r="NH38" s="782"/>
      <c r="NI38" s="782"/>
      <c r="NJ38" s="782"/>
      <c r="NK38" s="782"/>
      <c r="NL38" s="782"/>
      <c r="NM38" s="782"/>
      <c r="NN38" s="782"/>
      <c r="NO38" s="782"/>
      <c r="NP38" s="782"/>
      <c r="NQ38" s="782"/>
      <c r="NR38" s="782"/>
      <c r="NS38" s="782"/>
      <c r="NT38" s="782"/>
      <c r="NU38" s="782"/>
      <c r="NV38" s="782"/>
      <c r="NW38" s="782"/>
      <c r="NX38" s="782"/>
      <c r="NY38" s="782"/>
      <c r="NZ38" s="782"/>
      <c r="OA38" s="782"/>
      <c r="OB38" s="782"/>
      <c r="OC38" s="782"/>
      <c r="OD38" s="782"/>
      <c r="OE38" s="782"/>
      <c r="OF38" s="782"/>
      <c r="OG38" s="782"/>
      <c r="OH38" s="782"/>
      <c r="OI38" s="782"/>
      <c r="OJ38" s="782"/>
      <c r="OK38" s="782"/>
      <c r="OL38" s="782"/>
      <c r="OM38" s="782"/>
      <c r="ON38" s="782"/>
      <c r="OO38" s="782"/>
      <c r="OP38" s="782"/>
      <c r="OQ38" s="782"/>
      <c r="OR38" s="782"/>
      <c r="OS38" s="782"/>
      <c r="OT38" s="782"/>
      <c r="OU38" s="782"/>
      <c r="OV38" s="782"/>
      <c r="OW38" s="782"/>
      <c r="OX38" s="782"/>
      <c r="OY38" s="782"/>
      <c r="OZ38" s="782"/>
      <c r="PA38" s="782"/>
      <c r="PB38" s="782"/>
      <c r="PC38" s="782"/>
      <c r="PD38" s="782"/>
      <c r="PE38" s="782"/>
      <c r="PF38" s="782"/>
      <c r="PG38" s="782"/>
      <c r="PH38" s="782"/>
      <c r="PI38" s="782"/>
      <c r="PJ38" s="782"/>
      <c r="PK38" s="782"/>
      <c r="PL38" s="782"/>
      <c r="PM38" s="782"/>
      <c r="PN38" s="782"/>
      <c r="PO38" s="782"/>
    </row>
    <row r="39" spans="1:431" s="143" customFormat="1">
      <c r="A39" s="782"/>
      <c r="B39" s="782"/>
      <c r="C39" s="785"/>
      <c r="D39" s="785"/>
      <c r="E39" s="785"/>
      <c r="F39" s="785"/>
      <c r="G39" s="785"/>
      <c r="H39" s="785"/>
      <c r="I39" s="785"/>
      <c r="J39" s="785"/>
      <c r="K39" s="785"/>
      <c r="L39" s="785"/>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c r="BG39" s="782"/>
      <c r="BH39" s="782"/>
      <c r="BI39" s="782"/>
      <c r="BJ39" s="782"/>
      <c r="BK39" s="782"/>
      <c r="BL39" s="782"/>
      <c r="BM39" s="782"/>
      <c r="BN39" s="782"/>
      <c r="BO39" s="782"/>
      <c r="BP39" s="782"/>
      <c r="BQ39" s="782"/>
      <c r="BR39" s="782"/>
      <c r="BS39" s="782"/>
      <c r="BT39" s="782"/>
      <c r="BU39" s="782"/>
      <c r="BV39" s="782"/>
      <c r="BW39" s="782"/>
      <c r="BX39" s="782"/>
      <c r="BY39" s="782"/>
      <c r="BZ39" s="782"/>
      <c r="CA39" s="782"/>
      <c r="CB39" s="782"/>
      <c r="CC39" s="782"/>
      <c r="CD39" s="782"/>
      <c r="CE39" s="782"/>
      <c r="CF39" s="782"/>
      <c r="CG39" s="782"/>
      <c r="CH39" s="782"/>
      <c r="CI39" s="782"/>
      <c r="CJ39" s="782"/>
      <c r="CK39" s="782"/>
      <c r="CL39" s="782"/>
      <c r="CM39" s="782"/>
      <c r="CN39" s="782"/>
      <c r="CO39" s="782"/>
      <c r="CP39" s="782"/>
      <c r="CQ39" s="782"/>
      <c r="CR39" s="782"/>
      <c r="CS39" s="782"/>
      <c r="CT39" s="782"/>
      <c r="CU39" s="782"/>
      <c r="CV39" s="782"/>
      <c r="CW39" s="782"/>
      <c r="CX39" s="782"/>
      <c r="CY39" s="782"/>
      <c r="CZ39" s="782"/>
      <c r="DA39" s="782"/>
      <c r="DB39" s="782"/>
      <c r="DC39" s="782"/>
      <c r="DD39" s="782"/>
      <c r="DE39" s="782"/>
      <c r="DF39" s="782"/>
      <c r="DG39" s="782"/>
      <c r="DH39" s="782"/>
      <c r="DI39" s="782"/>
      <c r="DJ39" s="782"/>
      <c r="DK39" s="782"/>
      <c r="DL39" s="782"/>
      <c r="DM39" s="782"/>
      <c r="DN39" s="782"/>
      <c r="DO39" s="782"/>
      <c r="DP39" s="782"/>
      <c r="DQ39" s="782"/>
      <c r="DR39" s="782"/>
      <c r="DS39" s="782"/>
      <c r="DT39" s="782"/>
      <c r="DU39" s="782"/>
      <c r="DV39" s="782"/>
      <c r="DW39" s="782"/>
      <c r="DX39" s="782"/>
      <c r="DY39" s="782"/>
      <c r="DZ39" s="782"/>
      <c r="EA39" s="782"/>
      <c r="EB39" s="782"/>
      <c r="EC39" s="782"/>
      <c r="ED39" s="782"/>
      <c r="EE39" s="782"/>
      <c r="EF39" s="782"/>
      <c r="EG39" s="782"/>
      <c r="EH39" s="782"/>
      <c r="EI39" s="782"/>
      <c r="EJ39" s="782"/>
      <c r="EK39" s="782"/>
      <c r="EL39" s="782"/>
      <c r="EM39" s="782"/>
      <c r="EN39" s="782"/>
      <c r="EO39" s="782"/>
      <c r="EP39" s="782"/>
      <c r="EQ39" s="782"/>
      <c r="ER39" s="782"/>
      <c r="ES39" s="782"/>
      <c r="ET39" s="782"/>
      <c r="EU39" s="782"/>
      <c r="EV39" s="782"/>
      <c r="EW39" s="782"/>
      <c r="EX39" s="782"/>
      <c r="EY39" s="782"/>
      <c r="EZ39" s="782"/>
      <c r="FA39" s="782"/>
      <c r="FB39" s="782"/>
      <c r="FC39" s="782"/>
      <c r="FD39" s="782"/>
      <c r="FE39" s="782"/>
      <c r="FF39" s="782"/>
      <c r="FG39" s="782"/>
      <c r="FH39" s="782"/>
      <c r="FI39" s="782"/>
      <c r="FJ39" s="782"/>
      <c r="FK39" s="782"/>
      <c r="FL39" s="782"/>
      <c r="FM39" s="782"/>
      <c r="FN39" s="782"/>
      <c r="FO39" s="782"/>
      <c r="FP39" s="782"/>
      <c r="FQ39" s="782"/>
      <c r="FR39" s="782"/>
      <c r="FS39" s="782"/>
      <c r="FT39" s="782"/>
      <c r="FU39" s="782"/>
      <c r="FV39" s="782"/>
      <c r="FW39" s="782"/>
      <c r="FX39" s="782"/>
      <c r="FY39" s="782"/>
      <c r="FZ39" s="782"/>
      <c r="GA39" s="782"/>
      <c r="GB39" s="782"/>
      <c r="GC39" s="782"/>
      <c r="GD39" s="782"/>
      <c r="GE39" s="782"/>
      <c r="GF39" s="782"/>
      <c r="GG39" s="782"/>
      <c r="GH39" s="782"/>
      <c r="GI39" s="782"/>
      <c r="GJ39" s="782"/>
      <c r="GK39" s="782"/>
      <c r="GL39" s="782"/>
      <c r="GM39" s="782"/>
      <c r="GN39" s="782"/>
      <c r="GO39" s="782"/>
      <c r="GP39" s="782"/>
      <c r="GQ39" s="782"/>
      <c r="GR39" s="782"/>
      <c r="GS39" s="782"/>
      <c r="GT39" s="782"/>
      <c r="GU39" s="782"/>
      <c r="GV39" s="782"/>
      <c r="GW39" s="782"/>
      <c r="GX39" s="782"/>
      <c r="GY39" s="782"/>
      <c r="GZ39" s="782"/>
      <c r="HA39" s="782"/>
      <c r="HB39" s="782"/>
      <c r="HC39" s="782"/>
      <c r="HD39" s="782"/>
      <c r="HE39" s="782"/>
      <c r="HF39" s="782"/>
      <c r="HG39" s="782"/>
      <c r="HH39" s="782"/>
      <c r="HI39" s="782"/>
      <c r="HJ39" s="782"/>
      <c r="HK39" s="782"/>
      <c r="HL39" s="782"/>
      <c r="HM39" s="782"/>
      <c r="HN39" s="782"/>
      <c r="HO39" s="782"/>
      <c r="HP39" s="782"/>
      <c r="HQ39" s="782"/>
      <c r="HR39" s="782"/>
      <c r="HS39" s="782"/>
      <c r="HT39" s="782"/>
      <c r="HU39" s="782"/>
      <c r="HV39" s="782"/>
      <c r="HW39" s="782"/>
      <c r="HX39" s="782"/>
      <c r="HY39" s="782"/>
      <c r="HZ39" s="782"/>
      <c r="IA39" s="782"/>
      <c r="IB39" s="782"/>
      <c r="IC39" s="782"/>
      <c r="ID39" s="782"/>
      <c r="IE39" s="782"/>
      <c r="IF39" s="782"/>
      <c r="IG39" s="782"/>
      <c r="IH39" s="782"/>
      <c r="II39" s="782"/>
      <c r="IJ39" s="782"/>
      <c r="IK39" s="782"/>
      <c r="IL39" s="782"/>
      <c r="IM39" s="782"/>
      <c r="IN39" s="782"/>
      <c r="IO39" s="782"/>
      <c r="IP39" s="782"/>
      <c r="IQ39" s="782"/>
      <c r="IR39" s="782"/>
      <c r="IS39" s="782"/>
      <c r="IT39" s="782"/>
      <c r="IU39" s="782"/>
      <c r="IV39" s="782"/>
      <c r="IW39" s="782"/>
      <c r="IX39" s="782"/>
      <c r="IY39" s="782"/>
      <c r="IZ39" s="782"/>
      <c r="JA39" s="782"/>
      <c r="JB39" s="782"/>
      <c r="JC39" s="782"/>
      <c r="JD39" s="782"/>
      <c r="JE39" s="782"/>
      <c r="JF39" s="782"/>
      <c r="JG39" s="782"/>
      <c r="JH39" s="782"/>
      <c r="JI39" s="782"/>
      <c r="JJ39" s="782"/>
      <c r="JK39" s="782"/>
      <c r="JL39" s="782"/>
      <c r="JM39" s="782"/>
      <c r="JN39" s="782"/>
      <c r="JO39" s="782"/>
      <c r="JP39" s="782"/>
      <c r="JQ39" s="782"/>
      <c r="JR39" s="782"/>
      <c r="JS39" s="782"/>
      <c r="JT39" s="782"/>
      <c r="JU39" s="782"/>
      <c r="JV39" s="782"/>
      <c r="JW39" s="782"/>
      <c r="JX39" s="782"/>
      <c r="JY39" s="782"/>
      <c r="JZ39" s="782"/>
      <c r="KA39" s="782"/>
      <c r="KB39" s="782"/>
      <c r="KC39" s="782"/>
      <c r="KD39" s="782"/>
      <c r="KE39" s="782"/>
      <c r="KF39" s="782"/>
      <c r="KG39" s="782"/>
      <c r="KH39" s="782"/>
      <c r="KI39" s="782"/>
      <c r="KJ39" s="782"/>
      <c r="KK39" s="782"/>
      <c r="KL39" s="782"/>
      <c r="KM39" s="782"/>
      <c r="KN39" s="782"/>
      <c r="KO39" s="782"/>
      <c r="KP39" s="782"/>
      <c r="KQ39" s="782"/>
      <c r="KR39" s="782"/>
      <c r="KS39" s="782"/>
      <c r="KT39" s="782"/>
      <c r="KU39" s="782"/>
      <c r="KV39" s="782"/>
      <c r="KW39" s="782"/>
      <c r="KX39" s="782"/>
      <c r="KY39" s="782"/>
      <c r="KZ39" s="782"/>
      <c r="LA39" s="782"/>
      <c r="LB39" s="782"/>
      <c r="LC39" s="782"/>
      <c r="LD39" s="782"/>
      <c r="LE39" s="782"/>
      <c r="LF39" s="782"/>
      <c r="LG39" s="782"/>
      <c r="LH39" s="782"/>
      <c r="LI39" s="782"/>
      <c r="LJ39" s="782"/>
      <c r="LK39" s="782"/>
      <c r="LL39" s="782"/>
      <c r="LM39" s="782"/>
      <c r="LN39" s="782"/>
      <c r="LO39" s="782"/>
      <c r="LP39" s="782"/>
      <c r="LQ39" s="782"/>
      <c r="LR39" s="782"/>
      <c r="LS39" s="782"/>
      <c r="LT39" s="782"/>
      <c r="LU39" s="782"/>
      <c r="LV39" s="782"/>
      <c r="LW39" s="782"/>
      <c r="LX39" s="782"/>
      <c r="LY39" s="782"/>
      <c r="LZ39" s="782"/>
      <c r="MA39" s="782"/>
      <c r="MB39" s="782"/>
      <c r="MC39" s="782"/>
      <c r="MD39" s="782"/>
      <c r="ME39" s="782"/>
      <c r="MF39" s="782"/>
      <c r="MG39" s="782"/>
      <c r="MH39" s="782"/>
      <c r="MI39" s="782"/>
      <c r="MJ39" s="782"/>
      <c r="MK39" s="782"/>
      <c r="ML39" s="782"/>
      <c r="MM39" s="782"/>
      <c r="MN39" s="782"/>
      <c r="MO39" s="782"/>
      <c r="MP39" s="782"/>
      <c r="MQ39" s="782"/>
      <c r="MR39" s="782"/>
      <c r="MS39" s="782"/>
      <c r="MT39" s="782"/>
      <c r="MU39" s="782"/>
      <c r="MV39" s="782"/>
      <c r="MW39" s="782"/>
      <c r="MX39" s="782"/>
      <c r="MY39" s="782"/>
      <c r="MZ39" s="782"/>
      <c r="NA39" s="782"/>
      <c r="NB39" s="782"/>
      <c r="NC39" s="782"/>
      <c r="ND39" s="782"/>
      <c r="NE39" s="782"/>
      <c r="NF39" s="782"/>
      <c r="NG39" s="782"/>
      <c r="NH39" s="782"/>
      <c r="NI39" s="782"/>
      <c r="NJ39" s="782"/>
      <c r="NK39" s="782"/>
      <c r="NL39" s="782"/>
      <c r="NM39" s="782"/>
      <c r="NN39" s="782"/>
      <c r="NO39" s="782"/>
      <c r="NP39" s="782"/>
      <c r="NQ39" s="782"/>
      <c r="NR39" s="782"/>
      <c r="NS39" s="782"/>
      <c r="NT39" s="782"/>
      <c r="NU39" s="782"/>
      <c r="NV39" s="782"/>
      <c r="NW39" s="782"/>
      <c r="NX39" s="782"/>
      <c r="NY39" s="782"/>
      <c r="NZ39" s="782"/>
      <c r="OA39" s="782"/>
      <c r="OB39" s="782"/>
      <c r="OC39" s="782"/>
      <c r="OD39" s="782"/>
      <c r="OE39" s="782"/>
      <c r="OF39" s="782"/>
      <c r="OG39" s="782"/>
      <c r="OH39" s="782"/>
      <c r="OI39" s="782"/>
      <c r="OJ39" s="782"/>
      <c r="OK39" s="782"/>
      <c r="OL39" s="782"/>
      <c r="OM39" s="782"/>
      <c r="ON39" s="782"/>
      <c r="OO39" s="782"/>
      <c r="OP39" s="782"/>
      <c r="OQ39" s="782"/>
      <c r="OR39" s="782"/>
      <c r="OS39" s="782"/>
      <c r="OT39" s="782"/>
      <c r="OU39" s="782"/>
      <c r="OV39" s="782"/>
      <c r="OW39" s="782"/>
      <c r="OX39" s="782"/>
      <c r="OY39" s="782"/>
      <c r="OZ39" s="782"/>
      <c r="PA39" s="782"/>
      <c r="PB39" s="782"/>
      <c r="PC39" s="782"/>
      <c r="PD39" s="782"/>
      <c r="PE39" s="782"/>
      <c r="PF39" s="782"/>
      <c r="PG39" s="782"/>
      <c r="PH39" s="782"/>
      <c r="PI39" s="782"/>
      <c r="PJ39" s="782"/>
      <c r="PK39" s="782"/>
      <c r="PL39" s="782"/>
      <c r="PM39" s="782"/>
      <c r="PN39" s="782"/>
      <c r="PO39" s="782"/>
    </row>
    <row r="40" spans="1:431" s="143" customFormat="1">
      <c r="A40" s="782"/>
      <c r="B40" s="782"/>
      <c r="C40" s="785"/>
      <c r="D40" s="785"/>
      <c r="E40" s="785"/>
      <c r="F40" s="785"/>
      <c r="G40" s="785"/>
      <c r="H40" s="785"/>
      <c r="I40" s="785"/>
      <c r="J40" s="785"/>
      <c r="K40" s="785"/>
      <c r="L40" s="785"/>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2"/>
      <c r="BJ40" s="782"/>
      <c r="BK40" s="782"/>
      <c r="BL40" s="782"/>
      <c r="BM40" s="782"/>
      <c r="BN40" s="782"/>
      <c r="BO40" s="782"/>
      <c r="BP40" s="782"/>
      <c r="BQ40" s="782"/>
      <c r="BR40" s="782"/>
      <c r="BS40" s="782"/>
      <c r="BT40" s="782"/>
      <c r="BU40" s="782"/>
      <c r="BV40" s="782"/>
      <c r="BW40" s="782"/>
      <c r="BX40" s="782"/>
      <c r="BY40" s="782"/>
      <c r="BZ40" s="782"/>
      <c r="CA40" s="782"/>
      <c r="CB40" s="782"/>
      <c r="CC40" s="782"/>
      <c r="CD40" s="782"/>
      <c r="CE40" s="782"/>
      <c r="CF40" s="782"/>
      <c r="CG40" s="782"/>
      <c r="CH40" s="782"/>
      <c r="CI40" s="782"/>
      <c r="CJ40" s="782"/>
      <c r="CK40" s="782"/>
      <c r="CL40" s="782"/>
      <c r="CM40" s="782"/>
      <c r="CN40" s="782"/>
      <c r="CO40" s="782"/>
      <c r="CP40" s="782"/>
      <c r="CQ40" s="782"/>
      <c r="CR40" s="782"/>
      <c r="CS40" s="782"/>
      <c r="CT40" s="782"/>
      <c r="CU40" s="782"/>
      <c r="CV40" s="782"/>
      <c r="CW40" s="782"/>
      <c r="CX40" s="782"/>
      <c r="CY40" s="782"/>
      <c r="CZ40" s="782"/>
      <c r="DA40" s="782"/>
      <c r="DB40" s="782"/>
      <c r="DC40" s="782"/>
      <c r="DD40" s="782"/>
      <c r="DE40" s="782"/>
      <c r="DF40" s="782"/>
      <c r="DG40" s="782"/>
      <c r="DH40" s="782"/>
      <c r="DI40" s="782"/>
      <c r="DJ40" s="782"/>
      <c r="DK40" s="782"/>
      <c r="DL40" s="782"/>
      <c r="DM40" s="782"/>
      <c r="DN40" s="782"/>
      <c r="DO40" s="782"/>
      <c r="DP40" s="782"/>
      <c r="DQ40" s="782"/>
      <c r="DR40" s="782"/>
      <c r="DS40" s="782"/>
      <c r="DT40" s="782"/>
      <c r="DU40" s="782"/>
      <c r="DV40" s="782"/>
      <c r="DW40" s="782"/>
      <c r="DX40" s="782"/>
      <c r="DY40" s="782"/>
      <c r="DZ40" s="782"/>
      <c r="EA40" s="782"/>
      <c r="EB40" s="782"/>
      <c r="EC40" s="782"/>
      <c r="ED40" s="782"/>
      <c r="EE40" s="782"/>
      <c r="EF40" s="782"/>
      <c r="EG40" s="782"/>
      <c r="EH40" s="782"/>
      <c r="EI40" s="782"/>
      <c r="EJ40" s="782"/>
      <c r="EK40" s="782"/>
      <c r="EL40" s="782"/>
      <c r="EM40" s="782"/>
      <c r="EN40" s="782"/>
      <c r="EO40" s="782"/>
      <c r="EP40" s="782"/>
      <c r="EQ40" s="782"/>
      <c r="ER40" s="782"/>
      <c r="ES40" s="782"/>
      <c r="ET40" s="782"/>
      <c r="EU40" s="782"/>
      <c r="EV40" s="782"/>
      <c r="EW40" s="782"/>
      <c r="EX40" s="782"/>
      <c r="EY40" s="782"/>
      <c r="EZ40" s="782"/>
      <c r="FA40" s="782"/>
      <c r="FB40" s="782"/>
      <c r="FC40" s="782"/>
      <c r="FD40" s="782"/>
      <c r="FE40" s="782"/>
      <c r="FF40" s="782"/>
      <c r="FG40" s="782"/>
      <c r="FH40" s="782"/>
      <c r="FI40" s="782"/>
      <c r="FJ40" s="782"/>
      <c r="FK40" s="782"/>
      <c r="FL40" s="782"/>
      <c r="FM40" s="782"/>
      <c r="FN40" s="782"/>
      <c r="FO40" s="782"/>
      <c r="FP40" s="782"/>
      <c r="FQ40" s="782"/>
      <c r="FR40" s="782"/>
      <c r="FS40" s="782"/>
      <c r="FT40" s="782"/>
      <c r="FU40" s="782"/>
      <c r="FV40" s="782"/>
      <c r="FW40" s="782"/>
      <c r="FX40" s="782"/>
      <c r="FY40" s="782"/>
      <c r="FZ40" s="782"/>
      <c r="GA40" s="782"/>
      <c r="GB40" s="782"/>
      <c r="GC40" s="782"/>
      <c r="GD40" s="782"/>
      <c r="GE40" s="782"/>
      <c r="GF40" s="782"/>
      <c r="GG40" s="782"/>
      <c r="GH40" s="782"/>
      <c r="GI40" s="782"/>
      <c r="GJ40" s="782"/>
      <c r="GK40" s="782"/>
      <c r="GL40" s="782"/>
      <c r="GM40" s="782"/>
      <c r="GN40" s="782"/>
      <c r="GO40" s="782"/>
      <c r="GP40" s="782"/>
      <c r="GQ40" s="782"/>
      <c r="GR40" s="782"/>
      <c r="GS40" s="782"/>
      <c r="GT40" s="782"/>
      <c r="GU40" s="782"/>
      <c r="GV40" s="782"/>
      <c r="GW40" s="782"/>
      <c r="GX40" s="782"/>
      <c r="GY40" s="782"/>
      <c r="GZ40" s="782"/>
      <c r="HA40" s="782"/>
      <c r="HB40" s="782"/>
      <c r="HC40" s="782"/>
      <c r="HD40" s="782"/>
      <c r="HE40" s="782"/>
      <c r="HF40" s="782"/>
      <c r="HG40" s="782"/>
      <c r="HH40" s="782"/>
      <c r="HI40" s="782"/>
      <c r="HJ40" s="782"/>
      <c r="HK40" s="782"/>
      <c r="HL40" s="782"/>
      <c r="HM40" s="782"/>
      <c r="HN40" s="782"/>
      <c r="HO40" s="782"/>
      <c r="HP40" s="782"/>
      <c r="HQ40" s="782"/>
      <c r="HR40" s="782"/>
      <c r="HS40" s="782"/>
      <c r="HT40" s="782"/>
      <c r="HU40" s="782"/>
      <c r="HV40" s="782"/>
      <c r="HW40" s="782"/>
      <c r="HX40" s="782"/>
      <c r="HY40" s="782"/>
      <c r="HZ40" s="782"/>
      <c r="IA40" s="782"/>
      <c r="IB40" s="782"/>
      <c r="IC40" s="782"/>
      <c r="ID40" s="782"/>
      <c r="IE40" s="782"/>
      <c r="IF40" s="782"/>
      <c r="IG40" s="782"/>
      <c r="IH40" s="782"/>
      <c r="II40" s="782"/>
      <c r="IJ40" s="782"/>
      <c r="IK40" s="782"/>
      <c r="IL40" s="782"/>
      <c r="IM40" s="782"/>
      <c r="IN40" s="782"/>
      <c r="IO40" s="782"/>
      <c r="IP40" s="782"/>
      <c r="IQ40" s="782"/>
      <c r="IR40" s="782"/>
      <c r="IS40" s="782"/>
      <c r="IT40" s="782"/>
      <c r="IU40" s="782"/>
      <c r="IV40" s="782"/>
      <c r="IW40" s="782"/>
      <c r="IX40" s="782"/>
      <c r="IY40" s="782"/>
      <c r="IZ40" s="782"/>
      <c r="JA40" s="782"/>
      <c r="JB40" s="782"/>
      <c r="JC40" s="782"/>
      <c r="JD40" s="782"/>
      <c r="JE40" s="782"/>
      <c r="JF40" s="782"/>
      <c r="JG40" s="782"/>
      <c r="JH40" s="782"/>
      <c r="JI40" s="782"/>
      <c r="JJ40" s="782"/>
      <c r="JK40" s="782"/>
      <c r="JL40" s="782"/>
      <c r="JM40" s="782"/>
      <c r="JN40" s="782"/>
      <c r="JO40" s="782"/>
      <c r="JP40" s="782"/>
      <c r="JQ40" s="782"/>
      <c r="JR40" s="782"/>
      <c r="JS40" s="782"/>
      <c r="JT40" s="782"/>
      <c r="JU40" s="782"/>
      <c r="JV40" s="782"/>
      <c r="JW40" s="782"/>
      <c r="JX40" s="782"/>
      <c r="JY40" s="782"/>
      <c r="JZ40" s="782"/>
      <c r="KA40" s="782"/>
      <c r="KB40" s="782"/>
      <c r="KC40" s="782"/>
      <c r="KD40" s="782"/>
      <c r="KE40" s="782"/>
      <c r="KF40" s="782"/>
      <c r="KG40" s="782"/>
      <c r="KH40" s="782"/>
      <c r="KI40" s="782"/>
      <c r="KJ40" s="782"/>
      <c r="KK40" s="782"/>
      <c r="KL40" s="782"/>
      <c r="KM40" s="782"/>
      <c r="KN40" s="782"/>
      <c r="KO40" s="782"/>
      <c r="KP40" s="782"/>
      <c r="KQ40" s="782"/>
      <c r="KR40" s="782"/>
      <c r="KS40" s="782"/>
      <c r="KT40" s="782"/>
      <c r="KU40" s="782"/>
      <c r="KV40" s="782"/>
      <c r="KW40" s="782"/>
      <c r="KX40" s="782"/>
      <c r="KY40" s="782"/>
      <c r="KZ40" s="782"/>
      <c r="LA40" s="782"/>
      <c r="LB40" s="782"/>
      <c r="LC40" s="782"/>
      <c r="LD40" s="782"/>
      <c r="LE40" s="782"/>
      <c r="LF40" s="782"/>
      <c r="LG40" s="782"/>
      <c r="LH40" s="782"/>
      <c r="LI40" s="782"/>
      <c r="LJ40" s="782"/>
      <c r="LK40" s="782"/>
      <c r="LL40" s="782"/>
      <c r="LM40" s="782"/>
      <c r="LN40" s="782"/>
      <c r="LO40" s="782"/>
      <c r="LP40" s="782"/>
      <c r="LQ40" s="782"/>
      <c r="LR40" s="782"/>
      <c r="LS40" s="782"/>
      <c r="LT40" s="782"/>
      <c r="LU40" s="782"/>
      <c r="LV40" s="782"/>
      <c r="LW40" s="782"/>
      <c r="LX40" s="782"/>
      <c r="LY40" s="782"/>
      <c r="LZ40" s="782"/>
      <c r="MA40" s="782"/>
      <c r="MB40" s="782"/>
      <c r="MC40" s="782"/>
      <c r="MD40" s="782"/>
      <c r="ME40" s="782"/>
      <c r="MF40" s="782"/>
      <c r="MG40" s="782"/>
      <c r="MH40" s="782"/>
      <c r="MI40" s="782"/>
      <c r="MJ40" s="782"/>
      <c r="MK40" s="782"/>
      <c r="ML40" s="782"/>
      <c r="MM40" s="782"/>
      <c r="MN40" s="782"/>
      <c r="MO40" s="782"/>
      <c r="MP40" s="782"/>
      <c r="MQ40" s="782"/>
      <c r="MR40" s="782"/>
      <c r="MS40" s="782"/>
      <c r="MT40" s="782"/>
      <c r="MU40" s="782"/>
      <c r="MV40" s="782"/>
      <c r="MW40" s="782"/>
      <c r="MX40" s="782"/>
      <c r="MY40" s="782"/>
      <c r="MZ40" s="782"/>
      <c r="NA40" s="782"/>
      <c r="NB40" s="782"/>
      <c r="NC40" s="782"/>
      <c r="ND40" s="782"/>
      <c r="NE40" s="782"/>
      <c r="NF40" s="782"/>
      <c r="NG40" s="782"/>
      <c r="NH40" s="782"/>
      <c r="NI40" s="782"/>
      <c r="NJ40" s="782"/>
      <c r="NK40" s="782"/>
      <c r="NL40" s="782"/>
      <c r="NM40" s="782"/>
      <c r="NN40" s="782"/>
      <c r="NO40" s="782"/>
      <c r="NP40" s="782"/>
      <c r="NQ40" s="782"/>
      <c r="NR40" s="782"/>
      <c r="NS40" s="782"/>
      <c r="NT40" s="782"/>
      <c r="NU40" s="782"/>
      <c r="NV40" s="782"/>
      <c r="NW40" s="782"/>
      <c r="NX40" s="782"/>
      <c r="NY40" s="782"/>
      <c r="NZ40" s="782"/>
      <c r="OA40" s="782"/>
      <c r="OB40" s="782"/>
      <c r="OC40" s="782"/>
      <c r="OD40" s="782"/>
      <c r="OE40" s="782"/>
      <c r="OF40" s="782"/>
      <c r="OG40" s="782"/>
      <c r="OH40" s="782"/>
      <c r="OI40" s="782"/>
      <c r="OJ40" s="782"/>
      <c r="OK40" s="782"/>
      <c r="OL40" s="782"/>
      <c r="OM40" s="782"/>
      <c r="ON40" s="782"/>
      <c r="OO40" s="782"/>
      <c r="OP40" s="782"/>
      <c r="OQ40" s="782"/>
      <c r="OR40" s="782"/>
      <c r="OS40" s="782"/>
      <c r="OT40" s="782"/>
      <c r="OU40" s="782"/>
      <c r="OV40" s="782"/>
      <c r="OW40" s="782"/>
      <c r="OX40" s="782"/>
      <c r="OY40" s="782"/>
      <c r="OZ40" s="782"/>
      <c r="PA40" s="782"/>
      <c r="PB40" s="782"/>
      <c r="PC40" s="782"/>
      <c r="PD40" s="782"/>
      <c r="PE40" s="782"/>
      <c r="PF40" s="782"/>
      <c r="PG40" s="782"/>
      <c r="PH40" s="782"/>
      <c r="PI40" s="782"/>
      <c r="PJ40" s="782"/>
      <c r="PK40" s="782"/>
      <c r="PL40" s="782"/>
      <c r="PM40" s="782"/>
      <c r="PN40" s="782"/>
      <c r="PO40" s="782"/>
    </row>
    <row r="41" spans="1:431" s="143" customFormat="1">
      <c r="A41" s="782"/>
      <c r="B41" s="782"/>
      <c r="C41" s="785"/>
      <c r="D41" s="785"/>
      <c r="E41" s="785"/>
      <c r="F41" s="785"/>
      <c r="G41" s="785"/>
      <c r="H41" s="785"/>
      <c r="I41" s="785"/>
      <c r="J41" s="785"/>
      <c r="K41" s="785"/>
      <c r="L41" s="785"/>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c r="BG41" s="782"/>
      <c r="BH41" s="782"/>
      <c r="BI41" s="782"/>
      <c r="BJ41" s="782"/>
      <c r="BK41" s="782"/>
      <c r="BL41" s="782"/>
      <c r="BM41" s="782"/>
      <c r="BN41" s="782"/>
      <c r="BO41" s="782"/>
      <c r="BP41" s="782"/>
      <c r="BQ41" s="782"/>
      <c r="BR41" s="782"/>
      <c r="BS41" s="782"/>
      <c r="BT41" s="782"/>
      <c r="BU41" s="782"/>
      <c r="BV41" s="782"/>
      <c r="BW41" s="782"/>
      <c r="BX41" s="782"/>
      <c r="BY41" s="782"/>
      <c r="BZ41" s="782"/>
      <c r="CA41" s="782"/>
      <c r="CB41" s="782"/>
      <c r="CC41" s="782"/>
      <c r="CD41" s="782"/>
      <c r="CE41" s="782"/>
      <c r="CF41" s="782"/>
      <c r="CG41" s="782"/>
      <c r="CH41" s="782"/>
      <c r="CI41" s="782"/>
      <c r="CJ41" s="782"/>
      <c r="CK41" s="782"/>
      <c r="CL41" s="782"/>
      <c r="CM41" s="782"/>
      <c r="CN41" s="782"/>
      <c r="CO41" s="782"/>
      <c r="CP41" s="782"/>
      <c r="CQ41" s="782"/>
      <c r="CR41" s="782"/>
      <c r="CS41" s="782"/>
      <c r="CT41" s="782"/>
      <c r="CU41" s="782"/>
      <c r="CV41" s="782"/>
      <c r="CW41" s="782"/>
      <c r="CX41" s="782"/>
      <c r="CY41" s="782"/>
      <c r="CZ41" s="782"/>
      <c r="DA41" s="782"/>
      <c r="DB41" s="782"/>
      <c r="DC41" s="782"/>
      <c r="DD41" s="782"/>
      <c r="DE41" s="782"/>
      <c r="DF41" s="782"/>
      <c r="DG41" s="782"/>
      <c r="DH41" s="782"/>
      <c r="DI41" s="782"/>
      <c r="DJ41" s="782"/>
      <c r="DK41" s="782"/>
      <c r="DL41" s="782"/>
      <c r="DM41" s="782"/>
      <c r="DN41" s="782"/>
      <c r="DO41" s="782"/>
      <c r="DP41" s="782"/>
      <c r="DQ41" s="782"/>
      <c r="DR41" s="782"/>
      <c r="DS41" s="782"/>
      <c r="DT41" s="782"/>
      <c r="DU41" s="782"/>
      <c r="DV41" s="782"/>
      <c r="DW41" s="782"/>
      <c r="DX41" s="782"/>
      <c r="DY41" s="782"/>
      <c r="DZ41" s="782"/>
      <c r="EA41" s="782"/>
      <c r="EB41" s="782"/>
      <c r="EC41" s="782"/>
      <c r="ED41" s="782"/>
      <c r="EE41" s="782"/>
      <c r="EF41" s="782"/>
      <c r="EG41" s="782"/>
      <c r="EH41" s="782"/>
      <c r="EI41" s="782"/>
      <c r="EJ41" s="782"/>
      <c r="EK41" s="782"/>
      <c r="EL41" s="782"/>
      <c r="EM41" s="782"/>
      <c r="EN41" s="782"/>
      <c r="EO41" s="782"/>
      <c r="EP41" s="782"/>
      <c r="EQ41" s="782"/>
      <c r="ER41" s="782"/>
      <c r="ES41" s="782"/>
      <c r="ET41" s="782"/>
      <c r="EU41" s="782"/>
      <c r="EV41" s="782"/>
      <c r="EW41" s="782"/>
      <c r="EX41" s="782"/>
      <c r="EY41" s="782"/>
      <c r="EZ41" s="782"/>
      <c r="FA41" s="782"/>
      <c r="FB41" s="782"/>
      <c r="FC41" s="782"/>
      <c r="FD41" s="782"/>
      <c r="FE41" s="782"/>
      <c r="FF41" s="782"/>
      <c r="FG41" s="782"/>
      <c r="FH41" s="782"/>
      <c r="FI41" s="782"/>
      <c r="FJ41" s="782"/>
      <c r="FK41" s="782"/>
      <c r="FL41" s="782"/>
      <c r="FM41" s="782"/>
      <c r="FN41" s="782"/>
      <c r="FO41" s="782"/>
      <c r="FP41" s="782"/>
      <c r="FQ41" s="782"/>
      <c r="FR41" s="782"/>
      <c r="FS41" s="782"/>
      <c r="FT41" s="782"/>
      <c r="FU41" s="782"/>
      <c r="FV41" s="782"/>
      <c r="FW41" s="782"/>
      <c r="FX41" s="782"/>
      <c r="FY41" s="782"/>
      <c r="FZ41" s="782"/>
      <c r="GA41" s="782"/>
      <c r="GB41" s="782"/>
      <c r="GC41" s="782"/>
      <c r="GD41" s="782"/>
      <c r="GE41" s="782"/>
      <c r="GF41" s="782"/>
      <c r="GG41" s="782"/>
      <c r="GH41" s="782"/>
      <c r="GI41" s="782"/>
      <c r="GJ41" s="782"/>
      <c r="GK41" s="782"/>
      <c r="GL41" s="782"/>
      <c r="GM41" s="782"/>
      <c r="GN41" s="782"/>
      <c r="GO41" s="782"/>
      <c r="GP41" s="782"/>
      <c r="GQ41" s="782"/>
      <c r="GR41" s="782"/>
      <c r="GS41" s="782"/>
      <c r="GT41" s="782"/>
      <c r="GU41" s="782"/>
      <c r="GV41" s="782"/>
      <c r="GW41" s="782"/>
      <c r="GX41" s="782"/>
      <c r="GY41" s="782"/>
      <c r="GZ41" s="782"/>
      <c r="HA41" s="782"/>
      <c r="HB41" s="782"/>
      <c r="HC41" s="782"/>
      <c r="HD41" s="782"/>
      <c r="HE41" s="782"/>
      <c r="HF41" s="782"/>
      <c r="HG41" s="782"/>
      <c r="HH41" s="782"/>
      <c r="HI41" s="782"/>
      <c r="HJ41" s="782"/>
      <c r="HK41" s="782"/>
      <c r="HL41" s="782"/>
      <c r="HM41" s="782"/>
      <c r="HN41" s="782"/>
      <c r="HO41" s="782"/>
      <c r="HP41" s="782"/>
      <c r="HQ41" s="782"/>
      <c r="HR41" s="782"/>
      <c r="HS41" s="782"/>
      <c r="HT41" s="782"/>
      <c r="HU41" s="782"/>
      <c r="HV41" s="782"/>
      <c r="HW41" s="782"/>
      <c r="HX41" s="782"/>
      <c r="HY41" s="782"/>
      <c r="HZ41" s="782"/>
      <c r="IA41" s="782"/>
      <c r="IB41" s="782"/>
      <c r="IC41" s="782"/>
      <c r="ID41" s="782"/>
      <c r="IE41" s="782"/>
      <c r="IF41" s="782"/>
      <c r="IG41" s="782"/>
      <c r="IH41" s="782"/>
      <c r="II41" s="782"/>
      <c r="IJ41" s="782"/>
      <c r="IK41" s="782"/>
      <c r="IL41" s="782"/>
      <c r="IM41" s="782"/>
      <c r="IN41" s="782"/>
      <c r="IO41" s="782"/>
      <c r="IP41" s="782"/>
      <c r="IQ41" s="782"/>
      <c r="IR41" s="782"/>
      <c r="IS41" s="782"/>
      <c r="IT41" s="782"/>
      <c r="IU41" s="782"/>
      <c r="IV41" s="782"/>
      <c r="IW41" s="782"/>
      <c r="IX41" s="782"/>
      <c r="IY41" s="782"/>
      <c r="IZ41" s="782"/>
      <c r="JA41" s="782"/>
      <c r="JB41" s="782"/>
      <c r="JC41" s="782"/>
      <c r="JD41" s="782"/>
      <c r="JE41" s="782"/>
      <c r="JF41" s="782"/>
      <c r="JG41" s="782"/>
      <c r="JH41" s="782"/>
      <c r="JI41" s="782"/>
      <c r="JJ41" s="782"/>
      <c r="JK41" s="782"/>
      <c r="JL41" s="782"/>
      <c r="JM41" s="782"/>
      <c r="JN41" s="782"/>
      <c r="JO41" s="782"/>
      <c r="JP41" s="782"/>
      <c r="JQ41" s="782"/>
      <c r="JR41" s="782"/>
      <c r="JS41" s="782"/>
      <c r="JT41" s="782"/>
      <c r="JU41" s="782"/>
      <c r="JV41" s="782"/>
      <c r="JW41" s="782"/>
      <c r="JX41" s="782"/>
      <c r="JY41" s="782"/>
      <c r="JZ41" s="782"/>
      <c r="KA41" s="782"/>
      <c r="KB41" s="782"/>
      <c r="KC41" s="782"/>
      <c r="KD41" s="782"/>
      <c r="KE41" s="782"/>
      <c r="KF41" s="782"/>
      <c r="KG41" s="782"/>
      <c r="KH41" s="782"/>
      <c r="KI41" s="782"/>
      <c r="KJ41" s="782"/>
      <c r="KK41" s="782"/>
      <c r="KL41" s="782"/>
      <c r="KM41" s="782"/>
      <c r="KN41" s="782"/>
      <c r="KO41" s="782"/>
      <c r="KP41" s="782"/>
      <c r="KQ41" s="782"/>
      <c r="KR41" s="782"/>
      <c r="KS41" s="782"/>
      <c r="KT41" s="782"/>
      <c r="KU41" s="782"/>
      <c r="KV41" s="782"/>
      <c r="KW41" s="782"/>
      <c r="KX41" s="782"/>
      <c r="KY41" s="782"/>
      <c r="KZ41" s="782"/>
      <c r="LA41" s="782"/>
      <c r="LB41" s="782"/>
      <c r="LC41" s="782"/>
      <c r="LD41" s="782"/>
      <c r="LE41" s="782"/>
      <c r="LF41" s="782"/>
      <c r="LG41" s="782"/>
      <c r="LH41" s="782"/>
      <c r="LI41" s="782"/>
      <c r="LJ41" s="782"/>
      <c r="LK41" s="782"/>
      <c r="LL41" s="782"/>
      <c r="LM41" s="782"/>
      <c r="LN41" s="782"/>
      <c r="LO41" s="782"/>
      <c r="LP41" s="782"/>
      <c r="LQ41" s="782"/>
      <c r="LR41" s="782"/>
      <c r="LS41" s="782"/>
      <c r="LT41" s="782"/>
      <c r="LU41" s="782"/>
      <c r="LV41" s="782"/>
      <c r="LW41" s="782"/>
      <c r="LX41" s="782"/>
      <c r="LY41" s="782"/>
      <c r="LZ41" s="782"/>
      <c r="MA41" s="782"/>
      <c r="MB41" s="782"/>
      <c r="MC41" s="782"/>
      <c r="MD41" s="782"/>
      <c r="ME41" s="782"/>
      <c r="MF41" s="782"/>
      <c r="MG41" s="782"/>
      <c r="MH41" s="782"/>
      <c r="MI41" s="782"/>
      <c r="MJ41" s="782"/>
      <c r="MK41" s="782"/>
      <c r="ML41" s="782"/>
      <c r="MM41" s="782"/>
      <c r="MN41" s="782"/>
      <c r="MO41" s="782"/>
      <c r="MP41" s="782"/>
      <c r="MQ41" s="782"/>
      <c r="MR41" s="782"/>
      <c r="MS41" s="782"/>
      <c r="MT41" s="782"/>
      <c r="MU41" s="782"/>
      <c r="MV41" s="782"/>
      <c r="MW41" s="782"/>
      <c r="MX41" s="782"/>
      <c r="MY41" s="782"/>
      <c r="MZ41" s="782"/>
      <c r="NA41" s="782"/>
      <c r="NB41" s="782"/>
      <c r="NC41" s="782"/>
      <c r="ND41" s="782"/>
      <c r="NE41" s="782"/>
      <c r="NF41" s="782"/>
      <c r="NG41" s="782"/>
      <c r="NH41" s="782"/>
      <c r="NI41" s="782"/>
      <c r="NJ41" s="782"/>
      <c r="NK41" s="782"/>
      <c r="NL41" s="782"/>
      <c r="NM41" s="782"/>
      <c r="NN41" s="782"/>
      <c r="NO41" s="782"/>
      <c r="NP41" s="782"/>
      <c r="NQ41" s="782"/>
      <c r="NR41" s="782"/>
      <c r="NS41" s="782"/>
      <c r="NT41" s="782"/>
      <c r="NU41" s="782"/>
      <c r="NV41" s="782"/>
      <c r="NW41" s="782"/>
      <c r="NX41" s="782"/>
      <c r="NY41" s="782"/>
      <c r="NZ41" s="782"/>
      <c r="OA41" s="782"/>
      <c r="OB41" s="782"/>
      <c r="OC41" s="782"/>
      <c r="OD41" s="782"/>
      <c r="OE41" s="782"/>
      <c r="OF41" s="782"/>
      <c r="OG41" s="782"/>
      <c r="OH41" s="782"/>
      <c r="OI41" s="782"/>
      <c r="OJ41" s="782"/>
      <c r="OK41" s="782"/>
      <c r="OL41" s="782"/>
      <c r="OM41" s="782"/>
      <c r="ON41" s="782"/>
      <c r="OO41" s="782"/>
      <c r="OP41" s="782"/>
      <c r="OQ41" s="782"/>
      <c r="OR41" s="782"/>
      <c r="OS41" s="782"/>
      <c r="OT41" s="782"/>
      <c r="OU41" s="782"/>
      <c r="OV41" s="782"/>
      <c r="OW41" s="782"/>
      <c r="OX41" s="782"/>
      <c r="OY41" s="782"/>
      <c r="OZ41" s="782"/>
      <c r="PA41" s="782"/>
      <c r="PB41" s="782"/>
      <c r="PC41" s="782"/>
      <c r="PD41" s="782"/>
      <c r="PE41" s="782"/>
      <c r="PF41" s="782"/>
      <c r="PG41" s="782"/>
      <c r="PH41" s="782"/>
      <c r="PI41" s="782"/>
      <c r="PJ41" s="782"/>
      <c r="PK41" s="782"/>
      <c r="PL41" s="782"/>
      <c r="PM41" s="782"/>
      <c r="PN41" s="782"/>
      <c r="PO41" s="782"/>
    </row>
    <row r="42" spans="1:431" s="143" customFormat="1">
      <c r="A42" s="782"/>
      <c r="B42" s="782"/>
      <c r="C42" s="785"/>
      <c r="D42" s="785"/>
      <c r="E42" s="785"/>
      <c r="F42" s="785"/>
      <c r="G42" s="785"/>
      <c r="H42" s="785"/>
      <c r="I42" s="785"/>
      <c r="J42" s="785"/>
      <c r="K42" s="785"/>
      <c r="L42" s="785"/>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2"/>
      <c r="BJ42" s="782"/>
      <c r="BK42" s="782"/>
      <c r="BL42" s="782"/>
      <c r="BM42" s="782"/>
      <c r="BN42" s="782"/>
      <c r="BO42" s="782"/>
      <c r="BP42" s="782"/>
      <c r="BQ42" s="782"/>
      <c r="BR42" s="782"/>
      <c r="BS42" s="782"/>
      <c r="BT42" s="782"/>
      <c r="BU42" s="782"/>
      <c r="BV42" s="782"/>
      <c r="BW42" s="782"/>
      <c r="BX42" s="782"/>
      <c r="BY42" s="782"/>
      <c r="BZ42" s="782"/>
      <c r="CA42" s="782"/>
      <c r="CB42" s="782"/>
      <c r="CC42" s="782"/>
      <c r="CD42" s="782"/>
      <c r="CE42" s="782"/>
      <c r="CF42" s="782"/>
      <c r="CG42" s="782"/>
      <c r="CH42" s="782"/>
      <c r="CI42" s="782"/>
      <c r="CJ42" s="782"/>
      <c r="CK42" s="782"/>
      <c r="CL42" s="782"/>
      <c r="CM42" s="782"/>
      <c r="CN42" s="782"/>
      <c r="CO42" s="782"/>
      <c r="CP42" s="782"/>
      <c r="CQ42" s="782"/>
      <c r="CR42" s="782"/>
      <c r="CS42" s="782"/>
      <c r="CT42" s="782"/>
      <c r="CU42" s="782"/>
      <c r="CV42" s="782"/>
      <c r="CW42" s="782"/>
      <c r="CX42" s="782"/>
      <c r="CY42" s="782"/>
      <c r="CZ42" s="782"/>
      <c r="DA42" s="782"/>
      <c r="DB42" s="782"/>
      <c r="DC42" s="782"/>
      <c r="DD42" s="782"/>
      <c r="DE42" s="782"/>
      <c r="DF42" s="782"/>
      <c r="DG42" s="782"/>
      <c r="DH42" s="782"/>
      <c r="DI42" s="782"/>
      <c r="DJ42" s="782"/>
      <c r="DK42" s="782"/>
      <c r="DL42" s="782"/>
      <c r="DM42" s="782"/>
      <c r="DN42" s="782"/>
      <c r="DO42" s="782"/>
      <c r="DP42" s="782"/>
      <c r="DQ42" s="782"/>
      <c r="DR42" s="782"/>
      <c r="DS42" s="782"/>
      <c r="DT42" s="782"/>
      <c r="DU42" s="782"/>
      <c r="DV42" s="782"/>
      <c r="DW42" s="782"/>
      <c r="DX42" s="782"/>
      <c r="DY42" s="782"/>
      <c r="DZ42" s="782"/>
      <c r="EA42" s="782"/>
      <c r="EB42" s="782"/>
      <c r="EC42" s="782"/>
      <c r="ED42" s="782"/>
      <c r="EE42" s="782"/>
      <c r="EF42" s="782"/>
      <c r="EG42" s="782"/>
      <c r="EH42" s="782"/>
      <c r="EI42" s="782"/>
      <c r="EJ42" s="782"/>
      <c r="EK42" s="782"/>
      <c r="EL42" s="782"/>
      <c r="EM42" s="782"/>
      <c r="EN42" s="782"/>
      <c r="EO42" s="782"/>
      <c r="EP42" s="782"/>
      <c r="EQ42" s="782"/>
      <c r="ER42" s="782"/>
      <c r="ES42" s="782"/>
      <c r="ET42" s="782"/>
      <c r="EU42" s="782"/>
      <c r="EV42" s="782"/>
      <c r="EW42" s="782"/>
      <c r="EX42" s="782"/>
      <c r="EY42" s="782"/>
      <c r="EZ42" s="782"/>
      <c r="FA42" s="782"/>
      <c r="FB42" s="782"/>
      <c r="FC42" s="782"/>
      <c r="FD42" s="782"/>
      <c r="FE42" s="782"/>
      <c r="FF42" s="782"/>
      <c r="FG42" s="782"/>
      <c r="FH42" s="782"/>
      <c r="FI42" s="782"/>
      <c r="FJ42" s="782"/>
      <c r="FK42" s="782"/>
      <c r="FL42" s="782"/>
      <c r="FM42" s="782"/>
      <c r="FN42" s="782"/>
      <c r="FO42" s="782"/>
      <c r="FP42" s="782"/>
      <c r="FQ42" s="782"/>
      <c r="FR42" s="782"/>
      <c r="FS42" s="782"/>
      <c r="FT42" s="782"/>
      <c r="FU42" s="782"/>
      <c r="FV42" s="782"/>
      <c r="FW42" s="782"/>
      <c r="FX42" s="782"/>
      <c r="FY42" s="782"/>
      <c r="FZ42" s="782"/>
      <c r="GA42" s="782"/>
      <c r="GB42" s="782"/>
      <c r="GC42" s="782"/>
      <c r="GD42" s="782"/>
      <c r="GE42" s="782"/>
      <c r="GF42" s="782"/>
      <c r="GG42" s="782"/>
      <c r="GH42" s="782"/>
      <c r="GI42" s="782"/>
      <c r="GJ42" s="782"/>
      <c r="GK42" s="782"/>
      <c r="GL42" s="782"/>
      <c r="GM42" s="782"/>
      <c r="GN42" s="782"/>
      <c r="GO42" s="782"/>
      <c r="GP42" s="782"/>
      <c r="GQ42" s="782"/>
      <c r="GR42" s="782"/>
      <c r="GS42" s="782"/>
      <c r="GT42" s="782"/>
      <c r="GU42" s="782"/>
      <c r="GV42" s="782"/>
      <c r="GW42" s="782"/>
      <c r="GX42" s="782"/>
      <c r="GY42" s="782"/>
      <c r="GZ42" s="782"/>
      <c r="HA42" s="782"/>
      <c r="HB42" s="782"/>
      <c r="HC42" s="782"/>
      <c r="HD42" s="782"/>
      <c r="HE42" s="782"/>
      <c r="HF42" s="782"/>
      <c r="HG42" s="782"/>
      <c r="HH42" s="782"/>
      <c r="HI42" s="782"/>
      <c r="HJ42" s="782"/>
      <c r="HK42" s="782"/>
      <c r="HL42" s="782"/>
      <c r="HM42" s="782"/>
      <c r="HN42" s="782"/>
      <c r="HO42" s="782"/>
      <c r="HP42" s="782"/>
      <c r="HQ42" s="782"/>
      <c r="HR42" s="782"/>
      <c r="HS42" s="782"/>
      <c r="HT42" s="782"/>
      <c r="HU42" s="782"/>
      <c r="HV42" s="782"/>
      <c r="HW42" s="782"/>
      <c r="HX42" s="782"/>
      <c r="HY42" s="782"/>
      <c r="HZ42" s="782"/>
      <c r="IA42" s="782"/>
      <c r="IB42" s="782"/>
      <c r="IC42" s="782"/>
      <c r="ID42" s="782"/>
      <c r="IE42" s="782"/>
      <c r="IF42" s="782"/>
      <c r="IG42" s="782"/>
      <c r="IH42" s="782"/>
      <c r="II42" s="782"/>
      <c r="IJ42" s="782"/>
      <c r="IK42" s="782"/>
      <c r="IL42" s="782"/>
      <c r="IM42" s="782"/>
      <c r="IN42" s="782"/>
      <c r="IO42" s="782"/>
      <c r="IP42" s="782"/>
      <c r="IQ42" s="782"/>
      <c r="IR42" s="782"/>
      <c r="IS42" s="782"/>
      <c r="IT42" s="782"/>
      <c r="IU42" s="782"/>
      <c r="IV42" s="782"/>
      <c r="IW42" s="782"/>
      <c r="IX42" s="782"/>
      <c r="IY42" s="782"/>
      <c r="IZ42" s="782"/>
      <c r="JA42" s="782"/>
      <c r="JB42" s="782"/>
      <c r="JC42" s="782"/>
      <c r="JD42" s="782"/>
      <c r="JE42" s="782"/>
      <c r="JF42" s="782"/>
      <c r="JG42" s="782"/>
      <c r="JH42" s="782"/>
      <c r="JI42" s="782"/>
      <c r="JJ42" s="782"/>
      <c r="JK42" s="782"/>
      <c r="JL42" s="782"/>
      <c r="JM42" s="782"/>
      <c r="JN42" s="782"/>
      <c r="JO42" s="782"/>
      <c r="JP42" s="782"/>
      <c r="JQ42" s="782"/>
      <c r="JR42" s="782"/>
      <c r="JS42" s="782"/>
      <c r="JT42" s="782"/>
      <c r="JU42" s="782"/>
      <c r="JV42" s="782"/>
      <c r="JW42" s="782"/>
      <c r="JX42" s="782"/>
      <c r="JY42" s="782"/>
      <c r="JZ42" s="782"/>
      <c r="KA42" s="782"/>
      <c r="KB42" s="782"/>
      <c r="KC42" s="782"/>
      <c r="KD42" s="782"/>
      <c r="KE42" s="782"/>
      <c r="KF42" s="782"/>
      <c r="KG42" s="782"/>
      <c r="KH42" s="782"/>
      <c r="KI42" s="782"/>
      <c r="KJ42" s="782"/>
      <c r="KK42" s="782"/>
      <c r="KL42" s="782"/>
      <c r="KM42" s="782"/>
      <c r="KN42" s="782"/>
      <c r="KO42" s="782"/>
      <c r="KP42" s="782"/>
      <c r="KQ42" s="782"/>
      <c r="KR42" s="782"/>
      <c r="KS42" s="782"/>
      <c r="KT42" s="782"/>
      <c r="KU42" s="782"/>
      <c r="KV42" s="782"/>
      <c r="KW42" s="782"/>
      <c r="KX42" s="782"/>
      <c r="KY42" s="782"/>
      <c r="KZ42" s="782"/>
      <c r="LA42" s="782"/>
      <c r="LB42" s="782"/>
      <c r="LC42" s="782"/>
      <c r="LD42" s="782"/>
      <c r="LE42" s="782"/>
      <c r="LF42" s="782"/>
      <c r="LG42" s="782"/>
      <c r="LH42" s="782"/>
      <c r="LI42" s="782"/>
      <c r="LJ42" s="782"/>
      <c r="LK42" s="782"/>
      <c r="LL42" s="782"/>
      <c r="LM42" s="782"/>
      <c r="LN42" s="782"/>
      <c r="LO42" s="782"/>
      <c r="LP42" s="782"/>
      <c r="LQ42" s="782"/>
      <c r="LR42" s="782"/>
      <c r="LS42" s="782"/>
      <c r="LT42" s="782"/>
      <c r="LU42" s="782"/>
      <c r="LV42" s="782"/>
      <c r="LW42" s="782"/>
      <c r="LX42" s="782"/>
      <c r="LY42" s="782"/>
      <c r="LZ42" s="782"/>
      <c r="MA42" s="782"/>
      <c r="MB42" s="782"/>
      <c r="MC42" s="782"/>
      <c r="MD42" s="782"/>
      <c r="ME42" s="782"/>
      <c r="MF42" s="782"/>
      <c r="MG42" s="782"/>
      <c r="MH42" s="782"/>
      <c r="MI42" s="782"/>
      <c r="MJ42" s="782"/>
      <c r="MK42" s="782"/>
      <c r="ML42" s="782"/>
      <c r="MM42" s="782"/>
      <c r="MN42" s="782"/>
      <c r="MO42" s="782"/>
      <c r="MP42" s="782"/>
      <c r="MQ42" s="782"/>
      <c r="MR42" s="782"/>
      <c r="MS42" s="782"/>
      <c r="MT42" s="782"/>
      <c r="MU42" s="782"/>
      <c r="MV42" s="782"/>
      <c r="MW42" s="782"/>
      <c r="MX42" s="782"/>
      <c r="MY42" s="782"/>
      <c r="MZ42" s="782"/>
      <c r="NA42" s="782"/>
      <c r="NB42" s="782"/>
      <c r="NC42" s="782"/>
      <c r="ND42" s="782"/>
      <c r="NE42" s="782"/>
      <c r="NF42" s="782"/>
      <c r="NG42" s="782"/>
      <c r="NH42" s="782"/>
      <c r="NI42" s="782"/>
      <c r="NJ42" s="782"/>
      <c r="NK42" s="782"/>
      <c r="NL42" s="782"/>
      <c r="NM42" s="782"/>
      <c r="NN42" s="782"/>
      <c r="NO42" s="782"/>
      <c r="NP42" s="782"/>
      <c r="NQ42" s="782"/>
      <c r="NR42" s="782"/>
      <c r="NS42" s="782"/>
      <c r="NT42" s="782"/>
      <c r="NU42" s="782"/>
      <c r="NV42" s="782"/>
      <c r="NW42" s="782"/>
      <c r="NX42" s="782"/>
      <c r="NY42" s="782"/>
      <c r="NZ42" s="782"/>
      <c r="OA42" s="782"/>
      <c r="OB42" s="782"/>
      <c r="OC42" s="782"/>
      <c r="OD42" s="782"/>
      <c r="OE42" s="782"/>
      <c r="OF42" s="782"/>
      <c r="OG42" s="782"/>
      <c r="OH42" s="782"/>
      <c r="OI42" s="782"/>
      <c r="OJ42" s="782"/>
      <c r="OK42" s="782"/>
      <c r="OL42" s="782"/>
      <c r="OM42" s="782"/>
      <c r="ON42" s="782"/>
      <c r="OO42" s="782"/>
      <c r="OP42" s="782"/>
      <c r="OQ42" s="782"/>
      <c r="OR42" s="782"/>
      <c r="OS42" s="782"/>
      <c r="OT42" s="782"/>
      <c r="OU42" s="782"/>
      <c r="OV42" s="782"/>
      <c r="OW42" s="782"/>
      <c r="OX42" s="782"/>
      <c r="OY42" s="782"/>
      <c r="OZ42" s="782"/>
      <c r="PA42" s="782"/>
      <c r="PB42" s="782"/>
      <c r="PC42" s="782"/>
      <c r="PD42" s="782"/>
      <c r="PE42" s="782"/>
      <c r="PF42" s="782"/>
      <c r="PG42" s="782"/>
      <c r="PH42" s="782"/>
      <c r="PI42" s="782"/>
      <c r="PJ42" s="782"/>
      <c r="PK42" s="782"/>
      <c r="PL42" s="782"/>
      <c r="PM42" s="782"/>
      <c r="PN42" s="782"/>
      <c r="PO42" s="782"/>
    </row>
    <row r="43" spans="1:431" s="143" customFormat="1">
      <c r="A43" s="782"/>
      <c r="B43" s="782"/>
      <c r="C43" s="785"/>
      <c r="D43" s="785"/>
      <c r="E43" s="785"/>
      <c r="F43" s="785"/>
      <c r="G43" s="785"/>
      <c r="H43" s="785"/>
      <c r="I43" s="785"/>
      <c r="J43" s="785"/>
      <c r="K43" s="785"/>
      <c r="L43" s="785"/>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2"/>
      <c r="BJ43" s="782"/>
      <c r="BK43" s="782"/>
      <c r="BL43" s="782"/>
      <c r="BM43" s="782"/>
      <c r="BN43" s="782"/>
      <c r="BO43" s="782"/>
      <c r="BP43" s="782"/>
      <c r="BQ43" s="782"/>
      <c r="BR43" s="782"/>
      <c r="BS43" s="782"/>
      <c r="BT43" s="782"/>
      <c r="BU43" s="782"/>
      <c r="BV43" s="782"/>
      <c r="BW43" s="782"/>
      <c r="BX43" s="782"/>
      <c r="BY43" s="782"/>
      <c r="BZ43" s="782"/>
      <c r="CA43" s="782"/>
      <c r="CB43" s="782"/>
      <c r="CC43" s="782"/>
      <c r="CD43" s="782"/>
      <c r="CE43" s="782"/>
      <c r="CF43" s="782"/>
      <c r="CG43" s="782"/>
      <c r="CH43" s="782"/>
      <c r="CI43" s="782"/>
      <c r="CJ43" s="782"/>
      <c r="CK43" s="782"/>
      <c r="CL43" s="782"/>
      <c r="CM43" s="782"/>
      <c r="CN43" s="782"/>
      <c r="CO43" s="782"/>
      <c r="CP43" s="782"/>
      <c r="CQ43" s="782"/>
      <c r="CR43" s="782"/>
      <c r="CS43" s="782"/>
      <c r="CT43" s="782"/>
      <c r="CU43" s="782"/>
      <c r="CV43" s="782"/>
      <c r="CW43" s="782"/>
      <c r="CX43" s="782"/>
      <c r="CY43" s="782"/>
      <c r="CZ43" s="782"/>
      <c r="DA43" s="782"/>
      <c r="DB43" s="782"/>
      <c r="DC43" s="782"/>
      <c r="DD43" s="782"/>
      <c r="DE43" s="782"/>
      <c r="DF43" s="782"/>
      <c r="DG43" s="782"/>
      <c r="DH43" s="782"/>
      <c r="DI43" s="782"/>
      <c r="DJ43" s="782"/>
      <c r="DK43" s="782"/>
      <c r="DL43" s="782"/>
      <c r="DM43" s="782"/>
      <c r="DN43" s="782"/>
      <c r="DO43" s="782"/>
      <c r="DP43" s="782"/>
      <c r="DQ43" s="782"/>
      <c r="DR43" s="782"/>
      <c r="DS43" s="782"/>
      <c r="DT43" s="782"/>
      <c r="DU43" s="782"/>
      <c r="DV43" s="782"/>
      <c r="DW43" s="782"/>
      <c r="DX43" s="782"/>
      <c r="DY43" s="782"/>
      <c r="DZ43" s="782"/>
      <c r="EA43" s="782"/>
      <c r="EB43" s="782"/>
      <c r="EC43" s="782"/>
      <c r="ED43" s="782"/>
      <c r="EE43" s="782"/>
      <c r="EF43" s="782"/>
      <c r="EG43" s="782"/>
      <c r="EH43" s="782"/>
      <c r="EI43" s="782"/>
      <c r="EJ43" s="782"/>
      <c r="EK43" s="782"/>
      <c r="EL43" s="782"/>
      <c r="EM43" s="782"/>
      <c r="EN43" s="782"/>
      <c r="EO43" s="782"/>
      <c r="EP43" s="782"/>
      <c r="EQ43" s="782"/>
      <c r="ER43" s="782"/>
      <c r="ES43" s="782"/>
      <c r="ET43" s="782"/>
      <c r="EU43" s="782"/>
      <c r="EV43" s="782"/>
      <c r="EW43" s="782"/>
      <c r="EX43" s="782"/>
      <c r="EY43" s="782"/>
      <c r="EZ43" s="782"/>
      <c r="FA43" s="782"/>
      <c r="FB43" s="782"/>
      <c r="FC43" s="782"/>
      <c r="FD43" s="782"/>
      <c r="FE43" s="782"/>
      <c r="FF43" s="782"/>
      <c r="FG43" s="782"/>
      <c r="FH43" s="782"/>
      <c r="FI43" s="782"/>
      <c r="FJ43" s="782"/>
      <c r="FK43" s="782"/>
      <c r="FL43" s="782"/>
      <c r="FM43" s="782"/>
      <c r="FN43" s="782"/>
      <c r="FO43" s="782"/>
      <c r="FP43" s="782"/>
      <c r="FQ43" s="782"/>
      <c r="FR43" s="782"/>
      <c r="FS43" s="782"/>
      <c r="FT43" s="782"/>
      <c r="FU43" s="782"/>
      <c r="FV43" s="782"/>
      <c r="FW43" s="782"/>
      <c r="FX43" s="782"/>
      <c r="FY43" s="782"/>
      <c r="FZ43" s="782"/>
      <c r="GA43" s="782"/>
      <c r="GB43" s="782"/>
      <c r="GC43" s="782"/>
      <c r="GD43" s="782"/>
      <c r="GE43" s="782"/>
      <c r="GF43" s="782"/>
      <c r="GG43" s="782"/>
      <c r="GH43" s="782"/>
      <c r="GI43" s="782"/>
      <c r="GJ43" s="782"/>
      <c r="GK43" s="782"/>
      <c r="GL43" s="782"/>
      <c r="GM43" s="782"/>
      <c r="GN43" s="782"/>
      <c r="GO43" s="782"/>
      <c r="GP43" s="782"/>
      <c r="GQ43" s="782"/>
      <c r="GR43" s="782"/>
      <c r="GS43" s="782"/>
      <c r="GT43" s="782"/>
      <c r="GU43" s="782"/>
      <c r="GV43" s="782"/>
      <c r="GW43" s="782"/>
      <c r="GX43" s="782"/>
      <c r="GY43" s="782"/>
      <c r="GZ43" s="782"/>
      <c r="HA43" s="782"/>
      <c r="HB43" s="782"/>
      <c r="HC43" s="782"/>
      <c r="HD43" s="782"/>
      <c r="HE43" s="782"/>
      <c r="HF43" s="782"/>
      <c r="HG43" s="782"/>
      <c r="HH43" s="782"/>
      <c r="HI43" s="782"/>
      <c r="HJ43" s="782"/>
      <c r="HK43" s="782"/>
      <c r="HL43" s="782"/>
      <c r="HM43" s="782"/>
      <c r="HN43" s="782"/>
      <c r="HO43" s="782"/>
      <c r="HP43" s="782"/>
      <c r="HQ43" s="782"/>
      <c r="HR43" s="782"/>
      <c r="HS43" s="782"/>
      <c r="HT43" s="782"/>
      <c r="HU43" s="782"/>
      <c r="HV43" s="782"/>
      <c r="HW43" s="782"/>
      <c r="HX43" s="782"/>
      <c r="HY43" s="782"/>
      <c r="HZ43" s="782"/>
      <c r="IA43" s="782"/>
      <c r="IB43" s="782"/>
      <c r="IC43" s="782"/>
      <c r="ID43" s="782"/>
      <c r="IE43" s="782"/>
      <c r="IF43" s="782"/>
      <c r="IG43" s="782"/>
      <c r="IH43" s="782"/>
      <c r="II43" s="782"/>
      <c r="IJ43" s="782"/>
      <c r="IK43" s="782"/>
      <c r="IL43" s="782"/>
      <c r="IM43" s="782"/>
      <c r="IN43" s="782"/>
      <c r="IO43" s="782"/>
      <c r="IP43" s="782"/>
      <c r="IQ43" s="782"/>
      <c r="IR43" s="782"/>
      <c r="IS43" s="782"/>
      <c r="IT43" s="782"/>
      <c r="IU43" s="782"/>
      <c r="IV43" s="782"/>
      <c r="IW43" s="782"/>
      <c r="IX43" s="782"/>
      <c r="IY43" s="782"/>
      <c r="IZ43" s="782"/>
      <c r="JA43" s="782"/>
      <c r="JB43" s="782"/>
      <c r="JC43" s="782"/>
      <c r="JD43" s="782"/>
      <c r="JE43" s="782"/>
      <c r="JF43" s="782"/>
      <c r="JG43" s="782"/>
      <c r="JH43" s="782"/>
      <c r="JI43" s="782"/>
      <c r="JJ43" s="782"/>
      <c r="JK43" s="782"/>
      <c r="JL43" s="782"/>
      <c r="JM43" s="782"/>
      <c r="JN43" s="782"/>
      <c r="JO43" s="782"/>
      <c r="JP43" s="782"/>
      <c r="JQ43" s="782"/>
      <c r="JR43" s="782"/>
      <c r="JS43" s="782"/>
      <c r="JT43" s="782"/>
      <c r="JU43" s="782"/>
      <c r="JV43" s="782"/>
      <c r="JW43" s="782"/>
      <c r="JX43" s="782"/>
      <c r="JY43" s="782"/>
      <c r="JZ43" s="782"/>
      <c r="KA43" s="782"/>
      <c r="KB43" s="782"/>
      <c r="KC43" s="782"/>
      <c r="KD43" s="782"/>
      <c r="KE43" s="782"/>
      <c r="KF43" s="782"/>
      <c r="KG43" s="782"/>
      <c r="KH43" s="782"/>
      <c r="KI43" s="782"/>
      <c r="KJ43" s="782"/>
      <c r="KK43" s="782"/>
      <c r="KL43" s="782"/>
      <c r="KM43" s="782"/>
      <c r="KN43" s="782"/>
      <c r="KO43" s="782"/>
      <c r="KP43" s="782"/>
      <c r="KQ43" s="782"/>
      <c r="KR43" s="782"/>
      <c r="KS43" s="782"/>
      <c r="KT43" s="782"/>
      <c r="KU43" s="782"/>
      <c r="KV43" s="782"/>
      <c r="KW43" s="782"/>
      <c r="KX43" s="782"/>
      <c r="KY43" s="782"/>
      <c r="KZ43" s="782"/>
      <c r="LA43" s="782"/>
      <c r="LB43" s="782"/>
      <c r="LC43" s="782"/>
      <c r="LD43" s="782"/>
      <c r="LE43" s="782"/>
      <c r="LF43" s="782"/>
      <c r="LG43" s="782"/>
      <c r="LH43" s="782"/>
      <c r="LI43" s="782"/>
      <c r="LJ43" s="782"/>
      <c r="LK43" s="782"/>
      <c r="LL43" s="782"/>
      <c r="LM43" s="782"/>
      <c r="LN43" s="782"/>
      <c r="LO43" s="782"/>
      <c r="LP43" s="782"/>
      <c r="LQ43" s="782"/>
      <c r="LR43" s="782"/>
      <c r="LS43" s="782"/>
      <c r="LT43" s="782"/>
      <c r="LU43" s="782"/>
      <c r="LV43" s="782"/>
      <c r="LW43" s="782"/>
      <c r="LX43" s="782"/>
      <c r="LY43" s="782"/>
      <c r="LZ43" s="782"/>
      <c r="MA43" s="782"/>
      <c r="MB43" s="782"/>
      <c r="MC43" s="782"/>
      <c r="MD43" s="782"/>
      <c r="ME43" s="782"/>
      <c r="MF43" s="782"/>
      <c r="MG43" s="782"/>
      <c r="MH43" s="782"/>
      <c r="MI43" s="782"/>
      <c r="MJ43" s="782"/>
      <c r="MK43" s="782"/>
      <c r="ML43" s="782"/>
      <c r="MM43" s="782"/>
      <c r="MN43" s="782"/>
      <c r="MO43" s="782"/>
      <c r="MP43" s="782"/>
      <c r="MQ43" s="782"/>
      <c r="MR43" s="782"/>
      <c r="MS43" s="782"/>
      <c r="MT43" s="782"/>
      <c r="MU43" s="782"/>
      <c r="MV43" s="782"/>
      <c r="MW43" s="782"/>
      <c r="MX43" s="782"/>
      <c r="MY43" s="782"/>
      <c r="MZ43" s="782"/>
      <c r="NA43" s="782"/>
      <c r="NB43" s="782"/>
      <c r="NC43" s="782"/>
      <c r="ND43" s="782"/>
      <c r="NE43" s="782"/>
      <c r="NF43" s="782"/>
      <c r="NG43" s="782"/>
      <c r="NH43" s="782"/>
      <c r="NI43" s="782"/>
      <c r="NJ43" s="782"/>
      <c r="NK43" s="782"/>
      <c r="NL43" s="782"/>
      <c r="NM43" s="782"/>
      <c r="NN43" s="782"/>
      <c r="NO43" s="782"/>
      <c r="NP43" s="782"/>
      <c r="NQ43" s="782"/>
      <c r="NR43" s="782"/>
      <c r="NS43" s="782"/>
      <c r="NT43" s="782"/>
      <c r="NU43" s="782"/>
      <c r="NV43" s="782"/>
      <c r="NW43" s="782"/>
      <c r="NX43" s="782"/>
      <c r="NY43" s="782"/>
      <c r="NZ43" s="782"/>
      <c r="OA43" s="782"/>
      <c r="OB43" s="782"/>
      <c r="OC43" s="782"/>
      <c r="OD43" s="782"/>
      <c r="OE43" s="782"/>
      <c r="OF43" s="782"/>
      <c r="OG43" s="782"/>
      <c r="OH43" s="782"/>
      <c r="OI43" s="782"/>
      <c r="OJ43" s="782"/>
      <c r="OK43" s="782"/>
      <c r="OL43" s="782"/>
      <c r="OM43" s="782"/>
      <c r="ON43" s="782"/>
      <c r="OO43" s="782"/>
      <c r="OP43" s="782"/>
      <c r="OQ43" s="782"/>
      <c r="OR43" s="782"/>
      <c r="OS43" s="782"/>
      <c r="OT43" s="782"/>
      <c r="OU43" s="782"/>
      <c r="OV43" s="782"/>
      <c r="OW43" s="782"/>
      <c r="OX43" s="782"/>
      <c r="OY43" s="782"/>
      <c r="OZ43" s="782"/>
      <c r="PA43" s="782"/>
      <c r="PB43" s="782"/>
      <c r="PC43" s="782"/>
      <c r="PD43" s="782"/>
      <c r="PE43" s="782"/>
      <c r="PF43" s="782"/>
      <c r="PG43" s="782"/>
      <c r="PH43" s="782"/>
      <c r="PI43" s="782"/>
      <c r="PJ43" s="782"/>
      <c r="PK43" s="782"/>
      <c r="PL43" s="782"/>
      <c r="PM43" s="782"/>
      <c r="PN43" s="782"/>
      <c r="PO43" s="782"/>
    </row>
    <row r="44" spans="1:431" s="143" customFormat="1">
      <c r="A44" s="782"/>
      <c r="B44" s="782"/>
      <c r="C44" s="785"/>
      <c r="D44" s="785"/>
      <c r="E44" s="785"/>
      <c r="F44" s="785"/>
      <c r="G44" s="785"/>
      <c r="H44" s="785"/>
      <c r="I44" s="785"/>
      <c r="J44" s="785"/>
      <c r="K44" s="785"/>
      <c r="L44" s="785"/>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c r="BD44" s="782"/>
      <c r="BE44" s="782"/>
      <c r="BF44" s="782"/>
      <c r="BG44" s="782"/>
      <c r="BH44" s="782"/>
      <c r="BI44" s="782"/>
      <c r="BJ44" s="782"/>
      <c r="BK44" s="782"/>
      <c r="BL44" s="782"/>
      <c r="BM44" s="782"/>
      <c r="BN44" s="782"/>
      <c r="BO44" s="782"/>
      <c r="BP44" s="782"/>
      <c r="BQ44" s="782"/>
      <c r="BR44" s="782"/>
      <c r="BS44" s="782"/>
      <c r="BT44" s="782"/>
      <c r="BU44" s="782"/>
      <c r="BV44" s="782"/>
      <c r="BW44" s="782"/>
      <c r="BX44" s="782"/>
      <c r="BY44" s="782"/>
      <c r="BZ44" s="782"/>
      <c r="CA44" s="782"/>
      <c r="CB44" s="782"/>
      <c r="CC44" s="782"/>
      <c r="CD44" s="782"/>
      <c r="CE44" s="782"/>
      <c r="CF44" s="782"/>
      <c r="CG44" s="782"/>
      <c r="CH44" s="782"/>
      <c r="CI44" s="782"/>
      <c r="CJ44" s="782"/>
      <c r="CK44" s="782"/>
      <c r="CL44" s="782"/>
      <c r="CM44" s="782"/>
      <c r="CN44" s="782"/>
      <c r="CO44" s="782"/>
      <c r="CP44" s="782"/>
      <c r="CQ44" s="782"/>
      <c r="CR44" s="782"/>
      <c r="CS44" s="782"/>
      <c r="CT44" s="782"/>
      <c r="CU44" s="782"/>
      <c r="CV44" s="782"/>
      <c r="CW44" s="782"/>
      <c r="CX44" s="782"/>
      <c r="CY44" s="782"/>
      <c r="CZ44" s="782"/>
      <c r="DA44" s="782"/>
      <c r="DB44" s="782"/>
      <c r="DC44" s="782"/>
      <c r="DD44" s="782"/>
      <c r="DE44" s="782"/>
      <c r="DF44" s="782"/>
      <c r="DG44" s="782"/>
      <c r="DH44" s="782"/>
      <c r="DI44" s="782"/>
      <c r="DJ44" s="782"/>
      <c r="DK44" s="782"/>
      <c r="DL44" s="782"/>
      <c r="DM44" s="782"/>
      <c r="DN44" s="782"/>
      <c r="DO44" s="782"/>
      <c r="DP44" s="782"/>
      <c r="DQ44" s="782"/>
      <c r="DR44" s="782"/>
      <c r="DS44" s="782"/>
      <c r="DT44" s="782"/>
      <c r="DU44" s="782"/>
      <c r="DV44" s="782"/>
      <c r="DW44" s="782"/>
      <c r="DX44" s="782"/>
      <c r="DY44" s="782"/>
      <c r="DZ44" s="782"/>
      <c r="EA44" s="782"/>
      <c r="EB44" s="782"/>
      <c r="EC44" s="782"/>
      <c r="ED44" s="782"/>
      <c r="EE44" s="782"/>
      <c r="EF44" s="782"/>
      <c r="EG44" s="782"/>
      <c r="EH44" s="782"/>
      <c r="EI44" s="782"/>
      <c r="EJ44" s="782"/>
      <c r="EK44" s="782"/>
      <c r="EL44" s="782"/>
      <c r="EM44" s="782"/>
      <c r="EN44" s="782"/>
      <c r="EO44" s="782"/>
      <c r="EP44" s="782"/>
      <c r="EQ44" s="782"/>
      <c r="ER44" s="782"/>
      <c r="ES44" s="782"/>
      <c r="ET44" s="782"/>
      <c r="EU44" s="782"/>
      <c r="EV44" s="782"/>
      <c r="EW44" s="782"/>
      <c r="EX44" s="782"/>
      <c r="EY44" s="782"/>
      <c r="EZ44" s="782"/>
      <c r="FA44" s="782"/>
      <c r="FB44" s="782"/>
      <c r="FC44" s="782"/>
      <c r="FD44" s="782"/>
      <c r="FE44" s="782"/>
      <c r="FF44" s="782"/>
      <c r="FG44" s="782"/>
      <c r="FH44" s="782"/>
      <c r="FI44" s="782"/>
      <c r="FJ44" s="782"/>
      <c r="FK44" s="782"/>
      <c r="FL44" s="782"/>
      <c r="FM44" s="782"/>
      <c r="FN44" s="782"/>
      <c r="FO44" s="782"/>
      <c r="FP44" s="782"/>
      <c r="FQ44" s="782"/>
      <c r="FR44" s="782"/>
      <c r="FS44" s="782"/>
      <c r="FT44" s="782"/>
      <c r="FU44" s="782"/>
      <c r="FV44" s="782"/>
      <c r="FW44" s="782"/>
      <c r="FX44" s="782"/>
      <c r="FY44" s="782"/>
      <c r="FZ44" s="782"/>
      <c r="GA44" s="782"/>
      <c r="GB44" s="782"/>
      <c r="GC44" s="782"/>
      <c r="GD44" s="782"/>
      <c r="GE44" s="782"/>
      <c r="GF44" s="782"/>
      <c r="GG44" s="782"/>
      <c r="GH44" s="782"/>
      <c r="GI44" s="782"/>
      <c r="GJ44" s="782"/>
      <c r="GK44" s="782"/>
      <c r="GL44" s="782"/>
      <c r="GM44" s="782"/>
      <c r="GN44" s="782"/>
      <c r="GO44" s="782"/>
      <c r="GP44" s="782"/>
      <c r="GQ44" s="782"/>
      <c r="GR44" s="782"/>
      <c r="GS44" s="782"/>
      <c r="GT44" s="782"/>
      <c r="GU44" s="782"/>
      <c r="GV44" s="782"/>
      <c r="GW44" s="782"/>
      <c r="GX44" s="782"/>
      <c r="GY44" s="782"/>
      <c r="GZ44" s="782"/>
      <c r="HA44" s="782"/>
      <c r="HB44" s="782"/>
      <c r="HC44" s="782"/>
      <c r="HD44" s="782"/>
      <c r="HE44" s="782"/>
      <c r="HF44" s="782"/>
      <c r="HG44" s="782"/>
      <c r="HH44" s="782"/>
      <c r="HI44" s="782"/>
      <c r="HJ44" s="782"/>
      <c r="HK44" s="782"/>
      <c r="HL44" s="782"/>
      <c r="HM44" s="782"/>
      <c r="HN44" s="782"/>
      <c r="HO44" s="782"/>
      <c r="HP44" s="782"/>
      <c r="HQ44" s="782"/>
      <c r="HR44" s="782"/>
      <c r="HS44" s="782"/>
      <c r="HT44" s="782"/>
      <c r="HU44" s="782"/>
      <c r="HV44" s="782"/>
      <c r="HW44" s="782"/>
      <c r="HX44" s="782"/>
      <c r="HY44" s="782"/>
      <c r="HZ44" s="782"/>
      <c r="IA44" s="782"/>
      <c r="IB44" s="782"/>
      <c r="IC44" s="782"/>
      <c r="ID44" s="782"/>
      <c r="IE44" s="782"/>
      <c r="IF44" s="782"/>
      <c r="IG44" s="782"/>
      <c r="IH44" s="782"/>
      <c r="II44" s="782"/>
      <c r="IJ44" s="782"/>
      <c r="IK44" s="782"/>
      <c r="IL44" s="782"/>
      <c r="IM44" s="782"/>
      <c r="IN44" s="782"/>
      <c r="IO44" s="782"/>
      <c r="IP44" s="782"/>
      <c r="IQ44" s="782"/>
      <c r="IR44" s="782"/>
      <c r="IS44" s="782"/>
      <c r="IT44" s="782"/>
      <c r="IU44" s="782"/>
      <c r="IV44" s="782"/>
      <c r="IW44" s="782"/>
      <c r="IX44" s="782"/>
      <c r="IY44" s="782"/>
      <c r="IZ44" s="782"/>
      <c r="JA44" s="782"/>
      <c r="JB44" s="782"/>
      <c r="JC44" s="782"/>
      <c r="JD44" s="782"/>
      <c r="JE44" s="782"/>
      <c r="JF44" s="782"/>
      <c r="JG44" s="782"/>
      <c r="JH44" s="782"/>
      <c r="JI44" s="782"/>
      <c r="JJ44" s="782"/>
      <c r="JK44" s="782"/>
      <c r="JL44" s="782"/>
      <c r="JM44" s="782"/>
      <c r="JN44" s="782"/>
      <c r="JO44" s="782"/>
      <c r="JP44" s="782"/>
      <c r="JQ44" s="782"/>
      <c r="JR44" s="782"/>
      <c r="JS44" s="782"/>
      <c r="JT44" s="782"/>
      <c r="JU44" s="782"/>
      <c r="JV44" s="782"/>
      <c r="JW44" s="782"/>
      <c r="JX44" s="782"/>
      <c r="JY44" s="782"/>
      <c r="JZ44" s="782"/>
      <c r="KA44" s="782"/>
      <c r="KB44" s="782"/>
      <c r="KC44" s="782"/>
      <c r="KD44" s="782"/>
      <c r="KE44" s="782"/>
      <c r="KF44" s="782"/>
      <c r="KG44" s="782"/>
      <c r="KH44" s="782"/>
      <c r="KI44" s="782"/>
      <c r="KJ44" s="782"/>
      <c r="KK44" s="782"/>
      <c r="KL44" s="782"/>
      <c r="KM44" s="782"/>
      <c r="KN44" s="782"/>
      <c r="KO44" s="782"/>
      <c r="KP44" s="782"/>
      <c r="KQ44" s="782"/>
      <c r="KR44" s="782"/>
      <c r="KS44" s="782"/>
      <c r="KT44" s="782"/>
      <c r="KU44" s="782"/>
      <c r="KV44" s="782"/>
      <c r="KW44" s="782"/>
      <c r="KX44" s="782"/>
      <c r="KY44" s="782"/>
      <c r="KZ44" s="782"/>
      <c r="LA44" s="782"/>
      <c r="LB44" s="782"/>
      <c r="LC44" s="782"/>
      <c r="LD44" s="782"/>
      <c r="LE44" s="782"/>
      <c r="LF44" s="782"/>
      <c r="LG44" s="782"/>
      <c r="LH44" s="782"/>
      <c r="LI44" s="782"/>
      <c r="LJ44" s="782"/>
      <c r="LK44" s="782"/>
      <c r="LL44" s="782"/>
      <c r="LM44" s="782"/>
      <c r="LN44" s="782"/>
      <c r="LO44" s="782"/>
      <c r="LP44" s="782"/>
      <c r="LQ44" s="782"/>
      <c r="LR44" s="782"/>
      <c r="LS44" s="782"/>
      <c r="LT44" s="782"/>
      <c r="LU44" s="782"/>
      <c r="LV44" s="782"/>
      <c r="LW44" s="782"/>
      <c r="LX44" s="782"/>
      <c r="LY44" s="782"/>
      <c r="LZ44" s="782"/>
      <c r="MA44" s="782"/>
      <c r="MB44" s="782"/>
      <c r="MC44" s="782"/>
      <c r="MD44" s="782"/>
      <c r="ME44" s="782"/>
      <c r="MF44" s="782"/>
      <c r="MG44" s="782"/>
      <c r="MH44" s="782"/>
      <c r="MI44" s="782"/>
      <c r="MJ44" s="782"/>
      <c r="MK44" s="782"/>
      <c r="ML44" s="782"/>
      <c r="MM44" s="782"/>
      <c r="MN44" s="782"/>
      <c r="MO44" s="782"/>
      <c r="MP44" s="782"/>
      <c r="MQ44" s="782"/>
      <c r="MR44" s="782"/>
      <c r="MS44" s="782"/>
      <c r="MT44" s="782"/>
      <c r="MU44" s="782"/>
      <c r="MV44" s="782"/>
      <c r="MW44" s="782"/>
      <c r="MX44" s="782"/>
      <c r="MY44" s="782"/>
      <c r="MZ44" s="782"/>
      <c r="NA44" s="782"/>
      <c r="NB44" s="782"/>
      <c r="NC44" s="782"/>
      <c r="ND44" s="782"/>
      <c r="NE44" s="782"/>
      <c r="NF44" s="782"/>
      <c r="NG44" s="782"/>
      <c r="NH44" s="782"/>
      <c r="NI44" s="782"/>
      <c r="NJ44" s="782"/>
      <c r="NK44" s="782"/>
      <c r="NL44" s="782"/>
      <c r="NM44" s="782"/>
      <c r="NN44" s="782"/>
      <c r="NO44" s="782"/>
      <c r="NP44" s="782"/>
      <c r="NQ44" s="782"/>
      <c r="NR44" s="782"/>
      <c r="NS44" s="782"/>
      <c r="NT44" s="782"/>
      <c r="NU44" s="782"/>
      <c r="NV44" s="782"/>
      <c r="NW44" s="782"/>
      <c r="NX44" s="782"/>
      <c r="NY44" s="782"/>
      <c r="NZ44" s="782"/>
      <c r="OA44" s="782"/>
      <c r="OB44" s="782"/>
      <c r="OC44" s="782"/>
      <c r="OD44" s="782"/>
      <c r="OE44" s="782"/>
      <c r="OF44" s="782"/>
      <c r="OG44" s="782"/>
      <c r="OH44" s="782"/>
      <c r="OI44" s="782"/>
      <c r="OJ44" s="782"/>
      <c r="OK44" s="782"/>
      <c r="OL44" s="782"/>
      <c r="OM44" s="782"/>
      <c r="ON44" s="782"/>
      <c r="OO44" s="782"/>
      <c r="OP44" s="782"/>
      <c r="OQ44" s="782"/>
      <c r="OR44" s="782"/>
      <c r="OS44" s="782"/>
      <c r="OT44" s="782"/>
      <c r="OU44" s="782"/>
      <c r="OV44" s="782"/>
      <c r="OW44" s="782"/>
      <c r="OX44" s="782"/>
      <c r="OY44" s="782"/>
      <c r="OZ44" s="782"/>
      <c r="PA44" s="782"/>
      <c r="PB44" s="782"/>
      <c r="PC44" s="782"/>
      <c r="PD44" s="782"/>
      <c r="PE44" s="782"/>
      <c r="PF44" s="782"/>
      <c r="PG44" s="782"/>
      <c r="PH44" s="782"/>
      <c r="PI44" s="782"/>
      <c r="PJ44" s="782"/>
      <c r="PK44" s="782"/>
      <c r="PL44" s="782"/>
      <c r="PM44" s="782"/>
      <c r="PN44" s="782"/>
      <c r="PO44" s="782"/>
    </row>
    <row r="45" spans="1:431" s="143" customFormat="1">
      <c r="A45" s="782"/>
      <c r="B45" s="782"/>
      <c r="C45" s="785"/>
      <c r="D45" s="785"/>
      <c r="E45" s="785"/>
      <c r="F45" s="785"/>
      <c r="G45" s="785"/>
      <c r="H45" s="785"/>
      <c r="I45" s="785"/>
      <c r="J45" s="785"/>
      <c r="K45" s="785"/>
      <c r="L45" s="785"/>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2"/>
      <c r="BG45" s="782"/>
      <c r="BH45" s="782"/>
      <c r="BI45" s="782"/>
      <c r="BJ45" s="782"/>
      <c r="BK45" s="782"/>
      <c r="BL45" s="782"/>
      <c r="BM45" s="782"/>
      <c r="BN45" s="782"/>
      <c r="BO45" s="782"/>
      <c r="BP45" s="782"/>
      <c r="BQ45" s="782"/>
      <c r="BR45" s="782"/>
      <c r="BS45" s="782"/>
      <c r="BT45" s="782"/>
      <c r="BU45" s="782"/>
      <c r="BV45" s="782"/>
      <c r="BW45" s="782"/>
      <c r="BX45" s="782"/>
      <c r="BY45" s="782"/>
      <c r="BZ45" s="782"/>
      <c r="CA45" s="782"/>
      <c r="CB45" s="782"/>
      <c r="CC45" s="782"/>
      <c r="CD45" s="782"/>
      <c r="CE45" s="782"/>
      <c r="CF45" s="782"/>
      <c r="CG45" s="782"/>
      <c r="CH45" s="782"/>
      <c r="CI45" s="782"/>
      <c r="CJ45" s="782"/>
      <c r="CK45" s="782"/>
      <c r="CL45" s="782"/>
      <c r="CM45" s="782"/>
      <c r="CN45" s="782"/>
      <c r="CO45" s="782"/>
      <c r="CP45" s="782"/>
      <c r="CQ45" s="782"/>
      <c r="CR45" s="782"/>
      <c r="CS45" s="782"/>
      <c r="CT45" s="782"/>
      <c r="CU45" s="782"/>
      <c r="CV45" s="782"/>
      <c r="CW45" s="782"/>
      <c r="CX45" s="782"/>
      <c r="CY45" s="782"/>
      <c r="CZ45" s="782"/>
      <c r="DA45" s="782"/>
      <c r="DB45" s="782"/>
      <c r="DC45" s="782"/>
      <c r="DD45" s="782"/>
      <c r="DE45" s="782"/>
      <c r="DF45" s="782"/>
      <c r="DG45" s="782"/>
      <c r="DH45" s="782"/>
      <c r="DI45" s="782"/>
      <c r="DJ45" s="782"/>
      <c r="DK45" s="782"/>
      <c r="DL45" s="782"/>
      <c r="DM45" s="782"/>
      <c r="DN45" s="782"/>
      <c r="DO45" s="782"/>
      <c r="DP45" s="782"/>
      <c r="DQ45" s="782"/>
      <c r="DR45" s="782"/>
      <c r="DS45" s="782"/>
      <c r="DT45" s="782"/>
      <c r="DU45" s="782"/>
      <c r="DV45" s="782"/>
      <c r="DW45" s="782"/>
      <c r="DX45" s="782"/>
      <c r="DY45" s="782"/>
      <c r="DZ45" s="782"/>
      <c r="EA45" s="782"/>
      <c r="EB45" s="782"/>
      <c r="EC45" s="782"/>
      <c r="ED45" s="782"/>
      <c r="EE45" s="782"/>
      <c r="EF45" s="782"/>
      <c r="EG45" s="782"/>
      <c r="EH45" s="782"/>
      <c r="EI45" s="782"/>
      <c r="EJ45" s="782"/>
      <c r="EK45" s="782"/>
      <c r="EL45" s="782"/>
      <c r="EM45" s="782"/>
      <c r="EN45" s="782"/>
      <c r="EO45" s="782"/>
      <c r="EP45" s="782"/>
      <c r="EQ45" s="782"/>
      <c r="ER45" s="782"/>
      <c r="ES45" s="782"/>
      <c r="ET45" s="782"/>
      <c r="EU45" s="782"/>
      <c r="EV45" s="782"/>
      <c r="EW45" s="782"/>
      <c r="EX45" s="782"/>
      <c r="EY45" s="782"/>
      <c r="EZ45" s="782"/>
      <c r="FA45" s="782"/>
      <c r="FB45" s="782"/>
      <c r="FC45" s="782"/>
      <c r="FD45" s="782"/>
      <c r="FE45" s="782"/>
      <c r="FF45" s="782"/>
      <c r="FG45" s="782"/>
      <c r="FH45" s="782"/>
      <c r="FI45" s="782"/>
      <c r="FJ45" s="782"/>
      <c r="FK45" s="782"/>
      <c r="FL45" s="782"/>
      <c r="FM45" s="782"/>
      <c r="FN45" s="782"/>
      <c r="FO45" s="782"/>
      <c r="FP45" s="782"/>
      <c r="FQ45" s="782"/>
      <c r="FR45" s="782"/>
      <c r="FS45" s="782"/>
      <c r="FT45" s="782"/>
      <c r="FU45" s="782"/>
      <c r="FV45" s="782"/>
      <c r="FW45" s="782"/>
      <c r="FX45" s="782"/>
      <c r="FY45" s="782"/>
      <c r="FZ45" s="782"/>
      <c r="GA45" s="782"/>
      <c r="GB45" s="782"/>
      <c r="GC45" s="782"/>
      <c r="GD45" s="782"/>
      <c r="GE45" s="782"/>
      <c r="GF45" s="782"/>
      <c r="GG45" s="782"/>
      <c r="GH45" s="782"/>
      <c r="GI45" s="782"/>
      <c r="GJ45" s="782"/>
      <c r="GK45" s="782"/>
      <c r="GL45" s="782"/>
      <c r="GM45" s="782"/>
      <c r="GN45" s="782"/>
      <c r="GO45" s="782"/>
      <c r="GP45" s="782"/>
      <c r="GQ45" s="782"/>
      <c r="GR45" s="782"/>
      <c r="GS45" s="782"/>
      <c r="GT45" s="782"/>
      <c r="GU45" s="782"/>
      <c r="GV45" s="782"/>
      <c r="GW45" s="782"/>
      <c r="GX45" s="782"/>
      <c r="GY45" s="782"/>
      <c r="GZ45" s="782"/>
      <c r="HA45" s="782"/>
      <c r="HB45" s="782"/>
      <c r="HC45" s="782"/>
      <c r="HD45" s="782"/>
      <c r="HE45" s="782"/>
      <c r="HF45" s="782"/>
      <c r="HG45" s="782"/>
      <c r="HH45" s="782"/>
      <c r="HI45" s="782"/>
      <c r="HJ45" s="782"/>
      <c r="HK45" s="782"/>
      <c r="HL45" s="782"/>
      <c r="HM45" s="782"/>
      <c r="HN45" s="782"/>
      <c r="HO45" s="782"/>
      <c r="HP45" s="782"/>
      <c r="HQ45" s="782"/>
      <c r="HR45" s="782"/>
      <c r="HS45" s="782"/>
      <c r="HT45" s="782"/>
      <c r="HU45" s="782"/>
      <c r="HV45" s="782"/>
      <c r="HW45" s="782"/>
      <c r="HX45" s="782"/>
      <c r="HY45" s="782"/>
      <c r="HZ45" s="782"/>
      <c r="IA45" s="782"/>
      <c r="IB45" s="782"/>
      <c r="IC45" s="782"/>
      <c r="ID45" s="782"/>
      <c r="IE45" s="782"/>
      <c r="IF45" s="782"/>
      <c r="IG45" s="782"/>
      <c r="IH45" s="782"/>
      <c r="II45" s="782"/>
      <c r="IJ45" s="782"/>
      <c r="IK45" s="782"/>
      <c r="IL45" s="782"/>
      <c r="IM45" s="782"/>
      <c r="IN45" s="782"/>
      <c r="IO45" s="782"/>
      <c r="IP45" s="782"/>
      <c r="IQ45" s="782"/>
      <c r="IR45" s="782"/>
      <c r="IS45" s="782"/>
      <c r="IT45" s="782"/>
      <c r="IU45" s="782"/>
      <c r="IV45" s="782"/>
      <c r="IW45" s="782"/>
      <c r="IX45" s="782"/>
      <c r="IY45" s="782"/>
      <c r="IZ45" s="782"/>
      <c r="JA45" s="782"/>
      <c r="JB45" s="782"/>
      <c r="JC45" s="782"/>
      <c r="JD45" s="782"/>
      <c r="JE45" s="782"/>
      <c r="JF45" s="782"/>
      <c r="JG45" s="782"/>
      <c r="JH45" s="782"/>
      <c r="JI45" s="782"/>
      <c r="JJ45" s="782"/>
      <c r="JK45" s="782"/>
      <c r="JL45" s="782"/>
      <c r="JM45" s="782"/>
      <c r="JN45" s="782"/>
      <c r="JO45" s="782"/>
      <c r="JP45" s="782"/>
      <c r="JQ45" s="782"/>
      <c r="JR45" s="782"/>
      <c r="JS45" s="782"/>
      <c r="JT45" s="782"/>
      <c r="JU45" s="782"/>
      <c r="JV45" s="782"/>
      <c r="JW45" s="782"/>
      <c r="JX45" s="782"/>
      <c r="JY45" s="782"/>
      <c r="JZ45" s="782"/>
      <c r="KA45" s="782"/>
      <c r="KB45" s="782"/>
      <c r="KC45" s="782"/>
      <c r="KD45" s="782"/>
      <c r="KE45" s="782"/>
      <c r="KF45" s="782"/>
      <c r="KG45" s="782"/>
      <c r="KH45" s="782"/>
      <c r="KI45" s="782"/>
      <c r="KJ45" s="782"/>
      <c r="KK45" s="782"/>
      <c r="KL45" s="782"/>
      <c r="KM45" s="782"/>
      <c r="KN45" s="782"/>
      <c r="KO45" s="782"/>
      <c r="KP45" s="782"/>
      <c r="KQ45" s="782"/>
      <c r="KR45" s="782"/>
      <c r="KS45" s="782"/>
      <c r="KT45" s="782"/>
      <c r="KU45" s="782"/>
      <c r="KV45" s="782"/>
      <c r="KW45" s="782"/>
      <c r="KX45" s="782"/>
      <c r="KY45" s="782"/>
      <c r="KZ45" s="782"/>
      <c r="LA45" s="782"/>
      <c r="LB45" s="782"/>
      <c r="LC45" s="782"/>
      <c r="LD45" s="782"/>
      <c r="LE45" s="782"/>
      <c r="LF45" s="782"/>
      <c r="LG45" s="782"/>
      <c r="LH45" s="782"/>
      <c r="LI45" s="782"/>
      <c r="LJ45" s="782"/>
      <c r="LK45" s="782"/>
      <c r="LL45" s="782"/>
      <c r="LM45" s="782"/>
      <c r="LN45" s="782"/>
      <c r="LO45" s="782"/>
      <c r="LP45" s="782"/>
      <c r="LQ45" s="782"/>
      <c r="LR45" s="782"/>
      <c r="LS45" s="782"/>
      <c r="LT45" s="782"/>
      <c r="LU45" s="782"/>
      <c r="LV45" s="782"/>
      <c r="LW45" s="782"/>
      <c r="LX45" s="782"/>
      <c r="LY45" s="782"/>
      <c r="LZ45" s="782"/>
      <c r="MA45" s="782"/>
      <c r="MB45" s="782"/>
      <c r="MC45" s="782"/>
      <c r="MD45" s="782"/>
      <c r="ME45" s="782"/>
      <c r="MF45" s="782"/>
      <c r="MG45" s="782"/>
      <c r="MH45" s="782"/>
      <c r="MI45" s="782"/>
      <c r="MJ45" s="782"/>
      <c r="MK45" s="782"/>
      <c r="ML45" s="782"/>
      <c r="MM45" s="782"/>
      <c r="MN45" s="782"/>
      <c r="MO45" s="782"/>
      <c r="MP45" s="782"/>
      <c r="MQ45" s="782"/>
      <c r="MR45" s="782"/>
      <c r="MS45" s="782"/>
      <c r="MT45" s="782"/>
      <c r="MU45" s="782"/>
      <c r="MV45" s="782"/>
      <c r="MW45" s="782"/>
      <c r="MX45" s="782"/>
      <c r="MY45" s="782"/>
      <c r="MZ45" s="782"/>
      <c r="NA45" s="782"/>
      <c r="NB45" s="782"/>
      <c r="NC45" s="782"/>
      <c r="ND45" s="782"/>
      <c r="NE45" s="782"/>
      <c r="NF45" s="782"/>
      <c r="NG45" s="782"/>
      <c r="NH45" s="782"/>
      <c r="NI45" s="782"/>
      <c r="NJ45" s="782"/>
      <c r="NK45" s="782"/>
      <c r="NL45" s="782"/>
      <c r="NM45" s="782"/>
      <c r="NN45" s="782"/>
      <c r="NO45" s="782"/>
      <c r="NP45" s="782"/>
      <c r="NQ45" s="782"/>
      <c r="NR45" s="782"/>
      <c r="NS45" s="782"/>
      <c r="NT45" s="782"/>
      <c r="NU45" s="782"/>
      <c r="NV45" s="782"/>
      <c r="NW45" s="782"/>
      <c r="NX45" s="782"/>
      <c r="NY45" s="782"/>
      <c r="NZ45" s="782"/>
      <c r="OA45" s="782"/>
      <c r="OB45" s="782"/>
      <c r="OC45" s="782"/>
      <c r="OD45" s="782"/>
      <c r="OE45" s="782"/>
      <c r="OF45" s="782"/>
      <c r="OG45" s="782"/>
      <c r="OH45" s="782"/>
      <c r="OI45" s="782"/>
      <c r="OJ45" s="782"/>
      <c r="OK45" s="782"/>
      <c r="OL45" s="782"/>
      <c r="OM45" s="782"/>
      <c r="ON45" s="782"/>
      <c r="OO45" s="782"/>
      <c r="OP45" s="782"/>
      <c r="OQ45" s="782"/>
      <c r="OR45" s="782"/>
      <c r="OS45" s="782"/>
      <c r="OT45" s="782"/>
      <c r="OU45" s="782"/>
      <c r="OV45" s="782"/>
      <c r="OW45" s="782"/>
      <c r="OX45" s="782"/>
      <c r="OY45" s="782"/>
      <c r="OZ45" s="782"/>
      <c r="PA45" s="782"/>
      <c r="PB45" s="782"/>
      <c r="PC45" s="782"/>
      <c r="PD45" s="782"/>
      <c r="PE45" s="782"/>
      <c r="PF45" s="782"/>
      <c r="PG45" s="782"/>
      <c r="PH45" s="782"/>
      <c r="PI45" s="782"/>
      <c r="PJ45" s="782"/>
      <c r="PK45" s="782"/>
      <c r="PL45" s="782"/>
      <c r="PM45" s="782"/>
      <c r="PN45" s="782"/>
      <c r="PO45" s="782"/>
    </row>
    <row r="46" spans="1:431" s="143" customFormat="1">
      <c r="A46" s="782"/>
      <c r="B46" s="782"/>
      <c r="C46" s="785"/>
      <c r="D46" s="785"/>
      <c r="E46" s="785"/>
      <c r="F46" s="785"/>
      <c r="G46" s="785"/>
      <c r="H46" s="785"/>
      <c r="I46" s="785"/>
      <c r="J46" s="785"/>
      <c r="K46" s="785"/>
      <c r="L46" s="785"/>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782"/>
      <c r="BH46" s="782"/>
      <c r="BI46" s="782"/>
      <c r="BJ46" s="782"/>
      <c r="BK46" s="782"/>
      <c r="BL46" s="782"/>
      <c r="BM46" s="782"/>
      <c r="BN46" s="782"/>
      <c r="BO46" s="782"/>
      <c r="BP46" s="782"/>
      <c r="BQ46" s="782"/>
      <c r="BR46" s="782"/>
      <c r="BS46" s="782"/>
      <c r="BT46" s="782"/>
      <c r="BU46" s="782"/>
      <c r="BV46" s="782"/>
      <c r="BW46" s="782"/>
      <c r="BX46" s="782"/>
      <c r="BY46" s="782"/>
      <c r="BZ46" s="782"/>
      <c r="CA46" s="782"/>
      <c r="CB46" s="782"/>
      <c r="CC46" s="782"/>
      <c r="CD46" s="782"/>
      <c r="CE46" s="782"/>
      <c r="CF46" s="782"/>
      <c r="CG46" s="782"/>
      <c r="CH46" s="782"/>
      <c r="CI46" s="782"/>
      <c r="CJ46" s="782"/>
      <c r="CK46" s="782"/>
      <c r="CL46" s="782"/>
      <c r="CM46" s="782"/>
      <c r="CN46" s="782"/>
      <c r="CO46" s="782"/>
      <c r="CP46" s="782"/>
      <c r="CQ46" s="782"/>
      <c r="CR46" s="782"/>
      <c r="CS46" s="782"/>
      <c r="CT46" s="782"/>
      <c r="CU46" s="782"/>
      <c r="CV46" s="782"/>
      <c r="CW46" s="782"/>
      <c r="CX46" s="782"/>
      <c r="CY46" s="782"/>
      <c r="CZ46" s="782"/>
      <c r="DA46" s="782"/>
      <c r="DB46" s="782"/>
      <c r="DC46" s="782"/>
      <c r="DD46" s="782"/>
      <c r="DE46" s="782"/>
      <c r="DF46" s="782"/>
      <c r="DG46" s="782"/>
      <c r="DH46" s="782"/>
      <c r="DI46" s="782"/>
      <c r="DJ46" s="782"/>
      <c r="DK46" s="782"/>
      <c r="DL46" s="782"/>
      <c r="DM46" s="782"/>
      <c r="DN46" s="782"/>
      <c r="DO46" s="782"/>
      <c r="DP46" s="782"/>
      <c r="DQ46" s="782"/>
      <c r="DR46" s="782"/>
      <c r="DS46" s="782"/>
      <c r="DT46" s="782"/>
      <c r="DU46" s="782"/>
      <c r="DV46" s="782"/>
      <c r="DW46" s="782"/>
      <c r="DX46" s="782"/>
      <c r="DY46" s="782"/>
      <c r="DZ46" s="782"/>
      <c r="EA46" s="782"/>
      <c r="EB46" s="782"/>
      <c r="EC46" s="782"/>
      <c r="ED46" s="782"/>
      <c r="EE46" s="782"/>
      <c r="EF46" s="782"/>
      <c r="EG46" s="782"/>
      <c r="EH46" s="782"/>
      <c r="EI46" s="782"/>
      <c r="EJ46" s="782"/>
      <c r="EK46" s="782"/>
      <c r="EL46" s="782"/>
      <c r="EM46" s="782"/>
      <c r="EN46" s="782"/>
      <c r="EO46" s="782"/>
      <c r="EP46" s="782"/>
      <c r="EQ46" s="782"/>
      <c r="ER46" s="782"/>
      <c r="ES46" s="782"/>
      <c r="ET46" s="782"/>
      <c r="EU46" s="782"/>
      <c r="EV46" s="782"/>
      <c r="EW46" s="782"/>
      <c r="EX46" s="782"/>
      <c r="EY46" s="782"/>
      <c r="EZ46" s="782"/>
      <c r="FA46" s="782"/>
      <c r="FB46" s="782"/>
      <c r="FC46" s="782"/>
      <c r="FD46" s="782"/>
      <c r="FE46" s="782"/>
      <c r="FF46" s="782"/>
      <c r="FG46" s="782"/>
      <c r="FH46" s="782"/>
      <c r="FI46" s="782"/>
      <c r="FJ46" s="782"/>
      <c r="FK46" s="782"/>
      <c r="FL46" s="782"/>
      <c r="FM46" s="782"/>
      <c r="FN46" s="782"/>
      <c r="FO46" s="782"/>
      <c r="FP46" s="782"/>
      <c r="FQ46" s="782"/>
      <c r="FR46" s="782"/>
      <c r="FS46" s="782"/>
      <c r="FT46" s="782"/>
      <c r="FU46" s="782"/>
      <c r="FV46" s="782"/>
      <c r="FW46" s="782"/>
      <c r="FX46" s="782"/>
      <c r="FY46" s="782"/>
      <c r="FZ46" s="782"/>
      <c r="GA46" s="782"/>
      <c r="GB46" s="782"/>
      <c r="GC46" s="782"/>
      <c r="GD46" s="782"/>
      <c r="GE46" s="782"/>
      <c r="GF46" s="782"/>
      <c r="GG46" s="782"/>
      <c r="GH46" s="782"/>
      <c r="GI46" s="782"/>
      <c r="GJ46" s="782"/>
      <c r="GK46" s="782"/>
      <c r="GL46" s="782"/>
      <c r="GM46" s="782"/>
      <c r="GN46" s="782"/>
      <c r="GO46" s="782"/>
      <c r="GP46" s="782"/>
      <c r="GQ46" s="782"/>
      <c r="GR46" s="782"/>
      <c r="GS46" s="782"/>
      <c r="GT46" s="782"/>
      <c r="GU46" s="782"/>
      <c r="GV46" s="782"/>
      <c r="GW46" s="782"/>
      <c r="GX46" s="782"/>
      <c r="GY46" s="782"/>
      <c r="GZ46" s="782"/>
      <c r="HA46" s="782"/>
      <c r="HB46" s="782"/>
      <c r="HC46" s="782"/>
      <c r="HD46" s="782"/>
      <c r="HE46" s="782"/>
      <c r="HF46" s="782"/>
      <c r="HG46" s="782"/>
      <c r="HH46" s="782"/>
      <c r="HI46" s="782"/>
      <c r="HJ46" s="782"/>
      <c r="HK46" s="782"/>
      <c r="HL46" s="782"/>
      <c r="HM46" s="782"/>
      <c r="HN46" s="782"/>
      <c r="HO46" s="782"/>
      <c r="HP46" s="782"/>
      <c r="HQ46" s="782"/>
      <c r="HR46" s="782"/>
      <c r="HS46" s="782"/>
      <c r="HT46" s="782"/>
      <c r="HU46" s="782"/>
      <c r="HV46" s="782"/>
      <c r="HW46" s="782"/>
      <c r="HX46" s="782"/>
      <c r="HY46" s="782"/>
      <c r="HZ46" s="782"/>
      <c r="IA46" s="782"/>
      <c r="IB46" s="782"/>
      <c r="IC46" s="782"/>
      <c r="ID46" s="782"/>
      <c r="IE46" s="782"/>
      <c r="IF46" s="782"/>
      <c r="IG46" s="782"/>
      <c r="IH46" s="782"/>
      <c r="II46" s="782"/>
      <c r="IJ46" s="782"/>
      <c r="IK46" s="782"/>
      <c r="IL46" s="782"/>
      <c r="IM46" s="782"/>
      <c r="IN46" s="782"/>
      <c r="IO46" s="782"/>
      <c r="IP46" s="782"/>
      <c r="IQ46" s="782"/>
      <c r="IR46" s="782"/>
      <c r="IS46" s="782"/>
      <c r="IT46" s="782"/>
      <c r="IU46" s="782"/>
      <c r="IV46" s="782"/>
      <c r="IW46" s="782"/>
      <c r="IX46" s="782"/>
      <c r="IY46" s="782"/>
      <c r="IZ46" s="782"/>
      <c r="JA46" s="782"/>
      <c r="JB46" s="782"/>
      <c r="JC46" s="782"/>
      <c r="JD46" s="782"/>
      <c r="JE46" s="782"/>
      <c r="JF46" s="782"/>
      <c r="JG46" s="782"/>
      <c r="JH46" s="782"/>
      <c r="JI46" s="782"/>
      <c r="JJ46" s="782"/>
      <c r="JK46" s="782"/>
      <c r="JL46" s="782"/>
      <c r="JM46" s="782"/>
      <c r="JN46" s="782"/>
      <c r="JO46" s="782"/>
      <c r="JP46" s="782"/>
      <c r="JQ46" s="782"/>
      <c r="JR46" s="782"/>
      <c r="JS46" s="782"/>
      <c r="JT46" s="782"/>
      <c r="JU46" s="782"/>
      <c r="JV46" s="782"/>
      <c r="JW46" s="782"/>
      <c r="JX46" s="782"/>
      <c r="JY46" s="782"/>
      <c r="JZ46" s="782"/>
      <c r="KA46" s="782"/>
      <c r="KB46" s="782"/>
      <c r="KC46" s="782"/>
      <c r="KD46" s="782"/>
      <c r="KE46" s="782"/>
      <c r="KF46" s="782"/>
      <c r="KG46" s="782"/>
      <c r="KH46" s="782"/>
      <c r="KI46" s="782"/>
      <c r="KJ46" s="782"/>
      <c r="KK46" s="782"/>
      <c r="KL46" s="782"/>
      <c r="KM46" s="782"/>
      <c r="KN46" s="782"/>
      <c r="KO46" s="782"/>
      <c r="KP46" s="782"/>
      <c r="KQ46" s="782"/>
      <c r="KR46" s="782"/>
      <c r="KS46" s="782"/>
      <c r="KT46" s="782"/>
      <c r="KU46" s="782"/>
      <c r="KV46" s="782"/>
      <c r="KW46" s="782"/>
      <c r="KX46" s="782"/>
      <c r="KY46" s="782"/>
      <c r="KZ46" s="782"/>
      <c r="LA46" s="782"/>
      <c r="LB46" s="782"/>
      <c r="LC46" s="782"/>
      <c r="LD46" s="782"/>
      <c r="LE46" s="782"/>
      <c r="LF46" s="782"/>
      <c r="LG46" s="782"/>
      <c r="LH46" s="782"/>
      <c r="LI46" s="782"/>
      <c r="LJ46" s="782"/>
      <c r="LK46" s="782"/>
      <c r="LL46" s="782"/>
      <c r="LM46" s="782"/>
      <c r="LN46" s="782"/>
      <c r="LO46" s="782"/>
      <c r="LP46" s="782"/>
      <c r="LQ46" s="782"/>
      <c r="LR46" s="782"/>
      <c r="LS46" s="782"/>
      <c r="LT46" s="782"/>
      <c r="LU46" s="782"/>
      <c r="LV46" s="782"/>
      <c r="LW46" s="782"/>
      <c r="LX46" s="782"/>
      <c r="LY46" s="782"/>
      <c r="LZ46" s="782"/>
      <c r="MA46" s="782"/>
      <c r="MB46" s="782"/>
      <c r="MC46" s="782"/>
      <c r="MD46" s="782"/>
      <c r="ME46" s="782"/>
      <c r="MF46" s="782"/>
      <c r="MG46" s="782"/>
      <c r="MH46" s="782"/>
      <c r="MI46" s="782"/>
      <c r="MJ46" s="782"/>
      <c r="MK46" s="782"/>
      <c r="ML46" s="782"/>
      <c r="MM46" s="782"/>
      <c r="MN46" s="782"/>
      <c r="MO46" s="782"/>
      <c r="MP46" s="782"/>
      <c r="MQ46" s="782"/>
      <c r="MR46" s="782"/>
      <c r="MS46" s="782"/>
      <c r="MT46" s="782"/>
      <c r="MU46" s="782"/>
      <c r="MV46" s="782"/>
      <c r="MW46" s="782"/>
      <c r="MX46" s="782"/>
      <c r="MY46" s="782"/>
      <c r="MZ46" s="782"/>
      <c r="NA46" s="782"/>
      <c r="NB46" s="782"/>
      <c r="NC46" s="782"/>
      <c r="ND46" s="782"/>
      <c r="NE46" s="782"/>
      <c r="NF46" s="782"/>
      <c r="NG46" s="782"/>
      <c r="NH46" s="782"/>
      <c r="NI46" s="782"/>
      <c r="NJ46" s="782"/>
      <c r="NK46" s="782"/>
      <c r="NL46" s="782"/>
      <c r="NM46" s="782"/>
      <c r="NN46" s="782"/>
      <c r="NO46" s="782"/>
      <c r="NP46" s="782"/>
      <c r="NQ46" s="782"/>
      <c r="NR46" s="782"/>
      <c r="NS46" s="782"/>
      <c r="NT46" s="782"/>
      <c r="NU46" s="782"/>
      <c r="NV46" s="782"/>
      <c r="NW46" s="782"/>
      <c r="NX46" s="782"/>
      <c r="NY46" s="782"/>
      <c r="NZ46" s="782"/>
      <c r="OA46" s="782"/>
      <c r="OB46" s="782"/>
      <c r="OC46" s="782"/>
      <c r="OD46" s="782"/>
      <c r="OE46" s="782"/>
      <c r="OF46" s="782"/>
      <c r="OG46" s="782"/>
      <c r="OH46" s="782"/>
      <c r="OI46" s="782"/>
      <c r="OJ46" s="782"/>
      <c r="OK46" s="782"/>
      <c r="OL46" s="782"/>
      <c r="OM46" s="782"/>
      <c r="ON46" s="782"/>
      <c r="OO46" s="782"/>
      <c r="OP46" s="782"/>
      <c r="OQ46" s="782"/>
      <c r="OR46" s="782"/>
      <c r="OS46" s="782"/>
      <c r="OT46" s="782"/>
      <c r="OU46" s="782"/>
      <c r="OV46" s="782"/>
      <c r="OW46" s="782"/>
      <c r="OX46" s="782"/>
      <c r="OY46" s="782"/>
      <c r="OZ46" s="782"/>
      <c r="PA46" s="782"/>
      <c r="PB46" s="782"/>
      <c r="PC46" s="782"/>
      <c r="PD46" s="782"/>
      <c r="PE46" s="782"/>
      <c r="PF46" s="782"/>
      <c r="PG46" s="782"/>
      <c r="PH46" s="782"/>
      <c r="PI46" s="782"/>
      <c r="PJ46" s="782"/>
      <c r="PK46" s="782"/>
      <c r="PL46" s="782"/>
      <c r="PM46" s="782"/>
      <c r="PN46" s="782"/>
      <c r="PO46" s="782"/>
    </row>
    <row r="47" spans="1:431" s="143" customFormat="1">
      <c r="A47" s="782"/>
      <c r="B47" s="782"/>
      <c r="C47" s="785"/>
      <c r="D47" s="785"/>
      <c r="E47" s="785"/>
      <c r="F47" s="785"/>
      <c r="G47" s="785"/>
      <c r="H47" s="785"/>
      <c r="I47" s="785"/>
      <c r="J47" s="785"/>
      <c r="K47" s="785"/>
      <c r="L47" s="785"/>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782"/>
      <c r="AW47" s="782"/>
      <c r="AX47" s="782"/>
      <c r="AY47" s="782"/>
      <c r="AZ47" s="782"/>
      <c r="BA47" s="782"/>
      <c r="BB47" s="782"/>
      <c r="BC47" s="782"/>
      <c r="BD47" s="782"/>
      <c r="BE47" s="782"/>
      <c r="BF47" s="782"/>
      <c r="BG47" s="782"/>
      <c r="BH47" s="782"/>
      <c r="BI47" s="782"/>
      <c r="BJ47" s="782"/>
      <c r="BK47" s="782"/>
      <c r="BL47" s="782"/>
      <c r="BM47" s="782"/>
      <c r="BN47" s="782"/>
      <c r="BO47" s="782"/>
      <c r="BP47" s="782"/>
      <c r="BQ47" s="782"/>
      <c r="BR47" s="782"/>
      <c r="BS47" s="782"/>
      <c r="BT47" s="782"/>
      <c r="BU47" s="782"/>
      <c r="BV47" s="782"/>
      <c r="BW47" s="782"/>
      <c r="BX47" s="782"/>
      <c r="BY47" s="782"/>
      <c r="BZ47" s="782"/>
      <c r="CA47" s="782"/>
      <c r="CB47" s="782"/>
      <c r="CC47" s="782"/>
      <c r="CD47" s="782"/>
      <c r="CE47" s="782"/>
      <c r="CF47" s="782"/>
      <c r="CG47" s="782"/>
      <c r="CH47" s="782"/>
      <c r="CI47" s="782"/>
      <c r="CJ47" s="782"/>
      <c r="CK47" s="782"/>
      <c r="CL47" s="782"/>
      <c r="CM47" s="782"/>
      <c r="CN47" s="782"/>
      <c r="CO47" s="782"/>
      <c r="CP47" s="782"/>
      <c r="CQ47" s="782"/>
      <c r="CR47" s="782"/>
      <c r="CS47" s="782"/>
      <c r="CT47" s="782"/>
      <c r="CU47" s="782"/>
      <c r="CV47" s="782"/>
      <c r="CW47" s="782"/>
      <c r="CX47" s="782"/>
      <c r="CY47" s="782"/>
      <c r="CZ47" s="782"/>
      <c r="DA47" s="782"/>
      <c r="DB47" s="782"/>
      <c r="DC47" s="782"/>
      <c r="DD47" s="782"/>
      <c r="DE47" s="782"/>
      <c r="DF47" s="782"/>
      <c r="DG47" s="782"/>
      <c r="DH47" s="782"/>
      <c r="DI47" s="782"/>
      <c r="DJ47" s="782"/>
      <c r="DK47" s="782"/>
      <c r="DL47" s="782"/>
      <c r="DM47" s="782"/>
      <c r="DN47" s="782"/>
      <c r="DO47" s="782"/>
      <c r="DP47" s="782"/>
      <c r="DQ47" s="782"/>
      <c r="DR47" s="782"/>
      <c r="DS47" s="782"/>
      <c r="DT47" s="782"/>
      <c r="DU47" s="782"/>
      <c r="DV47" s="782"/>
      <c r="DW47" s="782"/>
      <c r="DX47" s="782"/>
      <c r="DY47" s="782"/>
      <c r="DZ47" s="782"/>
      <c r="EA47" s="782"/>
      <c r="EB47" s="782"/>
      <c r="EC47" s="782"/>
      <c r="ED47" s="782"/>
      <c r="EE47" s="782"/>
      <c r="EF47" s="782"/>
      <c r="EG47" s="782"/>
      <c r="EH47" s="782"/>
      <c r="EI47" s="782"/>
      <c r="EJ47" s="782"/>
      <c r="EK47" s="782"/>
      <c r="EL47" s="782"/>
      <c r="EM47" s="782"/>
      <c r="EN47" s="782"/>
      <c r="EO47" s="782"/>
      <c r="EP47" s="782"/>
      <c r="EQ47" s="782"/>
      <c r="ER47" s="782"/>
      <c r="ES47" s="782"/>
      <c r="ET47" s="782"/>
      <c r="EU47" s="782"/>
      <c r="EV47" s="782"/>
      <c r="EW47" s="782"/>
      <c r="EX47" s="782"/>
      <c r="EY47" s="782"/>
      <c r="EZ47" s="782"/>
      <c r="FA47" s="782"/>
      <c r="FB47" s="782"/>
      <c r="FC47" s="782"/>
      <c r="FD47" s="782"/>
      <c r="FE47" s="782"/>
      <c r="FF47" s="782"/>
      <c r="FG47" s="782"/>
      <c r="FH47" s="782"/>
      <c r="FI47" s="782"/>
      <c r="FJ47" s="782"/>
      <c r="FK47" s="782"/>
      <c r="FL47" s="782"/>
      <c r="FM47" s="782"/>
      <c r="FN47" s="782"/>
      <c r="FO47" s="782"/>
      <c r="FP47" s="782"/>
      <c r="FQ47" s="782"/>
      <c r="FR47" s="782"/>
      <c r="FS47" s="782"/>
      <c r="FT47" s="782"/>
      <c r="FU47" s="782"/>
      <c r="FV47" s="782"/>
      <c r="FW47" s="782"/>
      <c r="FX47" s="782"/>
      <c r="FY47" s="782"/>
      <c r="FZ47" s="782"/>
      <c r="GA47" s="782"/>
      <c r="GB47" s="782"/>
      <c r="GC47" s="782"/>
      <c r="GD47" s="782"/>
      <c r="GE47" s="782"/>
      <c r="GF47" s="782"/>
      <c r="GG47" s="782"/>
      <c r="GH47" s="782"/>
      <c r="GI47" s="782"/>
      <c r="GJ47" s="782"/>
      <c r="GK47" s="782"/>
      <c r="GL47" s="782"/>
      <c r="GM47" s="782"/>
      <c r="GN47" s="782"/>
      <c r="GO47" s="782"/>
      <c r="GP47" s="782"/>
      <c r="GQ47" s="782"/>
      <c r="GR47" s="782"/>
      <c r="GS47" s="782"/>
      <c r="GT47" s="782"/>
      <c r="GU47" s="782"/>
      <c r="GV47" s="782"/>
      <c r="GW47" s="782"/>
      <c r="GX47" s="782"/>
      <c r="GY47" s="782"/>
      <c r="GZ47" s="782"/>
      <c r="HA47" s="782"/>
      <c r="HB47" s="782"/>
      <c r="HC47" s="782"/>
      <c r="HD47" s="782"/>
      <c r="HE47" s="782"/>
      <c r="HF47" s="782"/>
      <c r="HG47" s="782"/>
      <c r="HH47" s="782"/>
      <c r="HI47" s="782"/>
      <c r="HJ47" s="782"/>
      <c r="HK47" s="782"/>
      <c r="HL47" s="782"/>
      <c r="HM47" s="782"/>
      <c r="HN47" s="782"/>
      <c r="HO47" s="782"/>
      <c r="HP47" s="782"/>
      <c r="HQ47" s="782"/>
      <c r="HR47" s="782"/>
      <c r="HS47" s="782"/>
      <c r="HT47" s="782"/>
      <c r="HU47" s="782"/>
      <c r="HV47" s="782"/>
      <c r="HW47" s="782"/>
      <c r="HX47" s="782"/>
      <c r="HY47" s="782"/>
      <c r="HZ47" s="782"/>
      <c r="IA47" s="782"/>
      <c r="IB47" s="782"/>
      <c r="IC47" s="782"/>
      <c r="ID47" s="782"/>
      <c r="IE47" s="782"/>
      <c r="IF47" s="782"/>
      <c r="IG47" s="782"/>
      <c r="IH47" s="782"/>
      <c r="II47" s="782"/>
      <c r="IJ47" s="782"/>
      <c r="IK47" s="782"/>
      <c r="IL47" s="782"/>
      <c r="IM47" s="782"/>
      <c r="IN47" s="782"/>
      <c r="IO47" s="782"/>
      <c r="IP47" s="782"/>
      <c r="IQ47" s="782"/>
      <c r="IR47" s="782"/>
      <c r="IS47" s="782"/>
      <c r="IT47" s="782"/>
      <c r="IU47" s="782"/>
      <c r="IV47" s="782"/>
      <c r="IW47" s="782"/>
      <c r="IX47" s="782"/>
      <c r="IY47" s="782"/>
      <c r="IZ47" s="782"/>
      <c r="JA47" s="782"/>
      <c r="JB47" s="782"/>
      <c r="JC47" s="782"/>
      <c r="JD47" s="782"/>
      <c r="JE47" s="782"/>
      <c r="JF47" s="782"/>
      <c r="JG47" s="782"/>
      <c r="JH47" s="782"/>
      <c r="JI47" s="782"/>
      <c r="JJ47" s="782"/>
      <c r="JK47" s="782"/>
      <c r="JL47" s="782"/>
      <c r="JM47" s="782"/>
      <c r="JN47" s="782"/>
      <c r="JO47" s="782"/>
      <c r="JP47" s="782"/>
      <c r="JQ47" s="782"/>
      <c r="JR47" s="782"/>
      <c r="JS47" s="782"/>
      <c r="JT47" s="782"/>
      <c r="JU47" s="782"/>
      <c r="JV47" s="782"/>
      <c r="JW47" s="782"/>
      <c r="JX47" s="782"/>
      <c r="JY47" s="782"/>
      <c r="JZ47" s="782"/>
      <c r="KA47" s="782"/>
      <c r="KB47" s="782"/>
      <c r="KC47" s="782"/>
      <c r="KD47" s="782"/>
      <c r="KE47" s="782"/>
      <c r="KF47" s="782"/>
      <c r="KG47" s="782"/>
      <c r="KH47" s="782"/>
      <c r="KI47" s="782"/>
      <c r="KJ47" s="782"/>
      <c r="KK47" s="782"/>
      <c r="KL47" s="782"/>
      <c r="KM47" s="782"/>
      <c r="KN47" s="782"/>
      <c r="KO47" s="782"/>
      <c r="KP47" s="782"/>
      <c r="KQ47" s="782"/>
      <c r="KR47" s="782"/>
      <c r="KS47" s="782"/>
      <c r="KT47" s="782"/>
      <c r="KU47" s="782"/>
      <c r="KV47" s="782"/>
      <c r="KW47" s="782"/>
      <c r="KX47" s="782"/>
      <c r="KY47" s="782"/>
      <c r="KZ47" s="782"/>
      <c r="LA47" s="782"/>
      <c r="LB47" s="782"/>
      <c r="LC47" s="782"/>
      <c r="LD47" s="782"/>
      <c r="LE47" s="782"/>
      <c r="LF47" s="782"/>
      <c r="LG47" s="782"/>
      <c r="LH47" s="782"/>
      <c r="LI47" s="782"/>
      <c r="LJ47" s="782"/>
      <c r="LK47" s="782"/>
      <c r="LL47" s="782"/>
      <c r="LM47" s="782"/>
      <c r="LN47" s="782"/>
      <c r="LO47" s="782"/>
      <c r="LP47" s="782"/>
      <c r="LQ47" s="782"/>
      <c r="LR47" s="782"/>
      <c r="LS47" s="782"/>
      <c r="LT47" s="782"/>
      <c r="LU47" s="782"/>
      <c r="LV47" s="782"/>
      <c r="LW47" s="782"/>
      <c r="LX47" s="782"/>
      <c r="LY47" s="782"/>
      <c r="LZ47" s="782"/>
      <c r="MA47" s="782"/>
      <c r="MB47" s="782"/>
      <c r="MC47" s="782"/>
      <c r="MD47" s="782"/>
      <c r="ME47" s="782"/>
      <c r="MF47" s="782"/>
      <c r="MG47" s="782"/>
      <c r="MH47" s="782"/>
      <c r="MI47" s="782"/>
      <c r="MJ47" s="782"/>
      <c r="MK47" s="782"/>
      <c r="ML47" s="782"/>
      <c r="MM47" s="782"/>
      <c r="MN47" s="782"/>
      <c r="MO47" s="782"/>
      <c r="MP47" s="782"/>
      <c r="MQ47" s="782"/>
      <c r="MR47" s="782"/>
      <c r="MS47" s="782"/>
      <c r="MT47" s="782"/>
      <c r="MU47" s="782"/>
      <c r="MV47" s="782"/>
      <c r="MW47" s="782"/>
      <c r="MX47" s="782"/>
      <c r="MY47" s="782"/>
      <c r="MZ47" s="782"/>
      <c r="NA47" s="782"/>
      <c r="NB47" s="782"/>
      <c r="NC47" s="782"/>
      <c r="ND47" s="782"/>
      <c r="NE47" s="782"/>
      <c r="NF47" s="782"/>
      <c r="NG47" s="782"/>
      <c r="NH47" s="782"/>
      <c r="NI47" s="782"/>
      <c r="NJ47" s="782"/>
      <c r="NK47" s="782"/>
      <c r="NL47" s="782"/>
      <c r="NM47" s="782"/>
      <c r="NN47" s="782"/>
      <c r="NO47" s="782"/>
      <c r="NP47" s="782"/>
      <c r="NQ47" s="782"/>
      <c r="NR47" s="782"/>
      <c r="NS47" s="782"/>
      <c r="NT47" s="782"/>
      <c r="NU47" s="782"/>
      <c r="NV47" s="782"/>
      <c r="NW47" s="782"/>
      <c r="NX47" s="782"/>
      <c r="NY47" s="782"/>
      <c r="NZ47" s="782"/>
      <c r="OA47" s="782"/>
      <c r="OB47" s="782"/>
      <c r="OC47" s="782"/>
      <c r="OD47" s="782"/>
      <c r="OE47" s="782"/>
      <c r="OF47" s="782"/>
      <c r="OG47" s="782"/>
      <c r="OH47" s="782"/>
      <c r="OI47" s="782"/>
      <c r="OJ47" s="782"/>
      <c r="OK47" s="782"/>
      <c r="OL47" s="782"/>
      <c r="OM47" s="782"/>
      <c r="ON47" s="782"/>
      <c r="OO47" s="782"/>
      <c r="OP47" s="782"/>
      <c r="OQ47" s="782"/>
      <c r="OR47" s="782"/>
      <c r="OS47" s="782"/>
      <c r="OT47" s="782"/>
      <c r="OU47" s="782"/>
      <c r="OV47" s="782"/>
      <c r="OW47" s="782"/>
      <c r="OX47" s="782"/>
      <c r="OY47" s="782"/>
      <c r="OZ47" s="782"/>
      <c r="PA47" s="782"/>
      <c r="PB47" s="782"/>
      <c r="PC47" s="782"/>
      <c r="PD47" s="782"/>
      <c r="PE47" s="782"/>
      <c r="PF47" s="782"/>
      <c r="PG47" s="782"/>
      <c r="PH47" s="782"/>
      <c r="PI47" s="782"/>
      <c r="PJ47" s="782"/>
      <c r="PK47" s="782"/>
      <c r="PL47" s="782"/>
      <c r="PM47" s="782"/>
      <c r="PN47" s="782"/>
      <c r="PO47" s="782"/>
    </row>
    <row r="48" spans="1:431" s="143" customFormat="1">
      <c r="C48" s="785"/>
      <c r="D48" s="785"/>
      <c r="E48" s="785"/>
      <c r="F48" s="785"/>
      <c r="G48" s="785"/>
      <c r="H48" s="785"/>
      <c r="I48" s="785"/>
      <c r="J48" s="785"/>
      <c r="K48" s="785"/>
      <c r="L48" s="785"/>
    </row>
    <row r="49" spans="3:12" s="143" customFormat="1">
      <c r="C49" s="785"/>
      <c r="D49" s="785"/>
      <c r="E49" s="785"/>
      <c r="F49" s="785"/>
      <c r="G49" s="785"/>
      <c r="H49" s="785"/>
      <c r="I49" s="785"/>
      <c r="J49" s="785"/>
      <c r="K49" s="785"/>
      <c r="L49" s="785"/>
    </row>
    <row r="50" spans="3:12" s="143" customFormat="1">
      <c r="C50" s="785"/>
      <c r="D50" s="785"/>
      <c r="E50" s="785"/>
      <c r="F50" s="785"/>
      <c r="G50" s="785"/>
      <c r="H50" s="785"/>
      <c r="I50" s="785"/>
      <c r="J50" s="785"/>
      <c r="K50" s="785"/>
      <c r="L50" s="785"/>
    </row>
    <row r="51" spans="3:12" s="143" customFormat="1">
      <c r="C51" s="785"/>
      <c r="D51" s="785"/>
      <c r="E51" s="785"/>
      <c r="F51" s="785"/>
      <c r="G51" s="785"/>
      <c r="H51" s="785"/>
      <c r="I51" s="785"/>
      <c r="J51" s="785"/>
      <c r="K51" s="785"/>
      <c r="L51" s="785"/>
    </row>
    <row r="52" spans="3:12" s="143" customFormat="1">
      <c r="C52" s="785"/>
      <c r="D52" s="785"/>
      <c r="E52" s="785"/>
      <c r="F52" s="785"/>
      <c r="G52" s="785"/>
      <c r="H52" s="785"/>
      <c r="I52" s="785"/>
      <c r="J52" s="785"/>
      <c r="K52" s="785"/>
      <c r="L52" s="785"/>
    </row>
    <row r="53" spans="3:12" s="143" customFormat="1">
      <c r="C53" s="785"/>
      <c r="D53" s="785"/>
      <c r="E53" s="785"/>
      <c r="F53" s="785"/>
      <c r="G53" s="785"/>
      <c r="H53" s="785"/>
      <c r="I53" s="785"/>
      <c r="J53" s="785"/>
      <c r="K53" s="785"/>
      <c r="L53" s="785"/>
    </row>
    <row r="54" spans="3:12" s="143" customFormat="1">
      <c r="C54" s="785"/>
      <c r="D54" s="785"/>
      <c r="E54" s="785"/>
      <c r="F54" s="785"/>
      <c r="G54" s="785"/>
      <c r="H54" s="785"/>
      <c r="I54" s="785"/>
      <c r="J54" s="785"/>
      <c r="K54" s="785"/>
      <c r="L54" s="785"/>
    </row>
    <row r="55" spans="3:12" s="143" customFormat="1">
      <c r="C55" s="785"/>
      <c r="D55" s="785"/>
      <c r="E55" s="785"/>
      <c r="F55" s="785"/>
      <c r="G55" s="785"/>
      <c r="H55" s="785"/>
      <c r="I55" s="785"/>
      <c r="J55" s="785"/>
      <c r="K55" s="785"/>
      <c r="L55" s="785"/>
    </row>
    <row r="56" spans="3:12" s="143" customFormat="1">
      <c r="C56" s="785"/>
      <c r="D56" s="785"/>
      <c r="E56" s="785"/>
      <c r="F56" s="785"/>
      <c r="G56" s="785"/>
      <c r="H56" s="785"/>
      <c r="I56" s="785"/>
      <c r="J56" s="785"/>
      <c r="K56" s="785"/>
      <c r="L56" s="785"/>
    </row>
    <row r="57" spans="3:12" s="143" customFormat="1">
      <c r="C57" s="785"/>
      <c r="D57" s="785"/>
      <c r="E57" s="785"/>
      <c r="F57" s="785"/>
      <c r="G57" s="785"/>
      <c r="H57" s="785"/>
      <c r="I57" s="785"/>
      <c r="J57" s="785"/>
      <c r="K57" s="785"/>
      <c r="L57" s="785"/>
    </row>
    <row r="58" spans="3:12" s="143" customFormat="1">
      <c r="C58" s="785"/>
      <c r="D58" s="785"/>
      <c r="E58" s="785"/>
      <c r="F58" s="785"/>
      <c r="G58" s="785"/>
      <c r="H58" s="785"/>
      <c r="I58" s="785"/>
      <c r="J58" s="785"/>
      <c r="K58" s="785"/>
      <c r="L58" s="785"/>
    </row>
    <row r="59" spans="3:12" s="143" customFormat="1">
      <c r="C59" s="785"/>
      <c r="D59" s="785"/>
      <c r="E59" s="785"/>
      <c r="F59" s="785"/>
      <c r="G59" s="785"/>
      <c r="H59" s="785"/>
      <c r="I59" s="785"/>
      <c r="J59" s="785"/>
      <c r="K59" s="785"/>
      <c r="L59" s="785"/>
    </row>
    <row r="60" spans="3:12" s="143" customFormat="1">
      <c r="C60" s="785"/>
      <c r="D60" s="785"/>
      <c r="E60" s="785"/>
      <c r="F60" s="785"/>
      <c r="G60" s="785"/>
      <c r="H60" s="785"/>
      <c r="I60" s="785"/>
      <c r="J60" s="785"/>
      <c r="K60" s="785"/>
      <c r="L60" s="785"/>
    </row>
    <row r="61" spans="3:12" s="143" customFormat="1">
      <c r="C61" s="785"/>
      <c r="D61" s="785"/>
      <c r="E61" s="785"/>
      <c r="F61" s="785"/>
      <c r="G61" s="785"/>
      <c r="H61" s="785"/>
      <c r="I61" s="785"/>
      <c r="J61" s="785"/>
      <c r="K61" s="785"/>
      <c r="L61" s="785"/>
    </row>
    <row r="62" spans="3:12" s="143" customFormat="1">
      <c r="C62" s="785"/>
      <c r="D62" s="785"/>
      <c r="E62" s="785"/>
      <c r="F62" s="785"/>
      <c r="G62" s="785"/>
      <c r="H62" s="785"/>
      <c r="I62" s="785"/>
      <c r="J62" s="785"/>
      <c r="K62" s="785"/>
      <c r="L62" s="785"/>
    </row>
    <row r="63" spans="3:12" s="143" customFormat="1">
      <c r="C63" s="785"/>
      <c r="D63" s="785"/>
      <c r="E63" s="785"/>
      <c r="F63" s="785"/>
      <c r="G63" s="785"/>
      <c r="H63" s="785"/>
      <c r="I63" s="785"/>
      <c r="J63" s="785"/>
      <c r="K63" s="785"/>
      <c r="L63" s="785"/>
    </row>
    <row r="64" spans="3:12" s="143" customFormat="1">
      <c r="C64" s="785"/>
      <c r="D64" s="785"/>
      <c r="E64" s="785"/>
      <c r="F64" s="785"/>
      <c r="G64" s="785"/>
      <c r="H64" s="785"/>
      <c r="I64" s="785"/>
      <c r="J64" s="785"/>
      <c r="K64" s="785"/>
      <c r="L64" s="785"/>
    </row>
    <row r="65" spans="3:12" s="143" customFormat="1">
      <c r="C65" s="785"/>
      <c r="D65" s="785"/>
      <c r="E65" s="785"/>
      <c r="F65" s="785"/>
      <c r="G65" s="785"/>
      <c r="H65" s="785"/>
      <c r="I65" s="785"/>
      <c r="J65" s="785"/>
      <c r="K65" s="785"/>
      <c r="L65" s="785"/>
    </row>
    <row r="66" spans="3:12" s="143" customFormat="1">
      <c r="C66" s="785"/>
      <c r="D66" s="785"/>
      <c r="E66" s="785"/>
      <c r="F66" s="785"/>
      <c r="G66" s="785"/>
      <c r="H66" s="785"/>
      <c r="I66" s="785"/>
      <c r="J66" s="785"/>
      <c r="K66" s="785"/>
      <c r="L66" s="785"/>
    </row>
    <row r="67" spans="3:12" s="143" customFormat="1">
      <c r="C67" s="785"/>
      <c r="D67" s="785"/>
      <c r="E67" s="785"/>
      <c r="F67" s="785"/>
      <c r="G67" s="785"/>
      <c r="H67" s="785"/>
      <c r="I67" s="785"/>
      <c r="J67" s="785"/>
      <c r="K67" s="785"/>
      <c r="L67" s="785"/>
    </row>
    <row r="68" spans="3:12" s="143" customFormat="1">
      <c r="C68" s="785"/>
      <c r="D68" s="785"/>
      <c r="E68" s="785"/>
      <c r="F68" s="785"/>
      <c r="G68" s="785"/>
      <c r="H68" s="785"/>
      <c r="I68" s="785"/>
      <c r="J68" s="785"/>
      <c r="K68" s="785"/>
      <c r="L68" s="785"/>
    </row>
    <row r="69" spans="3:12" s="143" customFormat="1">
      <c r="C69" s="785"/>
      <c r="D69" s="785"/>
      <c r="E69" s="785"/>
      <c r="F69" s="785"/>
      <c r="G69" s="785"/>
      <c r="H69" s="785"/>
      <c r="I69" s="785"/>
      <c r="J69" s="785"/>
      <c r="K69" s="785"/>
      <c r="L69" s="785"/>
    </row>
    <row r="70" spans="3:12" s="143" customFormat="1">
      <c r="C70" s="785"/>
      <c r="D70" s="785"/>
      <c r="E70" s="785"/>
      <c r="F70" s="785"/>
      <c r="G70" s="785"/>
      <c r="H70" s="785"/>
      <c r="I70" s="785"/>
      <c r="J70" s="785"/>
      <c r="K70" s="785"/>
      <c r="L70" s="785"/>
    </row>
    <row r="71" spans="3:12" s="143" customFormat="1">
      <c r="C71" s="785"/>
      <c r="D71" s="785"/>
      <c r="E71" s="785"/>
      <c r="F71" s="785"/>
      <c r="G71" s="785"/>
      <c r="H71" s="785"/>
      <c r="I71" s="785"/>
      <c r="J71" s="785"/>
      <c r="K71" s="785"/>
      <c r="L71" s="785"/>
    </row>
    <row r="72" spans="3:12" s="143" customFormat="1">
      <c r="C72" s="785"/>
      <c r="D72" s="785"/>
      <c r="E72" s="785"/>
      <c r="F72" s="785"/>
      <c r="G72" s="785"/>
      <c r="H72" s="785"/>
      <c r="I72" s="785"/>
      <c r="J72" s="785"/>
      <c r="K72" s="785"/>
      <c r="L72" s="785"/>
    </row>
    <row r="73" spans="3:12" s="143" customFormat="1">
      <c r="C73" s="785"/>
      <c r="D73" s="785"/>
      <c r="E73" s="785"/>
      <c r="F73" s="785"/>
      <c r="G73" s="785"/>
      <c r="H73" s="785"/>
      <c r="I73" s="785"/>
      <c r="J73" s="785"/>
      <c r="K73" s="785"/>
      <c r="L73" s="785"/>
    </row>
    <row r="74" spans="3:12" s="143" customFormat="1">
      <c r="C74" s="785"/>
      <c r="D74" s="785"/>
      <c r="E74" s="785"/>
      <c r="F74" s="785"/>
      <c r="G74" s="785"/>
      <c r="H74" s="785"/>
      <c r="I74" s="785"/>
      <c r="J74" s="785"/>
      <c r="K74" s="785"/>
      <c r="L74" s="785"/>
    </row>
    <row r="75" spans="3:12" s="143" customFormat="1">
      <c r="C75" s="785"/>
      <c r="D75" s="785"/>
      <c r="E75" s="785"/>
      <c r="F75" s="785"/>
      <c r="G75" s="785"/>
      <c r="H75" s="785"/>
      <c r="I75" s="785"/>
      <c r="J75" s="785"/>
      <c r="K75" s="785"/>
      <c r="L75" s="785"/>
    </row>
    <row r="76" spans="3:12" s="143" customFormat="1">
      <c r="C76" s="785"/>
      <c r="D76" s="785"/>
      <c r="E76" s="785"/>
      <c r="F76" s="785"/>
      <c r="G76" s="785"/>
      <c r="H76" s="785"/>
      <c r="I76" s="785"/>
      <c r="J76" s="785"/>
      <c r="K76" s="785"/>
      <c r="L76" s="785"/>
    </row>
    <row r="77" spans="3:12" s="143" customFormat="1">
      <c r="C77" s="785"/>
      <c r="D77" s="785"/>
      <c r="E77" s="785"/>
      <c r="F77" s="785"/>
      <c r="G77" s="785"/>
      <c r="H77" s="785"/>
      <c r="I77" s="785"/>
      <c r="J77" s="785"/>
      <c r="K77" s="785"/>
      <c r="L77" s="785"/>
    </row>
    <row r="78" spans="3:12" s="143" customFormat="1">
      <c r="C78" s="785"/>
      <c r="D78" s="785"/>
      <c r="E78" s="785"/>
      <c r="F78" s="785"/>
      <c r="G78" s="785"/>
      <c r="H78" s="785"/>
      <c r="I78" s="785"/>
      <c r="J78" s="785"/>
      <c r="K78" s="785"/>
      <c r="L78" s="785"/>
    </row>
    <row r="79" spans="3:12" s="143" customFormat="1">
      <c r="C79" s="785"/>
      <c r="D79" s="785"/>
      <c r="E79" s="785"/>
      <c r="F79" s="785"/>
      <c r="G79" s="785"/>
      <c r="H79" s="785"/>
      <c r="I79" s="785"/>
      <c r="J79" s="785"/>
      <c r="K79" s="785"/>
      <c r="L79" s="785"/>
    </row>
    <row r="80" spans="3:12" s="143" customFormat="1">
      <c r="C80" s="785"/>
      <c r="D80" s="785"/>
      <c r="E80" s="785"/>
      <c r="F80" s="785"/>
      <c r="G80" s="785"/>
      <c r="H80" s="785"/>
      <c r="I80" s="785"/>
      <c r="J80" s="785"/>
      <c r="K80" s="785"/>
      <c r="L80" s="785"/>
    </row>
    <row r="81" spans="3:12" s="143" customFormat="1">
      <c r="C81" s="785"/>
      <c r="D81" s="785"/>
      <c r="E81" s="785"/>
      <c r="F81" s="785"/>
      <c r="G81" s="785"/>
      <c r="H81" s="785"/>
      <c r="I81" s="785"/>
      <c r="J81" s="785"/>
      <c r="K81" s="785"/>
      <c r="L81" s="785"/>
    </row>
    <row r="82" spans="3:12" s="143" customFormat="1">
      <c r="C82" s="785"/>
      <c r="D82" s="785"/>
      <c r="E82" s="785"/>
      <c r="F82" s="785"/>
      <c r="G82" s="785"/>
      <c r="H82" s="785"/>
      <c r="I82" s="785"/>
      <c r="J82" s="785"/>
      <c r="K82" s="785"/>
      <c r="L82" s="785"/>
    </row>
    <row r="83" spans="3:12" s="143" customFormat="1">
      <c r="C83" s="785"/>
      <c r="D83" s="785"/>
      <c r="E83" s="785"/>
      <c r="F83" s="785"/>
      <c r="G83" s="785"/>
      <c r="H83" s="785"/>
      <c r="I83" s="785"/>
      <c r="J83" s="785"/>
      <c r="K83" s="785"/>
      <c r="L83" s="785"/>
    </row>
    <row r="84" spans="3:12" s="143" customFormat="1">
      <c r="C84" s="785"/>
      <c r="D84" s="785"/>
      <c r="E84" s="785"/>
      <c r="F84" s="785"/>
      <c r="G84" s="785"/>
      <c r="H84" s="785"/>
      <c r="I84" s="785"/>
      <c r="J84" s="785"/>
      <c r="K84" s="785"/>
      <c r="L84" s="785"/>
    </row>
    <row r="85" spans="3:12" s="143" customFormat="1">
      <c r="C85" s="785"/>
      <c r="D85" s="785"/>
      <c r="E85" s="785"/>
      <c r="F85" s="785"/>
      <c r="G85" s="785"/>
      <c r="H85" s="785"/>
      <c r="I85" s="785"/>
      <c r="J85" s="785"/>
      <c r="K85" s="785"/>
      <c r="L85" s="785"/>
    </row>
    <row r="86" spans="3:12" s="143" customFormat="1">
      <c r="C86" s="785"/>
      <c r="D86" s="785"/>
      <c r="E86" s="785"/>
      <c r="F86" s="785"/>
      <c r="G86" s="785"/>
      <c r="H86" s="785"/>
      <c r="I86" s="785"/>
      <c r="J86" s="785"/>
      <c r="K86" s="785"/>
      <c r="L86" s="785"/>
    </row>
    <row r="87" spans="3:12" s="143" customFormat="1">
      <c r="C87" s="785"/>
      <c r="D87" s="785"/>
      <c r="E87" s="785"/>
      <c r="F87" s="785"/>
      <c r="G87" s="785"/>
      <c r="H87" s="785"/>
      <c r="I87" s="785"/>
      <c r="J87" s="785"/>
      <c r="K87" s="785"/>
      <c r="L87" s="785"/>
    </row>
    <row r="88" spans="3:12" s="143" customFormat="1">
      <c r="C88" s="785"/>
      <c r="D88" s="785"/>
      <c r="E88" s="785"/>
      <c r="F88" s="785"/>
      <c r="G88" s="785"/>
      <c r="H88" s="785"/>
      <c r="I88" s="785"/>
      <c r="J88" s="785"/>
      <c r="K88" s="785"/>
      <c r="L88" s="785"/>
    </row>
    <row r="89" spans="3:12" s="143" customFormat="1">
      <c r="C89" s="785"/>
      <c r="D89" s="785"/>
      <c r="E89" s="785"/>
      <c r="F89" s="785"/>
      <c r="G89" s="785"/>
      <c r="H89" s="785"/>
      <c r="I89" s="785"/>
      <c r="J89" s="785"/>
      <c r="K89" s="785"/>
      <c r="L89" s="785"/>
    </row>
    <row r="90" spans="3:12" s="143" customFormat="1">
      <c r="C90" s="785"/>
      <c r="D90" s="785"/>
      <c r="E90" s="785"/>
      <c r="F90" s="785"/>
      <c r="G90" s="785"/>
      <c r="H90" s="785"/>
      <c r="I90" s="785"/>
      <c r="J90" s="785"/>
      <c r="K90" s="785"/>
      <c r="L90" s="785"/>
    </row>
    <row r="91" spans="3:12" s="143" customFormat="1">
      <c r="C91" s="785"/>
      <c r="D91" s="785"/>
      <c r="E91" s="785"/>
      <c r="F91" s="785"/>
      <c r="G91" s="785"/>
      <c r="H91" s="785"/>
      <c r="I91" s="785"/>
      <c r="J91" s="785"/>
      <c r="K91" s="785"/>
      <c r="L91" s="785"/>
    </row>
    <row r="92" spans="3:12" s="143" customFormat="1">
      <c r="C92" s="785"/>
      <c r="D92" s="785"/>
      <c r="E92" s="785"/>
      <c r="F92" s="785"/>
      <c r="G92" s="785"/>
      <c r="H92" s="785"/>
      <c r="I92" s="785"/>
      <c r="J92" s="785"/>
      <c r="K92" s="785"/>
      <c r="L92" s="785"/>
    </row>
    <row r="93" spans="3:12" s="143" customFormat="1">
      <c r="C93" s="785"/>
      <c r="D93" s="785"/>
      <c r="E93" s="785"/>
      <c r="F93" s="785"/>
      <c r="G93" s="785"/>
      <c r="H93" s="785"/>
      <c r="I93" s="785"/>
      <c r="J93" s="785"/>
      <c r="K93" s="785"/>
      <c r="L93" s="785"/>
    </row>
    <row r="94" spans="3:12" s="143" customFormat="1">
      <c r="C94" s="785"/>
      <c r="D94" s="785"/>
      <c r="E94" s="785"/>
      <c r="F94" s="785"/>
      <c r="G94" s="785"/>
      <c r="H94" s="785"/>
      <c r="I94" s="785"/>
      <c r="J94" s="785"/>
      <c r="K94" s="785"/>
      <c r="L94" s="785"/>
    </row>
    <row r="95" spans="3:12" s="143" customFormat="1">
      <c r="C95" s="785"/>
      <c r="D95" s="785"/>
      <c r="E95" s="785"/>
      <c r="F95" s="785"/>
      <c r="G95" s="785"/>
      <c r="H95" s="785"/>
      <c r="I95" s="785"/>
      <c r="J95" s="785"/>
      <c r="K95" s="785"/>
      <c r="L95" s="785"/>
    </row>
    <row r="96" spans="3:12" s="143" customFormat="1">
      <c r="C96" s="785"/>
      <c r="D96" s="785"/>
      <c r="E96" s="785"/>
      <c r="F96" s="785"/>
      <c r="G96" s="785"/>
      <c r="H96" s="785"/>
      <c r="I96" s="785"/>
      <c r="J96" s="785"/>
      <c r="K96" s="785"/>
      <c r="L96" s="785"/>
    </row>
    <row r="97" spans="3:12" s="143" customFormat="1">
      <c r="C97" s="785"/>
      <c r="D97" s="785"/>
      <c r="E97" s="785"/>
      <c r="F97" s="785"/>
      <c r="G97" s="785"/>
      <c r="H97" s="785"/>
      <c r="I97" s="785"/>
      <c r="J97" s="785"/>
      <c r="K97" s="785"/>
      <c r="L97" s="785"/>
    </row>
    <row r="98" spans="3:12" s="143" customFormat="1">
      <c r="C98" s="785"/>
      <c r="D98" s="785"/>
      <c r="E98" s="785"/>
      <c r="F98" s="785"/>
      <c r="G98" s="785"/>
      <c r="H98" s="785"/>
      <c r="I98" s="785"/>
      <c r="J98" s="785"/>
      <c r="K98" s="785"/>
      <c r="L98" s="785"/>
    </row>
    <row r="99" spans="3:12" s="143" customFormat="1">
      <c r="C99" s="785"/>
      <c r="D99" s="785"/>
      <c r="E99" s="785"/>
      <c r="F99" s="785"/>
      <c r="G99" s="785"/>
      <c r="H99" s="785"/>
      <c r="I99" s="785"/>
      <c r="J99" s="785"/>
      <c r="K99" s="785"/>
      <c r="L99" s="785"/>
    </row>
    <row r="100" spans="3:12" s="143" customFormat="1">
      <c r="C100" s="785"/>
      <c r="D100" s="785"/>
      <c r="E100" s="785"/>
      <c r="F100" s="785"/>
      <c r="G100" s="785"/>
      <c r="H100" s="785"/>
      <c r="I100" s="785"/>
      <c r="J100" s="785"/>
      <c r="K100" s="785"/>
      <c r="L100" s="785"/>
    </row>
    <row r="101" spans="3:12" s="143" customFormat="1">
      <c r="C101" s="785"/>
      <c r="D101" s="785"/>
      <c r="E101" s="785"/>
      <c r="F101" s="785"/>
      <c r="G101" s="785"/>
      <c r="H101" s="785"/>
      <c r="I101" s="785"/>
      <c r="J101" s="785"/>
      <c r="K101" s="785"/>
      <c r="L101" s="785"/>
    </row>
    <row r="102" spans="3:12" s="143" customFormat="1">
      <c r="C102" s="785"/>
      <c r="D102" s="785"/>
      <c r="E102" s="785"/>
      <c r="F102" s="785"/>
      <c r="G102" s="785"/>
      <c r="H102" s="785"/>
      <c r="I102" s="785"/>
      <c r="J102" s="785"/>
      <c r="K102" s="785"/>
      <c r="L102" s="785"/>
    </row>
    <row r="103" spans="3:12" s="143" customFormat="1">
      <c r="C103" s="785"/>
      <c r="D103" s="785"/>
      <c r="E103" s="785"/>
      <c r="F103" s="785"/>
      <c r="G103" s="785"/>
      <c r="H103" s="785"/>
      <c r="I103" s="785"/>
      <c r="J103" s="785"/>
      <c r="K103" s="785"/>
      <c r="L103" s="785"/>
    </row>
    <row r="104" spans="3:12" s="143" customFormat="1">
      <c r="C104" s="785"/>
      <c r="D104" s="785"/>
      <c r="E104" s="785"/>
      <c r="F104" s="785"/>
      <c r="G104" s="785"/>
      <c r="H104" s="785"/>
      <c r="I104" s="785"/>
      <c r="J104" s="785"/>
      <c r="K104" s="785"/>
      <c r="L104" s="785"/>
    </row>
    <row r="105" spans="3:12" s="143" customFormat="1">
      <c r="C105" s="785"/>
      <c r="D105" s="785"/>
      <c r="E105" s="785"/>
      <c r="F105" s="785"/>
      <c r="G105" s="785"/>
      <c r="H105" s="785"/>
      <c r="I105" s="785"/>
      <c r="J105" s="785"/>
      <c r="K105" s="785"/>
      <c r="L105" s="785"/>
    </row>
    <row r="106" spans="3:12" s="143" customFormat="1">
      <c r="C106" s="785"/>
      <c r="D106" s="785"/>
      <c r="E106" s="785"/>
      <c r="F106" s="785"/>
      <c r="G106" s="785"/>
      <c r="H106" s="785"/>
      <c r="I106" s="785"/>
      <c r="J106" s="785"/>
      <c r="K106" s="785"/>
      <c r="L106" s="785"/>
    </row>
    <row r="107" spans="3:12" s="143" customFormat="1">
      <c r="C107" s="785"/>
      <c r="D107" s="785"/>
      <c r="E107" s="785"/>
      <c r="F107" s="785"/>
      <c r="G107" s="785"/>
      <c r="H107" s="785"/>
      <c r="I107" s="785"/>
      <c r="J107" s="785"/>
      <c r="K107" s="785"/>
      <c r="L107" s="785"/>
    </row>
    <row r="108" spans="3:12" s="143" customFormat="1">
      <c r="C108" s="785"/>
      <c r="D108" s="785"/>
      <c r="E108" s="785"/>
      <c r="F108" s="785"/>
      <c r="G108" s="785"/>
      <c r="H108" s="785"/>
      <c r="I108" s="785"/>
      <c r="J108" s="785"/>
      <c r="K108" s="785"/>
      <c r="L108" s="785"/>
    </row>
    <row r="109" spans="3:12" s="143" customFormat="1">
      <c r="C109" s="785"/>
      <c r="D109" s="785"/>
      <c r="E109" s="785"/>
      <c r="F109" s="785"/>
      <c r="G109" s="785"/>
      <c r="H109" s="785"/>
      <c r="I109" s="785"/>
      <c r="J109" s="785"/>
      <c r="K109" s="785"/>
      <c r="L109" s="785"/>
    </row>
    <row r="110" spans="3:12" s="143" customFormat="1">
      <c r="C110" s="785"/>
      <c r="D110" s="785"/>
      <c r="E110" s="785"/>
      <c r="F110" s="785"/>
      <c r="G110" s="785"/>
      <c r="H110" s="785"/>
      <c r="I110" s="785"/>
      <c r="J110" s="785"/>
      <c r="K110" s="785"/>
      <c r="L110" s="785"/>
    </row>
    <row r="111" spans="3:12" s="143" customFormat="1">
      <c r="C111" s="785"/>
      <c r="D111" s="785"/>
      <c r="E111" s="785"/>
      <c r="F111" s="785"/>
      <c r="G111" s="785"/>
      <c r="H111" s="785"/>
      <c r="I111" s="785"/>
      <c r="J111" s="785"/>
      <c r="K111" s="785"/>
      <c r="L111" s="785"/>
    </row>
    <row r="112" spans="3:12" s="143" customFormat="1">
      <c r="C112" s="785"/>
      <c r="D112" s="785"/>
      <c r="E112" s="785"/>
      <c r="F112" s="785"/>
      <c r="G112" s="785"/>
      <c r="H112" s="785"/>
      <c r="I112" s="785"/>
      <c r="J112" s="785"/>
      <c r="K112" s="785"/>
      <c r="L112" s="785"/>
    </row>
    <row r="113" spans="3:12" s="143" customFormat="1">
      <c r="C113" s="785"/>
      <c r="D113" s="785"/>
      <c r="E113" s="785"/>
      <c r="F113" s="785"/>
      <c r="G113" s="785"/>
      <c r="H113" s="785"/>
      <c r="I113" s="785"/>
      <c r="J113" s="785"/>
      <c r="K113" s="785"/>
      <c r="L113" s="785"/>
    </row>
    <row r="114" spans="3:12" s="143" customFormat="1">
      <c r="C114" s="785"/>
      <c r="D114" s="785"/>
      <c r="E114" s="785"/>
      <c r="F114" s="785"/>
      <c r="G114" s="785"/>
      <c r="H114" s="785"/>
      <c r="I114" s="785"/>
      <c r="J114" s="785"/>
      <c r="K114" s="785"/>
      <c r="L114" s="785"/>
    </row>
    <row r="115" spans="3:12" s="143" customFormat="1">
      <c r="C115" s="785"/>
      <c r="D115" s="785"/>
      <c r="E115" s="785"/>
      <c r="F115" s="785"/>
      <c r="G115" s="785"/>
      <c r="H115" s="785"/>
      <c r="I115" s="785"/>
      <c r="J115" s="785"/>
      <c r="K115" s="785"/>
      <c r="L115" s="785"/>
    </row>
    <row r="116" spans="3:12" s="143" customFormat="1">
      <c r="C116" s="785"/>
      <c r="D116" s="785"/>
      <c r="E116" s="785"/>
      <c r="F116" s="785"/>
      <c r="G116" s="785"/>
      <c r="H116" s="785"/>
      <c r="I116" s="785"/>
      <c r="J116" s="785"/>
      <c r="K116" s="785"/>
      <c r="L116" s="785"/>
    </row>
    <row r="117" spans="3:12" s="143" customFormat="1">
      <c r="C117" s="785"/>
      <c r="D117" s="785"/>
      <c r="E117" s="785"/>
      <c r="F117" s="785"/>
      <c r="G117" s="785"/>
      <c r="H117" s="785"/>
      <c r="I117" s="785"/>
      <c r="J117" s="785"/>
      <c r="K117" s="785"/>
      <c r="L117" s="785"/>
    </row>
    <row r="118" spans="3:12" s="143" customFormat="1">
      <c r="C118" s="785"/>
      <c r="D118" s="785"/>
      <c r="E118" s="785"/>
      <c r="F118" s="785"/>
      <c r="G118" s="785"/>
      <c r="H118" s="785"/>
      <c r="I118" s="785"/>
      <c r="J118" s="785"/>
      <c r="K118" s="785"/>
      <c r="L118" s="785"/>
    </row>
    <row r="119" spans="3:12" s="143" customFormat="1">
      <c r="C119" s="785"/>
      <c r="D119" s="785"/>
      <c r="E119" s="785"/>
      <c r="F119" s="785"/>
      <c r="G119" s="785"/>
      <c r="H119" s="785"/>
      <c r="I119" s="785"/>
      <c r="J119" s="785"/>
      <c r="K119" s="785"/>
      <c r="L119" s="785"/>
    </row>
    <row r="120" spans="3:12" s="143" customFormat="1">
      <c r="C120" s="785"/>
      <c r="D120" s="785"/>
      <c r="E120" s="785"/>
      <c r="F120" s="785"/>
      <c r="G120" s="785"/>
      <c r="H120" s="785"/>
      <c r="I120" s="785"/>
      <c r="J120" s="785"/>
      <c r="K120" s="785"/>
      <c r="L120" s="785"/>
    </row>
    <row r="121" spans="3:12" s="143" customFormat="1">
      <c r="C121" s="785"/>
      <c r="D121" s="785"/>
      <c r="E121" s="785"/>
      <c r="F121" s="785"/>
      <c r="G121" s="785"/>
      <c r="H121" s="785"/>
      <c r="I121" s="785"/>
      <c r="J121" s="785"/>
      <c r="K121" s="785"/>
      <c r="L121" s="785"/>
    </row>
    <row r="122" spans="3:12" s="143" customFormat="1">
      <c r="C122" s="785"/>
      <c r="D122" s="785"/>
      <c r="E122" s="785"/>
      <c r="F122" s="785"/>
      <c r="G122" s="785"/>
      <c r="H122" s="785"/>
      <c r="I122" s="785"/>
      <c r="J122" s="785"/>
      <c r="K122" s="785"/>
      <c r="L122" s="785"/>
    </row>
    <row r="123" spans="3:12" s="143" customFormat="1">
      <c r="C123" s="785"/>
      <c r="D123" s="785"/>
      <c r="E123" s="785"/>
      <c r="F123" s="785"/>
      <c r="G123" s="785"/>
      <c r="H123" s="785"/>
      <c r="I123" s="785"/>
      <c r="J123" s="785"/>
      <c r="K123" s="785"/>
      <c r="L123" s="785"/>
    </row>
    <row r="124" spans="3:12" s="143" customFormat="1">
      <c r="C124" s="785"/>
      <c r="D124" s="785"/>
      <c r="E124" s="785"/>
      <c r="F124" s="785"/>
      <c r="G124" s="785"/>
      <c r="H124" s="785"/>
      <c r="I124" s="785"/>
      <c r="J124" s="785"/>
      <c r="K124" s="785"/>
      <c r="L124" s="785"/>
    </row>
    <row r="125" spans="3:12" s="143" customFormat="1">
      <c r="C125" s="785"/>
      <c r="D125" s="785"/>
      <c r="E125" s="785"/>
      <c r="F125" s="785"/>
      <c r="G125" s="785"/>
      <c r="H125" s="785"/>
      <c r="I125" s="785"/>
      <c r="J125" s="785"/>
      <c r="K125" s="785"/>
      <c r="L125" s="785"/>
    </row>
    <row r="126" spans="3:12" s="143" customFormat="1">
      <c r="C126" s="785"/>
      <c r="D126" s="785"/>
      <c r="E126" s="785"/>
      <c r="F126" s="785"/>
      <c r="G126" s="785"/>
      <c r="H126" s="785"/>
      <c r="I126" s="785"/>
      <c r="J126" s="785"/>
      <c r="K126" s="785"/>
      <c r="L126" s="785"/>
    </row>
    <row r="127" spans="3:12" s="143" customFormat="1">
      <c r="C127" s="785"/>
      <c r="D127" s="785"/>
      <c r="E127" s="785"/>
      <c r="F127" s="785"/>
      <c r="G127" s="785"/>
      <c r="H127" s="785"/>
      <c r="I127" s="785"/>
      <c r="J127" s="785"/>
      <c r="K127" s="785"/>
      <c r="L127" s="785"/>
    </row>
    <row r="128" spans="3:12" s="143" customFormat="1">
      <c r="C128" s="785"/>
      <c r="D128" s="785"/>
      <c r="E128" s="785"/>
      <c r="F128" s="785"/>
      <c r="G128" s="785"/>
      <c r="H128" s="785"/>
      <c r="I128" s="785"/>
      <c r="J128" s="785"/>
      <c r="K128" s="785"/>
      <c r="L128" s="785"/>
    </row>
    <row r="129" spans="3:12" s="143" customFormat="1">
      <c r="C129" s="785"/>
      <c r="D129" s="785"/>
      <c r="E129" s="785"/>
      <c r="F129" s="785"/>
      <c r="G129" s="785"/>
      <c r="H129" s="785"/>
      <c r="I129" s="785"/>
      <c r="J129" s="785"/>
      <c r="K129" s="785"/>
      <c r="L129" s="785"/>
    </row>
    <row r="130" spans="3:12" s="143" customFormat="1">
      <c r="C130" s="785"/>
      <c r="D130" s="785"/>
      <c r="E130" s="785"/>
      <c r="F130" s="785"/>
      <c r="G130" s="785"/>
      <c r="H130" s="785"/>
      <c r="I130" s="785"/>
      <c r="J130" s="785"/>
      <c r="K130" s="785"/>
      <c r="L130" s="785"/>
    </row>
    <row r="131" spans="3:12" s="143" customFormat="1">
      <c r="C131" s="785"/>
      <c r="D131" s="785"/>
      <c r="E131" s="785"/>
      <c r="F131" s="785"/>
      <c r="G131" s="785"/>
      <c r="H131" s="785"/>
      <c r="I131" s="785"/>
      <c r="J131" s="785"/>
      <c r="K131" s="785"/>
      <c r="L131" s="785"/>
    </row>
    <row r="132" spans="3:12" s="143" customFormat="1">
      <c r="C132" s="785"/>
      <c r="D132" s="785"/>
      <c r="E132" s="785"/>
      <c r="F132" s="785"/>
      <c r="G132" s="785"/>
      <c r="H132" s="785"/>
      <c r="I132" s="785"/>
      <c r="J132" s="785"/>
      <c r="K132" s="785"/>
      <c r="L132" s="785"/>
    </row>
    <row r="133" spans="3:12" s="143" customFormat="1">
      <c r="C133" s="785"/>
      <c r="D133" s="785"/>
      <c r="E133" s="785"/>
      <c r="F133" s="785"/>
      <c r="G133" s="785"/>
      <c r="H133" s="785"/>
      <c r="I133" s="785"/>
      <c r="J133" s="785"/>
      <c r="K133" s="785"/>
      <c r="L133" s="785"/>
    </row>
    <row r="134" spans="3:12" s="143" customFormat="1">
      <c r="C134" s="785"/>
      <c r="D134" s="785"/>
      <c r="E134" s="785"/>
      <c r="F134" s="785"/>
      <c r="G134" s="785"/>
      <c r="H134" s="785"/>
      <c r="I134" s="785"/>
      <c r="J134" s="785"/>
      <c r="K134" s="785"/>
      <c r="L134" s="785"/>
    </row>
    <row r="135" spans="3:12" s="143" customFormat="1">
      <c r="C135" s="785"/>
      <c r="D135" s="785"/>
      <c r="E135" s="785"/>
      <c r="F135" s="785"/>
      <c r="G135" s="785"/>
      <c r="H135" s="785"/>
      <c r="I135" s="785"/>
      <c r="J135" s="785"/>
      <c r="K135" s="785"/>
      <c r="L135" s="785"/>
    </row>
    <row r="136" spans="3:12" s="143" customFormat="1">
      <c r="C136" s="785"/>
      <c r="D136" s="785"/>
      <c r="E136" s="785"/>
      <c r="F136" s="785"/>
      <c r="G136" s="785"/>
      <c r="H136" s="785"/>
      <c r="I136" s="785"/>
      <c r="J136" s="785"/>
      <c r="K136" s="785"/>
      <c r="L136" s="785"/>
    </row>
    <row r="137" spans="3:12" s="143" customFormat="1">
      <c r="C137" s="785"/>
      <c r="D137" s="785"/>
      <c r="E137" s="785"/>
      <c r="F137" s="785"/>
      <c r="G137" s="785"/>
      <c r="H137" s="785"/>
      <c r="I137" s="785"/>
      <c r="J137" s="785"/>
      <c r="K137" s="785"/>
      <c r="L137" s="785"/>
    </row>
    <row r="138" spans="3:12" s="143" customFormat="1">
      <c r="C138" s="785"/>
      <c r="D138" s="785"/>
      <c r="E138" s="785"/>
      <c r="F138" s="785"/>
      <c r="G138" s="785"/>
      <c r="H138" s="785"/>
      <c r="I138" s="785"/>
      <c r="J138" s="785"/>
      <c r="K138" s="785"/>
      <c r="L138" s="785"/>
    </row>
    <row r="139" spans="3:12" s="143" customFormat="1">
      <c r="C139" s="785"/>
      <c r="D139" s="785"/>
      <c r="E139" s="785"/>
      <c r="F139" s="785"/>
      <c r="G139" s="785"/>
      <c r="H139" s="785"/>
      <c r="I139" s="785"/>
      <c r="J139" s="785"/>
      <c r="K139" s="785"/>
      <c r="L139" s="785"/>
    </row>
    <row r="140" spans="3:12" s="143" customFormat="1">
      <c r="C140" s="785"/>
      <c r="D140" s="785"/>
      <c r="E140" s="785"/>
      <c r="F140" s="785"/>
      <c r="G140" s="785"/>
      <c r="H140" s="785"/>
      <c r="I140" s="785"/>
      <c r="J140" s="785"/>
      <c r="K140" s="785"/>
      <c r="L140" s="785"/>
    </row>
    <row r="141" spans="3:12" s="143" customFormat="1">
      <c r="C141" s="785"/>
      <c r="D141" s="785"/>
      <c r="E141" s="785"/>
      <c r="F141" s="785"/>
      <c r="G141" s="785"/>
      <c r="H141" s="785"/>
      <c r="I141" s="785"/>
      <c r="J141" s="785"/>
      <c r="K141" s="785"/>
      <c r="L141" s="785"/>
    </row>
    <row r="142" spans="3:12" s="143" customFormat="1">
      <c r="C142" s="785"/>
      <c r="D142" s="785"/>
      <c r="E142" s="785"/>
      <c r="F142" s="785"/>
      <c r="G142" s="785"/>
      <c r="H142" s="785"/>
      <c r="I142" s="785"/>
      <c r="J142" s="785"/>
      <c r="K142" s="785"/>
      <c r="L142" s="785"/>
    </row>
    <row r="143" spans="3:12" s="143" customFormat="1">
      <c r="C143" s="785"/>
      <c r="D143" s="785"/>
      <c r="E143" s="785"/>
      <c r="F143" s="785"/>
      <c r="G143" s="785"/>
      <c r="H143" s="785"/>
      <c r="I143" s="785"/>
      <c r="J143" s="785"/>
      <c r="K143" s="785"/>
      <c r="L143" s="785"/>
    </row>
    <row r="144" spans="3:12" s="143" customFormat="1">
      <c r="C144" s="785"/>
      <c r="D144" s="785"/>
      <c r="E144" s="785"/>
      <c r="F144" s="785"/>
      <c r="G144" s="785"/>
      <c r="H144" s="785"/>
      <c r="I144" s="785"/>
      <c r="J144" s="785"/>
      <c r="K144" s="785"/>
      <c r="L144" s="785"/>
    </row>
    <row r="145" spans="3:12" s="143" customFormat="1">
      <c r="C145" s="785"/>
      <c r="D145" s="785"/>
      <c r="E145" s="785"/>
      <c r="F145" s="785"/>
      <c r="G145" s="785"/>
      <c r="H145" s="785"/>
      <c r="I145" s="785"/>
      <c r="J145" s="785"/>
      <c r="K145" s="785"/>
      <c r="L145" s="785"/>
    </row>
    <row r="146" spans="3:12" s="143" customFormat="1">
      <c r="C146" s="785"/>
      <c r="D146" s="785"/>
      <c r="E146" s="785"/>
      <c r="F146" s="785"/>
      <c r="G146" s="785"/>
      <c r="H146" s="785"/>
      <c r="I146" s="785"/>
      <c r="J146" s="785"/>
      <c r="K146" s="785"/>
      <c r="L146" s="785"/>
    </row>
    <row r="147" spans="3:12" s="143" customFormat="1">
      <c r="C147" s="785"/>
      <c r="D147" s="785"/>
      <c r="E147" s="785"/>
      <c r="F147" s="785"/>
      <c r="G147" s="785"/>
      <c r="H147" s="785"/>
      <c r="I147" s="785"/>
      <c r="J147" s="785"/>
      <c r="K147" s="785"/>
      <c r="L147" s="785"/>
    </row>
    <row r="148" spans="3:12" s="143" customFormat="1">
      <c r="C148" s="785"/>
      <c r="D148" s="785"/>
      <c r="E148" s="785"/>
      <c r="F148" s="785"/>
      <c r="G148" s="785"/>
      <c r="H148" s="785"/>
      <c r="I148" s="785"/>
      <c r="J148" s="785"/>
      <c r="K148" s="785"/>
      <c r="L148" s="785"/>
    </row>
    <row r="149" spans="3:12" s="143" customFormat="1">
      <c r="C149" s="785"/>
      <c r="D149" s="785"/>
      <c r="E149" s="785"/>
      <c r="F149" s="785"/>
      <c r="G149" s="785"/>
      <c r="H149" s="785"/>
      <c r="I149" s="785"/>
      <c r="J149" s="785"/>
      <c r="K149" s="785"/>
      <c r="L149" s="785"/>
    </row>
    <row r="150" spans="3:12" s="143" customFormat="1">
      <c r="C150" s="785"/>
      <c r="D150" s="785"/>
      <c r="E150" s="785"/>
      <c r="F150" s="785"/>
      <c r="G150" s="785"/>
      <c r="H150" s="785"/>
      <c r="I150" s="785"/>
      <c r="J150" s="785"/>
      <c r="K150" s="785"/>
      <c r="L150" s="785"/>
    </row>
    <row r="151" spans="3:12" s="143" customFormat="1">
      <c r="C151" s="785"/>
      <c r="D151" s="785"/>
      <c r="E151" s="785"/>
      <c r="F151" s="785"/>
      <c r="G151" s="785"/>
      <c r="H151" s="785"/>
      <c r="I151" s="785"/>
      <c r="J151" s="785"/>
      <c r="K151" s="785"/>
      <c r="L151" s="785"/>
    </row>
    <row r="152" spans="3:12" s="143" customFormat="1">
      <c r="C152" s="785"/>
      <c r="D152" s="785"/>
      <c r="E152" s="785"/>
      <c r="F152" s="785"/>
      <c r="G152" s="785"/>
      <c r="H152" s="785"/>
      <c r="I152" s="785"/>
      <c r="J152" s="785"/>
      <c r="K152" s="785"/>
      <c r="L152" s="785"/>
    </row>
    <row r="153" spans="3:12" s="143" customFormat="1">
      <c r="C153" s="785"/>
      <c r="D153" s="785"/>
      <c r="E153" s="785"/>
      <c r="F153" s="785"/>
      <c r="G153" s="785"/>
      <c r="H153" s="785"/>
      <c r="I153" s="785"/>
      <c r="J153" s="785"/>
      <c r="K153" s="785"/>
      <c r="L153" s="785"/>
    </row>
    <row r="154" spans="3:12" s="143" customFormat="1">
      <c r="C154" s="785"/>
      <c r="D154" s="785"/>
      <c r="E154" s="785"/>
      <c r="F154" s="785"/>
      <c r="G154" s="785"/>
      <c r="H154" s="785"/>
      <c r="I154" s="785"/>
      <c r="J154" s="785"/>
      <c r="K154" s="785"/>
      <c r="L154" s="785"/>
    </row>
    <row r="155" spans="3:12" s="143" customFormat="1">
      <c r="C155" s="785"/>
      <c r="D155" s="785"/>
      <c r="E155" s="785"/>
      <c r="F155" s="785"/>
      <c r="G155" s="785"/>
      <c r="H155" s="785"/>
      <c r="I155" s="785"/>
      <c r="J155" s="785"/>
      <c r="K155" s="785"/>
      <c r="L155" s="785"/>
    </row>
    <row r="156" spans="3:12" s="143" customFormat="1">
      <c r="C156" s="785"/>
      <c r="D156" s="785"/>
      <c r="E156" s="785"/>
      <c r="F156" s="785"/>
      <c r="G156" s="785"/>
      <c r="H156" s="785"/>
      <c r="I156" s="785"/>
      <c r="J156" s="785"/>
      <c r="K156" s="785"/>
      <c r="L156" s="785"/>
    </row>
    <row r="157" spans="3:12" s="143" customFormat="1">
      <c r="C157" s="785"/>
      <c r="D157" s="785"/>
      <c r="E157" s="785"/>
      <c r="F157" s="785"/>
      <c r="G157" s="785"/>
      <c r="H157" s="785"/>
      <c r="I157" s="785"/>
      <c r="J157" s="785"/>
      <c r="K157" s="785"/>
      <c r="L157" s="785"/>
    </row>
    <row r="158" spans="3:12" s="143" customFormat="1">
      <c r="C158" s="785"/>
      <c r="D158" s="785"/>
      <c r="E158" s="785"/>
      <c r="F158" s="785"/>
      <c r="G158" s="785"/>
      <c r="H158" s="785"/>
      <c r="I158" s="785"/>
      <c r="J158" s="785"/>
      <c r="K158" s="785"/>
      <c r="L158" s="785"/>
    </row>
    <row r="159" spans="3:12" s="143" customFormat="1">
      <c r="C159" s="785"/>
      <c r="D159" s="785"/>
      <c r="E159" s="785"/>
      <c r="F159" s="785"/>
      <c r="G159" s="785"/>
      <c r="H159" s="785"/>
      <c r="I159" s="785"/>
      <c r="J159" s="785"/>
      <c r="K159" s="785"/>
      <c r="L159" s="785"/>
    </row>
    <row r="160" spans="3:12" s="143" customFormat="1">
      <c r="C160" s="785"/>
      <c r="D160" s="785"/>
      <c r="E160" s="785"/>
      <c r="F160" s="785"/>
      <c r="G160" s="785"/>
      <c r="H160" s="785"/>
      <c r="I160" s="785"/>
      <c r="J160" s="785"/>
      <c r="K160" s="785"/>
      <c r="L160" s="785"/>
    </row>
    <row r="161" spans="3:12" s="143" customFormat="1">
      <c r="C161" s="785"/>
      <c r="D161" s="785"/>
      <c r="E161" s="785"/>
      <c r="F161" s="785"/>
      <c r="G161" s="785"/>
      <c r="H161" s="785"/>
      <c r="I161" s="785"/>
      <c r="J161" s="785"/>
      <c r="K161" s="785"/>
      <c r="L161" s="785"/>
    </row>
    <row r="162" spans="3:12" s="143" customFormat="1">
      <c r="C162" s="785"/>
      <c r="D162" s="785"/>
      <c r="E162" s="785"/>
      <c r="F162" s="785"/>
      <c r="G162" s="785"/>
      <c r="H162" s="785"/>
      <c r="I162" s="785"/>
      <c r="J162" s="785"/>
      <c r="K162" s="785"/>
      <c r="L162" s="785"/>
    </row>
    <row r="163" spans="3:12" s="143" customFormat="1">
      <c r="C163" s="785"/>
      <c r="D163" s="785"/>
      <c r="E163" s="785"/>
      <c r="F163" s="785"/>
      <c r="G163" s="785"/>
      <c r="H163" s="785"/>
      <c r="I163" s="785"/>
      <c r="J163" s="785"/>
      <c r="K163" s="785"/>
      <c r="L163" s="785"/>
    </row>
    <row r="164" spans="3:12" s="143" customFormat="1">
      <c r="C164" s="785"/>
      <c r="D164" s="785"/>
      <c r="E164" s="785"/>
      <c r="F164" s="785"/>
      <c r="G164" s="785"/>
      <c r="H164" s="785"/>
      <c r="I164" s="785"/>
      <c r="J164" s="785"/>
      <c r="K164" s="785"/>
      <c r="L164" s="785"/>
    </row>
    <row r="165" spans="3:12" s="143" customFormat="1">
      <c r="C165" s="785"/>
      <c r="D165" s="785"/>
      <c r="E165" s="785"/>
      <c r="F165" s="785"/>
      <c r="G165" s="785"/>
      <c r="H165" s="785"/>
      <c r="I165" s="785"/>
      <c r="J165" s="785"/>
      <c r="K165" s="785"/>
      <c r="L165" s="785"/>
    </row>
    <row r="166" spans="3:12" s="143" customFormat="1">
      <c r="C166" s="785"/>
      <c r="D166" s="785"/>
      <c r="E166" s="785"/>
      <c r="F166" s="785"/>
      <c r="G166" s="785"/>
      <c r="H166" s="785"/>
      <c r="I166" s="785"/>
      <c r="J166" s="785"/>
      <c r="K166" s="785"/>
      <c r="L166" s="785"/>
    </row>
    <row r="167" spans="3:12" s="143" customFormat="1">
      <c r="C167" s="785"/>
      <c r="D167" s="785"/>
      <c r="E167" s="785"/>
      <c r="F167" s="785"/>
      <c r="G167" s="785"/>
      <c r="H167" s="785"/>
      <c r="I167" s="785"/>
      <c r="J167" s="785"/>
      <c r="K167" s="785"/>
      <c r="L167" s="785"/>
    </row>
    <row r="168" spans="3:12" s="143" customFormat="1">
      <c r="C168" s="785"/>
      <c r="D168" s="785"/>
      <c r="E168" s="785"/>
      <c r="F168" s="785"/>
      <c r="G168" s="785"/>
      <c r="H168" s="785"/>
      <c r="I168" s="785"/>
      <c r="J168" s="785"/>
      <c r="K168" s="785"/>
      <c r="L168" s="785"/>
    </row>
    <row r="169" spans="3:12" s="143" customFormat="1">
      <c r="C169" s="785"/>
      <c r="D169" s="785"/>
      <c r="E169" s="785"/>
      <c r="F169" s="785"/>
      <c r="G169" s="785"/>
      <c r="H169" s="785"/>
      <c r="I169" s="785"/>
      <c r="J169" s="785"/>
      <c r="K169" s="785"/>
      <c r="L169" s="785"/>
    </row>
    <row r="170" spans="3:12" s="143" customFormat="1">
      <c r="C170" s="785"/>
      <c r="D170" s="785"/>
      <c r="E170" s="785"/>
      <c r="F170" s="785"/>
      <c r="G170" s="785"/>
      <c r="H170" s="785"/>
      <c r="I170" s="785"/>
      <c r="J170" s="785"/>
      <c r="K170" s="785"/>
      <c r="L170" s="785"/>
    </row>
    <row r="171" spans="3:12" s="143" customFormat="1">
      <c r="C171" s="785"/>
      <c r="D171" s="785"/>
      <c r="E171" s="785"/>
      <c r="F171" s="785"/>
      <c r="G171" s="785"/>
      <c r="H171" s="785"/>
      <c r="I171" s="785"/>
      <c r="J171" s="785"/>
      <c r="K171" s="785"/>
      <c r="L171" s="785"/>
    </row>
    <row r="172" spans="3:12" s="143" customFormat="1">
      <c r="C172" s="785"/>
      <c r="D172" s="785"/>
      <c r="E172" s="785"/>
      <c r="F172" s="785"/>
      <c r="G172" s="785"/>
      <c r="H172" s="785"/>
      <c r="I172" s="785"/>
      <c r="J172" s="785"/>
      <c r="K172" s="785"/>
      <c r="L172" s="785"/>
    </row>
    <row r="173" spans="3:12" s="143" customFormat="1">
      <c r="C173" s="785"/>
      <c r="D173" s="785"/>
      <c r="E173" s="785"/>
      <c r="F173" s="785"/>
      <c r="G173" s="785"/>
      <c r="H173" s="785"/>
      <c r="I173" s="785"/>
      <c r="J173" s="785"/>
      <c r="K173" s="785"/>
      <c r="L173" s="785"/>
    </row>
    <row r="174" spans="3:12" s="143" customFormat="1">
      <c r="C174" s="785"/>
      <c r="D174" s="785"/>
      <c r="E174" s="785"/>
      <c r="F174" s="785"/>
      <c r="G174" s="785"/>
      <c r="H174" s="785"/>
      <c r="I174" s="785"/>
      <c r="J174" s="785"/>
      <c r="K174" s="785"/>
      <c r="L174" s="785"/>
    </row>
    <row r="175" spans="3:12" s="143" customFormat="1">
      <c r="C175" s="785"/>
      <c r="D175" s="785"/>
      <c r="E175" s="785"/>
      <c r="F175" s="785"/>
      <c r="G175" s="785"/>
      <c r="H175" s="785"/>
      <c r="I175" s="785"/>
      <c r="J175" s="785"/>
      <c r="K175" s="785"/>
      <c r="L175" s="785"/>
    </row>
    <row r="176" spans="3:12" s="143" customFormat="1">
      <c r="C176" s="785"/>
      <c r="D176" s="785"/>
      <c r="E176" s="785"/>
      <c r="F176" s="785"/>
      <c r="G176" s="785"/>
      <c r="H176" s="785"/>
      <c r="I176" s="785"/>
      <c r="J176" s="785"/>
      <c r="K176" s="785"/>
      <c r="L176" s="785"/>
    </row>
    <row r="177" spans="3:12" s="143" customFormat="1">
      <c r="C177" s="785"/>
      <c r="D177" s="785"/>
      <c r="E177" s="785"/>
      <c r="F177" s="785"/>
      <c r="G177" s="785"/>
      <c r="H177" s="785"/>
      <c r="I177" s="785"/>
      <c r="J177" s="785"/>
      <c r="K177" s="785"/>
      <c r="L177" s="785"/>
    </row>
    <row r="178" spans="3:12" s="143" customFormat="1">
      <c r="C178" s="785"/>
      <c r="D178" s="785"/>
      <c r="E178" s="785"/>
      <c r="F178" s="785"/>
      <c r="G178" s="785"/>
      <c r="H178" s="785"/>
      <c r="I178" s="785"/>
      <c r="J178" s="785"/>
      <c r="K178" s="785"/>
      <c r="L178" s="785"/>
    </row>
    <row r="179" spans="3:12" s="143" customFormat="1">
      <c r="C179" s="785"/>
      <c r="D179" s="785"/>
      <c r="E179" s="785"/>
      <c r="F179" s="785"/>
      <c r="G179" s="785"/>
      <c r="H179" s="785"/>
      <c r="I179" s="785"/>
      <c r="J179" s="785"/>
      <c r="K179" s="785"/>
      <c r="L179" s="785"/>
    </row>
    <row r="180" spans="3:12" s="143" customFormat="1">
      <c r="C180" s="785"/>
      <c r="D180" s="785"/>
      <c r="E180" s="785"/>
      <c r="F180" s="785"/>
      <c r="G180" s="785"/>
      <c r="H180" s="785"/>
      <c r="I180" s="785"/>
      <c r="J180" s="785"/>
      <c r="K180" s="785"/>
      <c r="L180" s="785"/>
    </row>
    <row r="181" spans="3:12" s="143" customFormat="1">
      <c r="C181" s="785"/>
      <c r="D181" s="785"/>
      <c r="E181" s="785"/>
      <c r="F181" s="785"/>
      <c r="G181" s="785"/>
      <c r="H181" s="785"/>
      <c r="I181" s="785"/>
      <c r="J181" s="785"/>
      <c r="K181" s="785"/>
      <c r="L181" s="785"/>
    </row>
    <row r="182" spans="3:12" s="143" customFormat="1">
      <c r="C182" s="785"/>
      <c r="D182" s="785"/>
      <c r="E182" s="785"/>
      <c r="F182" s="785"/>
      <c r="G182" s="785"/>
      <c r="H182" s="785"/>
      <c r="I182" s="785"/>
      <c r="J182" s="785"/>
      <c r="K182" s="785"/>
      <c r="L182" s="785"/>
    </row>
    <row r="183" spans="3:12" s="143" customFormat="1">
      <c r="C183" s="785"/>
      <c r="D183" s="785"/>
      <c r="E183" s="785"/>
      <c r="F183" s="785"/>
      <c r="G183" s="785"/>
      <c r="H183" s="785"/>
      <c r="I183" s="785"/>
      <c r="J183" s="785"/>
      <c r="K183" s="785"/>
      <c r="L183" s="785"/>
    </row>
    <row r="184" spans="3:12" s="143" customFormat="1">
      <c r="C184" s="785"/>
      <c r="D184" s="785"/>
      <c r="E184" s="785"/>
      <c r="F184" s="785"/>
      <c r="G184" s="785"/>
      <c r="H184" s="785"/>
      <c r="I184" s="785"/>
      <c r="J184" s="785"/>
      <c r="K184" s="785"/>
      <c r="L184" s="785"/>
    </row>
    <row r="185" spans="3:12" s="143" customFormat="1">
      <c r="C185" s="785"/>
      <c r="D185" s="785"/>
      <c r="E185" s="785"/>
      <c r="F185" s="785"/>
      <c r="G185" s="785"/>
      <c r="H185" s="785"/>
      <c r="I185" s="785"/>
      <c r="J185" s="785"/>
      <c r="K185" s="785"/>
      <c r="L185" s="785"/>
    </row>
    <row r="186" spans="3:12" s="143" customFormat="1">
      <c r="C186" s="785"/>
      <c r="D186" s="785"/>
      <c r="E186" s="785"/>
      <c r="F186" s="785"/>
      <c r="G186" s="785"/>
      <c r="H186" s="785"/>
      <c r="I186" s="785"/>
      <c r="J186" s="785"/>
      <c r="K186" s="785"/>
      <c r="L186" s="785"/>
    </row>
    <row r="187" spans="3:12" s="143" customFormat="1">
      <c r="C187" s="785"/>
      <c r="D187" s="785"/>
      <c r="E187" s="785"/>
      <c r="F187" s="785"/>
      <c r="G187" s="785"/>
      <c r="H187" s="785"/>
      <c r="I187" s="785"/>
      <c r="J187" s="785"/>
      <c r="K187" s="785"/>
      <c r="L187" s="785"/>
    </row>
    <row r="188" spans="3:12" s="143" customFormat="1">
      <c r="C188" s="785"/>
      <c r="D188" s="785"/>
      <c r="E188" s="785"/>
      <c r="F188" s="785"/>
      <c r="G188" s="785"/>
      <c r="H188" s="785"/>
      <c r="I188" s="785"/>
      <c r="J188" s="785"/>
      <c r="K188" s="785"/>
      <c r="L188" s="785"/>
    </row>
    <row r="189" spans="3:12" s="143" customFormat="1">
      <c r="C189" s="785"/>
      <c r="D189" s="785"/>
      <c r="E189" s="785"/>
      <c r="F189" s="785"/>
      <c r="G189" s="785"/>
      <c r="H189" s="785"/>
      <c r="I189" s="785"/>
      <c r="J189" s="785"/>
      <c r="K189" s="785"/>
      <c r="L189" s="785"/>
    </row>
    <row r="190" spans="3:12" s="143" customFormat="1">
      <c r="C190" s="785"/>
      <c r="D190" s="785"/>
      <c r="E190" s="785"/>
      <c r="F190" s="785"/>
      <c r="G190" s="785"/>
      <c r="H190" s="785"/>
      <c r="I190" s="785"/>
      <c r="J190" s="785"/>
      <c r="K190" s="785"/>
      <c r="L190" s="785"/>
    </row>
    <row r="191" spans="3:12" s="143" customFormat="1">
      <c r="C191" s="785"/>
      <c r="D191" s="785"/>
      <c r="E191" s="785"/>
      <c r="F191" s="785"/>
      <c r="G191" s="785"/>
      <c r="H191" s="785"/>
      <c r="I191" s="785"/>
      <c r="J191" s="785"/>
      <c r="K191" s="785"/>
      <c r="L191" s="785"/>
    </row>
    <row r="192" spans="3:12" s="143" customFormat="1">
      <c r="C192" s="785"/>
      <c r="D192" s="785"/>
      <c r="E192" s="785"/>
      <c r="F192" s="785"/>
      <c r="G192" s="785"/>
      <c r="H192" s="785"/>
      <c r="I192" s="785"/>
      <c r="J192" s="785"/>
      <c r="K192" s="785"/>
      <c r="L192" s="785"/>
    </row>
    <row r="193" spans="3:12" s="143" customFormat="1">
      <c r="C193" s="785"/>
      <c r="D193" s="785"/>
      <c r="E193" s="785"/>
      <c r="F193" s="785"/>
      <c r="G193" s="785"/>
      <c r="H193" s="785"/>
      <c r="I193" s="785"/>
      <c r="J193" s="785"/>
      <c r="K193" s="785"/>
      <c r="L193" s="785"/>
    </row>
    <row r="194" spans="3:12" s="143" customFormat="1">
      <c r="C194" s="782"/>
      <c r="D194" s="782"/>
      <c r="E194" s="782"/>
      <c r="F194" s="782"/>
      <c r="G194" s="782"/>
      <c r="H194" s="782"/>
      <c r="I194" s="782"/>
      <c r="J194" s="782"/>
      <c r="K194" s="782"/>
      <c r="L194" s="782"/>
    </row>
    <row r="195" spans="3:12" s="143" customFormat="1">
      <c r="C195" s="782"/>
      <c r="D195" s="782"/>
      <c r="E195" s="782"/>
      <c r="F195" s="782"/>
      <c r="G195" s="782"/>
      <c r="H195" s="782"/>
      <c r="I195" s="782"/>
      <c r="J195" s="782"/>
      <c r="K195" s="782"/>
      <c r="L195" s="782"/>
    </row>
    <row r="196" spans="3:12" s="143" customFormat="1">
      <c r="C196" s="782"/>
      <c r="D196" s="782"/>
      <c r="E196" s="782"/>
      <c r="F196" s="782"/>
      <c r="G196" s="782"/>
      <c r="H196" s="782"/>
      <c r="I196" s="782"/>
      <c r="J196" s="782"/>
      <c r="K196" s="782"/>
      <c r="L196" s="782"/>
    </row>
    <row r="197" spans="3:12" s="143" customFormat="1">
      <c r="C197" s="782"/>
      <c r="D197" s="782"/>
      <c r="E197" s="782"/>
      <c r="F197" s="782"/>
      <c r="G197" s="782"/>
      <c r="H197" s="782"/>
      <c r="I197" s="782"/>
      <c r="J197" s="782"/>
      <c r="K197" s="782"/>
      <c r="L197" s="782"/>
    </row>
    <row r="198" spans="3:12" s="143" customFormat="1">
      <c r="C198" s="782"/>
      <c r="D198" s="782"/>
      <c r="E198" s="782"/>
      <c r="F198" s="782"/>
      <c r="G198" s="782"/>
      <c r="H198" s="782"/>
      <c r="I198" s="782"/>
      <c r="J198" s="782"/>
      <c r="K198" s="782"/>
      <c r="L198" s="782"/>
    </row>
    <row r="199" spans="3:12" s="143" customFormat="1">
      <c r="C199" s="782"/>
      <c r="D199" s="782"/>
      <c r="E199" s="782"/>
      <c r="F199" s="782"/>
      <c r="G199" s="782"/>
      <c r="H199" s="782"/>
      <c r="I199" s="782"/>
      <c r="J199" s="782"/>
      <c r="K199" s="782"/>
      <c r="L199" s="782"/>
    </row>
    <row r="200" spans="3:12" s="143" customFormat="1">
      <c r="C200" s="782"/>
      <c r="D200" s="782"/>
      <c r="E200" s="782"/>
      <c r="F200" s="782"/>
      <c r="G200" s="782"/>
      <c r="H200" s="782"/>
      <c r="I200" s="782"/>
      <c r="J200" s="782"/>
      <c r="K200" s="782"/>
      <c r="L200" s="782"/>
    </row>
    <row r="201" spans="3:12" s="143" customFormat="1">
      <c r="C201" s="782"/>
      <c r="D201" s="782"/>
      <c r="E201" s="782"/>
      <c r="F201" s="782"/>
      <c r="G201" s="782"/>
      <c r="H201" s="782"/>
      <c r="I201" s="782"/>
      <c r="J201" s="782"/>
      <c r="K201" s="782"/>
      <c r="L201" s="782"/>
    </row>
    <row r="202" spans="3:12" s="143" customFormat="1">
      <c r="C202" s="782"/>
      <c r="D202" s="782"/>
      <c r="E202" s="782"/>
      <c r="F202" s="782"/>
      <c r="G202" s="782"/>
      <c r="H202" s="782"/>
      <c r="I202" s="782"/>
      <c r="J202" s="782"/>
      <c r="K202" s="782"/>
      <c r="L202" s="782"/>
    </row>
    <row r="203" spans="3:12" s="143" customFormat="1">
      <c r="C203" s="782"/>
      <c r="D203" s="782"/>
      <c r="E203" s="782"/>
      <c r="F203" s="782"/>
      <c r="G203" s="782"/>
      <c r="H203" s="782"/>
      <c r="I203" s="782"/>
      <c r="J203" s="782"/>
      <c r="K203" s="782"/>
      <c r="L203" s="782"/>
    </row>
    <row r="204" spans="3:12" s="143" customFormat="1">
      <c r="C204" s="782"/>
      <c r="D204" s="782"/>
      <c r="E204" s="782"/>
      <c r="F204" s="782"/>
      <c r="G204" s="782"/>
      <c r="H204" s="782"/>
      <c r="I204" s="782"/>
      <c r="J204" s="782"/>
      <c r="K204" s="782"/>
      <c r="L204" s="782"/>
    </row>
    <row r="205" spans="3:12" s="143" customFormat="1">
      <c r="C205" s="782"/>
      <c r="D205" s="782"/>
      <c r="E205" s="782"/>
      <c r="F205" s="782"/>
      <c r="G205" s="782"/>
      <c r="H205" s="782"/>
      <c r="I205" s="782"/>
      <c r="J205" s="782"/>
      <c r="K205" s="782"/>
      <c r="L205" s="782"/>
    </row>
    <row r="206" spans="3:12" s="143" customFormat="1">
      <c r="C206" s="782"/>
      <c r="D206" s="782"/>
      <c r="E206" s="782"/>
      <c r="F206" s="782"/>
      <c r="G206" s="782"/>
      <c r="H206" s="782"/>
      <c r="I206" s="782"/>
      <c r="J206" s="782"/>
      <c r="K206" s="782"/>
      <c r="L206" s="782"/>
    </row>
    <row r="207" spans="3:12" s="143" customFormat="1">
      <c r="C207" s="782"/>
      <c r="D207" s="782"/>
      <c r="E207" s="782"/>
      <c r="F207" s="782"/>
      <c r="G207" s="782"/>
      <c r="H207" s="782"/>
      <c r="I207" s="782"/>
      <c r="J207" s="782"/>
      <c r="K207" s="782"/>
      <c r="L207" s="782"/>
    </row>
    <row r="208" spans="3:12" s="143" customFormat="1">
      <c r="C208" s="782"/>
      <c r="D208" s="782"/>
      <c r="E208" s="782"/>
      <c r="F208" s="782"/>
      <c r="G208" s="782"/>
      <c r="H208" s="782"/>
      <c r="I208" s="782"/>
      <c r="J208" s="782"/>
      <c r="K208" s="782"/>
      <c r="L208" s="782"/>
    </row>
    <row r="209" spans="3:12" s="143" customFormat="1">
      <c r="C209" s="782"/>
      <c r="D209" s="782"/>
      <c r="E209" s="782"/>
      <c r="F209" s="782"/>
      <c r="G209" s="782"/>
      <c r="H209" s="782"/>
      <c r="I209" s="782"/>
      <c r="J209" s="782"/>
      <c r="K209" s="782"/>
      <c r="L209" s="782"/>
    </row>
    <row r="210" spans="3:12" s="143" customFormat="1">
      <c r="C210" s="782"/>
      <c r="D210" s="782"/>
      <c r="E210" s="782"/>
      <c r="F210" s="782"/>
      <c r="G210" s="782"/>
      <c r="H210" s="782"/>
      <c r="I210" s="782"/>
      <c r="J210" s="782"/>
      <c r="K210" s="782"/>
      <c r="L210" s="782"/>
    </row>
    <row r="211" spans="3:12" s="143" customFormat="1">
      <c r="C211" s="782"/>
      <c r="D211" s="782"/>
      <c r="E211" s="782"/>
      <c r="F211" s="782"/>
      <c r="G211" s="782"/>
      <c r="H211" s="782"/>
      <c r="I211" s="782"/>
      <c r="J211" s="782"/>
      <c r="K211" s="782"/>
      <c r="L211" s="782"/>
    </row>
    <row r="212" spans="3:12" s="143" customFormat="1">
      <c r="C212" s="782"/>
      <c r="D212" s="782"/>
      <c r="E212" s="782"/>
      <c r="F212" s="782"/>
      <c r="G212" s="782"/>
      <c r="H212" s="782"/>
      <c r="I212" s="782"/>
      <c r="J212" s="782"/>
      <c r="K212" s="782"/>
      <c r="L212" s="782"/>
    </row>
    <row r="213" spans="3:12" s="143" customFormat="1">
      <c r="C213" s="782"/>
      <c r="D213" s="782"/>
      <c r="E213" s="782"/>
      <c r="F213" s="782"/>
      <c r="G213" s="782"/>
      <c r="H213" s="782"/>
      <c r="I213" s="782"/>
      <c r="J213" s="782"/>
      <c r="K213" s="782"/>
      <c r="L213" s="782"/>
    </row>
    <row r="214" spans="3:12" s="143" customFormat="1">
      <c r="C214" s="782"/>
      <c r="D214" s="782"/>
      <c r="E214" s="782"/>
      <c r="F214" s="782"/>
      <c r="G214" s="782"/>
      <c r="H214" s="782"/>
      <c r="I214" s="782"/>
      <c r="J214" s="782"/>
      <c r="K214" s="782"/>
      <c r="L214" s="782"/>
    </row>
    <row r="215" spans="3:12" s="143" customFormat="1">
      <c r="C215" s="782"/>
      <c r="D215" s="782"/>
      <c r="E215" s="782"/>
      <c r="F215" s="782"/>
      <c r="G215" s="782"/>
      <c r="H215" s="782"/>
      <c r="I215" s="782"/>
      <c r="J215" s="782"/>
      <c r="K215" s="782"/>
      <c r="L215" s="782"/>
    </row>
    <row r="216" spans="3:12" s="143" customFormat="1">
      <c r="C216" s="782"/>
      <c r="D216" s="782"/>
      <c r="E216" s="782"/>
      <c r="F216" s="782"/>
      <c r="G216" s="782"/>
      <c r="H216" s="782"/>
      <c r="I216" s="782"/>
      <c r="J216" s="782"/>
      <c r="K216" s="782"/>
      <c r="L216" s="782"/>
    </row>
    <row r="217" spans="3:12" s="143" customFormat="1">
      <c r="C217" s="782"/>
      <c r="D217" s="782"/>
      <c r="E217" s="782"/>
      <c r="F217" s="782"/>
      <c r="G217" s="782"/>
      <c r="H217" s="782"/>
      <c r="I217" s="782"/>
      <c r="J217" s="782"/>
      <c r="K217" s="782"/>
      <c r="L217" s="782"/>
    </row>
    <row r="218" spans="3:12" s="143" customFormat="1">
      <c r="C218" s="782"/>
      <c r="D218" s="782"/>
      <c r="E218" s="782"/>
      <c r="F218" s="782"/>
      <c r="G218" s="782"/>
      <c r="H218" s="782"/>
      <c r="I218" s="782"/>
      <c r="J218" s="782"/>
      <c r="K218" s="782"/>
      <c r="L218" s="782"/>
    </row>
    <row r="219" spans="3:12" s="143" customFormat="1">
      <c r="C219" s="782"/>
      <c r="D219" s="782"/>
      <c r="E219" s="782"/>
      <c r="F219" s="782"/>
      <c r="G219" s="782"/>
      <c r="H219" s="782"/>
      <c r="I219" s="782"/>
      <c r="J219" s="782"/>
      <c r="K219" s="782"/>
      <c r="L219" s="782"/>
    </row>
    <row r="220" spans="3:12" s="143" customFormat="1">
      <c r="C220" s="782"/>
      <c r="D220" s="782"/>
      <c r="E220" s="782"/>
      <c r="F220" s="782"/>
      <c r="G220" s="782"/>
      <c r="H220" s="782"/>
      <c r="I220" s="782"/>
      <c r="J220" s="782"/>
      <c r="K220" s="782"/>
      <c r="L220" s="782"/>
    </row>
    <row r="221" spans="3:12" s="143" customFormat="1">
      <c r="C221" s="782"/>
      <c r="D221" s="782"/>
      <c r="E221" s="782"/>
      <c r="F221" s="782"/>
      <c r="G221" s="782"/>
      <c r="H221" s="782"/>
      <c r="I221" s="782"/>
      <c r="J221" s="782"/>
      <c r="K221" s="782"/>
      <c r="L221" s="782"/>
    </row>
    <row r="222" spans="3:12" s="143" customFormat="1">
      <c r="C222" s="782"/>
      <c r="D222" s="782"/>
      <c r="E222" s="782"/>
      <c r="F222" s="782"/>
      <c r="G222" s="782"/>
      <c r="H222" s="782"/>
      <c r="I222" s="782"/>
      <c r="J222" s="782"/>
      <c r="K222" s="782"/>
      <c r="L222" s="782"/>
    </row>
    <row r="223" spans="3:12" s="143" customFormat="1">
      <c r="C223" s="782"/>
      <c r="D223" s="782"/>
      <c r="E223" s="782"/>
      <c r="F223" s="782"/>
      <c r="G223" s="782"/>
      <c r="H223" s="782"/>
      <c r="I223" s="782"/>
      <c r="J223" s="782"/>
      <c r="K223" s="782"/>
      <c r="L223" s="782"/>
    </row>
    <row r="224" spans="3:12" s="143" customFormat="1">
      <c r="C224" s="782"/>
      <c r="D224" s="782"/>
      <c r="E224" s="782"/>
      <c r="F224" s="782"/>
      <c r="G224" s="782"/>
      <c r="H224" s="782"/>
      <c r="I224" s="782"/>
      <c r="J224" s="782"/>
      <c r="K224" s="782"/>
      <c r="L224" s="782"/>
    </row>
    <row r="225" spans="3:12" s="143" customFormat="1">
      <c r="C225" s="782"/>
      <c r="D225" s="782"/>
      <c r="E225" s="782"/>
      <c r="F225" s="782"/>
      <c r="G225" s="782"/>
      <c r="H225" s="782"/>
      <c r="I225" s="782"/>
      <c r="J225" s="782"/>
      <c r="K225" s="782"/>
      <c r="L225" s="782"/>
    </row>
    <row r="226" spans="3:12" s="143" customFormat="1">
      <c r="C226" s="782"/>
      <c r="D226" s="782"/>
      <c r="E226" s="782"/>
      <c r="F226" s="782"/>
      <c r="G226" s="782"/>
      <c r="H226" s="782"/>
      <c r="I226" s="782"/>
      <c r="J226" s="782"/>
      <c r="K226" s="782"/>
      <c r="L226" s="782"/>
    </row>
    <row r="227" spans="3:12" s="143" customFormat="1">
      <c r="C227" s="782"/>
      <c r="D227" s="782"/>
      <c r="E227" s="782"/>
      <c r="F227" s="782"/>
      <c r="G227" s="782"/>
      <c r="H227" s="782"/>
      <c r="I227" s="782"/>
      <c r="J227" s="782"/>
      <c r="K227" s="782"/>
      <c r="L227" s="782"/>
    </row>
    <row r="228" spans="3:12" s="143" customFormat="1">
      <c r="C228" s="782"/>
      <c r="D228" s="782"/>
      <c r="E228" s="782"/>
      <c r="F228" s="782"/>
      <c r="G228" s="782"/>
      <c r="H228" s="782"/>
      <c r="I228" s="782"/>
      <c r="J228" s="782"/>
      <c r="K228" s="782"/>
      <c r="L228" s="782"/>
    </row>
    <row r="229" spans="3:12" s="143" customFormat="1">
      <c r="C229" s="782"/>
      <c r="D229" s="782"/>
      <c r="E229" s="782"/>
      <c r="F229" s="782"/>
      <c r="G229" s="782"/>
      <c r="H229" s="782"/>
      <c r="I229" s="782"/>
      <c r="J229" s="782"/>
      <c r="K229" s="782"/>
      <c r="L229" s="782"/>
    </row>
    <row r="230" spans="3:12" s="143" customFormat="1">
      <c r="C230" s="782"/>
      <c r="D230" s="782"/>
      <c r="E230" s="782"/>
      <c r="F230" s="782"/>
      <c r="G230" s="782"/>
      <c r="H230" s="782"/>
      <c r="I230" s="782"/>
      <c r="J230" s="782"/>
      <c r="K230" s="782"/>
      <c r="L230" s="782"/>
    </row>
    <row r="231" spans="3:12" s="143" customFormat="1">
      <c r="C231" s="782"/>
      <c r="D231" s="782"/>
      <c r="E231" s="782"/>
      <c r="F231" s="782"/>
      <c r="G231" s="782"/>
      <c r="H231" s="782"/>
      <c r="I231" s="782"/>
      <c r="J231" s="782"/>
      <c r="K231" s="782"/>
      <c r="L231" s="782"/>
    </row>
    <row r="232" spans="3:12" s="143" customFormat="1">
      <c r="C232" s="782"/>
      <c r="D232" s="782"/>
      <c r="E232" s="782"/>
      <c r="F232" s="782"/>
      <c r="G232" s="782"/>
      <c r="H232" s="782"/>
      <c r="I232" s="782"/>
      <c r="J232" s="782"/>
      <c r="K232" s="782"/>
      <c r="L232" s="782"/>
    </row>
    <row r="233" spans="3:12" s="143" customFormat="1">
      <c r="C233" s="782"/>
      <c r="D233" s="782"/>
      <c r="E233" s="782"/>
      <c r="F233" s="782"/>
      <c r="G233" s="782"/>
      <c r="H233" s="782"/>
      <c r="I233" s="782"/>
      <c r="J233" s="782"/>
      <c r="K233" s="782"/>
      <c r="L233" s="782"/>
    </row>
    <row r="234" spans="3:12" s="143" customFormat="1">
      <c r="C234" s="782"/>
      <c r="D234" s="782"/>
      <c r="E234" s="782"/>
      <c r="F234" s="782"/>
      <c r="G234" s="782"/>
      <c r="H234" s="782"/>
      <c r="I234" s="782"/>
      <c r="J234" s="782"/>
      <c r="K234" s="782"/>
      <c r="L234" s="782"/>
    </row>
    <row r="235" spans="3:12" s="143" customFormat="1">
      <c r="C235" s="782"/>
      <c r="D235" s="782"/>
      <c r="E235" s="782"/>
      <c r="F235" s="782"/>
      <c r="G235" s="782"/>
      <c r="H235" s="782"/>
      <c r="I235" s="782"/>
      <c r="J235" s="782"/>
      <c r="K235" s="782"/>
      <c r="L235" s="782"/>
    </row>
    <row r="236" spans="3:12" s="143" customFormat="1">
      <c r="C236" s="782"/>
      <c r="D236" s="782"/>
      <c r="E236" s="782"/>
      <c r="F236" s="782"/>
      <c r="G236" s="782"/>
      <c r="H236" s="782"/>
      <c r="I236" s="782"/>
      <c r="J236" s="782"/>
      <c r="K236" s="782"/>
      <c r="L236" s="782"/>
    </row>
    <row r="237" spans="3:12" s="143" customFormat="1">
      <c r="C237" s="782"/>
      <c r="D237" s="782"/>
      <c r="E237" s="782"/>
      <c r="F237" s="782"/>
      <c r="G237" s="782"/>
      <c r="H237" s="782"/>
      <c r="I237" s="782"/>
      <c r="J237" s="782"/>
      <c r="K237" s="782"/>
      <c r="L237" s="782"/>
    </row>
    <row r="238" spans="3:12" s="143" customFormat="1">
      <c r="C238" s="782"/>
      <c r="D238" s="782"/>
      <c r="E238" s="782"/>
      <c r="F238" s="782"/>
      <c r="G238" s="782"/>
      <c r="H238" s="782"/>
      <c r="I238" s="782"/>
      <c r="J238" s="782"/>
      <c r="K238" s="782"/>
      <c r="L238" s="782"/>
    </row>
    <row r="239" spans="3:12" s="143" customFormat="1">
      <c r="C239" s="782"/>
      <c r="D239" s="782"/>
      <c r="E239" s="782"/>
      <c r="F239" s="782"/>
      <c r="G239" s="782"/>
      <c r="H239" s="782"/>
      <c r="I239" s="782"/>
      <c r="J239" s="782"/>
      <c r="K239" s="782"/>
      <c r="L239" s="782"/>
    </row>
    <row r="240" spans="3:12" s="143" customFormat="1"/>
    <row r="241" s="143" customFormat="1"/>
    <row r="242" s="143" customFormat="1"/>
    <row r="243" s="143" customFormat="1"/>
    <row r="244" s="143" customFormat="1"/>
    <row r="245" s="143" customFormat="1"/>
    <row r="246" s="143" customFormat="1"/>
    <row r="247" s="143" customFormat="1"/>
    <row r="248" s="143" customFormat="1"/>
    <row r="249" s="143" customFormat="1"/>
    <row r="250" s="143" customFormat="1"/>
    <row r="251" s="143" customFormat="1"/>
    <row r="252" s="143" customFormat="1"/>
    <row r="253" s="143" customFormat="1"/>
    <row r="254" s="143" customFormat="1"/>
    <row r="255" s="143" customFormat="1"/>
    <row r="256" s="143" customFormat="1"/>
    <row r="257" s="143" customFormat="1"/>
    <row r="258" s="143" customFormat="1"/>
    <row r="259" s="143" customFormat="1"/>
    <row r="260" s="143" customFormat="1"/>
    <row r="261" s="143" customFormat="1"/>
    <row r="262" s="143" customFormat="1"/>
    <row r="263" s="143" customFormat="1"/>
    <row r="264" s="143" customFormat="1"/>
    <row r="265" s="143" customFormat="1"/>
    <row r="266" s="143" customFormat="1"/>
    <row r="267" s="143" customFormat="1"/>
    <row r="268" s="143" customFormat="1"/>
    <row r="269" s="143" customFormat="1"/>
    <row r="270" s="143" customFormat="1"/>
    <row r="271" s="143" customFormat="1"/>
    <row r="272" s="143" customFormat="1"/>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sheetData>
  <mergeCells count="4">
    <mergeCell ref="H2:L2"/>
    <mergeCell ref="C2:G2"/>
    <mergeCell ref="M2:Q2"/>
    <mergeCell ref="R2:V2"/>
  </mergeCells>
  <pageMargins left="0.7" right="0.7" top="0.75" bottom="0.75" header="0.3" footer="0.3"/>
  <pageSetup paperSize="9" scale="46" orientation="portrait"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4"/>
  <sheetData/>
  <pageMargins left="0.7" right="0.7" top="0.75" bottom="0.75" header="0.3" footer="0.3"/>
  <pageSetup paperSize="9" orientation="portrait" verticalDpi="0" r:id="rId1"/>
  <headerFooter>
    <oddFooter>&amp;L&amp;1#&amp;"Calibri"&amp;8&amp;K000000TAJEMNICA PRZEDSIĘBIORSTWA w rozumieniu art. 11 ust. 2 ustawy z dnia 16 kwietnia 1993 r. o zwalczaniu nieuczciwej konkurencji – DO UŻYTKU SŁUŻBOWEGO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C94D8E5B085244EA1243650C0689C53" ma:contentTypeVersion="18" ma:contentTypeDescription="Utwórz nowy dokument." ma:contentTypeScope="" ma:versionID="d3847f0674ee3dbb9434a2ec927a7cc5">
  <xsd:schema xmlns:xsd="http://www.w3.org/2001/XMLSchema" xmlns:xs="http://www.w3.org/2001/XMLSchema" xmlns:p="http://schemas.microsoft.com/office/2006/metadata/properties" xmlns:ns2="44ef9d45-7c5b-433e-98b2-0b7979b96efb" xmlns:ns3="380674f5-ae6e-4398-ae1a-e3b039baab99" targetNamespace="http://schemas.microsoft.com/office/2006/metadata/properties" ma:root="true" ma:fieldsID="f8194428ad5c7b53f0741973833b0fd6" ns2:_="" ns3:_="">
    <xsd:import namespace="44ef9d45-7c5b-433e-98b2-0b7979b96efb"/>
    <xsd:import namespace="380674f5-ae6e-4398-ae1a-e3b039baab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ef9d45-7c5b-433e-98b2-0b7979b96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Tagi obrazów" ma:readOnly="false" ma:fieldId="{5cf76f15-5ced-4ddc-b409-7134ff3c332f}" ma:taxonomyMulti="true" ma:sspId="c99c7060-1db6-4dae-a216-9b75e8c1a47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0674f5-ae6e-4398-ae1a-e3b039baab99"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TaxCatchAll" ma:index="21" nillable="true" ma:displayName="Taxonomy Catch All Column" ma:hidden="true" ma:list="{e6fdfcdd-7f6a-4252-8590-964496c61453}" ma:internalName="TaxCatchAll" ma:showField="CatchAllData" ma:web="380674f5-ae6e-4398-ae1a-e3b039baab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80674f5-ae6e-4398-ae1a-e3b039baab99">
      <UserInfo>
        <DisplayName>Alicja Dereń</DisplayName>
        <AccountId>90</AccountId>
        <AccountType/>
      </UserInfo>
    </SharedWithUsers>
    <lcf76f155ced4ddcb4097134ff3c332f xmlns="44ef9d45-7c5b-433e-98b2-0b7979b96efb">
      <Terms xmlns="http://schemas.microsoft.com/office/infopath/2007/PartnerControls"/>
    </lcf76f155ced4ddcb4097134ff3c332f>
    <TaxCatchAll xmlns="380674f5-ae6e-4398-ae1a-e3b039baab99" xsi:nil="true"/>
  </documentManagement>
</p:properties>
</file>

<file path=customXml/itemProps1.xml><?xml version="1.0" encoding="utf-8"?>
<ds:datastoreItem xmlns:ds="http://schemas.openxmlformats.org/officeDocument/2006/customXml" ds:itemID="{3A09C639-6E81-4C42-9637-EF50EBF18171}">
  <ds:schemaRefs>
    <ds:schemaRef ds:uri="http://schemas.microsoft.com/sharepoint/v3/contenttype/forms"/>
  </ds:schemaRefs>
</ds:datastoreItem>
</file>

<file path=customXml/itemProps2.xml><?xml version="1.0" encoding="utf-8"?>
<ds:datastoreItem xmlns:ds="http://schemas.openxmlformats.org/officeDocument/2006/customXml" ds:itemID="{0D99A695-7233-4329-964C-D5FF64D10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ef9d45-7c5b-433e-98b2-0b7979b96efb"/>
    <ds:schemaRef ds:uri="380674f5-ae6e-4398-ae1a-e3b039baab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440E72-627B-49BD-8136-CEF9ECB5C2F6}">
  <ds:schemaRefs>
    <ds:schemaRef ds:uri="380674f5-ae6e-4398-ae1a-e3b039baab99"/>
    <ds:schemaRef ds:uri="44ef9d45-7c5b-433e-98b2-0b7979b96ef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09f712ea-50a0-4d7c-b3f8-0f6197c7b855}" enabled="1" method="Standard" siteId="{e627a4cd-356c-4934-89de-1758b5605ea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vt:i4>
      </vt:variant>
      <vt:variant>
        <vt:lpstr>Nazwane zakresy</vt:lpstr>
      </vt:variant>
      <vt:variant>
        <vt:i4>6</vt:i4>
      </vt:variant>
    </vt:vector>
  </HeadingPairs>
  <TitlesOfParts>
    <vt:vector size="16" baseType="lpstr">
      <vt:lpstr>P&amp;L</vt:lpstr>
      <vt:lpstr>Balance sheet</vt:lpstr>
      <vt:lpstr>Cash Flow</vt:lpstr>
      <vt:lpstr>Segments</vt:lpstr>
      <vt:lpstr>Ratios</vt:lpstr>
      <vt:lpstr>new KPI_segment B2C&amp;B2B</vt:lpstr>
      <vt:lpstr>KPI TV &amp; online</vt:lpstr>
      <vt:lpstr>KPI_segment Green Energy</vt:lpstr>
      <vt:lpstr>STARE KPI--&gt;</vt:lpstr>
      <vt:lpstr>KPI_segment B2C&amp;B2B</vt:lpstr>
      <vt:lpstr>'Balance sheet'!Obszar_wydruku</vt:lpstr>
      <vt:lpstr>'Cash Flow'!Obszar_wydruku</vt:lpstr>
      <vt:lpstr>'KPI_segment B2C&amp;B2B'!Obszar_wydruku</vt:lpstr>
      <vt:lpstr>'new KPI_segment B2C&amp;B2B'!Obszar_wydruku</vt:lpstr>
      <vt:lpstr>'P&amp;L'!Obszar_wydruku</vt:lpstr>
      <vt:lpstr>'Cash Flow'!OLE_LINK3</vt:lpstr>
    </vt:vector>
  </TitlesOfParts>
  <Manager/>
  <Company>Your Company Name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Your User Name</dc:creator>
  <cp:keywords/>
  <dc:description/>
  <cp:lastModifiedBy>Elżbieta Gieniusz</cp:lastModifiedBy>
  <cp:revision/>
  <dcterms:created xsi:type="dcterms:W3CDTF">2008-08-25T12:12:22Z</dcterms:created>
  <dcterms:modified xsi:type="dcterms:W3CDTF">2025-05-21T13:05:52Z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0x0101000C94D8E5B085244EA1243650C0689C53</vt:lpwstr>
  </property>
  <property fmtid="{D5CDD505-2E9C-101B-9397-08002B2CF9AE}" pid="5" name="MSIP_Label_09f712ea-50a0-4d7c-b3f8-0f6197c7b855_Enabled">
    <vt:lpwstr>true</vt:lpwstr>
  </property>
  <property fmtid="{D5CDD505-2E9C-101B-9397-08002B2CF9AE}" pid="6" name="MSIP_Label_09f712ea-50a0-4d7c-b3f8-0f6197c7b855_SetDate">
    <vt:lpwstr>2021-11-05T16:36:18Z</vt:lpwstr>
  </property>
  <property fmtid="{D5CDD505-2E9C-101B-9397-08002B2CF9AE}" pid="7" name="MSIP_Label_09f712ea-50a0-4d7c-b3f8-0f6197c7b855_Method">
    <vt:lpwstr>Standard</vt:lpwstr>
  </property>
  <property fmtid="{D5CDD505-2E9C-101B-9397-08002B2CF9AE}" pid="8" name="MSIP_Label_09f712ea-50a0-4d7c-b3f8-0f6197c7b855_Name">
    <vt:lpwstr>Tajemnica przedsiębiorstwa - do użytku służbowego</vt:lpwstr>
  </property>
  <property fmtid="{D5CDD505-2E9C-101B-9397-08002B2CF9AE}" pid="9" name="MSIP_Label_09f712ea-50a0-4d7c-b3f8-0f6197c7b855_SiteId">
    <vt:lpwstr>e627a4cd-356c-4934-89de-1758b5605eaf</vt:lpwstr>
  </property>
  <property fmtid="{D5CDD505-2E9C-101B-9397-08002B2CF9AE}" pid="10" name="MSIP_Label_09f712ea-50a0-4d7c-b3f8-0f6197c7b855_ActionId">
    <vt:lpwstr>f5a0a768-2bc3-4980-9c7a-7ce48f62b26c</vt:lpwstr>
  </property>
  <property fmtid="{D5CDD505-2E9C-101B-9397-08002B2CF9AE}" pid="11" name="MSIP_Label_09f712ea-50a0-4d7c-b3f8-0f6197c7b855_ContentBits">
    <vt:lpwstr>2</vt:lpwstr>
  </property>
  <property fmtid="{D5CDD505-2E9C-101B-9397-08002B2CF9AE}" pid="12" name="MediaServiceImageTags">
    <vt:lpwstr/>
  </property>
</Properties>
</file>